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trlProps/ctrlProp1.xml" ContentType="application/vnd.ms-excel.controlproperties+xml"/>
  <Override PartName="/xl/charts/chart4.xml" ContentType="application/vnd.openxmlformats-officedocument.drawingml.chart+xml"/>
  <Override PartName="/xl/drawings/drawing3.xml" ContentType="application/vnd.openxmlformats-officedocument.drawing+xml"/>
  <Override PartName="/xl/ctrlProps/ctrlProp2.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7.xml" ContentType="application/vnd.openxmlformats-officedocument.drawing+xml"/>
  <Override PartName="/xl/tables/table3.xml" ContentType="application/vnd.openxmlformats-officedocument.spreadsheetml.tab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8.xml" ContentType="application/vnd.openxmlformats-officedocument.drawing+xml"/>
  <Override PartName="/xl/tables/table4.xml" ContentType="application/vnd.openxmlformats-officedocument.spreadsheetml.tab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9.xml" ContentType="application/vnd.openxmlformats-officedocument.drawing+xml"/>
  <Override PartName="/xl/tables/table5.xml" ContentType="application/vnd.openxmlformats-officedocument.spreadsheetml.tab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charts/chart19.xml" ContentType="application/vnd.openxmlformats-officedocument.drawingml.chart+xml"/>
  <Override PartName="/xl/charts/style18.xml" ContentType="application/vnd.ms-office.chartstyle+xml"/>
  <Override PartName="/xl/charts/colors18.xml" ContentType="application/vnd.ms-office.chartcolorstyle+xml"/>
  <Override PartName="/xl/charts/chart20.xml" ContentType="application/vnd.openxmlformats-officedocument.drawingml.chart+xml"/>
  <Override PartName="/xl/charts/style19.xml" ContentType="application/vnd.ms-office.chartstyle+xml"/>
  <Override PartName="/xl/charts/colors19.xml" ContentType="application/vnd.ms-office.chartcolorstyle+xml"/>
  <Override PartName="/xl/charts/chart21.xml" ContentType="application/vnd.openxmlformats-officedocument.drawingml.chart+xml"/>
  <Override PartName="/xl/charts/style20.xml" ContentType="application/vnd.ms-office.chartstyle+xml"/>
  <Override PartName="/xl/charts/colors20.xml" ContentType="application/vnd.ms-office.chartcolorstyle+xml"/>
  <Override PartName="/xl/charts/chart22.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10.xml" ContentType="application/vnd.openxmlformats-officedocument.drawing+xml"/>
  <Override PartName="/xl/tables/table6.xml" ContentType="application/vnd.openxmlformats-officedocument.spreadsheetml.table+xml"/>
  <Override PartName="/xl/charts/chart23.xml" ContentType="application/vnd.openxmlformats-officedocument.drawingml.chart+xml"/>
  <Override PartName="/xl/charts/style22.xml" ContentType="application/vnd.ms-office.chartstyle+xml"/>
  <Override PartName="/xl/charts/colors22.xml" ContentType="application/vnd.ms-office.chartcolorstyle+xml"/>
  <Override PartName="/xl/charts/chart24.xml" ContentType="application/vnd.openxmlformats-officedocument.drawingml.chart+xml"/>
  <Override PartName="/xl/charts/style23.xml" ContentType="application/vnd.ms-office.chartstyle+xml"/>
  <Override PartName="/xl/charts/colors23.xml" ContentType="application/vnd.ms-office.chartcolorstyle+xml"/>
  <Override PartName="/xl/charts/chart25.xml" ContentType="application/vnd.openxmlformats-officedocument.drawingml.chart+xml"/>
  <Override PartName="/xl/charts/style24.xml" ContentType="application/vnd.ms-office.chartstyle+xml"/>
  <Override PartName="/xl/charts/colors24.xml" ContentType="application/vnd.ms-office.chartcolorstyle+xml"/>
  <Override PartName="/xl/charts/chart26.xml" ContentType="application/vnd.openxmlformats-officedocument.drawingml.chart+xml"/>
  <Override PartName="/xl/charts/style25.xml" ContentType="application/vnd.ms-office.chartstyle+xml"/>
  <Override PartName="/xl/charts/colors25.xml" ContentType="application/vnd.ms-office.chartcolorstyle+xml"/>
  <Override PartName="/xl/charts/chart27.xml" ContentType="application/vnd.openxmlformats-officedocument.drawingml.chart+xml"/>
  <Override PartName="/xl/charts/style26.xml" ContentType="application/vnd.ms-office.chartstyle+xml"/>
  <Override PartName="/xl/charts/colors26.xml" ContentType="application/vnd.ms-office.chartcolorstyle+xml"/>
  <Override PartName="/xl/charts/chart28.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11.xml" ContentType="application/vnd.openxmlformats-officedocument.drawing+xml"/>
  <Override PartName="/xl/tables/table7.xml" ContentType="application/vnd.openxmlformats-officedocument.spreadsheetml.table+xml"/>
  <Override PartName="/xl/charts/chart29.xml" ContentType="application/vnd.openxmlformats-officedocument.drawingml.chart+xml"/>
  <Override PartName="/xl/charts/style28.xml" ContentType="application/vnd.ms-office.chartstyle+xml"/>
  <Override PartName="/xl/charts/colors28.xml" ContentType="application/vnd.ms-office.chartcolorstyle+xml"/>
  <Override PartName="/xl/charts/chart30.xml" ContentType="application/vnd.openxmlformats-officedocument.drawingml.chart+xml"/>
  <Override PartName="/xl/charts/style29.xml" ContentType="application/vnd.ms-office.chartstyle+xml"/>
  <Override PartName="/xl/charts/colors29.xml" ContentType="application/vnd.ms-office.chartcolorstyle+xml"/>
  <Override PartName="/xl/charts/chart31.xml" ContentType="application/vnd.openxmlformats-officedocument.drawingml.chart+xml"/>
  <Override PartName="/xl/charts/style30.xml" ContentType="application/vnd.ms-office.chartstyle+xml"/>
  <Override PartName="/xl/charts/colors30.xml" ContentType="application/vnd.ms-office.chartcolorstyle+xml"/>
  <Override PartName="/xl/charts/chart32.xml" ContentType="application/vnd.openxmlformats-officedocument.drawingml.chart+xml"/>
  <Override PartName="/xl/charts/style31.xml" ContentType="application/vnd.ms-office.chartstyle+xml"/>
  <Override PartName="/xl/charts/colors31.xml" ContentType="application/vnd.ms-office.chartcolorstyle+xml"/>
  <Override PartName="/xl/charts/chart33.xml" ContentType="application/vnd.openxmlformats-officedocument.drawingml.chart+xml"/>
  <Override PartName="/xl/charts/style32.xml" ContentType="application/vnd.ms-office.chartstyle+xml"/>
  <Override PartName="/xl/charts/colors32.xml" ContentType="application/vnd.ms-office.chartcolorstyle+xml"/>
  <Override PartName="/xl/charts/chart34.xml" ContentType="application/vnd.openxmlformats-officedocument.drawingml.chart+xml"/>
  <Override PartName="/xl/charts/style33.xml" ContentType="application/vnd.ms-office.chartstyle+xml"/>
  <Override PartName="/xl/charts/colors33.xml" ContentType="application/vnd.ms-office.chartcolorstyle+xml"/>
  <Override PartName="/xl/drawings/drawing12.xml" ContentType="application/vnd.openxmlformats-officedocument.drawing+xml"/>
  <Override PartName="/xl/tables/table8.xml" ContentType="application/vnd.openxmlformats-officedocument.spreadsheetml.table+xml"/>
  <Override PartName="/xl/charts/chart35.xml" ContentType="application/vnd.openxmlformats-officedocument.drawingml.chart+xml"/>
  <Override PartName="/xl/charts/style34.xml" ContentType="application/vnd.ms-office.chartstyle+xml"/>
  <Override PartName="/xl/charts/colors34.xml" ContentType="application/vnd.ms-office.chartcolorstyle+xml"/>
  <Override PartName="/xl/charts/chart36.xml" ContentType="application/vnd.openxmlformats-officedocument.drawingml.chart+xml"/>
  <Override PartName="/xl/charts/style35.xml" ContentType="application/vnd.ms-office.chartstyle+xml"/>
  <Override PartName="/xl/charts/colors35.xml" ContentType="application/vnd.ms-office.chartcolorstyle+xml"/>
  <Override PartName="/xl/charts/chart37.xml" ContentType="application/vnd.openxmlformats-officedocument.drawingml.chart+xml"/>
  <Override PartName="/xl/charts/style36.xml" ContentType="application/vnd.ms-office.chartstyle+xml"/>
  <Override PartName="/xl/charts/colors36.xml" ContentType="application/vnd.ms-office.chartcolorstyle+xml"/>
  <Override PartName="/xl/charts/chart38.xml" ContentType="application/vnd.openxmlformats-officedocument.drawingml.chart+xml"/>
  <Override PartName="/xl/charts/style37.xml" ContentType="application/vnd.ms-office.chartstyle+xml"/>
  <Override PartName="/xl/charts/colors37.xml" ContentType="application/vnd.ms-office.chartcolorstyle+xml"/>
  <Override PartName="/xl/charts/chart39.xml" ContentType="application/vnd.openxmlformats-officedocument.drawingml.chart+xml"/>
  <Override PartName="/xl/charts/style38.xml" ContentType="application/vnd.ms-office.chartstyle+xml"/>
  <Override PartName="/xl/charts/colors38.xml" ContentType="application/vnd.ms-office.chartcolorstyle+xml"/>
  <Override PartName="/xl/charts/chart40.xml" ContentType="application/vnd.openxmlformats-officedocument.drawingml.chart+xml"/>
  <Override PartName="/xl/charts/style39.xml" ContentType="application/vnd.ms-office.chartstyle+xml"/>
  <Override PartName="/xl/charts/colors39.xml" ContentType="application/vnd.ms-office.chartcolorstyle+xml"/>
  <Override PartName="/xl/drawings/drawing13.xml" ContentType="application/vnd.openxmlformats-officedocument.drawing+xml"/>
  <Override PartName="/xl/tables/table9.xml" ContentType="application/vnd.openxmlformats-officedocument.spreadsheetml.table+xml"/>
  <Override PartName="/xl/charts/chart41.xml" ContentType="application/vnd.openxmlformats-officedocument.drawingml.chart+xml"/>
  <Override PartName="/xl/charts/style40.xml" ContentType="application/vnd.ms-office.chartstyle+xml"/>
  <Override PartName="/xl/charts/colors40.xml" ContentType="application/vnd.ms-office.chartcolorstyle+xml"/>
  <Override PartName="/xl/charts/chart42.xml" ContentType="application/vnd.openxmlformats-officedocument.drawingml.chart+xml"/>
  <Override PartName="/xl/charts/style41.xml" ContentType="application/vnd.ms-office.chartstyle+xml"/>
  <Override PartName="/xl/charts/colors41.xml" ContentType="application/vnd.ms-office.chartcolorstyle+xml"/>
  <Override PartName="/xl/charts/chart43.xml" ContentType="application/vnd.openxmlformats-officedocument.drawingml.chart+xml"/>
  <Override PartName="/xl/charts/style42.xml" ContentType="application/vnd.ms-office.chartstyle+xml"/>
  <Override PartName="/xl/charts/colors42.xml" ContentType="application/vnd.ms-office.chartcolorstyle+xml"/>
  <Override PartName="/xl/charts/chart44.xml" ContentType="application/vnd.openxmlformats-officedocument.drawingml.chart+xml"/>
  <Override PartName="/xl/charts/style43.xml" ContentType="application/vnd.ms-office.chartstyle+xml"/>
  <Override PartName="/xl/charts/colors43.xml" ContentType="application/vnd.ms-office.chartcolorstyle+xml"/>
  <Override PartName="/xl/charts/chart45.xml" ContentType="application/vnd.openxmlformats-officedocument.drawingml.chart+xml"/>
  <Override PartName="/xl/charts/style44.xml" ContentType="application/vnd.ms-office.chartstyle+xml"/>
  <Override PartName="/xl/charts/colors44.xml" ContentType="application/vnd.ms-office.chartcolorstyle+xml"/>
  <Override PartName="/xl/charts/chart46.xml" ContentType="application/vnd.openxmlformats-officedocument.drawingml.chart+xml"/>
  <Override PartName="/xl/charts/style45.xml" ContentType="application/vnd.ms-office.chartstyle+xml"/>
  <Override PartName="/xl/charts/colors45.xml" ContentType="application/vnd.ms-office.chartcolorstyle+xml"/>
  <Override PartName="/xl/drawings/drawing14.xml" ContentType="application/vnd.openxmlformats-officedocument.drawing+xml"/>
  <Override PartName="/xl/tables/table10.xml" ContentType="application/vnd.openxmlformats-officedocument.spreadsheetml.table+xml"/>
  <Override PartName="/xl/charts/chart47.xml" ContentType="application/vnd.openxmlformats-officedocument.drawingml.chart+xml"/>
  <Override PartName="/xl/charts/style46.xml" ContentType="application/vnd.ms-office.chartstyle+xml"/>
  <Override PartName="/xl/charts/colors46.xml" ContentType="application/vnd.ms-office.chartcolorstyle+xml"/>
  <Override PartName="/xl/charts/chart48.xml" ContentType="application/vnd.openxmlformats-officedocument.drawingml.chart+xml"/>
  <Override PartName="/xl/charts/style47.xml" ContentType="application/vnd.ms-office.chartstyle+xml"/>
  <Override PartName="/xl/charts/colors47.xml" ContentType="application/vnd.ms-office.chartcolorstyle+xml"/>
  <Override PartName="/xl/charts/chart49.xml" ContentType="application/vnd.openxmlformats-officedocument.drawingml.chart+xml"/>
  <Override PartName="/xl/charts/style48.xml" ContentType="application/vnd.ms-office.chartstyle+xml"/>
  <Override PartName="/xl/charts/colors48.xml" ContentType="application/vnd.ms-office.chartcolorstyle+xml"/>
  <Override PartName="/xl/charts/chart50.xml" ContentType="application/vnd.openxmlformats-officedocument.drawingml.chart+xml"/>
  <Override PartName="/xl/charts/style49.xml" ContentType="application/vnd.ms-office.chartstyle+xml"/>
  <Override PartName="/xl/charts/colors49.xml" ContentType="application/vnd.ms-office.chartcolorstyle+xml"/>
  <Override PartName="/xl/charts/chart51.xml" ContentType="application/vnd.openxmlformats-officedocument.drawingml.chart+xml"/>
  <Override PartName="/xl/charts/style50.xml" ContentType="application/vnd.ms-office.chartstyle+xml"/>
  <Override PartName="/xl/charts/colors50.xml" ContentType="application/vnd.ms-office.chartcolorstyle+xml"/>
  <Override PartName="/xl/charts/chart52.xml" ContentType="application/vnd.openxmlformats-officedocument.drawingml.chart+xml"/>
  <Override PartName="/xl/charts/style51.xml" ContentType="application/vnd.ms-office.chartstyle+xml"/>
  <Override PartName="/xl/charts/colors51.xml" ContentType="application/vnd.ms-office.chartcolorstyle+xml"/>
  <Override PartName="/xl/drawings/drawing15.xml" ContentType="application/vnd.openxmlformats-officedocument.drawing+xml"/>
  <Override PartName="/xl/tables/table11.xml" ContentType="application/vnd.openxmlformats-officedocument.spreadsheetml.table+xml"/>
  <Override PartName="/xl/charts/chart53.xml" ContentType="application/vnd.openxmlformats-officedocument.drawingml.chart+xml"/>
  <Override PartName="/xl/charts/style52.xml" ContentType="application/vnd.ms-office.chartstyle+xml"/>
  <Override PartName="/xl/charts/colors52.xml" ContentType="application/vnd.ms-office.chartcolorstyle+xml"/>
  <Override PartName="/xl/charts/chart54.xml" ContentType="application/vnd.openxmlformats-officedocument.drawingml.chart+xml"/>
  <Override PartName="/xl/charts/style53.xml" ContentType="application/vnd.ms-office.chartstyle+xml"/>
  <Override PartName="/xl/charts/colors53.xml" ContentType="application/vnd.ms-office.chartcolorstyle+xml"/>
  <Override PartName="/xl/charts/chart55.xml" ContentType="application/vnd.openxmlformats-officedocument.drawingml.chart+xml"/>
  <Override PartName="/xl/charts/style54.xml" ContentType="application/vnd.ms-office.chartstyle+xml"/>
  <Override PartName="/xl/charts/colors54.xml" ContentType="application/vnd.ms-office.chartcolorstyle+xml"/>
  <Override PartName="/xl/charts/chart56.xml" ContentType="application/vnd.openxmlformats-officedocument.drawingml.chart+xml"/>
  <Override PartName="/xl/charts/style55.xml" ContentType="application/vnd.ms-office.chartstyle+xml"/>
  <Override PartName="/xl/charts/colors55.xml" ContentType="application/vnd.ms-office.chartcolorstyle+xml"/>
  <Override PartName="/xl/charts/chart57.xml" ContentType="application/vnd.openxmlformats-officedocument.drawingml.chart+xml"/>
  <Override PartName="/xl/charts/style56.xml" ContentType="application/vnd.ms-office.chartstyle+xml"/>
  <Override PartName="/xl/charts/colors56.xml" ContentType="application/vnd.ms-office.chartcolorstyle+xml"/>
  <Override PartName="/xl/charts/chart58.xml" ContentType="application/vnd.openxmlformats-officedocument.drawingml.chart+xml"/>
  <Override PartName="/xl/charts/style57.xml" ContentType="application/vnd.ms-office.chartstyle+xml"/>
  <Override PartName="/xl/charts/colors5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saveExternalLinkValues="0" updateLinks="always" codeName="ThisWorkbook" defaultThemeVersion="124226"/>
  <mc:AlternateContent xmlns:mc="http://schemas.openxmlformats.org/markup-compatibility/2006">
    <mc:Choice Requires="x15">
      <x15ac:absPath xmlns:x15ac="http://schemas.microsoft.com/office/spreadsheetml/2010/11/ac" url="C:\Users\ØyvindGranberg\Projects\stps\"/>
    </mc:Choice>
  </mc:AlternateContent>
  <xr:revisionPtr revIDLastSave="0" documentId="13_ncr:1_{0833BF88-6DCF-44A6-A460-2CA8470D1780}" xr6:coauthVersionLast="47" xr6:coauthVersionMax="47" xr10:uidLastSave="{00000000-0000-0000-0000-000000000000}"/>
  <bookViews>
    <workbookView xWindow="17340" yWindow="2865" windowWidth="25305" windowHeight="11835" tabRatio="775" firstSheet="2" activeTab="3" xr2:uid="{00000000-000D-0000-FFFF-FFFF00000000}"/>
  </bookViews>
  <sheets>
    <sheet name="Heder &amp; Ære" sheetId="77" state="hidden" r:id="rId1"/>
    <sheet name="Dashboard" sheetId="54" r:id="rId2"/>
    <sheet name="Kuponger" sheetId="1" r:id="rId3"/>
    <sheet name="Hovedtabell" sheetId="79" r:id="rId4"/>
    <sheet name="Tabeller" sheetId="55" r:id="rId5"/>
    <sheet name="Regnskap" sheetId="64" r:id="rId6"/>
    <sheet name="Analyse" sheetId="76" state="hidden" r:id="rId7"/>
    <sheet name="Hva er nytt" sheetId="58" r:id="rId8"/>
    <sheet name="Møtekuponger" sheetId="78" r:id="rId9"/>
    <sheet name="Kongerekka" sheetId="65" r:id="rId10"/>
    <sheet name="Data" sheetId="33" r:id="rId11"/>
    <sheet name="Statistikk" sheetId="45" state="hidden" r:id="rId12"/>
    <sheet name="Hjelpeark" sheetId="56" state="hidden" r:id="rId13"/>
    <sheet name="Historikk" sheetId="75" state="hidden" r:id="rId14"/>
    <sheet name="f_ahh" sheetId="46" r:id="rId15"/>
    <sheet name="f_rb" sheetId="67" r:id="rId16"/>
    <sheet name="f_eb" sheetId="68" r:id="rId17"/>
    <sheet name="f_kaf" sheetId="69" r:id="rId18"/>
    <sheet name="f_øg" sheetId="70" r:id="rId19"/>
    <sheet name="f_jh" sheetId="71" r:id="rId20"/>
    <sheet name="f_toh" sheetId="72" r:id="rId21"/>
    <sheet name="f_utg" sheetId="73" r:id="rId22"/>
    <sheet name="f_lev" sheetId="74" r:id="rId23"/>
  </sheets>
  <externalReferences>
    <externalReference r:id="rId24"/>
  </externalReferences>
  <definedNames>
    <definedName name="_200402" localSheetId="0">#REF!</definedName>
    <definedName name="_200402">#REF!</definedName>
    <definedName name="_xlnm._FilterDatabase" localSheetId="12" hidden="1">Hjelpeark!$O$1:$P$42</definedName>
    <definedName name="_xlnm._FilterDatabase" localSheetId="2" hidden="1">Kuponger!#REF!</definedName>
    <definedName name="All_Time_High" localSheetId="0">#REF!</definedName>
    <definedName name="All_Time_High">#REF!</definedName>
    <definedName name="Alle_Poeng_Alf" localSheetId="0">#REF!</definedName>
    <definedName name="Alle_Poeng_Alf">#REF!</definedName>
    <definedName name="Alle_Poeng_Endre" localSheetId="0">#REF!</definedName>
    <definedName name="Alle_Poeng_Endre">#REF!</definedName>
    <definedName name="Alle_Poeng_Gjest">#REF!</definedName>
    <definedName name="Alle_Poeng_KarlArne">#REF!</definedName>
    <definedName name="Alle_Poeng_Lars">#REF!</definedName>
    <definedName name="Alle_Poeng_Rune">#REF!</definedName>
    <definedName name="Alle_Poeng_Utgang">#REF!</definedName>
    <definedName name="Alle_Poeng_Øyvind">#REF!</definedName>
    <definedName name="Alle_Siste_Ukes_Poeng">#REF!</definedName>
    <definedName name="alltimehigh" localSheetId="0">#REF!</definedName>
    <definedName name="alltimehigh">#REF!</definedName>
    <definedName name="alltimelow" localSheetId="0">#REF!</definedName>
    <definedName name="alltimelow">#REF!</definedName>
    <definedName name="AntallPremierElveRette" localSheetId="0">#REF!</definedName>
    <definedName name="AntallPremierElveRette">#REF!</definedName>
    <definedName name="AntallPremierTiREtte" localSheetId="0">#REF!</definedName>
    <definedName name="AntallPremierTiREtte">#REF!</definedName>
    <definedName name="ar_1" localSheetId="0">#REF!</definedName>
    <definedName name="ar_1">#REF!</definedName>
    <definedName name="ar_2" localSheetId="0">#REF!</definedName>
    <definedName name="ar_2">#REF!</definedName>
    <definedName name="ar_3" localSheetId="0">#REF!</definedName>
    <definedName name="ar_3">#REF!</definedName>
    <definedName name="ar_4" localSheetId="0">#REF!</definedName>
    <definedName name="ar_4">#REF!</definedName>
    <definedName name="ar_5" localSheetId="0">#REF!</definedName>
    <definedName name="ar_5">#REF!</definedName>
    <definedName name="ar_6" localSheetId="0">#REF!</definedName>
    <definedName name="ar_6">#REF!</definedName>
    <definedName name="ar_7" localSheetId="0">#REF!</definedName>
    <definedName name="ar_7">#REF!</definedName>
    <definedName name="ath">Tabeller!$C$5:$D$13</definedName>
    <definedName name="atl">Tabeller!$G$5:$H$13</definedName>
    <definedName name="attera" localSheetId="0">#REF!</definedName>
    <definedName name="attera">#REF!</definedName>
    <definedName name="b_ahh">Data!$T$11</definedName>
    <definedName name="b_eb">Data!$T$13</definedName>
    <definedName name="b_jh">Data!$T$16</definedName>
    <definedName name="b_kaf">Data!$T$14</definedName>
    <definedName name="b_rb">Data!$T$12</definedName>
    <definedName name="b_toh">Data!$T$17</definedName>
    <definedName name="b_øg">Data!$T$15</definedName>
    <definedName name="bilde" localSheetId="6">INDIRECT(#REF!)</definedName>
    <definedName name="bilde" localSheetId="0">INDIRECT(#REF!)</definedName>
    <definedName name="bilde">INDIRECT(Dashboard!$B$2)</definedName>
    <definedName name="bt">Tabeller!$V$5:$W$13</definedName>
    <definedName name="ccc" localSheetId="0">#REF!</definedName>
    <definedName name="ccc">#REF!</definedName>
    <definedName name="cl" localSheetId="0">#REF!</definedName>
    <definedName name="cl">#REF!</definedName>
    <definedName name="clo" localSheetId="0">#REF!</definedName>
    <definedName name="clo">#REF!</definedName>
    <definedName name="clt">#REF!</definedName>
    <definedName name="elvera" localSheetId="0">#REF!</definedName>
    <definedName name="elvera">#REF!</definedName>
    <definedName name="enera" localSheetId="0">#REF!</definedName>
    <definedName name="enera">#REF!</definedName>
    <definedName name="femera" localSheetId="0">#REF!</definedName>
    <definedName name="femera">#REF!</definedName>
    <definedName name="firera" localSheetId="0">#REF!</definedName>
    <definedName name="firera">#REF!</definedName>
    <definedName name="Halvgardering" localSheetId="0">#REF!</definedName>
    <definedName name="Halvgardering">#REF!</definedName>
    <definedName name="Hovedtabell">Hovedtabell!$A$1:$F$10</definedName>
    <definedName name="ht">Tabeller!$O$5:$P$13</definedName>
    <definedName name="Mulige" localSheetId="0">#REF!</definedName>
    <definedName name="Mulige">#REF!</definedName>
    <definedName name="niera" localSheetId="0">#REF!</definedName>
    <definedName name="niera">#REF!</definedName>
    <definedName name="Område" localSheetId="0">#REF!</definedName>
    <definedName name="Område">#REF!</definedName>
    <definedName name="pl" localSheetId="0">#REF!</definedName>
    <definedName name="pl">#REF!</definedName>
    <definedName name="poeng_1" localSheetId="0">#REF!</definedName>
    <definedName name="poeng_1">#REF!</definedName>
    <definedName name="poeng_2" localSheetId="0">#REF!</definedName>
    <definedName name="poeng_2">#REF!</definedName>
    <definedName name="poeng_3" localSheetId="0">#REF!</definedName>
    <definedName name="poeng_3">#REF!</definedName>
    <definedName name="poeng_4" localSheetId="0">#REF!</definedName>
    <definedName name="poeng_4">#REF!</definedName>
    <definedName name="poeng_5" localSheetId="0">#REF!</definedName>
    <definedName name="poeng_5">#REF!</definedName>
    <definedName name="poeng_6" localSheetId="0">#REF!</definedName>
    <definedName name="poeng_6">#REF!</definedName>
    <definedName name="poeng_7" localSheetId="0">#REF!</definedName>
    <definedName name="poeng_7">#REF!</definedName>
    <definedName name="Poeng_Alf" localSheetId="0">#REF!</definedName>
    <definedName name="Poeng_Alf">#REF!</definedName>
    <definedName name="Poeng_Endre" localSheetId="0">#REF!</definedName>
    <definedName name="Poeng_Endre">#REF!</definedName>
    <definedName name="Poeng_Gjest" localSheetId="0">#REF!</definedName>
    <definedName name="Poeng_Gjest">#REF!</definedName>
    <definedName name="Poeng_KarlArne">#REF!</definedName>
    <definedName name="Poeng_Lars">#REF!</definedName>
    <definedName name="Poeng_Rune">#REF!</definedName>
    <definedName name="Poeng_Søndag">#REF!</definedName>
    <definedName name="Poeng_Utgang">#REF!</definedName>
    <definedName name="Poeng_Øyvind">#REF!</definedName>
    <definedName name="pspr" localSheetId="6">Tabeller!#REF!</definedName>
    <definedName name="pspr">Tabeller!#REF!</definedName>
    <definedName name="rekkesnitt" localSheetId="0">#REF!</definedName>
    <definedName name="rekkesnitt">#REF!</definedName>
    <definedName name="sammendraget" localSheetId="0">#REF!</definedName>
    <definedName name="sammendraget">#REF!</definedName>
    <definedName name="seksera" localSheetId="0">#REF!</definedName>
    <definedName name="seksera">#REF!</definedName>
    <definedName name="Sikre" localSheetId="0">#REF!</definedName>
    <definedName name="Sikre">#REF!</definedName>
    <definedName name="sjuera" localSheetId="0">#REF!</definedName>
    <definedName name="sjuera">#REF!</definedName>
    <definedName name="tiera" localSheetId="0">#REF!</definedName>
    <definedName name="tiera">#REF!</definedName>
    <definedName name="TippeCupen" localSheetId="0">#REF!</definedName>
    <definedName name="TippeCupen">#REF!</definedName>
    <definedName name="tl" localSheetId="0">#REF!</definedName>
    <definedName name="tl">#REF!</definedName>
    <definedName name="toera" localSheetId="0">#REF!</definedName>
    <definedName name="toera">#REF!</definedName>
    <definedName name="tolvera" localSheetId="0">#REF!</definedName>
    <definedName name="tolvera">#REF!</definedName>
    <definedName name="Totale_rette" localSheetId="0">#REF!</definedName>
    <definedName name="Totale_rette">#REF!</definedName>
    <definedName name="Totalt" localSheetId="0">#REF!</definedName>
    <definedName name="Totalt">#REF!</definedName>
    <definedName name="treera" localSheetId="0">#REF!</definedName>
    <definedName name="treera">#REF!</definedName>
    <definedName name="treffprosent" localSheetId="0">#REF!</definedName>
    <definedName name="treffprosent">#REF!</definedName>
    <definedName name="ts">Tabeller!$K$18:$L$26</definedName>
    <definedName name="uj">Tabeller!$K$5:$L$13</definedName>
    <definedName name="UkasVinner" localSheetId="0">#REF!</definedName>
    <definedName name="UkasVinner">#REF!</definedName>
    <definedName name="ukestapere" localSheetId="0">#REF!</definedName>
    <definedName name="ukestapere">#REF!</definedName>
    <definedName name="Uketapere" localSheetId="6">Statistikk!$AL$2:$AU$42</definedName>
    <definedName name="Uketapere">Statistikk!$AL$2:$AU$42</definedName>
    <definedName name="ukevinnere" localSheetId="6">#REF!</definedName>
    <definedName name="ukevinnere" localSheetId="0">#REF!</definedName>
    <definedName name="Ukevinnere">Statistikk!$AA$2:$AJ$42</definedName>
    <definedName name="ukevinneretabell" localSheetId="0">#REF!</definedName>
    <definedName name="ukevinneretabell">#REF!</definedName>
    <definedName name="us">Tabeller!$H$18:$I$26</definedName>
    <definedName name="ut">Tabeller!$R$5:$S$13</definedName>
    <definedName name="Utgangstips" localSheetId="0">#REF!</definedName>
    <definedName name="Utgangstips">#REF!</definedName>
    <definedName name="_xlnm.Print_Area" localSheetId="8">Møtekuponger!$B$2:$N$54</definedName>
    <definedName name="viktigere">Tabeller!$O$18:$P$26</definedName>
    <definedName name="viktigst">Tabeller!$R$18:$U$26</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74" l="1"/>
  <c r="N43" i="74"/>
  <c r="N42" i="74"/>
  <c r="N41" i="74"/>
  <c r="N39" i="74"/>
  <c r="M39" i="74"/>
  <c r="L39" i="74"/>
  <c r="N38" i="74"/>
  <c r="M38" i="74"/>
  <c r="L38" i="74"/>
  <c r="N37" i="74"/>
  <c r="M37" i="74"/>
  <c r="L37" i="74"/>
  <c r="K32" i="74"/>
  <c r="T29" i="74"/>
  <c r="S29" i="74"/>
  <c r="R29" i="74"/>
  <c r="Q29" i="74"/>
  <c r="P29" i="74"/>
  <c r="O29" i="74"/>
  <c r="N29" i="74"/>
  <c r="M29" i="74"/>
  <c r="L29" i="74"/>
  <c r="K29" i="74"/>
  <c r="T28" i="74"/>
  <c r="S28" i="74"/>
  <c r="R28" i="74"/>
  <c r="Q28" i="74"/>
  <c r="P28" i="74"/>
  <c r="O28" i="74"/>
  <c r="N28" i="74"/>
  <c r="M28" i="74"/>
  <c r="L28" i="74"/>
  <c r="K28" i="74"/>
  <c r="T27" i="74"/>
  <c r="S27" i="74"/>
  <c r="R27" i="74"/>
  <c r="Q27" i="74"/>
  <c r="P27" i="74"/>
  <c r="O27" i="74"/>
  <c r="N27" i="74"/>
  <c r="M27" i="74"/>
  <c r="L27" i="74"/>
  <c r="K27" i="74"/>
  <c r="T26" i="74"/>
  <c r="S26" i="74"/>
  <c r="R26" i="74"/>
  <c r="Q26" i="74"/>
  <c r="P26" i="74"/>
  <c r="O26" i="74"/>
  <c r="N26" i="74"/>
  <c r="M26" i="74"/>
  <c r="L26" i="74"/>
  <c r="K26" i="74"/>
  <c r="S25" i="74"/>
  <c r="R25" i="74"/>
  <c r="Q25" i="74"/>
  <c r="P25" i="74"/>
  <c r="O25" i="74"/>
  <c r="N25" i="74"/>
  <c r="M25" i="74"/>
  <c r="L25" i="74"/>
  <c r="T23" i="74"/>
  <c r="S23" i="74"/>
  <c r="R23" i="74"/>
  <c r="Q23" i="74"/>
  <c r="P23" i="74"/>
  <c r="O23" i="74"/>
  <c r="N23" i="74"/>
  <c r="M23" i="74"/>
  <c r="L23" i="74"/>
  <c r="K23" i="74"/>
  <c r="T22" i="74"/>
  <c r="S22" i="74"/>
  <c r="R22" i="74"/>
  <c r="Q22" i="74"/>
  <c r="P22" i="74"/>
  <c r="O22" i="74"/>
  <c r="N22" i="74"/>
  <c r="M22" i="74"/>
  <c r="L22" i="74"/>
  <c r="K22" i="74"/>
  <c r="T21" i="74"/>
  <c r="S21" i="74"/>
  <c r="R21" i="74"/>
  <c r="Q21" i="74"/>
  <c r="P21" i="74"/>
  <c r="O21" i="74"/>
  <c r="N21" i="74"/>
  <c r="M21" i="74"/>
  <c r="L21" i="74"/>
  <c r="K21" i="74"/>
  <c r="T20" i="74"/>
  <c r="S20" i="74"/>
  <c r="R20" i="74"/>
  <c r="Q20" i="74"/>
  <c r="P20" i="74"/>
  <c r="O20" i="74"/>
  <c r="N20" i="74"/>
  <c r="M20" i="74"/>
  <c r="L20" i="74"/>
  <c r="K20" i="74"/>
  <c r="S19" i="74"/>
  <c r="R19" i="74"/>
  <c r="Q19" i="74"/>
  <c r="P19" i="74"/>
  <c r="O19" i="74"/>
  <c r="N19" i="74"/>
  <c r="M19" i="74"/>
  <c r="L19" i="74"/>
  <c r="T17" i="74"/>
  <c r="S17" i="74"/>
  <c r="R17" i="74"/>
  <c r="Q17" i="74"/>
  <c r="P17" i="74"/>
  <c r="O17" i="74"/>
  <c r="N17" i="74"/>
  <c r="M17" i="74"/>
  <c r="L17" i="74"/>
  <c r="K17" i="74"/>
  <c r="T16" i="74"/>
  <c r="S16" i="74"/>
  <c r="R16" i="74"/>
  <c r="Q16" i="74"/>
  <c r="P16" i="74"/>
  <c r="O16" i="74"/>
  <c r="N16" i="74"/>
  <c r="M16" i="74"/>
  <c r="L16" i="74"/>
  <c r="K16" i="74"/>
  <c r="T15" i="74"/>
  <c r="S15" i="74"/>
  <c r="R15" i="74"/>
  <c r="Q15" i="74"/>
  <c r="P15" i="74"/>
  <c r="O15" i="74"/>
  <c r="N15" i="74"/>
  <c r="M15" i="74"/>
  <c r="L15" i="74"/>
  <c r="K15" i="74"/>
  <c r="T14" i="74"/>
  <c r="S14" i="74"/>
  <c r="R14" i="74"/>
  <c r="Q14" i="74"/>
  <c r="P14" i="74"/>
  <c r="O14" i="74"/>
  <c r="N14" i="74"/>
  <c r="M14" i="74"/>
  <c r="L14" i="74"/>
  <c r="K14" i="74"/>
  <c r="S13" i="74"/>
  <c r="R13" i="74"/>
  <c r="Q13" i="74"/>
  <c r="P13" i="74"/>
  <c r="O13" i="74"/>
  <c r="N13" i="74"/>
  <c r="M13" i="74"/>
  <c r="L13" i="74"/>
  <c r="T11" i="74"/>
  <c r="S11" i="74"/>
  <c r="R11" i="74"/>
  <c r="Q11" i="74"/>
  <c r="P11" i="74"/>
  <c r="O11" i="74"/>
  <c r="N11" i="74"/>
  <c r="M11" i="74"/>
  <c r="L11" i="74"/>
  <c r="K11" i="74"/>
  <c r="T10" i="74"/>
  <c r="S10" i="74"/>
  <c r="R10" i="74"/>
  <c r="Q10" i="74"/>
  <c r="P10" i="74"/>
  <c r="O10" i="74"/>
  <c r="N10" i="74"/>
  <c r="M10" i="74"/>
  <c r="L10" i="74"/>
  <c r="T9" i="74"/>
  <c r="S9" i="74"/>
  <c r="R9" i="74"/>
  <c r="Q9" i="74"/>
  <c r="P9" i="74"/>
  <c r="O9" i="74"/>
  <c r="N9" i="74"/>
  <c r="M9" i="74"/>
  <c r="L9" i="74"/>
  <c r="T8" i="74"/>
  <c r="S8" i="74"/>
  <c r="R8" i="74"/>
  <c r="Q8" i="74"/>
  <c r="P8" i="74"/>
  <c r="O8" i="74"/>
  <c r="N8" i="74"/>
  <c r="M8" i="74"/>
  <c r="L8" i="74"/>
  <c r="S7" i="74"/>
  <c r="R7" i="74"/>
  <c r="Q7" i="74"/>
  <c r="P7" i="74"/>
  <c r="O7" i="74"/>
  <c r="N7" i="74"/>
  <c r="M7" i="74"/>
  <c r="L7" i="74"/>
  <c r="T5" i="74"/>
  <c r="S5" i="74"/>
  <c r="R5" i="74"/>
  <c r="Q5" i="74"/>
  <c r="P5" i="74"/>
  <c r="O5" i="74"/>
  <c r="N5" i="74"/>
  <c r="M5" i="74"/>
  <c r="L5" i="74"/>
  <c r="K5" i="74"/>
  <c r="T4" i="74"/>
  <c r="S4" i="74"/>
  <c r="R4" i="74"/>
  <c r="Q4" i="74"/>
  <c r="P4" i="74"/>
  <c r="O4" i="74"/>
  <c r="N4" i="74"/>
  <c r="M4" i="74"/>
  <c r="L4" i="74"/>
  <c r="T3" i="74"/>
  <c r="S3" i="74"/>
  <c r="R3" i="74"/>
  <c r="Q3" i="74"/>
  <c r="P3" i="74"/>
  <c r="O3" i="74"/>
  <c r="N3" i="74"/>
  <c r="M3" i="74"/>
  <c r="L3" i="74"/>
  <c r="T2" i="74"/>
  <c r="S2" i="74"/>
  <c r="R2" i="74"/>
  <c r="Q2" i="74"/>
  <c r="P2" i="74"/>
  <c r="O2" i="74"/>
  <c r="N2" i="74"/>
  <c r="M2" i="74"/>
  <c r="L2" i="74"/>
  <c r="H2" i="74"/>
  <c r="F2" i="74"/>
  <c r="E2" i="74"/>
  <c r="D2" i="74"/>
  <c r="C2" i="74"/>
  <c r="B2" i="74"/>
  <c r="L48" i="73"/>
  <c r="N43" i="73"/>
  <c r="N42" i="73"/>
  <c r="N41" i="73"/>
  <c r="N39" i="73"/>
  <c r="M39" i="73"/>
  <c r="L39" i="73"/>
  <c r="N38" i="73"/>
  <c r="M38" i="73"/>
  <c r="L38" i="73"/>
  <c r="N37" i="73"/>
  <c r="M37" i="73"/>
  <c r="L37" i="73"/>
  <c r="K32" i="73"/>
  <c r="T29" i="73"/>
  <c r="S29" i="73"/>
  <c r="R29" i="73"/>
  <c r="Q29" i="73"/>
  <c r="P29" i="73"/>
  <c r="O29" i="73"/>
  <c r="N29" i="73"/>
  <c r="M29" i="73"/>
  <c r="L29" i="73"/>
  <c r="K29" i="73"/>
  <c r="T28" i="73"/>
  <c r="S28" i="73"/>
  <c r="R28" i="73"/>
  <c r="Q28" i="73"/>
  <c r="P28" i="73"/>
  <c r="O28" i="73"/>
  <c r="N28" i="73"/>
  <c r="M28" i="73"/>
  <c r="L28" i="73"/>
  <c r="K28" i="73"/>
  <c r="T27" i="73"/>
  <c r="S27" i="73"/>
  <c r="R27" i="73"/>
  <c r="Q27" i="73"/>
  <c r="P27" i="73"/>
  <c r="O27" i="73"/>
  <c r="N27" i="73"/>
  <c r="M27" i="73"/>
  <c r="L27" i="73"/>
  <c r="K27" i="73"/>
  <c r="T26" i="73"/>
  <c r="S26" i="73"/>
  <c r="R26" i="73"/>
  <c r="Q26" i="73"/>
  <c r="P26" i="73"/>
  <c r="O26" i="73"/>
  <c r="N26" i="73"/>
  <c r="M26" i="73"/>
  <c r="L26" i="73"/>
  <c r="K26" i="73"/>
  <c r="S25" i="73"/>
  <c r="R25" i="73"/>
  <c r="Q25" i="73"/>
  <c r="P25" i="73"/>
  <c r="O25" i="73"/>
  <c r="N25" i="73"/>
  <c r="M25" i="73"/>
  <c r="L25" i="73"/>
  <c r="T23" i="73"/>
  <c r="S23" i="73"/>
  <c r="R23" i="73"/>
  <c r="Q23" i="73"/>
  <c r="P23" i="73"/>
  <c r="O23" i="73"/>
  <c r="N23" i="73"/>
  <c r="M23" i="73"/>
  <c r="L23" i="73"/>
  <c r="K23" i="73"/>
  <c r="T22" i="73"/>
  <c r="S22" i="73"/>
  <c r="R22" i="73"/>
  <c r="Q22" i="73"/>
  <c r="P22" i="73"/>
  <c r="O22" i="73"/>
  <c r="N22" i="73"/>
  <c r="M22" i="73"/>
  <c r="L22" i="73"/>
  <c r="K22" i="73"/>
  <c r="T21" i="73"/>
  <c r="S21" i="73"/>
  <c r="R21" i="73"/>
  <c r="Q21" i="73"/>
  <c r="P21" i="73"/>
  <c r="O21" i="73"/>
  <c r="N21" i="73"/>
  <c r="M21" i="73"/>
  <c r="L21" i="73"/>
  <c r="K21" i="73"/>
  <c r="T20" i="73"/>
  <c r="S20" i="73"/>
  <c r="R20" i="73"/>
  <c r="Q20" i="73"/>
  <c r="P20" i="73"/>
  <c r="O20" i="73"/>
  <c r="N20" i="73"/>
  <c r="M20" i="73"/>
  <c r="L20" i="73"/>
  <c r="K20" i="73"/>
  <c r="S19" i="73"/>
  <c r="R19" i="73"/>
  <c r="Q19" i="73"/>
  <c r="P19" i="73"/>
  <c r="O19" i="73"/>
  <c r="N19" i="73"/>
  <c r="M19" i="73"/>
  <c r="L19" i="73"/>
  <c r="T17" i="73"/>
  <c r="S17" i="73"/>
  <c r="R17" i="73"/>
  <c r="Q17" i="73"/>
  <c r="P17" i="73"/>
  <c r="O17" i="73"/>
  <c r="N17" i="73"/>
  <c r="M17" i="73"/>
  <c r="L17" i="73"/>
  <c r="K17" i="73"/>
  <c r="T16" i="73"/>
  <c r="S16" i="73"/>
  <c r="R16" i="73"/>
  <c r="Q16" i="73"/>
  <c r="P16" i="73"/>
  <c r="O16" i="73"/>
  <c r="N16" i="73"/>
  <c r="M16" i="73"/>
  <c r="L16" i="73"/>
  <c r="K16" i="73"/>
  <c r="T15" i="73"/>
  <c r="S15" i="73"/>
  <c r="R15" i="73"/>
  <c r="Q15" i="73"/>
  <c r="P15" i="73"/>
  <c r="O15" i="73"/>
  <c r="N15" i="73"/>
  <c r="M15" i="73"/>
  <c r="L15" i="73"/>
  <c r="K15" i="73"/>
  <c r="T14" i="73"/>
  <c r="S14" i="73"/>
  <c r="R14" i="73"/>
  <c r="Q14" i="73"/>
  <c r="P14" i="73"/>
  <c r="O14" i="73"/>
  <c r="N14" i="73"/>
  <c r="M14" i="73"/>
  <c r="L14" i="73"/>
  <c r="K14" i="73"/>
  <c r="S13" i="73"/>
  <c r="R13" i="73"/>
  <c r="Q13" i="73"/>
  <c r="P13" i="73"/>
  <c r="O13" i="73"/>
  <c r="N13" i="73"/>
  <c r="M13" i="73"/>
  <c r="L13" i="73"/>
  <c r="T11" i="73"/>
  <c r="S11" i="73"/>
  <c r="R11" i="73"/>
  <c r="Q11" i="73"/>
  <c r="P11" i="73"/>
  <c r="O11" i="73"/>
  <c r="N11" i="73"/>
  <c r="M11" i="73"/>
  <c r="L11" i="73"/>
  <c r="K11" i="73"/>
  <c r="T10" i="73"/>
  <c r="S10" i="73"/>
  <c r="R10" i="73"/>
  <c r="Q10" i="73"/>
  <c r="P10" i="73"/>
  <c r="O10" i="73"/>
  <c r="N10" i="73"/>
  <c r="M10" i="73"/>
  <c r="L10" i="73"/>
  <c r="T9" i="73"/>
  <c r="S9" i="73"/>
  <c r="R9" i="73"/>
  <c r="Q9" i="73"/>
  <c r="P9" i="73"/>
  <c r="O9" i="73"/>
  <c r="N9" i="73"/>
  <c r="M9" i="73"/>
  <c r="L9" i="73"/>
  <c r="T8" i="73"/>
  <c r="S8" i="73"/>
  <c r="R8" i="73"/>
  <c r="Q8" i="73"/>
  <c r="P8" i="73"/>
  <c r="O8" i="73"/>
  <c r="N8" i="73"/>
  <c r="M8" i="73"/>
  <c r="L8" i="73"/>
  <c r="S7" i="73"/>
  <c r="R7" i="73"/>
  <c r="Q7" i="73"/>
  <c r="P7" i="73"/>
  <c r="O7" i="73"/>
  <c r="N7" i="73"/>
  <c r="M7" i="73"/>
  <c r="L7" i="73"/>
  <c r="T5" i="73"/>
  <c r="S5" i="73"/>
  <c r="R5" i="73"/>
  <c r="Q5" i="73"/>
  <c r="P5" i="73"/>
  <c r="O5" i="73"/>
  <c r="N5" i="73"/>
  <c r="M5" i="73"/>
  <c r="L5" i="73"/>
  <c r="K5" i="73"/>
  <c r="T4" i="73"/>
  <c r="S4" i="73"/>
  <c r="R4" i="73"/>
  <c r="Q4" i="73"/>
  <c r="P4" i="73"/>
  <c r="O4" i="73"/>
  <c r="N4" i="73"/>
  <c r="M4" i="73"/>
  <c r="L4" i="73"/>
  <c r="T3" i="73"/>
  <c r="S3" i="73"/>
  <c r="R3" i="73"/>
  <c r="Q3" i="73"/>
  <c r="P3" i="73"/>
  <c r="O3" i="73"/>
  <c r="N3" i="73"/>
  <c r="M3" i="73"/>
  <c r="L3" i="73"/>
  <c r="T2" i="73"/>
  <c r="S2" i="73"/>
  <c r="R2" i="73"/>
  <c r="Q2" i="73"/>
  <c r="P2" i="73"/>
  <c r="O2" i="73"/>
  <c r="N2" i="73"/>
  <c r="M2" i="73"/>
  <c r="L2" i="73"/>
  <c r="H2" i="73"/>
  <c r="F2" i="73"/>
  <c r="E2" i="73"/>
  <c r="D2" i="73"/>
  <c r="C2" i="73"/>
  <c r="B2" i="73"/>
  <c r="L48" i="72"/>
  <c r="N43" i="72"/>
  <c r="N42" i="72"/>
  <c r="N41" i="72"/>
  <c r="N39" i="72"/>
  <c r="M39" i="72"/>
  <c r="L39" i="72"/>
  <c r="N38" i="72"/>
  <c r="M38" i="72"/>
  <c r="L38" i="72"/>
  <c r="N37" i="72"/>
  <c r="M37" i="72"/>
  <c r="L37" i="72"/>
  <c r="K32" i="72"/>
  <c r="T29" i="72"/>
  <c r="S29" i="72"/>
  <c r="R29" i="72"/>
  <c r="Q29" i="72"/>
  <c r="P29" i="72"/>
  <c r="O29" i="72"/>
  <c r="N29" i="72"/>
  <c r="M29" i="72"/>
  <c r="L29" i="72"/>
  <c r="K29" i="72"/>
  <c r="T28" i="72"/>
  <c r="S28" i="72"/>
  <c r="R28" i="72"/>
  <c r="Q28" i="72"/>
  <c r="P28" i="72"/>
  <c r="O28" i="72"/>
  <c r="N28" i="72"/>
  <c r="M28" i="72"/>
  <c r="L28" i="72"/>
  <c r="K28" i="72"/>
  <c r="T27" i="72"/>
  <c r="S27" i="72"/>
  <c r="R27" i="72"/>
  <c r="Q27" i="72"/>
  <c r="P27" i="72"/>
  <c r="O27" i="72"/>
  <c r="N27" i="72"/>
  <c r="M27" i="72"/>
  <c r="L27" i="72"/>
  <c r="K27" i="72"/>
  <c r="T26" i="72"/>
  <c r="S26" i="72"/>
  <c r="R26" i="72"/>
  <c r="Q26" i="72"/>
  <c r="P26" i="72"/>
  <c r="O26" i="72"/>
  <c r="N26" i="72"/>
  <c r="M26" i="72"/>
  <c r="L26" i="72"/>
  <c r="K26" i="72"/>
  <c r="S25" i="72"/>
  <c r="R25" i="72"/>
  <c r="Q25" i="72"/>
  <c r="P25" i="72"/>
  <c r="O25" i="72"/>
  <c r="N25" i="72"/>
  <c r="M25" i="72"/>
  <c r="L25" i="72"/>
  <c r="T23" i="72"/>
  <c r="S23" i="72"/>
  <c r="R23" i="72"/>
  <c r="Q23" i="72"/>
  <c r="P23" i="72"/>
  <c r="O23" i="72"/>
  <c r="N23" i="72"/>
  <c r="M23" i="72"/>
  <c r="L23" i="72"/>
  <c r="K23" i="72"/>
  <c r="T22" i="72"/>
  <c r="S22" i="72"/>
  <c r="R22" i="72"/>
  <c r="Q22" i="72"/>
  <c r="P22" i="72"/>
  <c r="O22" i="72"/>
  <c r="N22" i="72"/>
  <c r="M22" i="72"/>
  <c r="L22" i="72"/>
  <c r="K22" i="72"/>
  <c r="T21" i="72"/>
  <c r="S21" i="72"/>
  <c r="R21" i="72"/>
  <c r="Q21" i="72"/>
  <c r="P21" i="72"/>
  <c r="O21" i="72"/>
  <c r="N21" i="72"/>
  <c r="M21" i="72"/>
  <c r="L21" i="72"/>
  <c r="K21" i="72"/>
  <c r="T20" i="72"/>
  <c r="S20" i="72"/>
  <c r="R20" i="72"/>
  <c r="Q20" i="72"/>
  <c r="P20" i="72"/>
  <c r="O20" i="72"/>
  <c r="N20" i="72"/>
  <c r="M20" i="72"/>
  <c r="L20" i="72"/>
  <c r="K20" i="72"/>
  <c r="S19" i="72"/>
  <c r="R19" i="72"/>
  <c r="Q19" i="72"/>
  <c r="P19" i="72"/>
  <c r="O19" i="72"/>
  <c r="N19" i="72"/>
  <c r="M19" i="72"/>
  <c r="L19" i="72"/>
  <c r="T17" i="72"/>
  <c r="S17" i="72"/>
  <c r="R17" i="72"/>
  <c r="Q17" i="72"/>
  <c r="P17" i="72"/>
  <c r="O17" i="72"/>
  <c r="N17" i="72"/>
  <c r="M17" i="72"/>
  <c r="L17" i="72"/>
  <c r="K17" i="72"/>
  <c r="T16" i="72"/>
  <c r="S16" i="72"/>
  <c r="R16" i="72"/>
  <c r="Q16" i="72"/>
  <c r="P16" i="72"/>
  <c r="O16" i="72"/>
  <c r="N16" i="72"/>
  <c r="M16" i="72"/>
  <c r="L16" i="72"/>
  <c r="K16" i="72"/>
  <c r="T15" i="72"/>
  <c r="S15" i="72"/>
  <c r="R15" i="72"/>
  <c r="Q15" i="72"/>
  <c r="P15" i="72"/>
  <c r="O15" i="72"/>
  <c r="N15" i="72"/>
  <c r="M15" i="72"/>
  <c r="L15" i="72"/>
  <c r="K15" i="72"/>
  <c r="T14" i="72"/>
  <c r="S14" i="72"/>
  <c r="R14" i="72"/>
  <c r="Q14" i="72"/>
  <c r="P14" i="72"/>
  <c r="O14" i="72"/>
  <c r="N14" i="72"/>
  <c r="M14" i="72"/>
  <c r="L14" i="72"/>
  <c r="K14" i="72"/>
  <c r="S13" i="72"/>
  <c r="R13" i="72"/>
  <c r="Q13" i="72"/>
  <c r="P13" i="72"/>
  <c r="O13" i="72"/>
  <c r="N13" i="72"/>
  <c r="M13" i="72"/>
  <c r="L13" i="72"/>
  <c r="T11" i="72"/>
  <c r="S11" i="72"/>
  <c r="R11" i="72"/>
  <c r="Q11" i="72"/>
  <c r="P11" i="72"/>
  <c r="O11" i="72"/>
  <c r="N11" i="72"/>
  <c r="M11" i="72"/>
  <c r="L11" i="72"/>
  <c r="K11" i="72"/>
  <c r="T10" i="72"/>
  <c r="S10" i="72"/>
  <c r="R10" i="72"/>
  <c r="Q10" i="72"/>
  <c r="P10" i="72"/>
  <c r="O10" i="72"/>
  <c r="N10" i="72"/>
  <c r="M10" i="72"/>
  <c r="L10" i="72"/>
  <c r="T9" i="72"/>
  <c r="S9" i="72"/>
  <c r="R9" i="72"/>
  <c r="Q9" i="72"/>
  <c r="P9" i="72"/>
  <c r="O9" i="72"/>
  <c r="N9" i="72"/>
  <c r="M9" i="72"/>
  <c r="L9" i="72"/>
  <c r="T8" i="72"/>
  <c r="S8" i="72"/>
  <c r="R8" i="72"/>
  <c r="Q8" i="72"/>
  <c r="P8" i="72"/>
  <c r="O8" i="72"/>
  <c r="N8" i="72"/>
  <c r="M8" i="72"/>
  <c r="L8" i="72"/>
  <c r="S7" i="72"/>
  <c r="R7" i="72"/>
  <c r="Q7" i="72"/>
  <c r="P7" i="72"/>
  <c r="O7" i="72"/>
  <c r="N7" i="72"/>
  <c r="M7" i="72"/>
  <c r="L7" i="72"/>
  <c r="T5" i="72"/>
  <c r="S5" i="72"/>
  <c r="R5" i="72"/>
  <c r="Q5" i="72"/>
  <c r="P5" i="72"/>
  <c r="O5" i="72"/>
  <c r="N5" i="72"/>
  <c r="M5" i="72"/>
  <c r="L5" i="72"/>
  <c r="K5" i="72"/>
  <c r="T4" i="72"/>
  <c r="S4" i="72"/>
  <c r="R4" i="72"/>
  <c r="Q4" i="72"/>
  <c r="P4" i="72"/>
  <c r="O4" i="72"/>
  <c r="N4" i="72"/>
  <c r="M4" i="72"/>
  <c r="L4" i="72"/>
  <c r="T3" i="72"/>
  <c r="S3" i="72"/>
  <c r="R3" i="72"/>
  <c r="Q3" i="72"/>
  <c r="P3" i="72"/>
  <c r="O3" i="72"/>
  <c r="N3" i="72"/>
  <c r="M3" i="72"/>
  <c r="L3" i="72"/>
  <c r="T2" i="72"/>
  <c r="S2" i="72"/>
  <c r="R2" i="72"/>
  <c r="Q2" i="72"/>
  <c r="P2" i="72"/>
  <c r="O2" i="72"/>
  <c r="N2" i="72"/>
  <c r="M2" i="72"/>
  <c r="L2" i="72"/>
  <c r="H2" i="72"/>
  <c r="F2" i="72"/>
  <c r="E2" i="72"/>
  <c r="D2" i="72"/>
  <c r="C2" i="72"/>
  <c r="B2" i="72"/>
  <c r="L48" i="71"/>
  <c r="N43" i="71"/>
  <c r="N42" i="71"/>
  <c r="N41" i="71"/>
  <c r="N39" i="71"/>
  <c r="M39" i="71"/>
  <c r="L39" i="71"/>
  <c r="N38" i="71"/>
  <c r="M38" i="71"/>
  <c r="L38" i="71"/>
  <c r="N37" i="71"/>
  <c r="M37" i="71"/>
  <c r="L37" i="71"/>
  <c r="K32" i="71"/>
  <c r="T29" i="71"/>
  <c r="S29" i="71"/>
  <c r="R29" i="71"/>
  <c r="Q29" i="71"/>
  <c r="P29" i="71"/>
  <c r="O29" i="71"/>
  <c r="N29" i="71"/>
  <c r="M29" i="71"/>
  <c r="L29" i="71"/>
  <c r="K29" i="71"/>
  <c r="T28" i="71"/>
  <c r="S28" i="71"/>
  <c r="R28" i="71"/>
  <c r="Q28" i="71"/>
  <c r="P28" i="71"/>
  <c r="O28" i="71"/>
  <c r="N28" i="71"/>
  <c r="M28" i="71"/>
  <c r="L28" i="71"/>
  <c r="K28" i="71"/>
  <c r="T27" i="71"/>
  <c r="S27" i="71"/>
  <c r="R27" i="71"/>
  <c r="Q27" i="71"/>
  <c r="P27" i="71"/>
  <c r="O27" i="71"/>
  <c r="N27" i="71"/>
  <c r="M27" i="71"/>
  <c r="L27" i="71"/>
  <c r="K27" i="71"/>
  <c r="T26" i="71"/>
  <c r="S26" i="71"/>
  <c r="R26" i="71"/>
  <c r="Q26" i="71"/>
  <c r="P26" i="71"/>
  <c r="O26" i="71"/>
  <c r="N26" i="71"/>
  <c r="M26" i="71"/>
  <c r="L26" i="71"/>
  <c r="K26" i="71"/>
  <c r="S25" i="71"/>
  <c r="R25" i="71"/>
  <c r="Q25" i="71"/>
  <c r="P25" i="71"/>
  <c r="O25" i="71"/>
  <c r="N25" i="71"/>
  <c r="M25" i="71"/>
  <c r="L25" i="71"/>
  <c r="T23" i="71"/>
  <c r="S23" i="71"/>
  <c r="R23" i="71"/>
  <c r="Q23" i="71"/>
  <c r="P23" i="71"/>
  <c r="O23" i="71"/>
  <c r="N23" i="71"/>
  <c r="M23" i="71"/>
  <c r="L23" i="71"/>
  <c r="K23" i="71"/>
  <c r="T22" i="71"/>
  <c r="S22" i="71"/>
  <c r="R22" i="71"/>
  <c r="Q22" i="71"/>
  <c r="P22" i="71"/>
  <c r="O22" i="71"/>
  <c r="N22" i="71"/>
  <c r="M22" i="71"/>
  <c r="L22" i="71"/>
  <c r="K22" i="71"/>
  <c r="T21" i="71"/>
  <c r="S21" i="71"/>
  <c r="R21" i="71"/>
  <c r="Q21" i="71"/>
  <c r="P21" i="71"/>
  <c r="O21" i="71"/>
  <c r="N21" i="71"/>
  <c r="M21" i="71"/>
  <c r="L21" i="71"/>
  <c r="K21" i="71"/>
  <c r="T20" i="71"/>
  <c r="S20" i="71"/>
  <c r="R20" i="71"/>
  <c r="Q20" i="71"/>
  <c r="P20" i="71"/>
  <c r="O20" i="71"/>
  <c r="N20" i="71"/>
  <c r="M20" i="71"/>
  <c r="L20" i="71"/>
  <c r="K20" i="71"/>
  <c r="S19" i="71"/>
  <c r="R19" i="71"/>
  <c r="Q19" i="71"/>
  <c r="P19" i="71"/>
  <c r="O19" i="71"/>
  <c r="N19" i="71"/>
  <c r="M19" i="71"/>
  <c r="L19" i="71"/>
  <c r="T17" i="71"/>
  <c r="S17" i="71"/>
  <c r="R17" i="71"/>
  <c r="Q17" i="71"/>
  <c r="P17" i="71"/>
  <c r="O17" i="71"/>
  <c r="N17" i="71"/>
  <c r="M17" i="71"/>
  <c r="L17" i="71"/>
  <c r="K17" i="71"/>
  <c r="T16" i="71"/>
  <c r="S16" i="71"/>
  <c r="R16" i="71"/>
  <c r="Q16" i="71"/>
  <c r="P16" i="71"/>
  <c r="O16" i="71"/>
  <c r="N16" i="71"/>
  <c r="M16" i="71"/>
  <c r="L16" i="71"/>
  <c r="K16" i="71"/>
  <c r="T15" i="71"/>
  <c r="S15" i="71"/>
  <c r="R15" i="71"/>
  <c r="Q15" i="71"/>
  <c r="P15" i="71"/>
  <c r="O15" i="71"/>
  <c r="N15" i="71"/>
  <c r="M15" i="71"/>
  <c r="L15" i="71"/>
  <c r="K15" i="71"/>
  <c r="T14" i="71"/>
  <c r="S14" i="71"/>
  <c r="R14" i="71"/>
  <c r="Q14" i="71"/>
  <c r="P14" i="71"/>
  <c r="O14" i="71"/>
  <c r="N14" i="71"/>
  <c r="M14" i="71"/>
  <c r="L14" i="71"/>
  <c r="K14" i="71"/>
  <c r="S13" i="71"/>
  <c r="R13" i="71"/>
  <c r="Q13" i="71"/>
  <c r="P13" i="71"/>
  <c r="O13" i="71"/>
  <c r="N13" i="71"/>
  <c r="M13" i="71"/>
  <c r="L13" i="71"/>
  <c r="T11" i="71"/>
  <c r="S11" i="71"/>
  <c r="R11" i="71"/>
  <c r="Q11" i="71"/>
  <c r="P11" i="71"/>
  <c r="O11" i="71"/>
  <c r="N11" i="71"/>
  <c r="M11" i="71"/>
  <c r="L11" i="71"/>
  <c r="K11" i="71"/>
  <c r="T10" i="71"/>
  <c r="S10" i="71"/>
  <c r="R10" i="71"/>
  <c r="Q10" i="71"/>
  <c r="P10" i="71"/>
  <c r="O10" i="71"/>
  <c r="N10" i="71"/>
  <c r="M10" i="71"/>
  <c r="L10" i="71"/>
  <c r="T9" i="71"/>
  <c r="S9" i="71"/>
  <c r="R9" i="71"/>
  <c r="Q9" i="71"/>
  <c r="P9" i="71"/>
  <c r="O9" i="71"/>
  <c r="N9" i="71"/>
  <c r="M9" i="71"/>
  <c r="L9" i="71"/>
  <c r="T8" i="71"/>
  <c r="S8" i="71"/>
  <c r="R8" i="71"/>
  <c r="Q8" i="71"/>
  <c r="P8" i="71"/>
  <c r="O8" i="71"/>
  <c r="N8" i="71"/>
  <c r="M8" i="71"/>
  <c r="L8" i="71"/>
  <c r="S7" i="71"/>
  <c r="R7" i="71"/>
  <c r="Q7" i="71"/>
  <c r="P7" i="71"/>
  <c r="O7" i="71"/>
  <c r="N7" i="71"/>
  <c r="M7" i="71"/>
  <c r="L7" i="71"/>
  <c r="T5" i="71"/>
  <c r="S5" i="71"/>
  <c r="R5" i="71"/>
  <c r="Q5" i="71"/>
  <c r="P5" i="71"/>
  <c r="O5" i="71"/>
  <c r="N5" i="71"/>
  <c r="M5" i="71"/>
  <c r="L5" i="71"/>
  <c r="K5" i="71"/>
  <c r="T4" i="71"/>
  <c r="S4" i="71"/>
  <c r="R4" i="71"/>
  <c r="Q4" i="71"/>
  <c r="P4" i="71"/>
  <c r="O4" i="71"/>
  <c r="N4" i="71"/>
  <c r="M4" i="71"/>
  <c r="L4" i="71"/>
  <c r="T3" i="71"/>
  <c r="S3" i="71"/>
  <c r="R3" i="71"/>
  <c r="Q3" i="71"/>
  <c r="P3" i="71"/>
  <c r="O3" i="71"/>
  <c r="N3" i="71"/>
  <c r="M3" i="71"/>
  <c r="L3" i="71"/>
  <c r="T2" i="71"/>
  <c r="S2" i="71"/>
  <c r="R2" i="71"/>
  <c r="Q2" i="71"/>
  <c r="P2" i="71"/>
  <c r="O2" i="71"/>
  <c r="N2" i="71"/>
  <c r="M2" i="71"/>
  <c r="L2" i="71"/>
  <c r="H2" i="71"/>
  <c r="F2" i="71"/>
  <c r="E2" i="71"/>
  <c r="D2" i="71"/>
  <c r="C2" i="71"/>
  <c r="B2" i="71"/>
  <c r="L48" i="70"/>
  <c r="N43" i="70"/>
  <c r="N42" i="70"/>
  <c r="N41" i="70"/>
  <c r="N39" i="70"/>
  <c r="M39" i="70"/>
  <c r="L39" i="70"/>
  <c r="N38" i="70"/>
  <c r="M38" i="70"/>
  <c r="L38" i="70"/>
  <c r="N37" i="70"/>
  <c r="M37" i="70"/>
  <c r="L37" i="70"/>
  <c r="K32" i="70"/>
  <c r="T29" i="70"/>
  <c r="S29" i="70"/>
  <c r="R29" i="70"/>
  <c r="Q29" i="70"/>
  <c r="P29" i="70"/>
  <c r="O29" i="70"/>
  <c r="N29" i="70"/>
  <c r="M29" i="70"/>
  <c r="L29" i="70"/>
  <c r="K29" i="70"/>
  <c r="T28" i="70"/>
  <c r="S28" i="70"/>
  <c r="R28" i="70"/>
  <c r="Q28" i="70"/>
  <c r="P28" i="70"/>
  <c r="O28" i="70"/>
  <c r="N28" i="70"/>
  <c r="M28" i="70"/>
  <c r="L28" i="70"/>
  <c r="K28" i="70"/>
  <c r="T27" i="70"/>
  <c r="S27" i="70"/>
  <c r="R27" i="70"/>
  <c r="Q27" i="70"/>
  <c r="P27" i="70"/>
  <c r="O27" i="70"/>
  <c r="N27" i="70"/>
  <c r="M27" i="70"/>
  <c r="L27" i="70"/>
  <c r="K27" i="70"/>
  <c r="T26" i="70"/>
  <c r="S26" i="70"/>
  <c r="R26" i="70"/>
  <c r="Q26" i="70"/>
  <c r="P26" i="70"/>
  <c r="O26" i="70"/>
  <c r="N26" i="70"/>
  <c r="M26" i="70"/>
  <c r="L26" i="70"/>
  <c r="K26" i="70"/>
  <c r="S25" i="70"/>
  <c r="R25" i="70"/>
  <c r="Q25" i="70"/>
  <c r="P25" i="70"/>
  <c r="O25" i="70"/>
  <c r="N25" i="70"/>
  <c r="M25" i="70"/>
  <c r="L25" i="70"/>
  <c r="T23" i="70"/>
  <c r="S23" i="70"/>
  <c r="R23" i="70"/>
  <c r="Q23" i="70"/>
  <c r="P23" i="70"/>
  <c r="O23" i="70"/>
  <c r="N23" i="70"/>
  <c r="M23" i="70"/>
  <c r="L23" i="70"/>
  <c r="K23" i="70"/>
  <c r="T22" i="70"/>
  <c r="S22" i="70"/>
  <c r="R22" i="70"/>
  <c r="Q22" i="70"/>
  <c r="P22" i="70"/>
  <c r="O22" i="70"/>
  <c r="N22" i="70"/>
  <c r="M22" i="70"/>
  <c r="L22" i="70"/>
  <c r="K22" i="70"/>
  <c r="T21" i="70"/>
  <c r="S21" i="70"/>
  <c r="R21" i="70"/>
  <c r="Q21" i="70"/>
  <c r="P21" i="70"/>
  <c r="O21" i="70"/>
  <c r="N21" i="70"/>
  <c r="M21" i="70"/>
  <c r="L21" i="70"/>
  <c r="K21" i="70"/>
  <c r="T20" i="70"/>
  <c r="S20" i="70"/>
  <c r="R20" i="70"/>
  <c r="Q20" i="70"/>
  <c r="P20" i="70"/>
  <c r="O20" i="70"/>
  <c r="N20" i="70"/>
  <c r="M20" i="70"/>
  <c r="L20" i="70"/>
  <c r="K20" i="70"/>
  <c r="S19" i="70"/>
  <c r="R19" i="70"/>
  <c r="Q19" i="70"/>
  <c r="P19" i="70"/>
  <c r="O19" i="70"/>
  <c r="N19" i="70"/>
  <c r="M19" i="70"/>
  <c r="L19" i="70"/>
  <c r="T17" i="70"/>
  <c r="S17" i="70"/>
  <c r="R17" i="70"/>
  <c r="Q17" i="70"/>
  <c r="P17" i="70"/>
  <c r="O17" i="70"/>
  <c r="N17" i="70"/>
  <c r="M17" i="70"/>
  <c r="L17" i="70"/>
  <c r="K17" i="70"/>
  <c r="T16" i="70"/>
  <c r="S16" i="70"/>
  <c r="R16" i="70"/>
  <c r="Q16" i="70"/>
  <c r="P16" i="70"/>
  <c r="O16" i="70"/>
  <c r="N16" i="70"/>
  <c r="M16" i="70"/>
  <c r="L16" i="70"/>
  <c r="K16" i="70"/>
  <c r="T15" i="70"/>
  <c r="S15" i="70"/>
  <c r="R15" i="70"/>
  <c r="Q15" i="70"/>
  <c r="P15" i="70"/>
  <c r="O15" i="70"/>
  <c r="N15" i="70"/>
  <c r="M15" i="70"/>
  <c r="L15" i="70"/>
  <c r="K15" i="70"/>
  <c r="T14" i="70"/>
  <c r="S14" i="70"/>
  <c r="R14" i="70"/>
  <c r="Q14" i="70"/>
  <c r="P14" i="70"/>
  <c r="O14" i="70"/>
  <c r="N14" i="70"/>
  <c r="M14" i="70"/>
  <c r="L14" i="70"/>
  <c r="K14" i="70"/>
  <c r="S13" i="70"/>
  <c r="R13" i="70"/>
  <c r="Q13" i="70"/>
  <c r="P13" i="70"/>
  <c r="O13" i="70"/>
  <c r="N13" i="70"/>
  <c r="M13" i="70"/>
  <c r="L13" i="70"/>
  <c r="T11" i="70"/>
  <c r="S11" i="70"/>
  <c r="R11" i="70"/>
  <c r="Q11" i="70"/>
  <c r="P11" i="70"/>
  <c r="O11" i="70"/>
  <c r="N11" i="70"/>
  <c r="M11" i="70"/>
  <c r="L11" i="70"/>
  <c r="K11" i="70"/>
  <c r="T10" i="70"/>
  <c r="S10" i="70"/>
  <c r="R10" i="70"/>
  <c r="Q10" i="70"/>
  <c r="P10" i="70"/>
  <c r="O10" i="70"/>
  <c r="N10" i="70"/>
  <c r="M10" i="70"/>
  <c r="L10" i="70"/>
  <c r="T9" i="70"/>
  <c r="S9" i="70"/>
  <c r="R9" i="70"/>
  <c r="Q9" i="70"/>
  <c r="P9" i="70"/>
  <c r="O9" i="70"/>
  <c r="N9" i="70"/>
  <c r="M9" i="70"/>
  <c r="L9" i="70"/>
  <c r="T8" i="70"/>
  <c r="S8" i="70"/>
  <c r="R8" i="70"/>
  <c r="Q8" i="70"/>
  <c r="P8" i="70"/>
  <c r="O8" i="70"/>
  <c r="N8" i="70"/>
  <c r="M8" i="70"/>
  <c r="L8" i="70"/>
  <c r="S7" i="70"/>
  <c r="R7" i="70"/>
  <c r="Q7" i="70"/>
  <c r="P7" i="70"/>
  <c r="O7" i="70"/>
  <c r="N7" i="70"/>
  <c r="M7" i="70"/>
  <c r="L7" i="70"/>
  <c r="T5" i="70"/>
  <c r="S5" i="70"/>
  <c r="R5" i="70"/>
  <c r="Q5" i="70"/>
  <c r="P5" i="70"/>
  <c r="O5" i="70"/>
  <c r="N5" i="70"/>
  <c r="M5" i="70"/>
  <c r="L5" i="70"/>
  <c r="K5" i="70"/>
  <c r="T4" i="70"/>
  <c r="S4" i="70"/>
  <c r="R4" i="70"/>
  <c r="Q4" i="70"/>
  <c r="P4" i="70"/>
  <c r="O4" i="70"/>
  <c r="N4" i="70"/>
  <c r="M4" i="70"/>
  <c r="L4" i="70"/>
  <c r="T3" i="70"/>
  <c r="S3" i="70"/>
  <c r="R3" i="70"/>
  <c r="Q3" i="70"/>
  <c r="P3" i="70"/>
  <c r="O3" i="70"/>
  <c r="N3" i="70"/>
  <c r="M3" i="70"/>
  <c r="L3" i="70"/>
  <c r="T2" i="70"/>
  <c r="S2" i="70"/>
  <c r="R2" i="70"/>
  <c r="Q2" i="70"/>
  <c r="P2" i="70"/>
  <c r="O2" i="70"/>
  <c r="N2" i="70"/>
  <c r="M2" i="70"/>
  <c r="L2" i="70"/>
  <c r="H2" i="70"/>
  <c r="F2" i="70"/>
  <c r="E2" i="70"/>
  <c r="D2" i="70"/>
  <c r="C2" i="70"/>
  <c r="B2" i="70"/>
  <c r="L48" i="69"/>
  <c r="N43" i="69"/>
  <c r="N42" i="69"/>
  <c r="N41" i="69"/>
  <c r="N39" i="69"/>
  <c r="M39" i="69"/>
  <c r="L39" i="69"/>
  <c r="N38" i="69"/>
  <c r="M38" i="69"/>
  <c r="L38" i="69"/>
  <c r="N37" i="69"/>
  <c r="M37" i="69"/>
  <c r="L37" i="69"/>
  <c r="K32" i="69"/>
  <c r="T29" i="69"/>
  <c r="S29" i="69"/>
  <c r="R29" i="69"/>
  <c r="Q29" i="69"/>
  <c r="P29" i="69"/>
  <c r="O29" i="69"/>
  <c r="N29" i="69"/>
  <c r="M29" i="69"/>
  <c r="L29" i="69"/>
  <c r="K29" i="69"/>
  <c r="T28" i="69"/>
  <c r="S28" i="69"/>
  <c r="R28" i="69"/>
  <c r="Q28" i="69"/>
  <c r="P28" i="69"/>
  <c r="O28" i="69"/>
  <c r="N28" i="69"/>
  <c r="M28" i="69"/>
  <c r="L28" i="69"/>
  <c r="K28" i="69"/>
  <c r="T27" i="69"/>
  <c r="S27" i="69"/>
  <c r="R27" i="69"/>
  <c r="Q27" i="69"/>
  <c r="P27" i="69"/>
  <c r="O27" i="69"/>
  <c r="N27" i="69"/>
  <c r="M27" i="69"/>
  <c r="L27" i="69"/>
  <c r="K27" i="69"/>
  <c r="T26" i="69"/>
  <c r="S26" i="69"/>
  <c r="R26" i="69"/>
  <c r="Q26" i="69"/>
  <c r="P26" i="69"/>
  <c r="O26" i="69"/>
  <c r="N26" i="69"/>
  <c r="M26" i="69"/>
  <c r="L26" i="69"/>
  <c r="K26" i="69"/>
  <c r="S25" i="69"/>
  <c r="R25" i="69"/>
  <c r="Q25" i="69"/>
  <c r="P25" i="69"/>
  <c r="O25" i="69"/>
  <c r="N25" i="69"/>
  <c r="M25" i="69"/>
  <c r="L25" i="69"/>
  <c r="T23" i="69"/>
  <c r="S23" i="69"/>
  <c r="R23" i="69"/>
  <c r="Q23" i="69"/>
  <c r="P23" i="69"/>
  <c r="O23" i="69"/>
  <c r="N23" i="69"/>
  <c r="M23" i="69"/>
  <c r="L23" i="69"/>
  <c r="K23" i="69"/>
  <c r="T22" i="69"/>
  <c r="S22" i="69"/>
  <c r="R22" i="69"/>
  <c r="Q22" i="69"/>
  <c r="P22" i="69"/>
  <c r="O22" i="69"/>
  <c r="N22" i="69"/>
  <c r="M22" i="69"/>
  <c r="L22" i="69"/>
  <c r="K22" i="69"/>
  <c r="T21" i="69"/>
  <c r="S21" i="69"/>
  <c r="R21" i="69"/>
  <c r="Q21" i="69"/>
  <c r="P21" i="69"/>
  <c r="O21" i="69"/>
  <c r="N21" i="69"/>
  <c r="M21" i="69"/>
  <c r="L21" i="69"/>
  <c r="K21" i="69"/>
  <c r="T20" i="69"/>
  <c r="S20" i="69"/>
  <c r="R20" i="69"/>
  <c r="Q20" i="69"/>
  <c r="P20" i="69"/>
  <c r="O20" i="69"/>
  <c r="N20" i="69"/>
  <c r="M20" i="69"/>
  <c r="L20" i="69"/>
  <c r="K20" i="69"/>
  <c r="S19" i="69"/>
  <c r="R19" i="69"/>
  <c r="Q19" i="69"/>
  <c r="P19" i="69"/>
  <c r="O19" i="69"/>
  <c r="N19" i="69"/>
  <c r="M19" i="69"/>
  <c r="L19" i="69"/>
  <c r="T17" i="69"/>
  <c r="S17" i="69"/>
  <c r="R17" i="69"/>
  <c r="Q17" i="69"/>
  <c r="P17" i="69"/>
  <c r="O17" i="69"/>
  <c r="N17" i="69"/>
  <c r="M17" i="69"/>
  <c r="L17" i="69"/>
  <c r="K17" i="69"/>
  <c r="T16" i="69"/>
  <c r="S16" i="69"/>
  <c r="R16" i="69"/>
  <c r="Q16" i="69"/>
  <c r="P16" i="69"/>
  <c r="O16" i="69"/>
  <c r="N16" i="69"/>
  <c r="M16" i="69"/>
  <c r="L16" i="69"/>
  <c r="K16" i="69"/>
  <c r="T15" i="69"/>
  <c r="S15" i="69"/>
  <c r="R15" i="69"/>
  <c r="Q15" i="69"/>
  <c r="P15" i="69"/>
  <c r="O15" i="69"/>
  <c r="N15" i="69"/>
  <c r="M15" i="69"/>
  <c r="L15" i="69"/>
  <c r="K15" i="69"/>
  <c r="T14" i="69"/>
  <c r="S14" i="69"/>
  <c r="R14" i="69"/>
  <c r="Q14" i="69"/>
  <c r="P14" i="69"/>
  <c r="O14" i="69"/>
  <c r="N14" i="69"/>
  <c r="M14" i="69"/>
  <c r="L14" i="69"/>
  <c r="K14" i="69"/>
  <c r="S13" i="69"/>
  <c r="R13" i="69"/>
  <c r="Q13" i="69"/>
  <c r="P13" i="69"/>
  <c r="O13" i="69"/>
  <c r="N13" i="69"/>
  <c r="M13" i="69"/>
  <c r="L13" i="69"/>
  <c r="T11" i="69"/>
  <c r="S11" i="69"/>
  <c r="R11" i="69"/>
  <c r="Q11" i="69"/>
  <c r="P11" i="69"/>
  <c r="O11" i="69"/>
  <c r="N11" i="69"/>
  <c r="M11" i="69"/>
  <c r="L11" i="69"/>
  <c r="K11" i="69"/>
  <c r="T10" i="69"/>
  <c r="S10" i="69"/>
  <c r="R10" i="69"/>
  <c r="Q10" i="69"/>
  <c r="P10" i="69"/>
  <c r="O10" i="69"/>
  <c r="N10" i="69"/>
  <c r="M10" i="69"/>
  <c r="L10" i="69"/>
  <c r="T9" i="69"/>
  <c r="S9" i="69"/>
  <c r="R9" i="69"/>
  <c r="Q9" i="69"/>
  <c r="P9" i="69"/>
  <c r="O9" i="69"/>
  <c r="N9" i="69"/>
  <c r="M9" i="69"/>
  <c r="L9" i="69"/>
  <c r="T8" i="69"/>
  <c r="S8" i="69"/>
  <c r="R8" i="69"/>
  <c r="Q8" i="69"/>
  <c r="P8" i="69"/>
  <c r="O8" i="69"/>
  <c r="N8" i="69"/>
  <c r="M8" i="69"/>
  <c r="L8" i="69"/>
  <c r="S7" i="69"/>
  <c r="R7" i="69"/>
  <c r="Q7" i="69"/>
  <c r="P7" i="69"/>
  <c r="O7" i="69"/>
  <c r="N7" i="69"/>
  <c r="M7" i="69"/>
  <c r="L7" i="69"/>
  <c r="T5" i="69"/>
  <c r="S5" i="69"/>
  <c r="R5" i="69"/>
  <c r="Q5" i="69"/>
  <c r="P5" i="69"/>
  <c r="O5" i="69"/>
  <c r="N5" i="69"/>
  <c r="M5" i="69"/>
  <c r="L5" i="69"/>
  <c r="K5" i="69"/>
  <c r="T4" i="69"/>
  <c r="S4" i="69"/>
  <c r="R4" i="69"/>
  <c r="Q4" i="69"/>
  <c r="P4" i="69"/>
  <c r="O4" i="69"/>
  <c r="N4" i="69"/>
  <c r="M4" i="69"/>
  <c r="L4" i="69"/>
  <c r="T3" i="69"/>
  <c r="S3" i="69"/>
  <c r="R3" i="69"/>
  <c r="Q3" i="69"/>
  <c r="P3" i="69"/>
  <c r="O3" i="69"/>
  <c r="N3" i="69"/>
  <c r="M3" i="69"/>
  <c r="L3" i="69"/>
  <c r="T2" i="69"/>
  <c r="S2" i="69"/>
  <c r="R2" i="69"/>
  <c r="Q2" i="69"/>
  <c r="P2" i="69"/>
  <c r="O2" i="69"/>
  <c r="N2" i="69"/>
  <c r="M2" i="69"/>
  <c r="L2" i="69"/>
  <c r="H2" i="69"/>
  <c r="F2" i="69"/>
  <c r="E2" i="69"/>
  <c r="D2" i="69"/>
  <c r="C2" i="69"/>
  <c r="B2" i="69"/>
  <c r="L48" i="68"/>
  <c r="N43" i="68"/>
  <c r="N42" i="68"/>
  <c r="N41" i="68"/>
  <c r="N39" i="68"/>
  <c r="M39" i="68"/>
  <c r="L39" i="68"/>
  <c r="N38" i="68"/>
  <c r="M38" i="68"/>
  <c r="L38" i="68"/>
  <c r="N37" i="68"/>
  <c r="M37" i="68"/>
  <c r="L37" i="68"/>
  <c r="K32" i="68"/>
  <c r="T29" i="68"/>
  <c r="S29" i="68"/>
  <c r="R29" i="68"/>
  <c r="Q29" i="68"/>
  <c r="P29" i="68"/>
  <c r="O29" i="68"/>
  <c r="N29" i="68"/>
  <c r="M29" i="68"/>
  <c r="L29" i="68"/>
  <c r="K29" i="68"/>
  <c r="T28" i="68"/>
  <c r="S28" i="68"/>
  <c r="R28" i="68"/>
  <c r="Q28" i="68"/>
  <c r="P28" i="68"/>
  <c r="O28" i="68"/>
  <c r="N28" i="68"/>
  <c r="M28" i="68"/>
  <c r="L28" i="68"/>
  <c r="K28" i="68"/>
  <c r="T27" i="68"/>
  <c r="S27" i="68"/>
  <c r="R27" i="68"/>
  <c r="Q27" i="68"/>
  <c r="P27" i="68"/>
  <c r="O27" i="68"/>
  <c r="N27" i="68"/>
  <c r="M27" i="68"/>
  <c r="L27" i="68"/>
  <c r="K27" i="68"/>
  <c r="T26" i="68"/>
  <c r="S26" i="68"/>
  <c r="R26" i="68"/>
  <c r="Q26" i="68"/>
  <c r="P26" i="68"/>
  <c r="O26" i="68"/>
  <c r="N26" i="68"/>
  <c r="M26" i="68"/>
  <c r="L26" i="68"/>
  <c r="K26" i="68"/>
  <c r="S25" i="68"/>
  <c r="R25" i="68"/>
  <c r="Q25" i="68"/>
  <c r="P25" i="68"/>
  <c r="O25" i="68"/>
  <c r="N25" i="68"/>
  <c r="M25" i="68"/>
  <c r="L25" i="68"/>
  <c r="T23" i="68"/>
  <c r="S23" i="68"/>
  <c r="R23" i="68"/>
  <c r="Q23" i="68"/>
  <c r="P23" i="68"/>
  <c r="O23" i="68"/>
  <c r="N23" i="68"/>
  <c r="M23" i="68"/>
  <c r="L23" i="68"/>
  <c r="K23" i="68"/>
  <c r="T22" i="68"/>
  <c r="S22" i="68"/>
  <c r="R22" i="68"/>
  <c r="Q22" i="68"/>
  <c r="P22" i="68"/>
  <c r="O22" i="68"/>
  <c r="N22" i="68"/>
  <c r="M22" i="68"/>
  <c r="L22" i="68"/>
  <c r="K22" i="68"/>
  <c r="T21" i="68"/>
  <c r="S21" i="68"/>
  <c r="R21" i="68"/>
  <c r="Q21" i="68"/>
  <c r="P21" i="68"/>
  <c r="O21" i="68"/>
  <c r="N21" i="68"/>
  <c r="M21" i="68"/>
  <c r="L21" i="68"/>
  <c r="K21" i="68"/>
  <c r="T20" i="68"/>
  <c r="S20" i="68"/>
  <c r="R20" i="68"/>
  <c r="Q20" i="68"/>
  <c r="P20" i="68"/>
  <c r="O20" i="68"/>
  <c r="N20" i="68"/>
  <c r="M20" i="68"/>
  <c r="L20" i="68"/>
  <c r="K20" i="68"/>
  <c r="S19" i="68"/>
  <c r="R19" i="68"/>
  <c r="Q19" i="68"/>
  <c r="P19" i="68"/>
  <c r="O19" i="68"/>
  <c r="N19" i="68"/>
  <c r="M19" i="68"/>
  <c r="L19" i="68"/>
  <c r="T17" i="68"/>
  <c r="S17" i="68"/>
  <c r="R17" i="68"/>
  <c r="Q17" i="68"/>
  <c r="P17" i="68"/>
  <c r="O17" i="68"/>
  <c r="N17" i="68"/>
  <c r="M17" i="68"/>
  <c r="L17" i="68"/>
  <c r="K17" i="68"/>
  <c r="T16" i="68"/>
  <c r="S16" i="68"/>
  <c r="R16" i="68"/>
  <c r="Q16" i="68"/>
  <c r="P16" i="68"/>
  <c r="O16" i="68"/>
  <c r="N16" i="68"/>
  <c r="M16" i="68"/>
  <c r="L16" i="68"/>
  <c r="K16" i="68"/>
  <c r="T15" i="68"/>
  <c r="S15" i="68"/>
  <c r="R15" i="68"/>
  <c r="Q15" i="68"/>
  <c r="P15" i="68"/>
  <c r="O15" i="68"/>
  <c r="N15" i="68"/>
  <c r="M15" i="68"/>
  <c r="L15" i="68"/>
  <c r="K15" i="68"/>
  <c r="T14" i="68"/>
  <c r="S14" i="68"/>
  <c r="R14" i="68"/>
  <c r="Q14" i="68"/>
  <c r="P14" i="68"/>
  <c r="O14" i="68"/>
  <c r="N14" i="68"/>
  <c r="M14" i="68"/>
  <c r="L14" i="68"/>
  <c r="K14" i="68"/>
  <c r="S13" i="68"/>
  <c r="R13" i="68"/>
  <c r="Q13" i="68"/>
  <c r="P13" i="68"/>
  <c r="O13" i="68"/>
  <c r="N13" i="68"/>
  <c r="M13" i="68"/>
  <c r="L13" i="68"/>
  <c r="T11" i="68"/>
  <c r="S11" i="68"/>
  <c r="R11" i="68"/>
  <c r="Q11" i="68"/>
  <c r="P11" i="68"/>
  <c r="O11" i="68"/>
  <c r="N11" i="68"/>
  <c r="M11" i="68"/>
  <c r="L11" i="68"/>
  <c r="K11" i="68"/>
  <c r="T10" i="68"/>
  <c r="S10" i="68"/>
  <c r="R10" i="68"/>
  <c r="Q10" i="68"/>
  <c r="P10" i="68"/>
  <c r="O10" i="68"/>
  <c r="N10" i="68"/>
  <c r="M10" i="68"/>
  <c r="L10" i="68"/>
  <c r="T9" i="68"/>
  <c r="S9" i="68"/>
  <c r="R9" i="68"/>
  <c r="Q9" i="68"/>
  <c r="P9" i="68"/>
  <c r="O9" i="68"/>
  <c r="N9" i="68"/>
  <c r="M9" i="68"/>
  <c r="L9" i="68"/>
  <c r="T8" i="68"/>
  <c r="S8" i="68"/>
  <c r="R8" i="68"/>
  <c r="Q8" i="68"/>
  <c r="P8" i="68"/>
  <c r="O8" i="68"/>
  <c r="N8" i="68"/>
  <c r="M8" i="68"/>
  <c r="L8" i="68"/>
  <c r="S7" i="68"/>
  <c r="R7" i="68"/>
  <c r="Q7" i="68"/>
  <c r="P7" i="68"/>
  <c r="O7" i="68"/>
  <c r="N7" i="68"/>
  <c r="M7" i="68"/>
  <c r="L7" i="68"/>
  <c r="T5" i="68"/>
  <c r="S5" i="68"/>
  <c r="R5" i="68"/>
  <c r="Q5" i="68"/>
  <c r="P5" i="68"/>
  <c r="O5" i="68"/>
  <c r="N5" i="68"/>
  <c r="M5" i="68"/>
  <c r="L5" i="68"/>
  <c r="K5" i="68"/>
  <c r="T4" i="68"/>
  <c r="S4" i="68"/>
  <c r="R4" i="68"/>
  <c r="Q4" i="68"/>
  <c r="P4" i="68"/>
  <c r="O4" i="68"/>
  <c r="N4" i="68"/>
  <c r="M4" i="68"/>
  <c r="L4" i="68"/>
  <c r="T3" i="68"/>
  <c r="S3" i="68"/>
  <c r="R3" i="68"/>
  <c r="Q3" i="68"/>
  <c r="P3" i="68"/>
  <c r="O3" i="68"/>
  <c r="N3" i="68"/>
  <c r="M3" i="68"/>
  <c r="L3" i="68"/>
  <c r="T2" i="68"/>
  <c r="S2" i="68"/>
  <c r="R2" i="68"/>
  <c r="Q2" i="68"/>
  <c r="P2" i="68"/>
  <c r="O2" i="68"/>
  <c r="N2" i="68"/>
  <c r="M2" i="68"/>
  <c r="L2" i="68"/>
  <c r="H2" i="68"/>
  <c r="F2" i="68"/>
  <c r="E2" i="68"/>
  <c r="D2" i="68"/>
  <c r="C2" i="68"/>
  <c r="B2" i="68"/>
  <c r="L48" i="67"/>
  <c r="N43" i="67"/>
  <c r="N42" i="67"/>
  <c r="N41" i="67"/>
  <c r="N39" i="67"/>
  <c r="M39" i="67"/>
  <c r="L39" i="67"/>
  <c r="N38" i="67"/>
  <c r="M38" i="67"/>
  <c r="L38" i="67"/>
  <c r="N37" i="67"/>
  <c r="M37" i="67"/>
  <c r="L37" i="67"/>
  <c r="K32" i="67"/>
  <c r="T29" i="67"/>
  <c r="S29" i="67"/>
  <c r="R29" i="67"/>
  <c r="Q29" i="67"/>
  <c r="P29" i="67"/>
  <c r="O29" i="67"/>
  <c r="N29" i="67"/>
  <c r="M29" i="67"/>
  <c r="L29" i="67"/>
  <c r="K29" i="67"/>
  <c r="T28" i="67"/>
  <c r="S28" i="67"/>
  <c r="R28" i="67"/>
  <c r="Q28" i="67"/>
  <c r="P28" i="67"/>
  <c r="O28" i="67"/>
  <c r="N28" i="67"/>
  <c r="M28" i="67"/>
  <c r="L28" i="67"/>
  <c r="K28" i="67"/>
  <c r="T27" i="67"/>
  <c r="S27" i="67"/>
  <c r="R27" i="67"/>
  <c r="Q27" i="67"/>
  <c r="P27" i="67"/>
  <c r="O27" i="67"/>
  <c r="N27" i="67"/>
  <c r="M27" i="67"/>
  <c r="L27" i="67"/>
  <c r="K27" i="67"/>
  <c r="T26" i="67"/>
  <c r="S26" i="67"/>
  <c r="R26" i="67"/>
  <c r="Q26" i="67"/>
  <c r="P26" i="67"/>
  <c r="O26" i="67"/>
  <c r="N26" i="67"/>
  <c r="M26" i="67"/>
  <c r="L26" i="67"/>
  <c r="K26" i="67"/>
  <c r="S25" i="67"/>
  <c r="R25" i="67"/>
  <c r="Q25" i="67"/>
  <c r="P25" i="67"/>
  <c r="O25" i="67"/>
  <c r="N25" i="67"/>
  <c r="M25" i="67"/>
  <c r="L25" i="67"/>
  <c r="T23" i="67"/>
  <c r="S23" i="67"/>
  <c r="R23" i="67"/>
  <c r="Q23" i="67"/>
  <c r="P23" i="67"/>
  <c r="O23" i="67"/>
  <c r="N23" i="67"/>
  <c r="M23" i="67"/>
  <c r="L23" i="67"/>
  <c r="K23" i="67"/>
  <c r="T22" i="67"/>
  <c r="S22" i="67"/>
  <c r="R22" i="67"/>
  <c r="Q22" i="67"/>
  <c r="P22" i="67"/>
  <c r="O22" i="67"/>
  <c r="N22" i="67"/>
  <c r="M22" i="67"/>
  <c r="L22" i="67"/>
  <c r="K22" i="67"/>
  <c r="T21" i="67"/>
  <c r="S21" i="67"/>
  <c r="R21" i="67"/>
  <c r="Q21" i="67"/>
  <c r="P21" i="67"/>
  <c r="O21" i="67"/>
  <c r="N21" i="67"/>
  <c r="M21" i="67"/>
  <c r="L21" i="67"/>
  <c r="K21" i="67"/>
  <c r="T20" i="67"/>
  <c r="S20" i="67"/>
  <c r="R20" i="67"/>
  <c r="Q20" i="67"/>
  <c r="P20" i="67"/>
  <c r="O20" i="67"/>
  <c r="N20" i="67"/>
  <c r="M20" i="67"/>
  <c r="L20" i="67"/>
  <c r="K20" i="67"/>
  <c r="S19" i="67"/>
  <c r="R19" i="67"/>
  <c r="Q19" i="67"/>
  <c r="P19" i="67"/>
  <c r="O19" i="67"/>
  <c r="N19" i="67"/>
  <c r="M19" i="67"/>
  <c r="L19" i="67"/>
  <c r="T17" i="67"/>
  <c r="S17" i="67"/>
  <c r="R17" i="67"/>
  <c r="Q17" i="67"/>
  <c r="P17" i="67"/>
  <c r="O17" i="67"/>
  <c r="N17" i="67"/>
  <c r="M17" i="67"/>
  <c r="L17" i="67"/>
  <c r="K17" i="67"/>
  <c r="T16" i="67"/>
  <c r="S16" i="67"/>
  <c r="R16" i="67"/>
  <c r="Q16" i="67"/>
  <c r="P16" i="67"/>
  <c r="O16" i="67"/>
  <c r="N16" i="67"/>
  <c r="M16" i="67"/>
  <c r="L16" i="67"/>
  <c r="K16" i="67"/>
  <c r="T15" i="67"/>
  <c r="S15" i="67"/>
  <c r="R15" i="67"/>
  <c r="Q15" i="67"/>
  <c r="P15" i="67"/>
  <c r="O15" i="67"/>
  <c r="N15" i="67"/>
  <c r="M15" i="67"/>
  <c r="L15" i="67"/>
  <c r="K15" i="67"/>
  <c r="T14" i="67"/>
  <c r="S14" i="67"/>
  <c r="R14" i="67"/>
  <c r="Q14" i="67"/>
  <c r="P14" i="67"/>
  <c r="O14" i="67"/>
  <c r="N14" i="67"/>
  <c r="M14" i="67"/>
  <c r="L14" i="67"/>
  <c r="K14" i="67"/>
  <c r="S13" i="67"/>
  <c r="R13" i="67"/>
  <c r="Q13" i="67"/>
  <c r="P13" i="67"/>
  <c r="O13" i="67"/>
  <c r="N13" i="67"/>
  <c r="M13" i="67"/>
  <c r="L13" i="67"/>
  <c r="T11" i="67"/>
  <c r="S11" i="67"/>
  <c r="R11" i="67"/>
  <c r="Q11" i="67"/>
  <c r="P11" i="67"/>
  <c r="O11" i="67"/>
  <c r="N11" i="67"/>
  <c r="M11" i="67"/>
  <c r="L11" i="67"/>
  <c r="K11" i="67"/>
  <c r="T10" i="67"/>
  <c r="S10" i="67"/>
  <c r="R10" i="67"/>
  <c r="Q10" i="67"/>
  <c r="P10" i="67"/>
  <c r="O10" i="67"/>
  <c r="N10" i="67"/>
  <c r="M10" i="67"/>
  <c r="L10" i="67"/>
  <c r="T9" i="67"/>
  <c r="S9" i="67"/>
  <c r="R9" i="67"/>
  <c r="Q9" i="67"/>
  <c r="P9" i="67"/>
  <c r="O9" i="67"/>
  <c r="N9" i="67"/>
  <c r="M9" i="67"/>
  <c r="L9" i="67"/>
  <c r="T8" i="67"/>
  <c r="S8" i="67"/>
  <c r="R8" i="67"/>
  <c r="Q8" i="67"/>
  <c r="P8" i="67"/>
  <c r="O8" i="67"/>
  <c r="N8" i="67"/>
  <c r="M8" i="67"/>
  <c r="L8" i="67"/>
  <c r="S7" i="67"/>
  <c r="R7" i="67"/>
  <c r="Q7" i="67"/>
  <c r="P7" i="67"/>
  <c r="O7" i="67"/>
  <c r="N7" i="67"/>
  <c r="M7" i="67"/>
  <c r="L7" i="67"/>
  <c r="T5" i="67"/>
  <c r="S5" i="67"/>
  <c r="R5" i="67"/>
  <c r="Q5" i="67"/>
  <c r="P5" i="67"/>
  <c r="O5" i="67"/>
  <c r="N5" i="67"/>
  <c r="M5" i="67"/>
  <c r="L5" i="67"/>
  <c r="K5" i="67"/>
  <c r="T4" i="67"/>
  <c r="S4" i="67"/>
  <c r="R4" i="67"/>
  <c r="Q4" i="67"/>
  <c r="P4" i="67"/>
  <c r="O4" i="67"/>
  <c r="N4" i="67"/>
  <c r="M4" i="67"/>
  <c r="L4" i="67"/>
  <c r="T3" i="67"/>
  <c r="S3" i="67"/>
  <c r="R3" i="67"/>
  <c r="Q3" i="67"/>
  <c r="P3" i="67"/>
  <c r="O3" i="67"/>
  <c r="N3" i="67"/>
  <c r="M3" i="67"/>
  <c r="L3" i="67"/>
  <c r="T2" i="67"/>
  <c r="S2" i="67"/>
  <c r="R2" i="67"/>
  <c r="Q2" i="67"/>
  <c r="P2" i="67"/>
  <c r="O2" i="67"/>
  <c r="N2" i="67"/>
  <c r="M2" i="67"/>
  <c r="L2" i="67"/>
  <c r="H2" i="67"/>
  <c r="F2" i="67"/>
  <c r="E2" i="67"/>
  <c r="D2" i="67"/>
  <c r="C2" i="67"/>
  <c r="B2" i="67"/>
  <c r="L48" i="46"/>
  <c r="N43" i="46"/>
  <c r="N42" i="46"/>
  <c r="N41" i="46"/>
  <c r="N39" i="46"/>
  <c r="M39" i="46"/>
  <c r="L39" i="46"/>
  <c r="N38" i="46"/>
  <c r="M38" i="46"/>
  <c r="L38" i="46"/>
  <c r="N37" i="46"/>
  <c r="M37" i="46"/>
  <c r="L37" i="46"/>
  <c r="K32" i="46"/>
  <c r="T29" i="46"/>
  <c r="S29" i="46"/>
  <c r="R29" i="46"/>
  <c r="Q29" i="46"/>
  <c r="P29" i="46"/>
  <c r="O29" i="46"/>
  <c r="N29" i="46"/>
  <c r="M29" i="46"/>
  <c r="L29" i="46"/>
  <c r="K29" i="46"/>
  <c r="T28" i="46"/>
  <c r="S28" i="46"/>
  <c r="R28" i="46"/>
  <c r="Q28" i="46"/>
  <c r="P28" i="46"/>
  <c r="O28" i="46"/>
  <c r="N28" i="46"/>
  <c r="M28" i="46"/>
  <c r="L28" i="46"/>
  <c r="K28" i="46"/>
  <c r="T27" i="46"/>
  <c r="S27" i="46"/>
  <c r="R27" i="46"/>
  <c r="Q27" i="46"/>
  <c r="P27" i="46"/>
  <c r="O27" i="46"/>
  <c r="N27" i="46"/>
  <c r="M27" i="46"/>
  <c r="L27" i="46"/>
  <c r="K27" i="46"/>
  <c r="T26" i="46"/>
  <c r="S26" i="46"/>
  <c r="R26" i="46"/>
  <c r="Q26" i="46"/>
  <c r="P26" i="46"/>
  <c r="O26" i="46"/>
  <c r="N26" i="46"/>
  <c r="M26" i="46"/>
  <c r="L26" i="46"/>
  <c r="K26" i="46"/>
  <c r="S25" i="46"/>
  <c r="R25" i="46"/>
  <c r="Q25" i="46"/>
  <c r="P25" i="46"/>
  <c r="O25" i="46"/>
  <c r="N25" i="46"/>
  <c r="M25" i="46"/>
  <c r="L25" i="46"/>
  <c r="T23" i="46"/>
  <c r="S23" i="46"/>
  <c r="R23" i="46"/>
  <c r="Q23" i="46"/>
  <c r="P23" i="46"/>
  <c r="O23" i="46"/>
  <c r="N23" i="46"/>
  <c r="M23" i="46"/>
  <c r="L23" i="46"/>
  <c r="K23" i="46"/>
  <c r="T22" i="46"/>
  <c r="S22" i="46"/>
  <c r="R22" i="46"/>
  <c r="Q22" i="46"/>
  <c r="P22" i="46"/>
  <c r="O22" i="46"/>
  <c r="N22" i="46"/>
  <c r="M22" i="46"/>
  <c r="L22" i="46"/>
  <c r="K22" i="46"/>
  <c r="T21" i="46"/>
  <c r="S21" i="46"/>
  <c r="R21" i="46"/>
  <c r="Q21" i="46"/>
  <c r="P21" i="46"/>
  <c r="O21" i="46"/>
  <c r="N21" i="46"/>
  <c r="M21" i="46"/>
  <c r="L21" i="46"/>
  <c r="K21" i="46"/>
  <c r="T20" i="46"/>
  <c r="S20" i="46"/>
  <c r="R20" i="46"/>
  <c r="Q20" i="46"/>
  <c r="P20" i="46"/>
  <c r="O20" i="46"/>
  <c r="N20" i="46"/>
  <c r="M20" i="46"/>
  <c r="L20" i="46"/>
  <c r="K20" i="46"/>
  <c r="S19" i="46"/>
  <c r="R19" i="46"/>
  <c r="Q19" i="46"/>
  <c r="P19" i="46"/>
  <c r="O19" i="46"/>
  <c r="N19" i="46"/>
  <c r="M19" i="46"/>
  <c r="L19" i="46"/>
  <c r="T17" i="46"/>
  <c r="S17" i="46"/>
  <c r="R17" i="46"/>
  <c r="Q17" i="46"/>
  <c r="P17" i="46"/>
  <c r="O17" i="46"/>
  <c r="N17" i="46"/>
  <c r="M17" i="46"/>
  <c r="L17" i="46"/>
  <c r="K17" i="46"/>
  <c r="T16" i="46"/>
  <c r="S16" i="46"/>
  <c r="R16" i="46"/>
  <c r="Q16" i="46"/>
  <c r="P16" i="46"/>
  <c r="O16" i="46"/>
  <c r="N16" i="46"/>
  <c r="M16" i="46"/>
  <c r="L16" i="46"/>
  <c r="K16" i="46"/>
  <c r="T15" i="46"/>
  <c r="S15" i="46"/>
  <c r="R15" i="46"/>
  <c r="Q15" i="46"/>
  <c r="P15" i="46"/>
  <c r="O15" i="46"/>
  <c r="N15" i="46"/>
  <c r="M15" i="46"/>
  <c r="L15" i="46"/>
  <c r="K15" i="46"/>
  <c r="T14" i="46"/>
  <c r="S14" i="46"/>
  <c r="R14" i="46"/>
  <c r="Q14" i="46"/>
  <c r="P14" i="46"/>
  <c r="O14" i="46"/>
  <c r="N14" i="46"/>
  <c r="M14" i="46"/>
  <c r="L14" i="46"/>
  <c r="K14" i="46"/>
  <c r="S13" i="46"/>
  <c r="R13" i="46"/>
  <c r="Q13" i="46"/>
  <c r="P13" i="46"/>
  <c r="O13" i="46"/>
  <c r="N13" i="46"/>
  <c r="M13" i="46"/>
  <c r="L13" i="46"/>
  <c r="T11" i="46"/>
  <c r="S11" i="46"/>
  <c r="R11" i="46"/>
  <c r="Q11" i="46"/>
  <c r="P11" i="46"/>
  <c r="O11" i="46"/>
  <c r="N11" i="46"/>
  <c r="M11" i="46"/>
  <c r="L11" i="46"/>
  <c r="K11" i="46"/>
  <c r="T10" i="46"/>
  <c r="S10" i="46"/>
  <c r="R10" i="46"/>
  <c r="Q10" i="46"/>
  <c r="P10" i="46"/>
  <c r="O10" i="46"/>
  <c r="N10" i="46"/>
  <c r="M10" i="46"/>
  <c r="L10" i="46"/>
  <c r="K10" i="46"/>
  <c r="T9" i="46"/>
  <c r="S9" i="46"/>
  <c r="R9" i="46"/>
  <c r="Q9" i="46"/>
  <c r="P9" i="46"/>
  <c r="O9" i="46"/>
  <c r="N9" i="46"/>
  <c r="M9" i="46"/>
  <c r="L9" i="46"/>
  <c r="K9" i="46"/>
  <c r="T8" i="46"/>
  <c r="S8" i="46"/>
  <c r="R8" i="46"/>
  <c r="Q8" i="46"/>
  <c r="P8" i="46"/>
  <c r="O8" i="46"/>
  <c r="N8" i="46"/>
  <c r="M8" i="46"/>
  <c r="L8" i="46"/>
  <c r="K8" i="46"/>
  <c r="S7" i="46"/>
  <c r="R7" i="46"/>
  <c r="Q7" i="46"/>
  <c r="P7" i="46"/>
  <c r="O7" i="46"/>
  <c r="N7" i="46"/>
  <c r="M7" i="46"/>
  <c r="L7" i="46"/>
  <c r="T5" i="46"/>
  <c r="S5" i="46"/>
  <c r="R5" i="46"/>
  <c r="Q5" i="46"/>
  <c r="P5" i="46"/>
  <c r="O5" i="46"/>
  <c r="N5" i="46"/>
  <c r="M5" i="46"/>
  <c r="L5" i="46"/>
  <c r="K5" i="46"/>
  <c r="T4" i="46"/>
  <c r="S4" i="46"/>
  <c r="R4" i="46"/>
  <c r="Q4" i="46"/>
  <c r="P4" i="46"/>
  <c r="O4" i="46"/>
  <c r="N4" i="46"/>
  <c r="M4" i="46"/>
  <c r="L4" i="46"/>
  <c r="T3" i="46"/>
  <c r="S3" i="46"/>
  <c r="R3" i="46"/>
  <c r="Q3" i="46"/>
  <c r="P3" i="46"/>
  <c r="O3" i="46"/>
  <c r="N3" i="46"/>
  <c r="M3" i="46"/>
  <c r="L3" i="46"/>
  <c r="T2" i="46"/>
  <c r="S2" i="46"/>
  <c r="R2" i="46"/>
  <c r="Q2" i="46"/>
  <c r="P2" i="46"/>
  <c r="O2" i="46"/>
  <c r="N2" i="46"/>
  <c r="M2" i="46"/>
  <c r="L2" i="46"/>
  <c r="H2" i="46"/>
  <c r="F2" i="46"/>
  <c r="E2" i="46"/>
  <c r="D2" i="46"/>
  <c r="C2" i="46"/>
  <c r="B2" i="46"/>
  <c r="R38" i="75"/>
  <c r="Q38" i="75"/>
  <c r="R37" i="75"/>
  <c r="Q37" i="75"/>
  <c r="R36" i="75"/>
  <c r="Q36" i="75"/>
  <c r="R35" i="75"/>
  <c r="Q35" i="75"/>
  <c r="R34" i="75"/>
  <c r="Q34" i="75"/>
  <c r="R33" i="75"/>
  <c r="Q33" i="75"/>
  <c r="R32" i="75"/>
  <c r="Q32" i="75"/>
  <c r="R31" i="75"/>
  <c r="Q31" i="75"/>
  <c r="R30" i="75"/>
  <c r="Q30" i="75"/>
  <c r="U29" i="75"/>
  <c r="R29" i="75"/>
  <c r="Q29" i="75"/>
  <c r="U28" i="75"/>
  <c r="R28" i="75"/>
  <c r="Q28" i="75"/>
  <c r="U27" i="75"/>
  <c r="R27" i="75"/>
  <c r="Q27" i="75"/>
  <c r="U26" i="75"/>
  <c r="R26" i="75"/>
  <c r="Q26" i="75"/>
  <c r="U25" i="75"/>
  <c r="R25" i="75"/>
  <c r="Q25" i="75"/>
  <c r="U24" i="75"/>
  <c r="R24" i="75"/>
  <c r="Q24" i="75"/>
  <c r="W23" i="75" a="1"/>
  <c r="U23" i="75"/>
  <c r="R23" i="75"/>
  <c r="Q23" i="75"/>
  <c r="AT19" i="75"/>
  <c r="AQ19" i="75"/>
  <c r="AL19" i="75"/>
  <c r="AK19" i="75"/>
  <c r="AG19" i="75"/>
  <c r="AF19" i="75"/>
  <c r="AE19" i="75"/>
  <c r="AD19" i="75"/>
  <c r="AC19" i="75"/>
  <c r="AB19" i="75"/>
  <c r="AA19" i="75"/>
  <c r="Z19" i="75"/>
  <c r="Y19" i="75"/>
  <c r="X19" i="75"/>
  <c r="W19" i="75"/>
  <c r="V19" i="75"/>
  <c r="U19" i="75"/>
  <c r="T19" i="75"/>
  <c r="S19" i="75"/>
  <c r="R19" i="75"/>
  <c r="AT18" i="75"/>
  <c r="AQ18" i="75"/>
  <c r="AL18" i="75"/>
  <c r="AK18" i="75"/>
  <c r="AG18" i="75"/>
  <c r="AF18" i="75"/>
  <c r="AE18" i="75"/>
  <c r="AD18" i="75"/>
  <c r="AC18" i="75"/>
  <c r="AB18" i="75"/>
  <c r="AA18" i="75"/>
  <c r="Z18" i="75"/>
  <c r="Y18" i="75"/>
  <c r="X18" i="75"/>
  <c r="W18" i="75"/>
  <c r="V18" i="75"/>
  <c r="U18" i="75"/>
  <c r="T18" i="75"/>
  <c r="S18" i="75"/>
  <c r="R18" i="75"/>
  <c r="AT17" i="75"/>
  <c r="AQ17" i="75"/>
  <c r="AL17" i="75"/>
  <c r="AK17" i="75"/>
  <c r="AG17" i="75"/>
  <c r="AF17" i="75"/>
  <c r="AE17" i="75"/>
  <c r="AD17" i="75"/>
  <c r="AC17" i="75"/>
  <c r="AB17" i="75"/>
  <c r="AA17" i="75"/>
  <c r="Z17" i="75"/>
  <c r="Y17" i="75"/>
  <c r="X17" i="75"/>
  <c r="W17" i="75"/>
  <c r="V17" i="75"/>
  <c r="U17" i="75"/>
  <c r="T17" i="75"/>
  <c r="S17" i="75"/>
  <c r="R17" i="75"/>
  <c r="AT16" i="75"/>
  <c r="AQ16" i="75"/>
  <c r="AL16" i="75"/>
  <c r="AK16" i="75"/>
  <c r="AG16" i="75"/>
  <c r="AF16" i="75"/>
  <c r="AE16" i="75"/>
  <c r="AD16" i="75"/>
  <c r="AC16" i="75"/>
  <c r="AB16" i="75"/>
  <c r="AA16" i="75"/>
  <c r="Z16" i="75"/>
  <c r="Y16" i="75"/>
  <c r="X16" i="75"/>
  <c r="W16" i="75"/>
  <c r="V16" i="75"/>
  <c r="U16" i="75"/>
  <c r="T16" i="75"/>
  <c r="S16" i="75"/>
  <c r="R16" i="75"/>
  <c r="AX15" i="75"/>
  <c r="AW15" i="75"/>
  <c r="AV15" i="75"/>
  <c r="AT15" i="75"/>
  <c r="AQ15" i="75"/>
  <c r="AL15" i="75"/>
  <c r="AK15" i="75"/>
  <c r="AG15" i="75"/>
  <c r="AF15" i="75"/>
  <c r="AE15" i="75"/>
  <c r="AD15" i="75"/>
  <c r="AC15" i="75"/>
  <c r="AB15" i="75"/>
  <c r="AA15" i="75"/>
  <c r="Z15" i="75"/>
  <c r="Y15" i="75"/>
  <c r="X15" i="75"/>
  <c r="W15" i="75"/>
  <c r="V15" i="75"/>
  <c r="U15" i="75"/>
  <c r="T15" i="75"/>
  <c r="S15" i="75"/>
  <c r="R15" i="75"/>
  <c r="AX14" i="75"/>
  <c r="AW14" i="75"/>
  <c r="AV14" i="75"/>
  <c r="AT14" i="75"/>
  <c r="AQ14" i="75"/>
  <c r="AL14" i="75"/>
  <c r="AK14" i="75"/>
  <c r="AG14" i="75"/>
  <c r="AF14" i="75"/>
  <c r="AE14" i="75"/>
  <c r="AD14" i="75"/>
  <c r="AC14" i="75"/>
  <c r="AB14" i="75"/>
  <c r="AA14" i="75"/>
  <c r="Z14" i="75"/>
  <c r="Y14" i="75"/>
  <c r="X14" i="75"/>
  <c r="W14" i="75"/>
  <c r="V14" i="75"/>
  <c r="U14" i="75"/>
  <c r="T14" i="75"/>
  <c r="S14" i="75"/>
  <c r="R14" i="75"/>
  <c r="AX13" i="75"/>
  <c r="AW13" i="75"/>
  <c r="AV13" i="75"/>
  <c r="AT13" i="75"/>
  <c r="AO13" i="75" a="1"/>
  <c r="AL13" i="75"/>
  <c r="AK13" i="75"/>
  <c r="AG13" i="75"/>
  <c r="AF13" i="75"/>
  <c r="AE13" i="75"/>
  <c r="AD13" i="75"/>
  <c r="AC13" i="75"/>
  <c r="AB13" i="75"/>
  <c r="AA13" i="75"/>
  <c r="Z13" i="75"/>
  <c r="Y13" i="75"/>
  <c r="X13" i="75"/>
  <c r="W13" i="75"/>
  <c r="V13" i="75"/>
  <c r="U13" i="75"/>
  <c r="T13" i="75"/>
  <c r="S13" i="75"/>
  <c r="R13" i="75"/>
  <c r="C3" i="75"/>
  <c r="J157" i="56"/>
  <c r="H157" i="56"/>
  <c r="J156" i="56"/>
  <c r="H156" i="56"/>
  <c r="J155" i="56"/>
  <c r="H155" i="56"/>
  <c r="J154" i="56"/>
  <c r="H154" i="56"/>
  <c r="J153" i="56"/>
  <c r="H153" i="56"/>
  <c r="J152" i="56"/>
  <c r="H152" i="56"/>
  <c r="J151" i="56"/>
  <c r="H151" i="56"/>
  <c r="J150" i="56"/>
  <c r="H150" i="56"/>
  <c r="J149" i="56"/>
  <c r="H149" i="56"/>
  <c r="J148" i="56"/>
  <c r="H148" i="56"/>
  <c r="J147" i="56"/>
  <c r="H147" i="56"/>
  <c r="J146" i="56"/>
  <c r="H146" i="56"/>
  <c r="J145" i="56"/>
  <c r="H145" i="56"/>
  <c r="J144" i="56"/>
  <c r="H144" i="56"/>
  <c r="J143" i="56"/>
  <c r="H143" i="56"/>
  <c r="J142" i="56"/>
  <c r="H142" i="56"/>
  <c r="J141" i="56"/>
  <c r="H141" i="56"/>
  <c r="J140" i="56"/>
  <c r="H140" i="56"/>
  <c r="J139" i="56"/>
  <c r="H139" i="56"/>
  <c r="J138" i="56"/>
  <c r="H138" i="56"/>
  <c r="J137" i="56"/>
  <c r="H137" i="56"/>
  <c r="J136" i="56"/>
  <c r="H136" i="56"/>
  <c r="J135" i="56"/>
  <c r="H135" i="56"/>
  <c r="J134" i="56"/>
  <c r="H134" i="56"/>
  <c r="J133" i="56"/>
  <c r="H133" i="56"/>
  <c r="J132" i="56"/>
  <c r="H132" i="56"/>
  <c r="J131" i="56"/>
  <c r="H131" i="56"/>
  <c r="J130" i="56"/>
  <c r="H130" i="56"/>
  <c r="J129" i="56"/>
  <c r="H129" i="56"/>
  <c r="J128" i="56"/>
  <c r="H128" i="56"/>
  <c r="J127" i="56"/>
  <c r="H127" i="56"/>
  <c r="J126" i="56"/>
  <c r="H126" i="56"/>
  <c r="J125" i="56"/>
  <c r="H125" i="56"/>
  <c r="J124" i="56"/>
  <c r="H124" i="56"/>
  <c r="J123" i="56"/>
  <c r="H123" i="56"/>
  <c r="J122" i="56"/>
  <c r="H122" i="56"/>
  <c r="J121" i="56"/>
  <c r="H121" i="56"/>
  <c r="J120" i="56"/>
  <c r="H120" i="56"/>
  <c r="J119" i="56"/>
  <c r="H119" i="56"/>
  <c r="J118" i="56"/>
  <c r="H118" i="56"/>
  <c r="J117" i="56"/>
  <c r="H117" i="56"/>
  <c r="J116" i="56"/>
  <c r="H116" i="56"/>
  <c r="J115" i="56"/>
  <c r="H115" i="56"/>
  <c r="J114" i="56"/>
  <c r="H114" i="56"/>
  <c r="J113" i="56"/>
  <c r="H113" i="56"/>
  <c r="J112" i="56"/>
  <c r="H112" i="56"/>
  <c r="J111" i="56"/>
  <c r="H111" i="56"/>
  <c r="J110" i="56"/>
  <c r="H110" i="56"/>
  <c r="J109" i="56"/>
  <c r="H109" i="56"/>
  <c r="J108" i="56"/>
  <c r="H108" i="56"/>
  <c r="J107" i="56"/>
  <c r="H107" i="56"/>
  <c r="J106" i="56"/>
  <c r="H106" i="56"/>
  <c r="J105" i="56"/>
  <c r="H105" i="56"/>
  <c r="J104" i="56"/>
  <c r="H104" i="56"/>
  <c r="J103" i="56"/>
  <c r="H103" i="56"/>
  <c r="J102" i="56"/>
  <c r="H102" i="56"/>
  <c r="J101" i="56"/>
  <c r="H101" i="56"/>
  <c r="J100" i="56"/>
  <c r="H100" i="56"/>
  <c r="J99" i="56"/>
  <c r="H99" i="56"/>
  <c r="J98" i="56"/>
  <c r="H98" i="56"/>
  <c r="J97" i="56"/>
  <c r="H97" i="56"/>
  <c r="J96" i="56"/>
  <c r="H96" i="56"/>
  <c r="J95" i="56"/>
  <c r="H95" i="56"/>
  <c r="J94" i="56"/>
  <c r="H94" i="56"/>
  <c r="J93" i="56"/>
  <c r="H93" i="56"/>
  <c r="J92" i="56"/>
  <c r="H92" i="56"/>
  <c r="J91" i="56"/>
  <c r="H91" i="56"/>
  <c r="J90" i="56"/>
  <c r="H90" i="56"/>
  <c r="J89" i="56"/>
  <c r="H89" i="56"/>
  <c r="J88" i="56"/>
  <c r="H88" i="56"/>
  <c r="J87" i="56"/>
  <c r="H87" i="56"/>
  <c r="J86" i="56"/>
  <c r="H86" i="56"/>
  <c r="J85" i="56"/>
  <c r="H85" i="56"/>
  <c r="J84" i="56"/>
  <c r="H84" i="56"/>
  <c r="J83" i="56"/>
  <c r="H83" i="56"/>
  <c r="J82" i="56"/>
  <c r="H82" i="56"/>
  <c r="J81" i="56"/>
  <c r="H81" i="56"/>
  <c r="J80" i="56"/>
  <c r="H80" i="56"/>
  <c r="J79" i="56"/>
  <c r="H79" i="56"/>
  <c r="J78" i="56"/>
  <c r="H78" i="56"/>
  <c r="J77" i="56"/>
  <c r="H77" i="56"/>
  <c r="J76" i="56"/>
  <c r="H76" i="56"/>
  <c r="J75" i="56"/>
  <c r="H75" i="56"/>
  <c r="J74" i="56"/>
  <c r="H74" i="56"/>
  <c r="J73" i="56"/>
  <c r="H73" i="56"/>
  <c r="J72" i="56"/>
  <c r="H72" i="56"/>
  <c r="J71" i="56"/>
  <c r="H71" i="56"/>
  <c r="J70" i="56"/>
  <c r="H70" i="56"/>
  <c r="J69" i="56"/>
  <c r="H69" i="56"/>
  <c r="J68" i="56"/>
  <c r="H68" i="56"/>
  <c r="J67" i="56"/>
  <c r="H67" i="56"/>
  <c r="J66" i="56"/>
  <c r="H66" i="56"/>
  <c r="J65" i="56"/>
  <c r="H65" i="56"/>
  <c r="J64" i="56"/>
  <c r="H64" i="56"/>
  <c r="J63" i="56"/>
  <c r="H63" i="56"/>
  <c r="J62" i="56"/>
  <c r="H62" i="56"/>
  <c r="J61" i="56"/>
  <c r="H61" i="56"/>
  <c r="J60" i="56"/>
  <c r="H60" i="56"/>
  <c r="J59" i="56"/>
  <c r="H59" i="56"/>
  <c r="J58" i="56"/>
  <c r="H58" i="56"/>
  <c r="J57" i="56"/>
  <c r="H57" i="56"/>
  <c r="J56" i="56"/>
  <c r="H56" i="56"/>
  <c r="J55" i="56"/>
  <c r="H55" i="56"/>
  <c r="J54" i="56"/>
  <c r="H54" i="56"/>
  <c r="J53" i="56"/>
  <c r="H53" i="56"/>
  <c r="J52" i="56"/>
  <c r="H52" i="56"/>
  <c r="J51" i="56"/>
  <c r="H51" i="56"/>
  <c r="J50" i="56"/>
  <c r="H50" i="56"/>
  <c r="J49" i="56"/>
  <c r="H49" i="56"/>
  <c r="J48" i="56"/>
  <c r="H48" i="56"/>
  <c r="J47" i="56"/>
  <c r="H47" i="56"/>
  <c r="J46" i="56"/>
  <c r="H46" i="56"/>
  <c r="J45" i="56"/>
  <c r="H45" i="56"/>
  <c r="J44" i="56"/>
  <c r="H44" i="56"/>
  <c r="J43" i="56"/>
  <c r="H43" i="56"/>
  <c r="L42" i="56"/>
  <c r="L41" i="56"/>
  <c r="L40" i="56"/>
  <c r="L39" i="56"/>
  <c r="L38" i="56"/>
  <c r="L37" i="56"/>
  <c r="L36" i="56"/>
  <c r="L35" i="56"/>
  <c r="L34" i="56"/>
  <c r="L33" i="56"/>
  <c r="L32" i="56"/>
  <c r="L31" i="56"/>
  <c r="L30" i="56"/>
  <c r="L29" i="56"/>
  <c r="L28" i="56"/>
  <c r="L27" i="56"/>
  <c r="L26" i="56"/>
  <c r="L25" i="56"/>
  <c r="L24" i="56"/>
  <c r="L23" i="56"/>
  <c r="L22" i="56"/>
  <c r="L21" i="56"/>
  <c r="L20" i="56"/>
  <c r="L19" i="56"/>
  <c r="L18" i="56"/>
  <c r="L17" i="56"/>
  <c r="L16" i="56"/>
  <c r="L15" i="56"/>
  <c r="L14" i="56"/>
  <c r="L13" i="56"/>
  <c r="L12" i="56"/>
  <c r="L11" i="56"/>
  <c r="L10" i="56"/>
  <c r="L9" i="56"/>
  <c r="L8" i="56"/>
  <c r="L7" i="56"/>
  <c r="L6" i="56"/>
  <c r="L5" i="56"/>
  <c r="L4" i="56"/>
  <c r="L3" i="56"/>
  <c r="L2" i="56"/>
  <c r="A2" i="56"/>
  <c r="A1" i="56"/>
  <c r="AL2" i="45"/>
  <c r="AA2" i="45"/>
  <c r="P2" i="45"/>
  <c r="K2" i="45"/>
  <c r="J2" i="45"/>
  <c r="I2" i="45"/>
  <c r="H2" i="45"/>
  <c r="C2" i="45"/>
  <c r="B2" i="45"/>
  <c r="AM380" i="33"/>
  <c r="AM379" i="33"/>
  <c r="AM378" i="33"/>
  <c r="AM377" i="33"/>
  <c r="AM376" i="33"/>
  <c r="AM375" i="33"/>
  <c r="AM374" i="33"/>
  <c r="AM373" i="33"/>
  <c r="AM372" i="33"/>
  <c r="AM371" i="33"/>
  <c r="AM370" i="33"/>
  <c r="AM369" i="33"/>
  <c r="AM368" i="33"/>
  <c r="AM367" i="33"/>
  <c r="AM366" i="33"/>
  <c r="AM365" i="33"/>
  <c r="AM364" i="33"/>
  <c r="AM363" i="33"/>
  <c r="AM362" i="33"/>
  <c r="AM361" i="33"/>
  <c r="AM360" i="33"/>
  <c r="AM359" i="33"/>
  <c r="AM358" i="33"/>
  <c r="AM357" i="33"/>
  <c r="AM356" i="33"/>
  <c r="AM355" i="33"/>
  <c r="AM354" i="33"/>
  <c r="AM353" i="33"/>
  <c r="AM352" i="33"/>
  <c r="AM351" i="33"/>
  <c r="AM350" i="33"/>
  <c r="AM349" i="33"/>
  <c r="AM348" i="33"/>
  <c r="AM347" i="33"/>
  <c r="AM346" i="33"/>
  <c r="AM345" i="33"/>
  <c r="AM344" i="33"/>
  <c r="AM343" i="33"/>
  <c r="AM342" i="33"/>
  <c r="AM341" i="33"/>
  <c r="AM340" i="33"/>
  <c r="AM339" i="33"/>
  <c r="AM338" i="33"/>
  <c r="AM337" i="33"/>
  <c r="AM336" i="33"/>
  <c r="AM335" i="33"/>
  <c r="AM334" i="33"/>
  <c r="AM333" i="33"/>
  <c r="AM332" i="33"/>
  <c r="AM331" i="33"/>
  <c r="AM330" i="33"/>
  <c r="AM329" i="33"/>
  <c r="AM328" i="33"/>
  <c r="AM327" i="33"/>
  <c r="AM326" i="33"/>
  <c r="AM325" i="33"/>
  <c r="AM324" i="33"/>
  <c r="AM323" i="33"/>
  <c r="AM322" i="33"/>
  <c r="AM321" i="33"/>
  <c r="AM320" i="33"/>
  <c r="AM319" i="33"/>
  <c r="AM318" i="33"/>
  <c r="AM317" i="33"/>
  <c r="AM316" i="33"/>
  <c r="AM315" i="33"/>
  <c r="AM314" i="33"/>
  <c r="AM313" i="33"/>
  <c r="AM312" i="33"/>
  <c r="AM311" i="33"/>
  <c r="AM310" i="33"/>
  <c r="AM309" i="33"/>
  <c r="AM308" i="33"/>
  <c r="AM307" i="33"/>
  <c r="AM306" i="33"/>
  <c r="AM305" i="33"/>
  <c r="AM304" i="33"/>
  <c r="AM303" i="33"/>
  <c r="AM302" i="33"/>
  <c r="AM301" i="33"/>
  <c r="AM300" i="33"/>
  <c r="AM299" i="33"/>
  <c r="AM298" i="33"/>
  <c r="AM297" i="33"/>
  <c r="AM296" i="33"/>
  <c r="AM295" i="33"/>
  <c r="AM294" i="33"/>
  <c r="AM293" i="33"/>
  <c r="AM292" i="33"/>
  <c r="AM291" i="33"/>
  <c r="AM290" i="33"/>
  <c r="AM289" i="33"/>
  <c r="AM288" i="33"/>
  <c r="AM287" i="33"/>
  <c r="AM286" i="33"/>
  <c r="AM285" i="33"/>
  <c r="AM284" i="33"/>
  <c r="AM283" i="33"/>
  <c r="AM282" i="33"/>
  <c r="AM281" i="33"/>
  <c r="AM280" i="33"/>
  <c r="AM279" i="33"/>
  <c r="AM278" i="33"/>
  <c r="AM277" i="33"/>
  <c r="AM276" i="33"/>
  <c r="AM275" i="33"/>
  <c r="AM274" i="33"/>
  <c r="AM273" i="33"/>
  <c r="AM272" i="33"/>
  <c r="AM271" i="33"/>
  <c r="AM270" i="33"/>
  <c r="AM269" i="33"/>
  <c r="AM268" i="33"/>
  <c r="AM267" i="33"/>
  <c r="AM266" i="33"/>
  <c r="AM265" i="33"/>
  <c r="AM264" i="33"/>
  <c r="AM263" i="33"/>
  <c r="AM262" i="33"/>
  <c r="AM261" i="33"/>
  <c r="AM260" i="33"/>
  <c r="AM259" i="33"/>
  <c r="AM258" i="33"/>
  <c r="AM257" i="33"/>
  <c r="AM256" i="33"/>
  <c r="AM255" i="33"/>
  <c r="AM254" i="33"/>
  <c r="AM253" i="33"/>
  <c r="AM252" i="33"/>
  <c r="AM251" i="33"/>
  <c r="AM250" i="33"/>
  <c r="AM249" i="33"/>
  <c r="AM248" i="33"/>
  <c r="AM247" i="33"/>
  <c r="AM246" i="33"/>
  <c r="AM245" i="33"/>
  <c r="AM244" i="33"/>
  <c r="AM243" i="33"/>
  <c r="AM242" i="33"/>
  <c r="AM241" i="33"/>
  <c r="AM240" i="33"/>
  <c r="AM239" i="33"/>
  <c r="AM238" i="33"/>
  <c r="AM237" i="33"/>
  <c r="AM236" i="33"/>
  <c r="AM235" i="33"/>
  <c r="AM234" i="33"/>
  <c r="AM233" i="33"/>
  <c r="AM232" i="33"/>
  <c r="AM231" i="33"/>
  <c r="AM230" i="33"/>
  <c r="AM229" i="33"/>
  <c r="AM228" i="33"/>
  <c r="AM227" i="33"/>
  <c r="AM226" i="33"/>
  <c r="AM225" i="33"/>
  <c r="AM224" i="33"/>
  <c r="AM223" i="33"/>
  <c r="AM222" i="33"/>
  <c r="AM221" i="33"/>
  <c r="AM220" i="33"/>
  <c r="AM219" i="33"/>
  <c r="AM218" i="33"/>
  <c r="AM217" i="33"/>
  <c r="AM216" i="33"/>
  <c r="AM215" i="33"/>
  <c r="AM214" i="33"/>
  <c r="AM213" i="33"/>
  <c r="AM212" i="33"/>
  <c r="AM211" i="33"/>
  <c r="AM210" i="33"/>
  <c r="AM209" i="33"/>
  <c r="AM208" i="33"/>
  <c r="AM207" i="33"/>
  <c r="AM206" i="33"/>
  <c r="AM205" i="33"/>
  <c r="AM204" i="33"/>
  <c r="AM203" i="33"/>
  <c r="AM202" i="33"/>
  <c r="AM201" i="33"/>
  <c r="AM200" i="33"/>
  <c r="AM199" i="33"/>
  <c r="AM198" i="33"/>
  <c r="AM197" i="33"/>
  <c r="AM196" i="33"/>
  <c r="AM195" i="33"/>
  <c r="AM194" i="33"/>
  <c r="AM193" i="33"/>
  <c r="AM192" i="33"/>
  <c r="AM191" i="33"/>
  <c r="AM190" i="33"/>
  <c r="AM189" i="33"/>
  <c r="AM188" i="33"/>
  <c r="AM187" i="33"/>
  <c r="AM186" i="33"/>
  <c r="AM185" i="33"/>
  <c r="AM184" i="33"/>
  <c r="AM183" i="33"/>
  <c r="AM182" i="33"/>
  <c r="AM181" i="33"/>
  <c r="AM180" i="33"/>
  <c r="AM179" i="33"/>
  <c r="AM178" i="33"/>
  <c r="AM177" i="33"/>
  <c r="AM176" i="33"/>
  <c r="AM175" i="33"/>
  <c r="AM174" i="33"/>
  <c r="AM173" i="33"/>
  <c r="AM172" i="33"/>
  <c r="AM171" i="33"/>
  <c r="AM170" i="33"/>
  <c r="AM169" i="33"/>
  <c r="AM168" i="33"/>
  <c r="AM167" i="33"/>
  <c r="AM166" i="33"/>
  <c r="AM165" i="33"/>
  <c r="AM164" i="33"/>
  <c r="AM163" i="33"/>
  <c r="AM162" i="33"/>
  <c r="AM161" i="33"/>
  <c r="AM160" i="33"/>
  <c r="AM159" i="33"/>
  <c r="AM158" i="33"/>
  <c r="AM157" i="33"/>
  <c r="AM156" i="33"/>
  <c r="AM155" i="33"/>
  <c r="AM154" i="33"/>
  <c r="AM153" i="33"/>
  <c r="AM152" i="33"/>
  <c r="AM151" i="33"/>
  <c r="AM150" i="33"/>
  <c r="AM149" i="33"/>
  <c r="AM148" i="33"/>
  <c r="AM147" i="33"/>
  <c r="AM146" i="33"/>
  <c r="AM145" i="33"/>
  <c r="AM144" i="33"/>
  <c r="AM143" i="33"/>
  <c r="AM142" i="33"/>
  <c r="AM141" i="33"/>
  <c r="AM140" i="33"/>
  <c r="AM139" i="33"/>
  <c r="AM138" i="33"/>
  <c r="AM137" i="33"/>
  <c r="AM136" i="33"/>
  <c r="AM135" i="33"/>
  <c r="AM134" i="33"/>
  <c r="AM133" i="33"/>
  <c r="AM132" i="33"/>
  <c r="AM131" i="33"/>
  <c r="AM130" i="33"/>
  <c r="AM129" i="33"/>
  <c r="AM128" i="33"/>
  <c r="AM127" i="33"/>
  <c r="AM126" i="33"/>
  <c r="AM125" i="33"/>
  <c r="AM124" i="33"/>
  <c r="AM123" i="33"/>
  <c r="AM122" i="33"/>
  <c r="AM121" i="33"/>
  <c r="AM120" i="33"/>
  <c r="AM119" i="33"/>
  <c r="AM118" i="33"/>
  <c r="AM117" i="33"/>
  <c r="AM116" i="33"/>
  <c r="AM115" i="33"/>
  <c r="AM114" i="33"/>
  <c r="AM113" i="33"/>
  <c r="AM112" i="33"/>
  <c r="AM111" i="33"/>
  <c r="AM110" i="33"/>
  <c r="AM109" i="33"/>
  <c r="AM108" i="33"/>
  <c r="AM107" i="33"/>
  <c r="AM106" i="33"/>
  <c r="AM105" i="33"/>
  <c r="AM104" i="33"/>
  <c r="AM103" i="33"/>
  <c r="AM102" i="33"/>
  <c r="AM101" i="33"/>
  <c r="AM100" i="33"/>
  <c r="AM99" i="33"/>
  <c r="AM98" i="33"/>
  <c r="AM97" i="33"/>
  <c r="AM96" i="33"/>
  <c r="AM95" i="33"/>
  <c r="AM94" i="33"/>
  <c r="AM93" i="33"/>
  <c r="AM92" i="33"/>
  <c r="AM91" i="33"/>
  <c r="AM90" i="33"/>
  <c r="AM89" i="33"/>
  <c r="AM88" i="33"/>
  <c r="AM87" i="33"/>
  <c r="AM86" i="33"/>
  <c r="AM85" i="33"/>
  <c r="AM84" i="33"/>
  <c r="AM83" i="33"/>
  <c r="AM82" i="33"/>
  <c r="AM81" i="33"/>
  <c r="AM80" i="33"/>
  <c r="AM79" i="33"/>
  <c r="AM78" i="33"/>
  <c r="AM77" i="33"/>
  <c r="AM76" i="33"/>
  <c r="AM75" i="33"/>
  <c r="AM74" i="33"/>
  <c r="AM73" i="33"/>
  <c r="AM72" i="33"/>
  <c r="AM71" i="33"/>
  <c r="AM70" i="33"/>
  <c r="AM69" i="33"/>
  <c r="AM68" i="33"/>
  <c r="AM67" i="33"/>
  <c r="AM66" i="33"/>
  <c r="AM65" i="33"/>
  <c r="AM64" i="33"/>
  <c r="AM63" i="33"/>
  <c r="AM62" i="33"/>
  <c r="AM61" i="33"/>
  <c r="AM60" i="33"/>
  <c r="AM59" i="33"/>
  <c r="AM58" i="33"/>
  <c r="AM57" i="33"/>
  <c r="AM56" i="33"/>
  <c r="AM55" i="33"/>
  <c r="AM54" i="33"/>
  <c r="AM53" i="33"/>
  <c r="AM52" i="33"/>
  <c r="AM51" i="33"/>
  <c r="AM50" i="33"/>
  <c r="AM49" i="33"/>
  <c r="AM48" i="33"/>
  <c r="AM47" i="33"/>
  <c r="AM46" i="33"/>
  <c r="AM45" i="33"/>
  <c r="AM44" i="33"/>
  <c r="AM43" i="33"/>
  <c r="AM42" i="33"/>
  <c r="AM41" i="33"/>
  <c r="AM40" i="33"/>
  <c r="AM39" i="33"/>
  <c r="AM38" i="33"/>
  <c r="AM37" i="33"/>
  <c r="AM36" i="33"/>
  <c r="F36" i="33"/>
  <c r="F35" i="33" s="1"/>
  <c r="AM35" i="33"/>
  <c r="AM34" i="33"/>
  <c r="AM33" i="33"/>
  <c r="F33" i="33"/>
  <c r="AM32" i="33"/>
  <c r="AM31" i="33"/>
  <c r="F31" i="33"/>
  <c r="AM30" i="33"/>
  <c r="AM29" i="33"/>
  <c r="AM28" i="33"/>
  <c r="AM27" i="33"/>
  <c r="AM26" i="33"/>
  <c r="AM25" i="33"/>
  <c r="AM24" i="33"/>
  <c r="AM23" i="33"/>
  <c r="AM22" i="33"/>
  <c r="AM21" i="33"/>
  <c r="AM20" i="33"/>
  <c r="AM19" i="33"/>
  <c r="AM18" i="33"/>
  <c r="AM17" i="33"/>
  <c r="AM16" i="33"/>
  <c r="AM15" i="33"/>
  <c r="AM14" i="33"/>
  <c r="AM13" i="33"/>
  <c r="AM12" i="33"/>
  <c r="AM11" i="33"/>
  <c r="AM10" i="33"/>
  <c r="AM9" i="33"/>
  <c r="AM8" i="33"/>
  <c r="AM7" i="33"/>
  <c r="AM6" i="33"/>
  <c r="AM5" i="33"/>
  <c r="AM4" i="33"/>
  <c r="AA4" i="33"/>
  <c r="AM3" i="33"/>
  <c r="AM2" i="33"/>
  <c r="AL2" i="33" a="1"/>
  <c r="AL1" i="33"/>
  <c r="AE1" i="33"/>
  <c r="B8" i="65"/>
  <c r="B7" i="65"/>
  <c r="B6" i="65"/>
  <c r="B5" i="65"/>
  <c r="B4" i="65"/>
  <c r="B3" i="65"/>
  <c r="B2" i="65"/>
  <c r="B1" i="65" a="1"/>
  <c r="J53" i="78"/>
  <c r="C53" i="78"/>
  <c r="J52" i="78"/>
  <c r="C52" i="78"/>
  <c r="J51" i="78"/>
  <c r="C51" i="78"/>
  <c r="J50" i="78"/>
  <c r="C50" i="78"/>
  <c r="J49" i="78"/>
  <c r="C49" i="78"/>
  <c r="J48" i="78"/>
  <c r="C48" i="78"/>
  <c r="J47" i="78"/>
  <c r="C47" i="78"/>
  <c r="J46" i="78"/>
  <c r="C46" i="78"/>
  <c r="J45" i="78"/>
  <c r="C45" i="78"/>
  <c r="J44" i="78"/>
  <c r="C44" i="78"/>
  <c r="J43" i="78"/>
  <c r="C43" i="78"/>
  <c r="J42" i="78"/>
  <c r="C42" i="78"/>
  <c r="J35" i="78"/>
  <c r="C35" i="78"/>
  <c r="J34" i="78"/>
  <c r="C34" i="78"/>
  <c r="J33" i="78"/>
  <c r="C33" i="78"/>
  <c r="J32" i="78"/>
  <c r="C32" i="78"/>
  <c r="J31" i="78"/>
  <c r="C31" i="78"/>
  <c r="J30" i="78"/>
  <c r="C30" i="78"/>
  <c r="J29" i="78"/>
  <c r="C29" i="78"/>
  <c r="J28" i="78"/>
  <c r="C28" i="78"/>
  <c r="J27" i="78"/>
  <c r="C27" i="78"/>
  <c r="J26" i="78"/>
  <c r="C26" i="78"/>
  <c r="J25" i="78"/>
  <c r="C25" i="78"/>
  <c r="J24" i="78"/>
  <c r="C24" i="78"/>
  <c r="J17" i="78"/>
  <c r="J16" i="78"/>
  <c r="J15" i="78"/>
  <c r="J14" i="78"/>
  <c r="J13" i="78"/>
  <c r="J12" i="78"/>
  <c r="J11" i="78"/>
  <c r="J10" i="78"/>
  <c r="J9" i="78"/>
  <c r="J8" i="78"/>
  <c r="J7" i="78"/>
  <c r="J6" i="78"/>
  <c r="I57" i="76"/>
  <c r="H57" i="76"/>
  <c r="G57" i="76"/>
  <c r="F57" i="76"/>
  <c r="E57" i="76"/>
  <c r="D57" i="76"/>
  <c r="I56" i="76"/>
  <c r="H56" i="76"/>
  <c r="G56" i="76"/>
  <c r="F56" i="76"/>
  <c r="E56" i="76"/>
  <c r="D56" i="76"/>
  <c r="I55" i="76"/>
  <c r="H55" i="76"/>
  <c r="G55" i="76"/>
  <c r="F55" i="76"/>
  <c r="E55" i="76"/>
  <c r="D55" i="76"/>
  <c r="I54" i="76"/>
  <c r="H54" i="76"/>
  <c r="G54" i="76"/>
  <c r="F54" i="76"/>
  <c r="E54" i="76"/>
  <c r="D54" i="76"/>
  <c r="I53" i="76"/>
  <c r="H53" i="76"/>
  <c r="G53" i="76"/>
  <c r="F53" i="76"/>
  <c r="E53" i="76"/>
  <c r="D53" i="76"/>
  <c r="I52" i="76"/>
  <c r="H52" i="76"/>
  <c r="G52" i="76"/>
  <c r="F52" i="76"/>
  <c r="E52" i="76"/>
  <c r="D52" i="76"/>
  <c r="I51" i="76"/>
  <c r="H51" i="76"/>
  <c r="G51" i="76"/>
  <c r="F51" i="76"/>
  <c r="E51" i="76"/>
  <c r="D51" i="76"/>
  <c r="I50" i="76"/>
  <c r="H50" i="76"/>
  <c r="G50" i="76"/>
  <c r="F50" i="76"/>
  <c r="E50" i="76"/>
  <c r="D50" i="76"/>
  <c r="I49" i="76"/>
  <c r="H49" i="76"/>
  <c r="G49" i="76"/>
  <c r="F49" i="76"/>
  <c r="E49" i="76"/>
  <c r="D49" i="76"/>
  <c r="P42" i="76"/>
  <c r="O42" i="76"/>
  <c r="N42" i="76"/>
  <c r="M42" i="76"/>
  <c r="K42" i="76"/>
  <c r="J42" i="76"/>
  <c r="I42" i="76"/>
  <c r="H42" i="76"/>
  <c r="G42" i="76"/>
  <c r="F42" i="76"/>
  <c r="E42" i="76"/>
  <c r="D42" i="76"/>
  <c r="P41" i="76"/>
  <c r="O41" i="76"/>
  <c r="N41" i="76"/>
  <c r="M41" i="76"/>
  <c r="K41" i="76"/>
  <c r="J41" i="76"/>
  <c r="I41" i="76"/>
  <c r="H41" i="76"/>
  <c r="G41" i="76"/>
  <c r="F41" i="76"/>
  <c r="E41" i="76"/>
  <c r="D41" i="76"/>
  <c r="P40" i="76"/>
  <c r="O40" i="76"/>
  <c r="N40" i="76"/>
  <c r="M40" i="76"/>
  <c r="K40" i="76"/>
  <c r="J40" i="76"/>
  <c r="I40" i="76"/>
  <c r="H40" i="76"/>
  <c r="G40" i="76"/>
  <c r="F40" i="76"/>
  <c r="E40" i="76"/>
  <c r="D40" i="76"/>
  <c r="P39" i="76"/>
  <c r="O39" i="76"/>
  <c r="N39" i="76"/>
  <c r="M39" i="76"/>
  <c r="K39" i="76"/>
  <c r="J39" i="76"/>
  <c r="I39" i="76"/>
  <c r="H39" i="76"/>
  <c r="G39" i="76"/>
  <c r="F39" i="76"/>
  <c r="E39" i="76"/>
  <c r="D39" i="76"/>
  <c r="R38" i="76"/>
  <c r="P38" i="76"/>
  <c r="O38" i="76"/>
  <c r="N38" i="76"/>
  <c r="M38" i="76"/>
  <c r="K38" i="76"/>
  <c r="J38" i="76"/>
  <c r="I38" i="76"/>
  <c r="H38" i="76"/>
  <c r="G38" i="76"/>
  <c r="F38" i="76"/>
  <c r="E38" i="76"/>
  <c r="D38" i="76"/>
  <c r="P37" i="76"/>
  <c r="O37" i="76"/>
  <c r="N37" i="76"/>
  <c r="M37" i="76"/>
  <c r="K37" i="76"/>
  <c r="J37" i="76"/>
  <c r="I37" i="76"/>
  <c r="H37" i="76"/>
  <c r="G37" i="76"/>
  <c r="F37" i="76"/>
  <c r="E37" i="76"/>
  <c r="D37" i="76"/>
  <c r="R36" i="76"/>
  <c r="P36" i="76"/>
  <c r="O36" i="76"/>
  <c r="N36" i="76"/>
  <c r="M36" i="76"/>
  <c r="K36" i="76"/>
  <c r="J36" i="76"/>
  <c r="I36" i="76"/>
  <c r="H36" i="76"/>
  <c r="G36" i="76"/>
  <c r="F36" i="76"/>
  <c r="E36" i="76"/>
  <c r="D36" i="76"/>
  <c r="R35" i="76"/>
  <c r="P35" i="76"/>
  <c r="O35" i="76"/>
  <c r="N35" i="76"/>
  <c r="M35" i="76"/>
  <c r="K35" i="76"/>
  <c r="J35" i="76"/>
  <c r="I35" i="76"/>
  <c r="H35" i="76"/>
  <c r="G35" i="76"/>
  <c r="F35" i="76"/>
  <c r="E35" i="76"/>
  <c r="D35" i="76"/>
  <c r="R34" i="76"/>
  <c r="P34" i="76"/>
  <c r="O34" i="76"/>
  <c r="N34" i="76"/>
  <c r="M34" i="76"/>
  <c r="K34" i="76"/>
  <c r="J34" i="76"/>
  <c r="I34" i="76"/>
  <c r="H34" i="76"/>
  <c r="G34" i="76"/>
  <c r="F34" i="76"/>
  <c r="E34" i="76"/>
  <c r="D34" i="76"/>
  <c r="AO28" i="76"/>
  <c r="AN28" i="76"/>
  <c r="AM28" i="76"/>
  <c r="AJ28" i="76"/>
  <c r="AI28" i="76"/>
  <c r="AH28" i="76"/>
  <c r="AE28" i="76"/>
  <c r="AD28" i="76"/>
  <c r="AC28" i="76"/>
  <c r="Z28" i="76"/>
  <c r="Y28" i="76"/>
  <c r="X28" i="76"/>
  <c r="U28" i="76"/>
  <c r="T28" i="76"/>
  <c r="S28" i="76"/>
  <c r="P28" i="76"/>
  <c r="O28" i="76"/>
  <c r="N28" i="76"/>
  <c r="K28" i="76"/>
  <c r="J28" i="76"/>
  <c r="I28" i="76"/>
  <c r="F28" i="76"/>
  <c r="E28" i="76"/>
  <c r="D28" i="76"/>
  <c r="AO27" i="76"/>
  <c r="AN27" i="76"/>
  <c r="AM27" i="76"/>
  <c r="AJ27" i="76"/>
  <c r="AI27" i="76"/>
  <c r="AH27" i="76"/>
  <c r="AE27" i="76"/>
  <c r="AD27" i="76"/>
  <c r="AC27" i="76"/>
  <c r="Z27" i="76"/>
  <c r="Y27" i="76"/>
  <c r="X27" i="76"/>
  <c r="U27" i="76"/>
  <c r="T27" i="76"/>
  <c r="S27" i="76"/>
  <c r="P27" i="76"/>
  <c r="O27" i="76"/>
  <c r="N27" i="76"/>
  <c r="K27" i="76"/>
  <c r="J27" i="76"/>
  <c r="I27" i="76"/>
  <c r="F27" i="76"/>
  <c r="E27" i="76"/>
  <c r="D27" i="76"/>
  <c r="AO26" i="76"/>
  <c r="AN26" i="76"/>
  <c r="AM26" i="76"/>
  <c r="AJ26" i="76"/>
  <c r="AI26" i="76"/>
  <c r="AH26" i="76"/>
  <c r="AE26" i="76"/>
  <c r="AD26" i="76"/>
  <c r="AC26" i="76"/>
  <c r="Z26" i="76"/>
  <c r="Y26" i="76"/>
  <c r="X26" i="76"/>
  <c r="U26" i="76"/>
  <c r="T26" i="76"/>
  <c r="S26" i="76"/>
  <c r="P26" i="76"/>
  <c r="O26" i="76"/>
  <c r="N26" i="76"/>
  <c r="K26" i="76"/>
  <c r="J26" i="76"/>
  <c r="I26" i="76"/>
  <c r="F26" i="76"/>
  <c r="E26" i="76"/>
  <c r="D26" i="76"/>
  <c r="AO25" i="76"/>
  <c r="AN25" i="76"/>
  <c r="AM25" i="76"/>
  <c r="AJ25" i="76"/>
  <c r="AI25" i="76"/>
  <c r="AH25" i="76"/>
  <c r="AE25" i="76"/>
  <c r="AD25" i="76"/>
  <c r="AC25" i="76"/>
  <c r="Z25" i="76"/>
  <c r="Y25" i="76"/>
  <c r="X25" i="76"/>
  <c r="U25" i="76"/>
  <c r="T25" i="76"/>
  <c r="S25" i="76"/>
  <c r="P25" i="76"/>
  <c r="O25" i="76"/>
  <c r="N25" i="76"/>
  <c r="K25" i="76"/>
  <c r="J25" i="76"/>
  <c r="I25" i="76"/>
  <c r="F25" i="76"/>
  <c r="E25" i="76"/>
  <c r="D25" i="76"/>
  <c r="AO24" i="76"/>
  <c r="AN24" i="76"/>
  <c r="AM24" i="76"/>
  <c r="AJ24" i="76"/>
  <c r="AI24" i="76"/>
  <c r="AH24" i="76"/>
  <c r="AE24" i="76"/>
  <c r="AD24" i="76"/>
  <c r="AC24" i="76"/>
  <c r="Z24" i="76"/>
  <c r="Y24" i="76"/>
  <c r="X24" i="76"/>
  <c r="U24" i="76"/>
  <c r="T24" i="76"/>
  <c r="S24" i="76"/>
  <c r="P24" i="76"/>
  <c r="O24" i="76"/>
  <c r="N24" i="76"/>
  <c r="K24" i="76"/>
  <c r="J24" i="76"/>
  <c r="I24" i="76"/>
  <c r="F24" i="76"/>
  <c r="E24" i="76"/>
  <c r="D24" i="76"/>
  <c r="AO23" i="76"/>
  <c r="AN23" i="76"/>
  <c r="AM23" i="76"/>
  <c r="AJ23" i="76"/>
  <c r="AI23" i="76"/>
  <c r="AH23" i="76"/>
  <c r="AE23" i="76"/>
  <c r="AD23" i="76"/>
  <c r="AC23" i="76"/>
  <c r="Z23" i="76"/>
  <c r="Y23" i="76"/>
  <c r="X23" i="76"/>
  <c r="U23" i="76"/>
  <c r="T23" i="76"/>
  <c r="S23" i="76"/>
  <c r="P23" i="76"/>
  <c r="O23" i="76"/>
  <c r="N23" i="76"/>
  <c r="K23" i="76"/>
  <c r="J23" i="76"/>
  <c r="I23" i="76"/>
  <c r="F23" i="76"/>
  <c r="E23" i="76"/>
  <c r="D23" i="76"/>
  <c r="AO22" i="76"/>
  <c r="AN22" i="76"/>
  <c r="AM22" i="76"/>
  <c r="AJ22" i="76"/>
  <c r="AI22" i="76"/>
  <c r="AH22" i="76"/>
  <c r="AE22" i="76"/>
  <c r="AD22" i="76"/>
  <c r="AC22" i="76"/>
  <c r="Z22" i="76"/>
  <c r="Y22" i="76"/>
  <c r="X22" i="76"/>
  <c r="U22" i="76"/>
  <c r="T22" i="76"/>
  <c r="S22" i="76"/>
  <c r="P22" i="76"/>
  <c r="O22" i="76"/>
  <c r="N22" i="76"/>
  <c r="K22" i="76"/>
  <c r="J22" i="76"/>
  <c r="I22" i="76"/>
  <c r="F22" i="76"/>
  <c r="E22" i="76"/>
  <c r="D22" i="76"/>
  <c r="AO21" i="76"/>
  <c r="AN21" i="76"/>
  <c r="AM21" i="76"/>
  <c r="AJ21" i="76"/>
  <c r="AI21" i="76"/>
  <c r="AH21" i="76"/>
  <c r="AE21" i="76"/>
  <c r="AD21" i="76"/>
  <c r="AC21" i="76"/>
  <c r="Z21" i="76"/>
  <c r="Y21" i="76"/>
  <c r="X21" i="76"/>
  <c r="U21" i="76"/>
  <c r="T21" i="76"/>
  <c r="S21" i="76"/>
  <c r="P21" i="76"/>
  <c r="O21" i="76"/>
  <c r="N21" i="76"/>
  <c r="K21" i="76"/>
  <c r="J21" i="76"/>
  <c r="I21" i="76"/>
  <c r="F21" i="76"/>
  <c r="E21" i="76"/>
  <c r="D21" i="76"/>
  <c r="AO20" i="76"/>
  <c r="AN20" i="76"/>
  <c r="AM20" i="76"/>
  <c r="AJ20" i="76"/>
  <c r="AI20" i="76"/>
  <c r="AH20" i="76"/>
  <c r="AE20" i="76"/>
  <c r="AD20" i="76"/>
  <c r="AC20" i="76"/>
  <c r="Z20" i="76"/>
  <c r="Y20" i="76"/>
  <c r="X20" i="76"/>
  <c r="U20" i="76"/>
  <c r="T20" i="76"/>
  <c r="S20" i="76"/>
  <c r="P20" i="76"/>
  <c r="O20" i="76"/>
  <c r="N20" i="76"/>
  <c r="K20" i="76"/>
  <c r="J20" i="76"/>
  <c r="I20" i="76"/>
  <c r="F20" i="76"/>
  <c r="E20" i="76"/>
  <c r="D20" i="76"/>
  <c r="I18" i="76"/>
  <c r="D18" i="76"/>
  <c r="B15" i="76"/>
  <c r="CD13" i="76"/>
  <c r="CC13" i="76"/>
  <c r="CB13" i="76"/>
  <c r="CA13" i="76"/>
  <c r="BZ13" i="76"/>
  <c r="BY13" i="76"/>
  <c r="BX13" i="76"/>
  <c r="BW13" i="76"/>
  <c r="BV13" i="76"/>
  <c r="BT13" i="76"/>
  <c r="BS13" i="76"/>
  <c r="BR13" i="76"/>
  <c r="BQ13" i="76"/>
  <c r="BP13" i="76"/>
  <c r="BO13" i="76"/>
  <c r="BN13" i="76"/>
  <c r="BM13" i="76"/>
  <c r="BL13" i="76"/>
  <c r="BJ13" i="76"/>
  <c r="BI13" i="76"/>
  <c r="BH13" i="76"/>
  <c r="BG13" i="76"/>
  <c r="BF13" i="76"/>
  <c r="BE13" i="76"/>
  <c r="BD13" i="76"/>
  <c r="BC13" i="76"/>
  <c r="BB13" i="76"/>
  <c r="AZ13" i="76"/>
  <c r="AY13" i="76"/>
  <c r="AX13" i="76"/>
  <c r="AW13" i="76"/>
  <c r="AV13" i="76"/>
  <c r="AU13" i="76"/>
  <c r="AT13" i="76"/>
  <c r="AS13" i="76"/>
  <c r="AR13" i="76"/>
  <c r="AP13" i="76"/>
  <c r="AO13" i="76"/>
  <c r="AN13" i="76"/>
  <c r="AM13" i="76"/>
  <c r="AL13" i="76"/>
  <c r="AK13" i="76"/>
  <c r="AJ13" i="76"/>
  <c r="AI13" i="76"/>
  <c r="AH13" i="76"/>
  <c r="AF13" i="76"/>
  <c r="AE13" i="76"/>
  <c r="AD13" i="76"/>
  <c r="AC13" i="76"/>
  <c r="AB13" i="76"/>
  <c r="AA13" i="76"/>
  <c r="Z13" i="76"/>
  <c r="Y13" i="76"/>
  <c r="X13" i="76"/>
  <c r="V13" i="76"/>
  <c r="U13" i="76"/>
  <c r="T13" i="76"/>
  <c r="S13" i="76"/>
  <c r="R13" i="76"/>
  <c r="Q13" i="76"/>
  <c r="P13" i="76"/>
  <c r="O13" i="76"/>
  <c r="N13" i="76"/>
  <c r="L13" i="76"/>
  <c r="K13" i="76"/>
  <c r="J13" i="76"/>
  <c r="I13" i="76"/>
  <c r="H13" i="76"/>
  <c r="G13" i="76"/>
  <c r="F13" i="76"/>
  <c r="E13" i="76"/>
  <c r="D13" i="76"/>
  <c r="CD12" i="76"/>
  <c r="CC12" i="76"/>
  <c r="CB12" i="76"/>
  <c r="CA12" i="76"/>
  <c r="BZ12" i="76"/>
  <c r="BY12" i="76"/>
  <c r="BX12" i="76"/>
  <c r="BW12" i="76"/>
  <c r="BV12" i="76"/>
  <c r="BT12" i="76"/>
  <c r="BS12" i="76"/>
  <c r="BR12" i="76"/>
  <c r="BQ12" i="76"/>
  <c r="BP12" i="76"/>
  <c r="BO12" i="76"/>
  <c r="BN12" i="76"/>
  <c r="BM12" i="76"/>
  <c r="BL12" i="76"/>
  <c r="BJ12" i="76"/>
  <c r="BI12" i="76"/>
  <c r="BH12" i="76"/>
  <c r="BG12" i="76"/>
  <c r="BF12" i="76"/>
  <c r="BE12" i="76"/>
  <c r="BD12" i="76"/>
  <c r="BC12" i="76"/>
  <c r="BB12" i="76"/>
  <c r="AZ12" i="76"/>
  <c r="AY12" i="76"/>
  <c r="AX12" i="76"/>
  <c r="AW12" i="76"/>
  <c r="AV12" i="76"/>
  <c r="AU12" i="76"/>
  <c r="AT12" i="76"/>
  <c r="AS12" i="76"/>
  <c r="AR12" i="76"/>
  <c r="AP12" i="76"/>
  <c r="AO12" i="76"/>
  <c r="AN12" i="76"/>
  <c r="AM12" i="76"/>
  <c r="AL12" i="76"/>
  <c r="AK12" i="76"/>
  <c r="AJ12" i="76"/>
  <c r="AI12" i="76"/>
  <c r="AH12" i="76"/>
  <c r="AF12" i="76"/>
  <c r="AE12" i="76"/>
  <c r="AD12" i="76"/>
  <c r="AC12" i="76"/>
  <c r="AB12" i="76"/>
  <c r="AA12" i="76"/>
  <c r="Z12" i="76"/>
  <c r="Y12" i="76"/>
  <c r="X12" i="76"/>
  <c r="V12" i="76"/>
  <c r="U12" i="76"/>
  <c r="T12" i="76"/>
  <c r="S12" i="76"/>
  <c r="R12" i="76"/>
  <c r="Q12" i="76"/>
  <c r="P12" i="76"/>
  <c r="O12" i="76"/>
  <c r="N12" i="76"/>
  <c r="L12" i="76"/>
  <c r="K12" i="76"/>
  <c r="J12" i="76"/>
  <c r="I12" i="76"/>
  <c r="H12" i="76"/>
  <c r="G12" i="76"/>
  <c r="F12" i="76"/>
  <c r="E12" i="76"/>
  <c r="D12" i="76"/>
  <c r="CD11" i="76"/>
  <c r="CC11" i="76"/>
  <c r="CB11" i="76"/>
  <c r="CA11" i="76"/>
  <c r="BZ11" i="76"/>
  <c r="BY11" i="76"/>
  <c r="BX11" i="76"/>
  <c r="BW11" i="76"/>
  <c r="BV11" i="76"/>
  <c r="BT11" i="76"/>
  <c r="BS11" i="76"/>
  <c r="BR11" i="76"/>
  <c r="BQ11" i="76"/>
  <c r="BP11" i="76"/>
  <c r="BO11" i="76"/>
  <c r="BN11" i="76"/>
  <c r="BM11" i="76"/>
  <c r="BL11" i="76"/>
  <c r="BJ11" i="76"/>
  <c r="BI11" i="76"/>
  <c r="BH11" i="76"/>
  <c r="BG11" i="76"/>
  <c r="BF11" i="76"/>
  <c r="BE11" i="76"/>
  <c r="BD11" i="76"/>
  <c r="BC11" i="76"/>
  <c r="BB11" i="76"/>
  <c r="AZ11" i="76"/>
  <c r="AY11" i="76"/>
  <c r="AX11" i="76"/>
  <c r="AW11" i="76"/>
  <c r="AV11" i="76"/>
  <c r="AU11" i="76"/>
  <c r="AT11" i="76"/>
  <c r="AS11" i="76"/>
  <c r="AR11" i="76"/>
  <c r="AP11" i="76"/>
  <c r="AO11" i="76"/>
  <c r="AN11" i="76"/>
  <c r="AM11" i="76"/>
  <c r="AL11" i="76"/>
  <c r="AK11" i="76"/>
  <c r="AJ11" i="76"/>
  <c r="AI11" i="76"/>
  <c r="AH11" i="76"/>
  <c r="AF11" i="76"/>
  <c r="AE11" i="76"/>
  <c r="AD11" i="76"/>
  <c r="AC11" i="76"/>
  <c r="AB11" i="76"/>
  <c r="AA11" i="76"/>
  <c r="Z11" i="76"/>
  <c r="Y11" i="76"/>
  <c r="X11" i="76"/>
  <c r="V11" i="76"/>
  <c r="U11" i="76"/>
  <c r="T11" i="76"/>
  <c r="S11" i="76"/>
  <c r="R11" i="76"/>
  <c r="Q11" i="76"/>
  <c r="P11" i="76"/>
  <c r="O11" i="76"/>
  <c r="N11" i="76"/>
  <c r="L11" i="76"/>
  <c r="K11" i="76"/>
  <c r="J11" i="76"/>
  <c r="I11" i="76"/>
  <c r="H11" i="76"/>
  <c r="G11" i="76"/>
  <c r="F11" i="76"/>
  <c r="E11" i="76"/>
  <c r="D11" i="76"/>
  <c r="CD10" i="76"/>
  <c r="CC10" i="76"/>
  <c r="CB10" i="76"/>
  <c r="CA10" i="76"/>
  <c r="BZ10" i="76"/>
  <c r="BY10" i="76"/>
  <c r="BX10" i="76"/>
  <c r="BW10" i="76"/>
  <c r="BV10" i="76"/>
  <c r="BT10" i="76"/>
  <c r="BS10" i="76"/>
  <c r="BR10" i="76"/>
  <c r="BQ10" i="76"/>
  <c r="BP10" i="76"/>
  <c r="BO10" i="76"/>
  <c r="BN10" i="76"/>
  <c r="BM10" i="76"/>
  <c r="BL10" i="76"/>
  <c r="BJ10" i="76"/>
  <c r="BI10" i="76"/>
  <c r="BH10" i="76"/>
  <c r="BG10" i="76"/>
  <c r="BF10" i="76"/>
  <c r="BE10" i="76"/>
  <c r="BD10" i="76"/>
  <c r="BC10" i="76"/>
  <c r="BB10" i="76"/>
  <c r="AZ10" i="76"/>
  <c r="AY10" i="76"/>
  <c r="AX10" i="76"/>
  <c r="AW10" i="76"/>
  <c r="AV10" i="76"/>
  <c r="AU10" i="76"/>
  <c r="AT10" i="76"/>
  <c r="AS10" i="76"/>
  <c r="AR10" i="76"/>
  <c r="AP10" i="76"/>
  <c r="AO10" i="76"/>
  <c r="AN10" i="76"/>
  <c r="AM10" i="76"/>
  <c r="AL10" i="76"/>
  <c r="AK10" i="76"/>
  <c r="AJ10" i="76"/>
  <c r="AI10" i="76"/>
  <c r="AH10" i="76"/>
  <c r="AF10" i="76"/>
  <c r="AE10" i="76"/>
  <c r="AD10" i="76"/>
  <c r="AC10" i="76"/>
  <c r="AB10" i="76"/>
  <c r="AA10" i="76"/>
  <c r="Z10" i="76"/>
  <c r="Y10" i="76"/>
  <c r="X10" i="76"/>
  <c r="V10" i="76"/>
  <c r="U10" i="76"/>
  <c r="T10" i="76"/>
  <c r="S10" i="76"/>
  <c r="R10" i="76"/>
  <c r="Q10" i="76"/>
  <c r="P10" i="76"/>
  <c r="O10" i="76"/>
  <c r="N10" i="76"/>
  <c r="L10" i="76"/>
  <c r="K10" i="76"/>
  <c r="J10" i="76"/>
  <c r="I10" i="76"/>
  <c r="H10" i="76"/>
  <c r="G10" i="76"/>
  <c r="F10" i="76"/>
  <c r="E10" i="76"/>
  <c r="D10" i="76"/>
  <c r="CD9" i="76"/>
  <c r="CC9" i="76"/>
  <c r="CB9" i="76"/>
  <c r="CA9" i="76"/>
  <c r="BZ9" i="76"/>
  <c r="BY9" i="76"/>
  <c r="BX9" i="76"/>
  <c r="BW9" i="76"/>
  <c r="BV9" i="76"/>
  <c r="BT9" i="76"/>
  <c r="BS9" i="76"/>
  <c r="BR9" i="76"/>
  <c r="BQ9" i="76"/>
  <c r="BP9" i="76"/>
  <c r="BO9" i="76"/>
  <c r="BN9" i="76"/>
  <c r="BM9" i="76"/>
  <c r="BL9" i="76"/>
  <c r="BJ9" i="76"/>
  <c r="BI9" i="76"/>
  <c r="BH9" i="76"/>
  <c r="BG9" i="76"/>
  <c r="BF9" i="76"/>
  <c r="BE9" i="76"/>
  <c r="BD9" i="76"/>
  <c r="BC9" i="76"/>
  <c r="BB9" i="76"/>
  <c r="AZ9" i="76"/>
  <c r="AY9" i="76"/>
  <c r="AX9" i="76"/>
  <c r="AW9" i="76"/>
  <c r="AV9" i="76"/>
  <c r="AU9" i="76"/>
  <c r="AT9" i="76"/>
  <c r="AS9" i="76"/>
  <c r="AR9" i="76"/>
  <c r="AP9" i="76"/>
  <c r="AO9" i="76"/>
  <c r="AN9" i="76"/>
  <c r="AM9" i="76"/>
  <c r="AL9" i="76"/>
  <c r="AK9" i="76"/>
  <c r="AJ9" i="76"/>
  <c r="AI9" i="76"/>
  <c r="AH9" i="76"/>
  <c r="AF9" i="76"/>
  <c r="AE9" i="76"/>
  <c r="AD9" i="76"/>
  <c r="AC9" i="76"/>
  <c r="AB9" i="76"/>
  <c r="AA9" i="76"/>
  <c r="Z9" i="76"/>
  <c r="Y9" i="76"/>
  <c r="X9" i="76"/>
  <c r="V9" i="76"/>
  <c r="U9" i="76"/>
  <c r="T9" i="76"/>
  <c r="S9" i="76"/>
  <c r="R9" i="76"/>
  <c r="Q9" i="76"/>
  <c r="P9" i="76"/>
  <c r="O9" i="76"/>
  <c r="N9" i="76"/>
  <c r="L9" i="76"/>
  <c r="K9" i="76"/>
  <c r="J9" i="76"/>
  <c r="I9" i="76"/>
  <c r="H9" i="76"/>
  <c r="G9" i="76"/>
  <c r="F9" i="76"/>
  <c r="E9" i="76"/>
  <c r="D9" i="76"/>
  <c r="CD8" i="76"/>
  <c r="CC8" i="76"/>
  <c r="CB8" i="76"/>
  <c r="CA8" i="76"/>
  <c r="BZ8" i="76"/>
  <c r="BY8" i="76"/>
  <c r="BX8" i="76"/>
  <c r="BW8" i="76"/>
  <c r="BV8" i="76"/>
  <c r="BT8" i="76"/>
  <c r="BS8" i="76"/>
  <c r="BR8" i="76"/>
  <c r="BQ8" i="76"/>
  <c r="BP8" i="76"/>
  <c r="BO8" i="76"/>
  <c r="BN8" i="76"/>
  <c r="BM8" i="76"/>
  <c r="BL8" i="76"/>
  <c r="BJ8" i="76"/>
  <c r="BI8" i="76"/>
  <c r="BH8" i="76"/>
  <c r="BG8" i="76"/>
  <c r="BF8" i="76"/>
  <c r="BE8" i="76"/>
  <c r="BD8" i="76"/>
  <c r="BC8" i="76"/>
  <c r="BB8" i="76"/>
  <c r="AZ8" i="76"/>
  <c r="AY8" i="76"/>
  <c r="AX8" i="76"/>
  <c r="AW8" i="76"/>
  <c r="AV8" i="76"/>
  <c r="AU8" i="76"/>
  <c r="AT8" i="76"/>
  <c r="AS8" i="76"/>
  <c r="AR8" i="76"/>
  <c r="AP8" i="76"/>
  <c r="AO8" i="76"/>
  <c r="AN8" i="76"/>
  <c r="AM8" i="76"/>
  <c r="AL8" i="76"/>
  <c r="AK8" i="76"/>
  <c r="AJ8" i="76"/>
  <c r="AI8" i="76"/>
  <c r="AH8" i="76"/>
  <c r="AF8" i="76"/>
  <c r="AE8" i="76"/>
  <c r="AD8" i="76"/>
  <c r="AC8" i="76"/>
  <c r="AB8" i="76"/>
  <c r="AA8" i="76"/>
  <c r="Z8" i="76"/>
  <c r="Y8" i="76"/>
  <c r="X8" i="76"/>
  <c r="V8" i="76"/>
  <c r="U8" i="76"/>
  <c r="T8" i="76"/>
  <c r="S8" i="76"/>
  <c r="R8" i="76"/>
  <c r="Q8" i="76"/>
  <c r="P8" i="76"/>
  <c r="O8" i="76"/>
  <c r="N8" i="76"/>
  <c r="L8" i="76"/>
  <c r="K8" i="76"/>
  <c r="J8" i="76"/>
  <c r="I8" i="76"/>
  <c r="H8" i="76"/>
  <c r="G8" i="76"/>
  <c r="F8" i="76"/>
  <c r="E8" i="76"/>
  <c r="D8" i="76"/>
  <c r="CD7" i="76"/>
  <c r="CC7" i="76"/>
  <c r="CB7" i="76"/>
  <c r="CA7" i="76"/>
  <c r="BZ7" i="76"/>
  <c r="BY7" i="76"/>
  <c r="BX7" i="76"/>
  <c r="BW7" i="76"/>
  <c r="BV7" i="76"/>
  <c r="BT7" i="76"/>
  <c r="BS7" i="76"/>
  <c r="BR7" i="76"/>
  <c r="BQ7" i="76"/>
  <c r="BP7" i="76"/>
  <c r="BO7" i="76"/>
  <c r="BN7" i="76"/>
  <c r="BM7" i="76"/>
  <c r="BL7" i="76"/>
  <c r="BJ7" i="76"/>
  <c r="BI7" i="76"/>
  <c r="BH7" i="76"/>
  <c r="BG7" i="76"/>
  <c r="BF7" i="76"/>
  <c r="BE7" i="76"/>
  <c r="BD7" i="76"/>
  <c r="BC7" i="76"/>
  <c r="BB7" i="76"/>
  <c r="AZ7" i="76"/>
  <c r="AY7" i="76"/>
  <c r="AX7" i="76"/>
  <c r="AW7" i="76"/>
  <c r="AV7" i="76"/>
  <c r="AU7" i="76"/>
  <c r="AT7" i="76"/>
  <c r="AS7" i="76"/>
  <c r="AR7" i="76"/>
  <c r="AP7" i="76"/>
  <c r="AO7" i="76"/>
  <c r="AN7" i="76"/>
  <c r="AM7" i="76"/>
  <c r="AL7" i="76"/>
  <c r="AK7" i="76"/>
  <c r="AJ7" i="76"/>
  <c r="AI7" i="76"/>
  <c r="AH7" i="76"/>
  <c r="AF7" i="76"/>
  <c r="AE7" i="76"/>
  <c r="AD7" i="76"/>
  <c r="AC7" i="76"/>
  <c r="AB7" i="76"/>
  <c r="AA7" i="76"/>
  <c r="Z7" i="76"/>
  <c r="Y7" i="76"/>
  <c r="X7" i="76"/>
  <c r="V7" i="76"/>
  <c r="U7" i="76"/>
  <c r="T7" i="76"/>
  <c r="S7" i="76"/>
  <c r="R7" i="76"/>
  <c r="Q7" i="76"/>
  <c r="P7" i="76"/>
  <c r="O7" i="76"/>
  <c r="N7" i="76"/>
  <c r="L7" i="76"/>
  <c r="K7" i="76"/>
  <c r="J7" i="76"/>
  <c r="I7" i="76"/>
  <c r="H7" i="76"/>
  <c r="G7" i="76"/>
  <c r="F7" i="76"/>
  <c r="E7" i="76"/>
  <c r="D7" i="76"/>
  <c r="CD6" i="76"/>
  <c r="CC6" i="76"/>
  <c r="CB6" i="76"/>
  <c r="CA6" i="76"/>
  <c r="BZ6" i="76"/>
  <c r="BY6" i="76"/>
  <c r="BX6" i="76"/>
  <c r="BW6" i="76"/>
  <c r="BV6" i="76"/>
  <c r="BT6" i="76"/>
  <c r="BS6" i="76"/>
  <c r="BR6" i="76"/>
  <c r="BQ6" i="76"/>
  <c r="BP6" i="76"/>
  <c r="BO6" i="76"/>
  <c r="BN6" i="76"/>
  <c r="BM6" i="76"/>
  <c r="BL6" i="76"/>
  <c r="BJ6" i="76"/>
  <c r="BI6" i="76"/>
  <c r="BH6" i="76"/>
  <c r="BG6" i="76"/>
  <c r="BF6" i="76"/>
  <c r="BE6" i="76"/>
  <c r="BD6" i="76"/>
  <c r="BC6" i="76"/>
  <c r="BB6" i="76"/>
  <c r="AZ6" i="76"/>
  <c r="AY6" i="76"/>
  <c r="AX6" i="76"/>
  <c r="AW6" i="76"/>
  <c r="AV6" i="76"/>
  <c r="AU6" i="76"/>
  <c r="AT6" i="76"/>
  <c r="AS6" i="76"/>
  <c r="AR6" i="76"/>
  <c r="AP6" i="76"/>
  <c r="AO6" i="76"/>
  <c r="AN6" i="76"/>
  <c r="AM6" i="76"/>
  <c r="AL6" i="76"/>
  <c r="AK6" i="76"/>
  <c r="AJ6" i="76"/>
  <c r="AI6" i="76"/>
  <c r="AH6" i="76"/>
  <c r="AF6" i="76"/>
  <c r="AE6" i="76"/>
  <c r="AD6" i="76"/>
  <c r="AC6" i="76"/>
  <c r="AB6" i="76"/>
  <c r="AA6" i="76"/>
  <c r="Z6" i="76"/>
  <c r="Y6" i="76"/>
  <c r="X6" i="76"/>
  <c r="V6" i="76"/>
  <c r="U6" i="76"/>
  <c r="T6" i="76"/>
  <c r="S6" i="76"/>
  <c r="R6" i="76"/>
  <c r="Q6" i="76"/>
  <c r="P6" i="76"/>
  <c r="O6" i="76"/>
  <c r="N6" i="76"/>
  <c r="L6" i="76"/>
  <c r="K6" i="76"/>
  <c r="J6" i="76"/>
  <c r="I6" i="76"/>
  <c r="H6" i="76"/>
  <c r="G6" i="76"/>
  <c r="F6" i="76"/>
  <c r="E6" i="76"/>
  <c r="D6" i="76"/>
  <c r="CD5" i="76"/>
  <c r="CC5" i="76"/>
  <c r="CB5" i="76"/>
  <c r="CA5" i="76"/>
  <c r="BZ5" i="76"/>
  <c r="BY5" i="76"/>
  <c r="BX5" i="76"/>
  <c r="BW5" i="76"/>
  <c r="BV5" i="76"/>
  <c r="BT5" i="76"/>
  <c r="BS5" i="76"/>
  <c r="BR5" i="76"/>
  <c r="BQ5" i="76"/>
  <c r="BP5" i="76"/>
  <c r="BO5" i="76"/>
  <c r="BN5" i="76"/>
  <c r="BM5" i="76"/>
  <c r="BL5" i="76"/>
  <c r="BJ5" i="76"/>
  <c r="BI5" i="76"/>
  <c r="BH5" i="76"/>
  <c r="BG5" i="76"/>
  <c r="BF5" i="76"/>
  <c r="BE5" i="76"/>
  <c r="BD5" i="76"/>
  <c r="BC5" i="76"/>
  <c r="BB5" i="76"/>
  <c r="AZ5" i="76"/>
  <c r="AY5" i="76"/>
  <c r="AX5" i="76"/>
  <c r="AW5" i="76"/>
  <c r="AV5" i="76"/>
  <c r="AU5" i="76"/>
  <c r="AT5" i="76"/>
  <c r="AS5" i="76"/>
  <c r="AR5" i="76"/>
  <c r="AP5" i="76"/>
  <c r="AO5" i="76"/>
  <c r="AN5" i="76"/>
  <c r="AM5" i="76"/>
  <c r="AL5" i="76"/>
  <c r="AK5" i="76"/>
  <c r="AJ5" i="76"/>
  <c r="AI5" i="76"/>
  <c r="AH5" i="76"/>
  <c r="AF5" i="76"/>
  <c r="AE5" i="76"/>
  <c r="AD5" i="76"/>
  <c r="AC5" i="76"/>
  <c r="AB5" i="76"/>
  <c r="AA5" i="76"/>
  <c r="Z5" i="76"/>
  <c r="Y5" i="76"/>
  <c r="X5" i="76"/>
  <c r="V5" i="76"/>
  <c r="U5" i="76"/>
  <c r="T5" i="76"/>
  <c r="S5" i="76"/>
  <c r="R5" i="76"/>
  <c r="Q5" i="76"/>
  <c r="P5" i="76"/>
  <c r="O5" i="76"/>
  <c r="N5" i="76"/>
  <c r="L5" i="76"/>
  <c r="K5" i="76"/>
  <c r="J5" i="76"/>
  <c r="I5" i="76"/>
  <c r="H5" i="76"/>
  <c r="G5" i="76"/>
  <c r="F5" i="76"/>
  <c r="E5" i="76"/>
  <c r="D5" i="76"/>
  <c r="Q172" i="64"/>
  <c r="S170" i="64"/>
  <c r="S168" i="64"/>
  <c r="R168" i="64"/>
  <c r="Q168" i="64"/>
  <c r="P168" i="64"/>
  <c r="O168" i="64"/>
  <c r="N168" i="64"/>
  <c r="M168" i="64"/>
  <c r="L168" i="64"/>
  <c r="J168" i="64"/>
  <c r="I168" i="64"/>
  <c r="H168" i="64"/>
  <c r="F168" i="64"/>
  <c r="E168" i="64"/>
  <c r="D168" i="64"/>
  <c r="S166" i="64"/>
  <c r="R166" i="64"/>
  <c r="P166" i="64"/>
  <c r="O166" i="64"/>
  <c r="N166" i="64"/>
  <c r="B166" i="64"/>
  <c r="S165" i="64"/>
  <c r="R165" i="64"/>
  <c r="P165" i="64"/>
  <c r="O165" i="64"/>
  <c r="N165" i="64"/>
  <c r="B165" i="64"/>
  <c r="S164" i="64"/>
  <c r="R164" i="64"/>
  <c r="P164" i="64"/>
  <c r="O164" i="64"/>
  <c r="N164" i="64"/>
  <c r="B164" i="64"/>
  <c r="S163" i="64"/>
  <c r="R163" i="64"/>
  <c r="P163" i="64"/>
  <c r="O163" i="64"/>
  <c r="N163" i="64"/>
  <c r="B163" i="64"/>
  <c r="S162" i="64"/>
  <c r="R162" i="64"/>
  <c r="P162" i="64"/>
  <c r="O162" i="64"/>
  <c r="N162" i="64"/>
  <c r="B162" i="64"/>
  <c r="S161" i="64"/>
  <c r="R161" i="64"/>
  <c r="P161" i="64"/>
  <c r="O161" i="64"/>
  <c r="N161" i="64"/>
  <c r="B161" i="64"/>
  <c r="S160" i="64"/>
  <c r="R160" i="64"/>
  <c r="P160" i="64"/>
  <c r="O160" i="64"/>
  <c r="N160" i="64"/>
  <c r="B160" i="64"/>
  <c r="S159" i="64"/>
  <c r="R159" i="64"/>
  <c r="P159" i="64"/>
  <c r="O159" i="64"/>
  <c r="N159" i="64"/>
  <c r="B159" i="64"/>
  <c r="S158" i="64"/>
  <c r="R158" i="64"/>
  <c r="P158" i="64"/>
  <c r="O158" i="64"/>
  <c r="N158" i="64"/>
  <c r="B158" i="64"/>
  <c r="S157" i="64"/>
  <c r="R157" i="64"/>
  <c r="P157" i="64"/>
  <c r="O157" i="64"/>
  <c r="N157" i="64"/>
  <c r="B157" i="64"/>
  <c r="S156" i="64"/>
  <c r="R156" i="64"/>
  <c r="P156" i="64"/>
  <c r="O156" i="64"/>
  <c r="N156" i="64"/>
  <c r="B156" i="64"/>
  <c r="S155" i="64"/>
  <c r="R155" i="64"/>
  <c r="P155" i="64"/>
  <c r="O155" i="64"/>
  <c r="N155" i="64"/>
  <c r="B155" i="64"/>
  <c r="S154" i="64"/>
  <c r="R154" i="64"/>
  <c r="P154" i="64"/>
  <c r="O154" i="64"/>
  <c r="N154" i="64"/>
  <c r="B154" i="64"/>
  <c r="S153" i="64"/>
  <c r="R153" i="64"/>
  <c r="P153" i="64"/>
  <c r="O153" i="64"/>
  <c r="N153" i="64"/>
  <c r="B153" i="64"/>
  <c r="S152" i="64"/>
  <c r="R152" i="64"/>
  <c r="P152" i="64"/>
  <c r="O152" i="64"/>
  <c r="N152" i="64"/>
  <c r="B152" i="64"/>
  <c r="S151" i="64"/>
  <c r="R151" i="64"/>
  <c r="P151" i="64"/>
  <c r="O151" i="64"/>
  <c r="N151" i="64"/>
  <c r="B151" i="64"/>
  <c r="S150" i="64"/>
  <c r="R150" i="64"/>
  <c r="P150" i="64"/>
  <c r="O150" i="64"/>
  <c r="N150" i="64"/>
  <c r="B150" i="64"/>
  <c r="S149" i="64"/>
  <c r="R149" i="64"/>
  <c r="P149" i="64"/>
  <c r="O149" i="64"/>
  <c r="N149" i="64"/>
  <c r="B149" i="64"/>
  <c r="S148" i="64"/>
  <c r="R148" i="64"/>
  <c r="P148" i="64"/>
  <c r="O148" i="64"/>
  <c r="N148" i="64"/>
  <c r="B148" i="64"/>
  <c r="S147" i="64"/>
  <c r="R147" i="64"/>
  <c r="P147" i="64"/>
  <c r="O147" i="64"/>
  <c r="N147" i="64"/>
  <c r="B147" i="64"/>
  <c r="S146" i="64"/>
  <c r="R146" i="64"/>
  <c r="P146" i="64"/>
  <c r="O146" i="64"/>
  <c r="N146" i="64"/>
  <c r="B146" i="64"/>
  <c r="S145" i="64"/>
  <c r="R145" i="64"/>
  <c r="P145" i="64"/>
  <c r="O145" i="64"/>
  <c r="N145" i="64"/>
  <c r="B145" i="64"/>
  <c r="S144" i="64"/>
  <c r="R144" i="64"/>
  <c r="P144" i="64"/>
  <c r="O144" i="64"/>
  <c r="N144" i="64"/>
  <c r="B144" i="64"/>
  <c r="S143" i="64"/>
  <c r="R143" i="64"/>
  <c r="P143" i="64"/>
  <c r="O143" i="64"/>
  <c r="N143" i="64"/>
  <c r="B143" i="64"/>
  <c r="S142" i="64"/>
  <c r="R142" i="64"/>
  <c r="P142" i="64"/>
  <c r="O142" i="64"/>
  <c r="N142" i="64"/>
  <c r="B142" i="64"/>
  <c r="S141" i="64"/>
  <c r="R141" i="64"/>
  <c r="P141" i="64"/>
  <c r="O141" i="64"/>
  <c r="N141" i="64"/>
  <c r="B141" i="64"/>
  <c r="S140" i="64"/>
  <c r="R140" i="64"/>
  <c r="P140" i="64"/>
  <c r="O140" i="64"/>
  <c r="N140" i="64"/>
  <c r="B140" i="64"/>
  <c r="S139" i="64"/>
  <c r="R139" i="64"/>
  <c r="P139" i="64"/>
  <c r="O139" i="64"/>
  <c r="N139" i="64"/>
  <c r="B139" i="64"/>
  <c r="S138" i="64"/>
  <c r="R138" i="64"/>
  <c r="P138" i="64"/>
  <c r="O138" i="64"/>
  <c r="N138" i="64"/>
  <c r="B138" i="64"/>
  <c r="S137" i="64"/>
  <c r="R137" i="64"/>
  <c r="P137" i="64"/>
  <c r="O137" i="64"/>
  <c r="N137" i="64"/>
  <c r="B137" i="64"/>
  <c r="S136" i="64"/>
  <c r="R136" i="64"/>
  <c r="P136" i="64"/>
  <c r="O136" i="64"/>
  <c r="N136" i="64"/>
  <c r="B136" i="64"/>
  <c r="S135" i="64"/>
  <c r="R135" i="64"/>
  <c r="P135" i="64"/>
  <c r="O135" i="64"/>
  <c r="N135" i="64"/>
  <c r="B135" i="64"/>
  <c r="S134" i="64"/>
  <c r="R134" i="64"/>
  <c r="P134" i="64"/>
  <c r="O134" i="64"/>
  <c r="N134" i="64"/>
  <c r="B134" i="64"/>
  <c r="S133" i="64"/>
  <c r="R133" i="64"/>
  <c r="P133" i="64"/>
  <c r="O133" i="64"/>
  <c r="N133" i="64"/>
  <c r="B133" i="64"/>
  <c r="S132" i="64"/>
  <c r="R132" i="64"/>
  <c r="P132" i="64"/>
  <c r="O132" i="64"/>
  <c r="N132" i="64"/>
  <c r="B132" i="64"/>
  <c r="S131" i="64"/>
  <c r="R131" i="64"/>
  <c r="P131" i="64"/>
  <c r="O131" i="64"/>
  <c r="N131" i="64"/>
  <c r="B131" i="64"/>
  <c r="S130" i="64"/>
  <c r="R130" i="64"/>
  <c r="P130" i="64"/>
  <c r="O130" i="64"/>
  <c r="N130" i="64"/>
  <c r="B130" i="64"/>
  <c r="S129" i="64"/>
  <c r="R129" i="64"/>
  <c r="P129" i="64"/>
  <c r="O129" i="64"/>
  <c r="N129" i="64"/>
  <c r="B129" i="64"/>
  <c r="S128" i="64"/>
  <c r="R128" i="64"/>
  <c r="P128" i="64"/>
  <c r="O128" i="64"/>
  <c r="N128" i="64"/>
  <c r="B128" i="64"/>
  <c r="S127" i="64"/>
  <c r="R127" i="64"/>
  <c r="P127" i="64"/>
  <c r="O127" i="64"/>
  <c r="N127" i="64"/>
  <c r="B127" i="64"/>
  <c r="S126" i="64"/>
  <c r="R126" i="64"/>
  <c r="P126" i="64"/>
  <c r="O126" i="64"/>
  <c r="N126" i="64"/>
  <c r="B126" i="64"/>
  <c r="S125" i="64"/>
  <c r="R125" i="64"/>
  <c r="P125" i="64"/>
  <c r="O125" i="64"/>
  <c r="N125" i="64"/>
  <c r="B125" i="64"/>
  <c r="S124" i="64"/>
  <c r="R124" i="64"/>
  <c r="P124" i="64"/>
  <c r="O124" i="64"/>
  <c r="N124" i="64"/>
  <c r="B124" i="64"/>
  <c r="S123" i="64"/>
  <c r="R123" i="64"/>
  <c r="P123" i="64"/>
  <c r="O123" i="64"/>
  <c r="N123" i="64"/>
  <c r="B123" i="64"/>
  <c r="S122" i="64"/>
  <c r="R122" i="64"/>
  <c r="P122" i="64"/>
  <c r="O122" i="64"/>
  <c r="N122" i="64"/>
  <c r="B122" i="64"/>
  <c r="S121" i="64"/>
  <c r="R121" i="64"/>
  <c r="P121" i="64"/>
  <c r="O121" i="64"/>
  <c r="N121" i="64"/>
  <c r="B121" i="64"/>
  <c r="S120" i="64"/>
  <c r="R120" i="64"/>
  <c r="P120" i="64"/>
  <c r="O120" i="64"/>
  <c r="N120" i="64"/>
  <c r="B120" i="64"/>
  <c r="S119" i="64"/>
  <c r="R119" i="64"/>
  <c r="P119" i="64"/>
  <c r="O119" i="64"/>
  <c r="N119" i="64"/>
  <c r="B119" i="64"/>
  <c r="S118" i="64"/>
  <c r="R118" i="64"/>
  <c r="P118" i="64"/>
  <c r="O118" i="64"/>
  <c r="N118" i="64"/>
  <c r="B118" i="64"/>
  <c r="S117" i="64"/>
  <c r="R117" i="64"/>
  <c r="P117" i="64"/>
  <c r="O117" i="64"/>
  <c r="N117" i="64"/>
  <c r="B117" i="64"/>
  <c r="S116" i="64"/>
  <c r="R116" i="64"/>
  <c r="P116" i="64"/>
  <c r="O116" i="64"/>
  <c r="N116" i="64"/>
  <c r="B116" i="64"/>
  <c r="S115" i="64"/>
  <c r="R115" i="64"/>
  <c r="P115" i="64"/>
  <c r="O115" i="64"/>
  <c r="N115" i="64"/>
  <c r="B115" i="64"/>
  <c r="S114" i="64"/>
  <c r="R114" i="64"/>
  <c r="P114" i="64"/>
  <c r="O114" i="64"/>
  <c r="N114" i="64"/>
  <c r="B114" i="64"/>
  <c r="S113" i="64"/>
  <c r="R113" i="64"/>
  <c r="P113" i="64"/>
  <c r="O113" i="64"/>
  <c r="N113" i="64"/>
  <c r="B113" i="64"/>
  <c r="S112" i="64"/>
  <c r="R112" i="64"/>
  <c r="P112" i="64"/>
  <c r="O112" i="64"/>
  <c r="N112" i="64"/>
  <c r="B112" i="64"/>
  <c r="S111" i="64"/>
  <c r="R111" i="64"/>
  <c r="P111" i="64"/>
  <c r="O111" i="64"/>
  <c r="N111" i="64"/>
  <c r="B111" i="64"/>
  <c r="S110" i="64"/>
  <c r="R110" i="64"/>
  <c r="P110" i="64"/>
  <c r="O110" i="64"/>
  <c r="N110" i="64"/>
  <c r="B110" i="64"/>
  <c r="S109" i="64"/>
  <c r="R109" i="64"/>
  <c r="P109" i="64"/>
  <c r="O109" i="64"/>
  <c r="N109" i="64"/>
  <c r="B109" i="64"/>
  <c r="S108" i="64"/>
  <c r="R108" i="64"/>
  <c r="P108" i="64"/>
  <c r="O108" i="64"/>
  <c r="N108" i="64"/>
  <c r="B108" i="64"/>
  <c r="S107" i="64"/>
  <c r="R107" i="64"/>
  <c r="P107" i="64"/>
  <c r="O107" i="64"/>
  <c r="N107" i="64"/>
  <c r="B107" i="64"/>
  <c r="S106" i="64"/>
  <c r="R106" i="64"/>
  <c r="P106" i="64"/>
  <c r="O106" i="64"/>
  <c r="N106" i="64"/>
  <c r="B106" i="64"/>
  <c r="S105" i="64"/>
  <c r="R105" i="64"/>
  <c r="P105" i="64"/>
  <c r="O105" i="64"/>
  <c r="N105" i="64"/>
  <c r="B105" i="64"/>
  <c r="S104" i="64"/>
  <c r="R104" i="64"/>
  <c r="P104" i="64"/>
  <c r="O104" i="64"/>
  <c r="N104" i="64"/>
  <c r="B104" i="64"/>
  <c r="S103" i="64"/>
  <c r="R103" i="64"/>
  <c r="P103" i="64"/>
  <c r="O103" i="64"/>
  <c r="N103" i="64"/>
  <c r="B103" i="64"/>
  <c r="S102" i="64"/>
  <c r="R102" i="64"/>
  <c r="P102" i="64"/>
  <c r="O102" i="64"/>
  <c r="N102" i="64"/>
  <c r="B102" i="64"/>
  <c r="S101" i="64"/>
  <c r="R101" i="64"/>
  <c r="P101" i="64"/>
  <c r="O101" i="64"/>
  <c r="N101" i="64"/>
  <c r="B101" i="64"/>
  <c r="S100" i="64"/>
  <c r="R100" i="64"/>
  <c r="P100" i="64"/>
  <c r="O100" i="64"/>
  <c r="N100" i="64"/>
  <c r="B100" i="64"/>
  <c r="S99" i="64"/>
  <c r="R99" i="64"/>
  <c r="P99" i="64"/>
  <c r="O99" i="64"/>
  <c r="N99" i="64"/>
  <c r="B99" i="64"/>
  <c r="S98" i="64"/>
  <c r="R98" i="64"/>
  <c r="P98" i="64"/>
  <c r="O98" i="64"/>
  <c r="N98" i="64"/>
  <c r="B98" i="64"/>
  <c r="S97" i="64"/>
  <c r="R97" i="64"/>
  <c r="P97" i="64"/>
  <c r="O97" i="64"/>
  <c r="N97" i="64"/>
  <c r="B97" i="64"/>
  <c r="S96" i="64"/>
  <c r="R96" i="64"/>
  <c r="P96" i="64"/>
  <c r="O96" i="64"/>
  <c r="N96" i="64"/>
  <c r="B96" i="64"/>
  <c r="S95" i="64"/>
  <c r="R95" i="64"/>
  <c r="P95" i="64"/>
  <c r="O95" i="64"/>
  <c r="N95" i="64"/>
  <c r="B95" i="64"/>
  <c r="S94" i="64"/>
  <c r="R94" i="64"/>
  <c r="P94" i="64"/>
  <c r="O94" i="64"/>
  <c r="N94" i="64"/>
  <c r="B94" i="64"/>
  <c r="S93" i="64"/>
  <c r="R93" i="64"/>
  <c r="P93" i="64"/>
  <c r="O93" i="64"/>
  <c r="N93" i="64"/>
  <c r="B93" i="64"/>
  <c r="S92" i="64"/>
  <c r="R92" i="64"/>
  <c r="P92" i="64"/>
  <c r="O92" i="64"/>
  <c r="N92" i="64"/>
  <c r="B92" i="64"/>
  <c r="S91" i="64"/>
  <c r="R91" i="64"/>
  <c r="P91" i="64"/>
  <c r="O91" i="64"/>
  <c r="N91" i="64"/>
  <c r="B91" i="64"/>
  <c r="S90" i="64"/>
  <c r="R90" i="64"/>
  <c r="P90" i="64"/>
  <c r="O90" i="64"/>
  <c r="N90" i="64"/>
  <c r="B90" i="64"/>
  <c r="S89" i="64"/>
  <c r="R89" i="64"/>
  <c r="P89" i="64"/>
  <c r="O89" i="64"/>
  <c r="N89" i="64"/>
  <c r="B89" i="64"/>
  <c r="S88" i="64"/>
  <c r="R88" i="64"/>
  <c r="P88" i="64"/>
  <c r="O88" i="64"/>
  <c r="N88" i="64"/>
  <c r="B88" i="64"/>
  <c r="S87" i="64"/>
  <c r="R87" i="64"/>
  <c r="P87" i="64"/>
  <c r="O87" i="64"/>
  <c r="N87" i="64"/>
  <c r="B87" i="64"/>
  <c r="S86" i="64"/>
  <c r="R86" i="64"/>
  <c r="P86" i="64"/>
  <c r="O86" i="64"/>
  <c r="N86" i="64"/>
  <c r="B86" i="64"/>
  <c r="S85" i="64"/>
  <c r="R85" i="64"/>
  <c r="P85" i="64"/>
  <c r="O85" i="64"/>
  <c r="N85" i="64"/>
  <c r="B85" i="64"/>
  <c r="S84" i="64"/>
  <c r="R84" i="64"/>
  <c r="P84" i="64"/>
  <c r="O84" i="64"/>
  <c r="N84" i="64"/>
  <c r="B84" i="64"/>
  <c r="S83" i="64"/>
  <c r="R83" i="64"/>
  <c r="P83" i="64"/>
  <c r="O83" i="64"/>
  <c r="N83" i="64"/>
  <c r="B83" i="64"/>
  <c r="S82" i="64"/>
  <c r="R82" i="64"/>
  <c r="P82" i="64"/>
  <c r="O82" i="64"/>
  <c r="N82" i="64"/>
  <c r="B82" i="64"/>
  <c r="S81" i="64"/>
  <c r="R81" i="64"/>
  <c r="P81" i="64"/>
  <c r="O81" i="64"/>
  <c r="N81" i="64"/>
  <c r="B81" i="64"/>
  <c r="S80" i="64"/>
  <c r="R80" i="64"/>
  <c r="P80" i="64"/>
  <c r="O80" i="64"/>
  <c r="N80" i="64"/>
  <c r="B80" i="64"/>
  <c r="S79" i="64"/>
  <c r="R79" i="64"/>
  <c r="P79" i="64"/>
  <c r="O79" i="64"/>
  <c r="N79" i="64"/>
  <c r="B79" i="64"/>
  <c r="S78" i="64"/>
  <c r="R78" i="64"/>
  <c r="P78" i="64"/>
  <c r="O78" i="64"/>
  <c r="N78" i="64"/>
  <c r="B78" i="64"/>
  <c r="S77" i="64"/>
  <c r="R77" i="64"/>
  <c r="P77" i="64"/>
  <c r="O77" i="64"/>
  <c r="N77" i="64"/>
  <c r="B77" i="64"/>
  <c r="S76" i="64"/>
  <c r="R76" i="64"/>
  <c r="P76" i="64"/>
  <c r="O76" i="64"/>
  <c r="N76" i="64"/>
  <c r="B76" i="64"/>
  <c r="S75" i="64"/>
  <c r="R75" i="64"/>
  <c r="P75" i="64"/>
  <c r="O75" i="64"/>
  <c r="N75" i="64"/>
  <c r="B75" i="64"/>
  <c r="S74" i="64"/>
  <c r="R74" i="64"/>
  <c r="P74" i="64"/>
  <c r="O74" i="64"/>
  <c r="N74" i="64"/>
  <c r="B74" i="64"/>
  <c r="S73" i="64"/>
  <c r="R73" i="64"/>
  <c r="P73" i="64"/>
  <c r="O73" i="64"/>
  <c r="N73" i="64"/>
  <c r="B73" i="64"/>
  <c r="S72" i="64"/>
  <c r="R72" i="64"/>
  <c r="P72" i="64"/>
  <c r="O72" i="64"/>
  <c r="N72" i="64"/>
  <c r="B72" i="64"/>
  <c r="S71" i="64"/>
  <c r="R71" i="64"/>
  <c r="P71" i="64"/>
  <c r="O71" i="64"/>
  <c r="N71" i="64"/>
  <c r="B71" i="64"/>
  <c r="S70" i="64"/>
  <c r="R70" i="64"/>
  <c r="P70" i="64"/>
  <c r="O70" i="64"/>
  <c r="N70" i="64"/>
  <c r="B70" i="64"/>
  <c r="S69" i="64"/>
  <c r="R69" i="64"/>
  <c r="P69" i="64"/>
  <c r="O69" i="64"/>
  <c r="N69" i="64"/>
  <c r="B69" i="64"/>
  <c r="S68" i="64"/>
  <c r="R68" i="64"/>
  <c r="P68" i="64"/>
  <c r="O68" i="64"/>
  <c r="N68" i="64"/>
  <c r="B68" i="64"/>
  <c r="S67" i="64"/>
  <c r="R67" i="64"/>
  <c r="P67" i="64"/>
  <c r="O67" i="64"/>
  <c r="N67" i="64"/>
  <c r="B67" i="64"/>
  <c r="S66" i="64"/>
  <c r="R66" i="64"/>
  <c r="P66" i="64"/>
  <c r="O66" i="64"/>
  <c r="N66" i="64"/>
  <c r="B66" i="64"/>
  <c r="S65" i="64"/>
  <c r="R65" i="64"/>
  <c r="P65" i="64"/>
  <c r="O65" i="64"/>
  <c r="N65" i="64"/>
  <c r="B65" i="64"/>
  <c r="S64" i="64"/>
  <c r="R64" i="64"/>
  <c r="P64" i="64"/>
  <c r="O64" i="64"/>
  <c r="N64" i="64"/>
  <c r="B64" i="64"/>
  <c r="S63" i="64"/>
  <c r="R63" i="64"/>
  <c r="P63" i="64"/>
  <c r="O63" i="64"/>
  <c r="N63" i="64"/>
  <c r="B63" i="64"/>
  <c r="S62" i="64"/>
  <c r="R62" i="64"/>
  <c r="P62" i="64"/>
  <c r="O62" i="64"/>
  <c r="N62" i="64"/>
  <c r="B62" i="64"/>
  <c r="S61" i="64"/>
  <c r="R61" i="64"/>
  <c r="P61" i="64"/>
  <c r="O61" i="64"/>
  <c r="N61" i="64"/>
  <c r="B61" i="64"/>
  <c r="S60" i="64"/>
  <c r="R60" i="64"/>
  <c r="P60" i="64"/>
  <c r="O60" i="64"/>
  <c r="N60" i="64"/>
  <c r="B60" i="64"/>
  <c r="S59" i="64"/>
  <c r="R59" i="64"/>
  <c r="P59" i="64"/>
  <c r="O59" i="64"/>
  <c r="N59" i="64"/>
  <c r="B59" i="64"/>
  <c r="S58" i="64"/>
  <c r="R58" i="64"/>
  <c r="P58" i="64"/>
  <c r="O58" i="64"/>
  <c r="N58" i="64"/>
  <c r="B58" i="64"/>
  <c r="S57" i="64"/>
  <c r="R57" i="64"/>
  <c r="P57" i="64"/>
  <c r="O57" i="64"/>
  <c r="N57" i="64"/>
  <c r="B57" i="64"/>
  <c r="S56" i="64"/>
  <c r="R56" i="64"/>
  <c r="P56" i="64"/>
  <c r="O56" i="64"/>
  <c r="N56" i="64"/>
  <c r="B56" i="64"/>
  <c r="S55" i="64"/>
  <c r="R55" i="64"/>
  <c r="P55" i="64"/>
  <c r="O55" i="64"/>
  <c r="N55" i="64"/>
  <c r="B55" i="64"/>
  <c r="S54" i="64"/>
  <c r="R54" i="64"/>
  <c r="P54" i="64"/>
  <c r="O54" i="64"/>
  <c r="N54" i="64"/>
  <c r="B54" i="64"/>
  <c r="S53" i="64"/>
  <c r="R53" i="64"/>
  <c r="P53" i="64"/>
  <c r="O53" i="64"/>
  <c r="N53" i="64"/>
  <c r="S52" i="64"/>
  <c r="R52" i="64"/>
  <c r="P52" i="64"/>
  <c r="O52" i="64"/>
  <c r="N52" i="64"/>
  <c r="S51" i="64"/>
  <c r="R51" i="64"/>
  <c r="P51" i="64"/>
  <c r="O51" i="64"/>
  <c r="N51" i="64"/>
  <c r="S50" i="64"/>
  <c r="R50" i="64"/>
  <c r="P50" i="64"/>
  <c r="O50" i="64"/>
  <c r="N50" i="64"/>
  <c r="S49" i="64"/>
  <c r="R49" i="64"/>
  <c r="P49" i="64"/>
  <c r="O49" i="64"/>
  <c r="N49" i="64"/>
  <c r="S48" i="64"/>
  <c r="R48" i="64"/>
  <c r="P48" i="64"/>
  <c r="O48" i="64"/>
  <c r="N48" i="64"/>
  <c r="S47" i="64"/>
  <c r="R47" i="64"/>
  <c r="P47" i="64"/>
  <c r="O47" i="64"/>
  <c r="N47" i="64"/>
  <c r="S46" i="64"/>
  <c r="R46" i="64"/>
  <c r="P46" i="64"/>
  <c r="O46" i="64"/>
  <c r="N46" i="64"/>
  <c r="S45" i="64"/>
  <c r="R45" i="64"/>
  <c r="P45" i="64"/>
  <c r="O45" i="64"/>
  <c r="N45" i="64"/>
  <c r="S44" i="64"/>
  <c r="R44" i="64"/>
  <c r="P44" i="64"/>
  <c r="O44" i="64"/>
  <c r="N44" i="64"/>
  <c r="S43" i="64"/>
  <c r="R43" i="64"/>
  <c r="P43" i="64"/>
  <c r="O43" i="64"/>
  <c r="N43" i="64"/>
  <c r="S42" i="64"/>
  <c r="R42" i="64"/>
  <c r="P42" i="64"/>
  <c r="O42" i="64"/>
  <c r="N42" i="64"/>
  <c r="S41" i="64"/>
  <c r="R41" i="64"/>
  <c r="P41" i="64"/>
  <c r="O41" i="64"/>
  <c r="N41" i="64"/>
  <c r="S40" i="64"/>
  <c r="R40" i="64"/>
  <c r="P40" i="64"/>
  <c r="O40" i="64"/>
  <c r="N40" i="64"/>
  <c r="S39" i="64"/>
  <c r="R39" i="64"/>
  <c r="P39" i="64"/>
  <c r="O39" i="64"/>
  <c r="N39" i="64"/>
  <c r="S38" i="64"/>
  <c r="R38" i="64"/>
  <c r="P38" i="64"/>
  <c r="O38" i="64"/>
  <c r="N38" i="64"/>
  <c r="S37" i="64"/>
  <c r="R37" i="64"/>
  <c r="P37" i="64"/>
  <c r="O37" i="64"/>
  <c r="N37" i="64"/>
  <c r="S36" i="64"/>
  <c r="R36" i="64"/>
  <c r="P36" i="64"/>
  <c r="O36" i="64"/>
  <c r="N36" i="64"/>
  <c r="S35" i="64"/>
  <c r="R35" i="64"/>
  <c r="P35" i="64"/>
  <c r="O35" i="64"/>
  <c r="N35" i="64"/>
  <c r="S34" i="64"/>
  <c r="R34" i="64"/>
  <c r="P34" i="64"/>
  <c r="O34" i="64"/>
  <c r="N34" i="64"/>
  <c r="S33" i="64"/>
  <c r="R33" i="64"/>
  <c r="P33" i="64"/>
  <c r="O33" i="64"/>
  <c r="N33" i="64"/>
  <c r="S32" i="64"/>
  <c r="R32" i="64"/>
  <c r="P32" i="64"/>
  <c r="O32" i="64"/>
  <c r="N32" i="64"/>
  <c r="S31" i="64"/>
  <c r="R31" i="64"/>
  <c r="P31" i="64"/>
  <c r="O31" i="64"/>
  <c r="N31" i="64"/>
  <c r="S30" i="64"/>
  <c r="R30" i="64"/>
  <c r="P30" i="64"/>
  <c r="O30" i="64"/>
  <c r="N30" i="64"/>
  <c r="S29" i="64"/>
  <c r="R29" i="64"/>
  <c r="P29" i="64"/>
  <c r="O29" i="64"/>
  <c r="N29" i="64"/>
  <c r="S28" i="64"/>
  <c r="R28" i="64"/>
  <c r="P28" i="64"/>
  <c r="O28" i="64"/>
  <c r="N28" i="64"/>
  <c r="S27" i="64"/>
  <c r="R27" i="64"/>
  <c r="P27" i="64"/>
  <c r="O27" i="64"/>
  <c r="N27" i="64"/>
  <c r="S26" i="64"/>
  <c r="R26" i="64"/>
  <c r="P26" i="64"/>
  <c r="O26" i="64"/>
  <c r="N26" i="64"/>
  <c r="S25" i="64"/>
  <c r="R25" i="64"/>
  <c r="P25" i="64"/>
  <c r="O25" i="64"/>
  <c r="N25" i="64"/>
  <c r="S24" i="64"/>
  <c r="R24" i="64"/>
  <c r="P24" i="64"/>
  <c r="O24" i="64"/>
  <c r="N24" i="64"/>
  <c r="S23" i="64"/>
  <c r="R23" i="64"/>
  <c r="P23" i="64"/>
  <c r="O23" i="64"/>
  <c r="N23" i="64"/>
  <c r="S22" i="64"/>
  <c r="R22" i="64"/>
  <c r="P22" i="64"/>
  <c r="O22" i="64"/>
  <c r="N22" i="64"/>
  <c r="S21" i="64"/>
  <c r="R21" i="64"/>
  <c r="P21" i="64"/>
  <c r="O21" i="64"/>
  <c r="N21" i="64"/>
  <c r="S20" i="64"/>
  <c r="R20" i="64"/>
  <c r="P20" i="64"/>
  <c r="O20" i="64"/>
  <c r="N20" i="64"/>
  <c r="S19" i="64"/>
  <c r="R19" i="64"/>
  <c r="P19" i="64"/>
  <c r="O19" i="64"/>
  <c r="N19" i="64"/>
  <c r="S18" i="64"/>
  <c r="R18" i="64"/>
  <c r="P18" i="64"/>
  <c r="O18" i="64"/>
  <c r="N18" i="64"/>
  <c r="S17" i="64"/>
  <c r="R17" i="64"/>
  <c r="P17" i="64"/>
  <c r="O17" i="64"/>
  <c r="N17" i="64"/>
  <c r="S16" i="64"/>
  <c r="R16" i="64"/>
  <c r="P16" i="64"/>
  <c r="O16" i="64"/>
  <c r="N16" i="64"/>
  <c r="S15" i="64"/>
  <c r="R15" i="64"/>
  <c r="P15" i="64"/>
  <c r="O15" i="64"/>
  <c r="N15" i="64"/>
  <c r="S14" i="64"/>
  <c r="R14" i="64"/>
  <c r="P14" i="64"/>
  <c r="O14" i="64"/>
  <c r="N14" i="64"/>
  <c r="S13" i="64"/>
  <c r="R13" i="64"/>
  <c r="P13" i="64"/>
  <c r="O13" i="64"/>
  <c r="N13" i="64"/>
  <c r="S12" i="64"/>
  <c r="R12" i="64"/>
  <c r="P12" i="64"/>
  <c r="O12" i="64"/>
  <c r="N12" i="64"/>
  <c r="S11" i="64"/>
  <c r="R11" i="64"/>
  <c r="P11" i="64"/>
  <c r="O11" i="64"/>
  <c r="N11" i="64"/>
  <c r="P10" i="64"/>
  <c r="O10" i="64"/>
  <c r="N10" i="64"/>
  <c r="D57" i="55" a="1"/>
  <c r="AD48" i="55"/>
  <c r="AC48" i="55"/>
  <c r="AB48" i="55"/>
  <c r="AD47" i="55"/>
  <c r="AC47" i="55"/>
  <c r="AB47" i="55"/>
  <c r="AD46" i="55"/>
  <c r="AC46" i="55"/>
  <c r="AB46" i="55"/>
  <c r="AD45" i="55"/>
  <c r="AC45" i="55"/>
  <c r="AB45" i="55"/>
  <c r="AD44" i="55"/>
  <c r="AC44" i="55"/>
  <c r="AB44" i="55"/>
  <c r="AD43" i="55"/>
  <c r="AC43" i="55"/>
  <c r="AB43" i="55"/>
  <c r="AD42" i="55"/>
  <c r="AC42" i="55"/>
  <c r="AB42" i="55"/>
  <c r="AF41" i="55" a="1"/>
  <c r="AD41" i="55"/>
  <c r="AC41" i="55"/>
  <c r="AB41" i="55"/>
  <c r="AH38" i="55"/>
  <c r="AG38" i="55"/>
  <c r="AD38" i="55"/>
  <c r="AC38" i="55"/>
  <c r="AB38" i="55"/>
  <c r="AA38" i="55"/>
  <c r="AH37" i="55"/>
  <c r="AG37" i="55"/>
  <c r="AD37" i="55"/>
  <c r="AC37" i="55"/>
  <c r="AB37" i="55"/>
  <c r="AA37" i="55"/>
  <c r="AH36" i="55"/>
  <c r="AG36" i="55"/>
  <c r="AD36" i="55"/>
  <c r="AC36" i="55"/>
  <c r="AB36" i="55"/>
  <c r="AA36" i="55"/>
  <c r="AH35" i="55"/>
  <c r="AG35" i="55"/>
  <c r="AD35" i="55"/>
  <c r="AC35" i="55"/>
  <c r="AB35" i="55"/>
  <c r="AA35" i="55"/>
  <c r="AH34" i="55"/>
  <c r="AG34" i="55"/>
  <c r="AD34" i="55"/>
  <c r="AC34" i="55"/>
  <c r="AB34" i="55"/>
  <c r="AA34" i="55"/>
  <c r="AH33" i="55"/>
  <c r="AG33" i="55"/>
  <c r="AD33" i="55"/>
  <c r="AC33" i="55"/>
  <c r="AB33" i="55"/>
  <c r="AA33" i="55"/>
  <c r="AH32" i="55"/>
  <c r="AG32" i="55"/>
  <c r="AD32" i="55"/>
  <c r="AC32" i="55"/>
  <c r="AB32" i="55"/>
  <c r="AA32" i="55"/>
  <c r="AH31" i="55"/>
  <c r="AG31" i="55"/>
  <c r="AD31" i="55"/>
  <c r="AC31" i="55"/>
  <c r="AB31" i="55"/>
  <c r="AA31" i="55"/>
  <c r="AH30" i="55"/>
  <c r="AG30" i="55"/>
  <c r="AD30" i="55"/>
  <c r="AC30" i="55"/>
  <c r="AB30" i="55"/>
  <c r="AA30" i="55"/>
  <c r="AL26" i="55"/>
  <c r="AK26" i="55"/>
  <c r="AJ26" i="55"/>
  <c r="X26" i="55"/>
  <c r="R26" i="55"/>
  <c r="O26" i="55"/>
  <c r="K26" i="55"/>
  <c r="H26" i="55"/>
  <c r="AL25" i="55"/>
  <c r="AK25" i="55"/>
  <c r="AJ25" i="55"/>
  <c r="X25" i="55"/>
  <c r="R25" i="55"/>
  <c r="O25" i="55"/>
  <c r="K25" i="55"/>
  <c r="H25" i="55"/>
  <c r="C25" i="55"/>
  <c r="AL24" i="55"/>
  <c r="AK24" i="55"/>
  <c r="AJ24" i="55"/>
  <c r="X24" i="55"/>
  <c r="R24" i="55"/>
  <c r="O24" i="55"/>
  <c r="K24" i="55"/>
  <c r="H24" i="55"/>
  <c r="C24" i="55"/>
  <c r="AL23" i="55"/>
  <c r="AK23" i="55"/>
  <c r="AJ23" i="55"/>
  <c r="X23" i="55"/>
  <c r="R23" i="55"/>
  <c r="O23" i="55"/>
  <c r="K23" i="55"/>
  <c r="H23" i="55"/>
  <c r="C23" i="55"/>
  <c r="AL22" i="55"/>
  <c r="AK22" i="55"/>
  <c r="AJ22" i="55"/>
  <c r="X22" i="55"/>
  <c r="R22" i="55"/>
  <c r="O22" i="55"/>
  <c r="K22" i="55"/>
  <c r="H22" i="55"/>
  <c r="C22" i="55"/>
  <c r="AL21" i="55"/>
  <c r="AK21" i="55"/>
  <c r="AJ21" i="55"/>
  <c r="X21" i="55"/>
  <c r="R21" i="55"/>
  <c r="O21" i="55"/>
  <c r="K21" i="55"/>
  <c r="H21" i="55"/>
  <c r="C21" i="55"/>
  <c r="AL20" i="55"/>
  <c r="AK20" i="55"/>
  <c r="AJ20" i="55"/>
  <c r="X20" i="55"/>
  <c r="R20" i="55"/>
  <c r="O20" i="55"/>
  <c r="K20" i="55"/>
  <c r="H20" i="55"/>
  <c r="C20" i="55"/>
  <c r="AL19" i="55"/>
  <c r="AK19" i="55"/>
  <c r="AJ19" i="55"/>
  <c r="X19" i="55"/>
  <c r="R19" i="55"/>
  <c r="O19" i="55"/>
  <c r="K19" i="55"/>
  <c r="H19" i="55"/>
  <c r="C19" i="55"/>
  <c r="AL18" i="55"/>
  <c r="AK18" i="55"/>
  <c r="AJ18" i="55"/>
  <c r="X18" i="55"/>
  <c r="R18" i="55"/>
  <c r="O18" i="55"/>
  <c r="K18" i="55"/>
  <c r="H18" i="55"/>
  <c r="C18" i="55"/>
  <c r="AG13" i="55"/>
  <c r="Z13" i="55"/>
  <c r="V13" i="55"/>
  <c r="R13" i="55"/>
  <c r="O13" i="55"/>
  <c r="K13" i="55"/>
  <c r="G13" i="55"/>
  <c r="C13" i="55"/>
  <c r="AG12" i="55"/>
  <c r="Z12" i="55"/>
  <c r="V12" i="55"/>
  <c r="R12" i="55"/>
  <c r="O12" i="55"/>
  <c r="K12" i="55"/>
  <c r="G12" i="55"/>
  <c r="C12" i="55"/>
  <c r="AG11" i="55"/>
  <c r="Z11" i="55"/>
  <c r="V11" i="55"/>
  <c r="R11" i="55"/>
  <c r="O11" i="55"/>
  <c r="K11" i="55"/>
  <c r="G11" i="55"/>
  <c r="C11" i="55"/>
  <c r="AG10" i="55"/>
  <c r="Z10" i="55"/>
  <c r="V10" i="55"/>
  <c r="R10" i="55"/>
  <c r="O10" i="55"/>
  <c r="K10" i="55"/>
  <c r="G10" i="55"/>
  <c r="C10" i="55"/>
  <c r="AG9" i="55"/>
  <c r="Z9" i="55"/>
  <c r="V9" i="55"/>
  <c r="R9" i="55"/>
  <c r="O9" i="55"/>
  <c r="K9" i="55"/>
  <c r="G9" i="55"/>
  <c r="C9" i="55"/>
  <c r="AG8" i="55"/>
  <c r="Z8" i="55"/>
  <c r="V8" i="55"/>
  <c r="R8" i="55"/>
  <c r="O8" i="55"/>
  <c r="K8" i="55"/>
  <c r="G8" i="55"/>
  <c r="C8" i="55"/>
  <c r="AG7" i="55"/>
  <c r="Z7" i="55"/>
  <c r="V7" i="55"/>
  <c r="R7" i="55"/>
  <c r="O7" i="55"/>
  <c r="K7" i="55"/>
  <c r="G7" i="55"/>
  <c r="C7" i="55"/>
  <c r="AG6" i="55"/>
  <c r="Z6" i="55"/>
  <c r="V6" i="55"/>
  <c r="R6" i="55"/>
  <c r="O6" i="55"/>
  <c r="K6" i="55"/>
  <c r="G6" i="55"/>
  <c r="C6" i="55"/>
  <c r="AG5" i="55"/>
  <c r="Z5" i="55"/>
  <c r="V5" i="55"/>
  <c r="R5" i="55"/>
  <c r="O5" i="55"/>
  <c r="K5" i="55"/>
  <c r="G5" i="55"/>
  <c r="C5" i="55"/>
  <c r="BN4" i="55"/>
  <c r="BM4" i="55"/>
  <c r="BL4" i="55"/>
  <c r="BK4" i="55"/>
  <c r="BJ4" i="55"/>
  <c r="BH4" i="55"/>
  <c r="BG4" i="55"/>
  <c r="BF4" i="55"/>
  <c r="BE4" i="55"/>
  <c r="BD4" i="55"/>
  <c r="AY4" i="55"/>
  <c r="AX4" i="55"/>
  <c r="AW4" i="55"/>
  <c r="AV4" i="55"/>
  <c r="AU4" i="55"/>
  <c r="AT4" i="55"/>
  <c r="AS4" i="55"/>
  <c r="AR4" i="55"/>
  <c r="AQ4" i="55"/>
  <c r="BJ3" i="55"/>
  <c r="BD3" i="55"/>
  <c r="CM900" i="1"/>
  <c r="CL900" i="1"/>
  <c r="CK900" i="1"/>
  <c r="CD900" i="1"/>
  <c r="CC900" i="1"/>
  <c r="CB900" i="1"/>
  <c r="BU900" i="1"/>
  <c r="BT900" i="1"/>
  <c r="BS900" i="1"/>
  <c r="BL900" i="1"/>
  <c r="BK900" i="1"/>
  <c r="BJ900" i="1"/>
  <c r="BC900" i="1"/>
  <c r="BB900" i="1"/>
  <c r="BA900" i="1"/>
  <c r="AT900" i="1"/>
  <c r="AS900" i="1"/>
  <c r="AR900" i="1"/>
  <c r="AK900" i="1"/>
  <c r="AJ900" i="1"/>
  <c r="AI900" i="1"/>
  <c r="AB900" i="1"/>
  <c r="AA900" i="1"/>
  <c r="Z900" i="1"/>
  <c r="S900" i="1"/>
  <c r="R900" i="1"/>
  <c r="Q900" i="1"/>
  <c r="K900" i="1"/>
  <c r="J900" i="1"/>
  <c r="I900" i="1"/>
  <c r="H900" i="1"/>
  <c r="F900" i="1"/>
  <c r="CR899" i="1"/>
  <c r="CQ899" i="1"/>
  <c r="CP899" i="1"/>
  <c r="CO899" i="1"/>
  <c r="CM899" i="1"/>
  <c r="CI899" i="1"/>
  <c r="CH899" i="1"/>
  <c r="CG899" i="1"/>
  <c r="CF899" i="1"/>
  <c r="CD899" i="1"/>
  <c r="CC899" i="1"/>
  <c r="CB899" i="1"/>
  <c r="BZ899" i="1"/>
  <c r="BY899" i="1"/>
  <c r="BX899" i="1"/>
  <c r="BW899" i="1"/>
  <c r="BU899" i="1"/>
  <c r="BQ899" i="1"/>
  <c r="BP899" i="1"/>
  <c r="BO899" i="1"/>
  <c r="BN899" i="1"/>
  <c r="BL899" i="1"/>
  <c r="BH899" i="1"/>
  <c r="BG899" i="1"/>
  <c r="BF899" i="1"/>
  <c r="BE899" i="1"/>
  <c r="BC899" i="1"/>
  <c r="AY899" i="1"/>
  <c r="AX899" i="1"/>
  <c r="AW899" i="1"/>
  <c r="AV899" i="1"/>
  <c r="AT899" i="1"/>
  <c r="AP899" i="1"/>
  <c r="AO899" i="1"/>
  <c r="AN899" i="1"/>
  <c r="AM899" i="1"/>
  <c r="AK899" i="1"/>
  <c r="AG899" i="1"/>
  <c r="AF899" i="1"/>
  <c r="AE899" i="1"/>
  <c r="AD899" i="1"/>
  <c r="AB899" i="1"/>
  <c r="X899" i="1"/>
  <c r="W899" i="1"/>
  <c r="V899" i="1"/>
  <c r="U899" i="1"/>
  <c r="S899" i="1"/>
  <c r="K899" i="1"/>
  <c r="J899" i="1"/>
  <c r="I899" i="1"/>
  <c r="CR898" i="1"/>
  <c r="CQ898" i="1"/>
  <c r="CP898" i="1"/>
  <c r="CO898" i="1"/>
  <c r="CM898" i="1"/>
  <c r="CI898" i="1"/>
  <c r="CH898" i="1"/>
  <c r="CG898" i="1"/>
  <c r="CF898" i="1"/>
  <c r="CD898" i="1"/>
  <c r="CC898" i="1"/>
  <c r="CB898" i="1"/>
  <c r="BZ898" i="1"/>
  <c r="BY898" i="1"/>
  <c r="BX898" i="1"/>
  <c r="BW898" i="1"/>
  <c r="BU898" i="1"/>
  <c r="BQ898" i="1"/>
  <c r="BP898" i="1"/>
  <c r="BO898" i="1"/>
  <c r="BN898" i="1"/>
  <c r="BL898" i="1"/>
  <c r="BH898" i="1"/>
  <c r="BG898" i="1"/>
  <c r="BF898" i="1"/>
  <c r="BE898" i="1"/>
  <c r="BC898" i="1"/>
  <c r="AY898" i="1"/>
  <c r="AX898" i="1"/>
  <c r="AW898" i="1"/>
  <c r="AV898" i="1"/>
  <c r="AT898" i="1"/>
  <c r="AP898" i="1"/>
  <c r="AO898" i="1"/>
  <c r="AN898" i="1"/>
  <c r="AM898" i="1"/>
  <c r="AK898" i="1"/>
  <c r="AG898" i="1"/>
  <c r="AF898" i="1"/>
  <c r="AE898" i="1"/>
  <c r="AD898" i="1"/>
  <c r="AB898" i="1"/>
  <c r="X898" i="1"/>
  <c r="W898" i="1"/>
  <c r="V898" i="1"/>
  <c r="U898" i="1"/>
  <c r="S898" i="1"/>
  <c r="K898" i="1"/>
  <c r="J898" i="1"/>
  <c r="I898" i="1"/>
  <c r="CR897" i="1"/>
  <c r="CQ897" i="1"/>
  <c r="CP897" i="1"/>
  <c r="CO897" i="1"/>
  <c r="CM897" i="1"/>
  <c r="CI897" i="1"/>
  <c r="CH897" i="1"/>
  <c r="CG897" i="1"/>
  <c r="CF897" i="1"/>
  <c r="CD897" i="1"/>
  <c r="CC897" i="1"/>
  <c r="CB897" i="1"/>
  <c r="BZ897" i="1"/>
  <c r="BY897" i="1"/>
  <c r="BX897" i="1"/>
  <c r="BW897" i="1"/>
  <c r="BU897" i="1"/>
  <c r="BQ897" i="1"/>
  <c r="BP897" i="1"/>
  <c r="BO897" i="1"/>
  <c r="BN897" i="1"/>
  <c r="BL897" i="1"/>
  <c r="BH897" i="1"/>
  <c r="BG897" i="1"/>
  <c r="BF897" i="1"/>
  <c r="BE897" i="1"/>
  <c r="BC897" i="1"/>
  <c r="AY897" i="1"/>
  <c r="AX897" i="1"/>
  <c r="AW897" i="1"/>
  <c r="AV897" i="1"/>
  <c r="AT897" i="1"/>
  <c r="AP897" i="1"/>
  <c r="AO897" i="1"/>
  <c r="AN897" i="1"/>
  <c r="AM897" i="1"/>
  <c r="AK897" i="1"/>
  <c r="AG897" i="1"/>
  <c r="AF897" i="1"/>
  <c r="AE897" i="1"/>
  <c r="AD897" i="1"/>
  <c r="AB897" i="1"/>
  <c r="X897" i="1"/>
  <c r="W897" i="1"/>
  <c r="V897" i="1"/>
  <c r="U897" i="1"/>
  <c r="S897" i="1"/>
  <c r="K897" i="1"/>
  <c r="J897" i="1"/>
  <c r="I897" i="1"/>
  <c r="CR896" i="1"/>
  <c r="CQ896" i="1"/>
  <c r="CP896" i="1"/>
  <c r="CO896" i="1"/>
  <c r="CM896" i="1"/>
  <c r="CI896" i="1"/>
  <c r="CH896" i="1"/>
  <c r="CG896" i="1"/>
  <c r="CF896" i="1"/>
  <c r="CD896" i="1"/>
  <c r="CC896" i="1"/>
  <c r="CB896" i="1"/>
  <c r="BZ896" i="1"/>
  <c r="BY896" i="1"/>
  <c r="BX896" i="1"/>
  <c r="BW896" i="1"/>
  <c r="BU896" i="1"/>
  <c r="BQ896" i="1"/>
  <c r="BP896" i="1"/>
  <c r="BO896" i="1"/>
  <c r="BN896" i="1"/>
  <c r="BL896" i="1"/>
  <c r="BH896" i="1"/>
  <c r="BG896" i="1"/>
  <c r="BF896" i="1"/>
  <c r="BE896" i="1"/>
  <c r="BC896" i="1"/>
  <c r="AY896" i="1"/>
  <c r="AX896" i="1"/>
  <c r="AW896" i="1"/>
  <c r="AV896" i="1"/>
  <c r="AT896" i="1"/>
  <c r="AP896" i="1"/>
  <c r="AO896" i="1"/>
  <c r="AN896" i="1"/>
  <c r="AM896" i="1"/>
  <c r="AK896" i="1"/>
  <c r="AG896" i="1"/>
  <c r="AF896" i="1"/>
  <c r="AE896" i="1"/>
  <c r="AD896" i="1"/>
  <c r="AB896" i="1"/>
  <c r="X896" i="1"/>
  <c r="W896" i="1"/>
  <c r="V896" i="1"/>
  <c r="U896" i="1"/>
  <c r="S896" i="1"/>
  <c r="K896" i="1"/>
  <c r="J896" i="1"/>
  <c r="I896" i="1"/>
  <c r="CR895" i="1"/>
  <c r="CQ895" i="1"/>
  <c r="CP895" i="1"/>
  <c r="CO895" i="1"/>
  <c r="CM895" i="1"/>
  <c r="CI895" i="1"/>
  <c r="CH895" i="1"/>
  <c r="CG895" i="1"/>
  <c r="CF895" i="1"/>
  <c r="CD895" i="1"/>
  <c r="CC895" i="1"/>
  <c r="CB895" i="1"/>
  <c r="BZ895" i="1"/>
  <c r="BY895" i="1"/>
  <c r="BX895" i="1"/>
  <c r="BW895" i="1"/>
  <c r="BU895" i="1"/>
  <c r="BQ895" i="1"/>
  <c r="BP895" i="1"/>
  <c r="BO895" i="1"/>
  <c r="BN895" i="1"/>
  <c r="BL895" i="1"/>
  <c r="BH895" i="1"/>
  <c r="BG895" i="1"/>
  <c r="BF895" i="1"/>
  <c r="BE895" i="1"/>
  <c r="BC895" i="1"/>
  <c r="AY895" i="1"/>
  <c r="AX895" i="1"/>
  <c r="AW895" i="1"/>
  <c r="AV895" i="1"/>
  <c r="AT895" i="1"/>
  <c r="AP895" i="1"/>
  <c r="AO895" i="1"/>
  <c r="AN895" i="1"/>
  <c r="AM895" i="1"/>
  <c r="AK895" i="1"/>
  <c r="AG895" i="1"/>
  <c r="AF895" i="1"/>
  <c r="AE895" i="1"/>
  <c r="AD895" i="1"/>
  <c r="AB895" i="1"/>
  <c r="X895" i="1"/>
  <c r="W895" i="1"/>
  <c r="V895" i="1"/>
  <c r="U895" i="1"/>
  <c r="S895" i="1"/>
  <c r="K895" i="1"/>
  <c r="J895" i="1"/>
  <c r="I895" i="1"/>
  <c r="CR894" i="1"/>
  <c r="CQ894" i="1"/>
  <c r="CP894" i="1"/>
  <c r="CO894" i="1"/>
  <c r="CM894" i="1"/>
  <c r="CI894" i="1"/>
  <c r="CH894" i="1"/>
  <c r="CG894" i="1"/>
  <c r="CF894" i="1"/>
  <c r="CD894" i="1"/>
  <c r="CC894" i="1"/>
  <c r="CB894" i="1"/>
  <c r="BZ894" i="1"/>
  <c r="BY894" i="1"/>
  <c r="BX894" i="1"/>
  <c r="BW894" i="1"/>
  <c r="BU894" i="1"/>
  <c r="BQ894" i="1"/>
  <c r="BP894" i="1"/>
  <c r="BO894" i="1"/>
  <c r="BN894" i="1"/>
  <c r="BL894" i="1"/>
  <c r="BH894" i="1"/>
  <c r="BG894" i="1"/>
  <c r="BF894" i="1"/>
  <c r="BE894" i="1"/>
  <c r="BC894" i="1"/>
  <c r="AY894" i="1"/>
  <c r="AX894" i="1"/>
  <c r="AW894" i="1"/>
  <c r="AV894" i="1"/>
  <c r="AT894" i="1"/>
  <c r="AP894" i="1"/>
  <c r="AO894" i="1"/>
  <c r="AN894" i="1"/>
  <c r="AM894" i="1"/>
  <c r="AK894" i="1"/>
  <c r="AG894" i="1"/>
  <c r="AF894" i="1"/>
  <c r="AE894" i="1"/>
  <c r="AD894" i="1"/>
  <c r="AB894" i="1"/>
  <c r="X894" i="1"/>
  <c r="W894" i="1"/>
  <c r="V894" i="1"/>
  <c r="U894" i="1"/>
  <c r="S894" i="1"/>
  <c r="K894" i="1"/>
  <c r="J894" i="1"/>
  <c r="I894" i="1"/>
  <c r="CR893" i="1"/>
  <c r="CQ893" i="1"/>
  <c r="CP893" i="1"/>
  <c r="CO893" i="1"/>
  <c r="CM893" i="1"/>
  <c r="CI893" i="1"/>
  <c r="CH893" i="1"/>
  <c r="CG893" i="1"/>
  <c r="CF893" i="1"/>
  <c r="CD893" i="1"/>
  <c r="CC893" i="1"/>
  <c r="CB893" i="1"/>
  <c r="BZ893" i="1"/>
  <c r="BY893" i="1"/>
  <c r="BX893" i="1"/>
  <c r="BW893" i="1"/>
  <c r="BU893" i="1"/>
  <c r="BQ893" i="1"/>
  <c r="BP893" i="1"/>
  <c r="BO893" i="1"/>
  <c r="BN893" i="1"/>
  <c r="BL893" i="1"/>
  <c r="BH893" i="1"/>
  <c r="BG893" i="1"/>
  <c r="BF893" i="1"/>
  <c r="BE893" i="1"/>
  <c r="BC893" i="1"/>
  <c r="AY893" i="1"/>
  <c r="AX893" i="1"/>
  <c r="AW893" i="1"/>
  <c r="AV893" i="1"/>
  <c r="AT893" i="1"/>
  <c r="AP893" i="1"/>
  <c r="AO893" i="1"/>
  <c r="AN893" i="1"/>
  <c r="AM893" i="1"/>
  <c r="AK893" i="1"/>
  <c r="AG893" i="1"/>
  <c r="AF893" i="1"/>
  <c r="AE893" i="1"/>
  <c r="AD893" i="1"/>
  <c r="AB893" i="1"/>
  <c r="X893" i="1"/>
  <c r="W893" i="1"/>
  <c r="V893" i="1"/>
  <c r="U893" i="1"/>
  <c r="S893" i="1"/>
  <c r="K893" i="1"/>
  <c r="J893" i="1"/>
  <c r="I893" i="1"/>
  <c r="CR892" i="1"/>
  <c r="CQ892" i="1"/>
  <c r="CP892" i="1"/>
  <c r="CO892" i="1"/>
  <c r="CM892" i="1"/>
  <c r="CI892" i="1"/>
  <c r="CH892" i="1"/>
  <c r="CG892" i="1"/>
  <c r="CF892" i="1"/>
  <c r="CD892" i="1"/>
  <c r="CC892" i="1"/>
  <c r="CB892" i="1"/>
  <c r="BZ892" i="1"/>
  <c r="BY892" i="1"/>
  <c r="BX892" i="1"/>
  <c r="BW892" i="1"/>
  <c r="BU892" i="1"/>
  <c r="BQ892" i="1"/>
  <c r="BP892" i="1"/>
  <c r="BO892" i="1"/>
  <c r="BN892" i="1"/>
  <c r="BL892" i="1"/>
  <c r="BH892" i="1"/>
  <c r="BG892" i="1"/>
  <c r="BF892" i="1"/>
  <c r="BE892" i="1"/>
  <c r="BC892" i="1"/>
  <c r="AY892" i="1"/>
  <c r="AX892" i="1"/>
  <c r="AW892" i="1"/>
  <c r="AV892" i="1"/>
  <c r="AT892" i="1"/>
  <c r="AP892" i="1"/>
  <c r="AO892" i="1"/>
  <c r="AN892" i="1"/>
  <c r="AM892" i="1"/>
  <c r="AK892" i="1"/>
  <c r="AG892" i="1"/>
  <c r="AF892" i="1"/>
  <c r="AE892" i="1"/>
  <c r="AD892" i="1"/>
  <c r="AB892" i="1"/>
  <c r="X892" i="1"/>
  <c r="W892" i="1"/>
  <c r="V892" i="1"/>
  <c r="U892" i="1"/>
  <c r="S892" i="1"/>
  <c r="K892" i="1"/>
  <c r="J892" i="1"/>
  <c r="I892" i="1"/>
  <c r="CR891" i="1"/>
  <c r="CQ891" i="1"/>
  <c r="CP891" i="1"/>
  <c r="CO891" i="1"/>
  <c r="CM891" i="1"/>
  <c r="CI891" i="1"/>
  <c r="CH891" i="1"/>
  <c r="CG891" i="1"/>
  <c r="CF891" i="1"/>
  <c r="CD891" i="1"/>
  <c r="CC891" i="1"/>
  <c r="CB891" i="1"/>
  <c r="BZ891" i="1"/>
  <c r="BY891" i="1"/>
  <c r="BX891" i="1"/>
  <c r="BW891" i="1"/>
  <c r="BU891" i="1"/>
  <c r="BQ891" i="1"/>
  <c r="BP891" i="1"/>
  <c r="BO891" i="1"/>
  <c r="BN891" i="1"/>
  <c r="BL891" i="1"/>
  <c r="BH891" i="1"/>
  <c r="BG891" i="1"/>
  <c r="BF891" i="1"/>
  <c r="BE891" i="1"/>
  <c r="BC891" i="1"/>
  <c r="AY891" i="1"/>
  <c r="AX891" i="1"/>
  <c r="AW891" i="1"/>
  <c r="AV891" i="1"/>
  <c r="AT891" i="1"/>
  <c r="AP891" i="1"/>
  <c r="AO891" i="1"/>
  <c r="AN891" i="1"/>
  <c r="AM891" i="1"/>
  <c r="AK891" i="1"/>
  <c r="AG891" i="1"/>
  <c r="AF891" i="1"/>
  <c r="AE891" i="1"/>
  <c r="AD891" i="1"/>
  <c r="AB891" i="1"/>
  <c r="X891" i="1"/>
  <c r="W891" i="1"/>
  <c r="V891" i="1"/>
  <c r="U891" i="1"/>
  <c r="S891" i="1"/>
  <c r="K891" i="1"/>
  <c r="J891" i="1"/>
  <c r="I891" i="1"/>
  <c r="CR890" i="1"/>
  <c r="CQ890" i="1"/>
  <c r="CP890" i="1"/>
  <c r="CO890" i="1"/>
  <c r="CM890" i="1"/>
  <c r="CI890" i="1"/>
  <c r="CH890" i="1"/>
  <c r="CG890" i="1"/>
  <c r="CF890" i="1"/>
  <c r="CD890" i="1"/>
  <c r="CC890" i="1"/>
  <c r="CB890" i="1"/>
  <c r="BZ890" i="1"/>
  <c r="BY890" i="1"/>
  <c r="BX890" i="1"/>
  <c r="BW890" i="1"/>
  <c r="BU890" i="1"/>
  <c r="BQ890" i="1"/>
  <c r="BP890" i="1"/>
  <c r="BO890" i="1"/>
  <c r="BN890" i="1"/>
  <c r="BL890" i="1"/>
  <c r="BH890" i="1"/>
  <c r="BG890" i="1"/>
  <c r="BF890" i="1"/>
  <c r="BE890" i="1"/>
  <c r="BC890" i="1"/>
  <c r="AY890" i="1"/>
  <c r="AX890" i="1"/>
  <c r="AW890" i="1"/>
  <c r="AV890" i="1"/>
  <c r="AT890" i="1"/>
  <c r="AP890" i="1"/>
  <c r="AO890" i="1"/>
  <c r="AN890" i="1"/>
  <c r="AM890" i="1"/>
  <c r="AK890" i="1"/>
  <c r="AG890" i="1"/>
  <c r="AF890" i="1"/>
  <c r="AE890" i="1"/>
  <c r="AD890" i="1"/>
  <c r="AB890" i="1"/>
  <c r="X890" i="1"/>
  <c r="W890" i="1"/>
  <c r="V890" i="1"/>
  <c r="U890" i="1"/>
  <c r="S890" i="1"/>
  <c r="K890" i="1"/>
  <c r="J890" i="1"/>
  <c r="I890" i="1"/>
  <c r="CR889" i="1"/>
  <c r="CQ889" i="1"/>
  <c r="CP889" i="1"/>
  <c r="CO889" i="1"/>
  <c r="CM889" i="1"/>
  <c r="CI889" i="1"/>
  <c r="CH889" i="1"/>
  <c r="CG889" i="1"/>
  <c r="CF889" i="1"/>
  <c r="CD889" i="1"/>
  <c r="CC889" i="1"/>
  <c r="CB889" i="1"/>
  <c r="BZ889" i="1"/>
  <c r="BY889" i="1"/>
  <c r="BX889" i="1"/>
  <c r="BW889" i="1"/>
  <c r="BU889" i="1"/>
  <c r="BQ889" i="1"/>
  <c r="BP889" i="1"/>
  <c r="BO889" i="1"/>
  <c r="BN889" i="1"/>
  <c r="BL889" i="1"/>
  <c r="BH889" i="1"/>
  <c r="BG889" i="1"/>
  <c r="BF889" i="1"/>
  <c r="BE889" i="1"/>
  <c r="BC889" i="1"/>
  <c r="AY889" i="1"/>
  <c r="AX889" i="1"/>
  <c r="AW889" i="1"/>
  <c r="AV889" i="1"/>
  <c r="AT889" i="1"/>
  <c r="AP889" i="1"/>
  <c r="AO889" i="1"/>
  <c r="AN889" i="1"/>
  <c r="AM889" i="1"/>
  <c r="AK889" i="1"/>
  <c r="AG889" i="1"/>
  <c r="AF889" i="1"/>
  <c r="AE889" i="1"/>
  <c r="AD889" i="1"/>
  <c r="AB889" i="1"/>
  <c r="X889" i="1"/>
  <c r="W889" i="1"/>
  <c r="V889" i="1"/>
  <c r="U889" i="1"/>
  <c r="S889" i="1"/>
  <c r="K889" i="1"/>
  <c r="J889" i="1"/>
  <c r="I889" i="1"/>
  <c r="CR888" i="1"/>
  <c r="CQ888" i="1"/>
  <c r="CP888" i="1"/>
  <c r="CO888" i="1"/>
  <c r="CM888" i="1"/>
  <c r="CI888" i="1"/>
  <c r="CH888" i="1"/>
  <c r="CG888" i="1"/>
  <c r="CF888" i="1"/>
  <c r="CD888" i="1"/>
  <c r="CC888" i="1"/>
  <c r="CB888" i="1"/>
  <c r="BZ888" i="1"/>
  <c r="BY888" i="1"/>
  <c r="BX888" i="1"/>
  <c r="BW888" i="1"/>
  <c r="BU888" i="1"/>
  <c r="BQ888" i="1"/>
  <c r="BP888" i="1"/>
  <c r="BO888" i="1"/>
  <c r="BN888" i="1"/>
  <c r="BL888" i="1"/>
  <c r="BH888" i="1"/>
  <c r="BG888" i="1"/>
  <c r="BF888" i="1"/>
  <c r="BE888" i="1"/>
  <c r="BC888" i="1"/>
  <c r="AY888" i="1"/>
  <c r="AX888" i="1"/>
  <c r="AW888" i="1"/>
  <c r="AV888" i="1"/>
  <c r="AT888" i="1"/>
  <c r="AP888" i="1"/>
  <c r="AO888" i="1"/>
  <c r="AN888" i="1"/>
  <c r="AM888" i="1"/>
  <c r="AK888" i="1"/>
  <c r="AG888" i="1"/>
  <c r="AF888" i="1"/>
  <c r="AE888" i="1"/>
  <c r="AD888" i="1"/>
  <c r="AB888" i="1"/>
  <c r="X888" i="1"/>
  <c r="W888" i="1"/>
  <c r="V888" i="1"/>
  <c r="U888" i="1"/>
  <c r="S888" i="1"/>
  <c r="K888" i="1"/>
  <c r="J888" i="1"/>
  <c r="I888" i="1"/>
  <c r="CL886" i="1"/>
  <c r="CC886" i="1"/>
  <c r="BT886" i="1"/>
  <c r="BS886" i="1"/>
  <c r="BK886" i="1"/>
  <c r="BJ886" i="1"/>
  <c r="BB886" i="1"/>
  <c r="BA886" i="1"/>
  <c r="AS886" i="1"/>
  <c r="AR886" i="1"/>
  <c r="AJ886" i="1"/>
  <c r="AI886" i="1"/>
  <c r="AA886" i="1"/>
  <c r="Z886" i="1"/>
  <c r="R886" i="1"/>
  <c r="Q886" i="1"/>
  <c r="E886" i="1"/>
  <c r="D886" i="1"/>
  <c r="CM885" i="1"/>
  <c r="CK885" i="1"/>
  <c r="CD885" i="1"/>
  <c r="CB885" i="1"/>
  <c r="BU885" i="1"/>
  <c r="BS885" i="1"/>
  <c r="BL885" i="1"/>
  <c r="BJ885" i="1"/>
  <c r="BC885" i="1"/>
  <c r="BA885" i="1"/>
  <c r="AT885" i="1"/>
  <c r="AR885" i="1"/>
  <c r="AK885" i="1"/>
  <c r="AI885" i="1"/>
  <c r="AB885" i="1"/>
  <c r="Z885" i="1"/>
  <c r="S885" i="1"/>
  <c r="Q885" i="1"/>
  <c r="I885" i="1"/>
  <c r="E885" i="1"/>
  <c r="CK884" i="1"/>
  <c r="CB884" i="1"/>
  <c r="BS884" i="1"/>
  <c r="BJ884" i="1"/>
  <c r="BA884" i="1"/>
  <c r="AR884" i="1"/>
  <c r="AI884" i="1"/>
  <c r="Z884" i="1"/>
  <c r="Q884" i="1"/>
  <c r="E883" i="1"/>
  <c r="E882" i="1"/>
  <c r="CM878" i="1"/>
  <c r="CL878" i="1"/>
  <c r="CK878" i="1"/>
  <c r="CD878" i="1"/>
  <c r="CC878" i="1"/>
  <c r="CB878" i="1"/>
  <c r="BU878" i="1"/>
  <c r="BT878" i="1"/>
  <c r="BS878" i="1"/>
  <c r="BL878" i="1"/>
  <c r="BK878" i="1"/>
  <c r="BJ878" i="1"/>
  <c r="BC878" i="1"/>
  <c r="BB878" i="1"/>
  <c r="BA878" i="1"/>
  <c r="AT878" i="1"/>
  <c r="AS878" i="1"/>
  <c r="AR878" i="1"/>
  <c r="AK878" i="1"/>
  <c r="AJ878" i="1"/>
  <c r="AI878" i="1"/>
  <c r="AB878" i="1"/>
  <c r="AA878" i="1"/>
  <c r="Z878" i="1"/>
  <c r="S878" i="1"/>
  <c r="R878" i="1"/>
  <c r="Q878" i="1"/>
  <c r="K878" i="1"/>
  <c r="J878" i="1"/>
  <c r="I878" i="1"/>
  <c r="H878" i="1"/>
  <c r="F878" i="1"/>
  <c r="CR877" i="1"/>
  <c r="CQ877" i="1"/>
  <c r="CP877" i="1"/>
  <c r="CO877" i="1"/>
  <c r="CM877" i="1"/>
  <c r="CI877" i="1"/>
  <c r="CH877" i="1"/>
  <c r="CG877" i="1"/>
  <c r="CF877" i="1"/>
  <c r="CD877" i="1"/>
  <c r="CC877" i="1"/>
  <c r="CB877" i="1"/>
  <c r="BZ877" i="1"/>
  <c r="BY877" i="1"/>
  <c r="BX877" i="1"/>
  <c r="BW877" i="1"/>
  <c r="BU877" i="1"/>
  <c r="BQ877" i="1"/>
  <c r="BP877" i="1"/>
  <c r="BO877" i="1"/>
  <c r="BN877" i="1"/>
  <c r="BL877" i="1"/>
  <c r="BH877" i="1"/>
  <c r="BG877" i="1"/>
  <c r="BF877" i="1"/>
  <c r="BE877" i="1"/>
  <c r="BC877" i="1"/>
  <c r="AY877" i="1"/>
  <c r="AX877" i="1"/>
  <c r="AW877" i="1"/>
  <c r="AV877" i="1"/>
  <c r="AT877" i="1"/>
  <c r="AP877" i="1"/>
  <c r="AO877" i="1"/>
  <c r="AN877" i="1"/>
  <c r="AM877" i="1"/>
  <c r="AK877" i="1"/>
  <c r="AG877" i="1"/>
  <c r="AF877" i="1"/>
  <c r="AE877" i="1"/>
  <c r="AD877" i="1"/>
  <c r="AB877" i="1"/>
  <c r="X877" i="1"/>
  <c r="W877" i="1"/>
  <c r="V877" i="1"/>
  <c r="U877" i="1"/>
  <c r="S877" i="1"/>
  <c r="K877" i="1"/>
  <c r="J877" i="1"/>
  <c r="I877" i="1"/>
  <c r="CR876" i="1"/>
  <c r="CQ876" i="1"/>
  <c r="CP876" i="1"/>
  <c r="CO876" i="1"/>
  <c r="CM876" i="1"/>
  <c r="CI876" i="1"/>
  <c r="CH876" i="1"/>
  <c r="CG876" i="1"/>
  <c r="CF876" i="1"/>
  <c r="CD876" i="1"/>
  <c r="CC876" i="1"/>
  <c r="CB876" i="1"/>
  <c r="BZ876" i="1"/>
  <c r="BY876" i="1"/>
  <c r="BX876" i="1"/>
  <c r="BW876" i="1"/>
  <c r="BU876" i="1"/>
  <c r="BQ876" i="1"/>
  <c r="BP876" i="1"/>
  <c r="BO876" i="1"/>
  <c r="BN876" i="1"/>
  <c r="BL876" i="1"/>
  <c r="BH876" i="1"/>
  <c r="BG876" i="1"/>
  <c r="BF876" i="1"/>
  <c r="BE876" i="1"/>
  <c r="BC876" i="1"/>
  <c r="AY876" i="1"/>
  <c r="AX876" i="1"/>
  <c r="AW876" i="1"/>
  <c r="AV876" i="1"/>
  <c r="AT876" i="1"/>
  <c r="AP876" i="1"/>
  <c r="AO876" i="1"/>
  <c r="AN876" i="1"/>
  <c r="AM876" i="1"/>
  <c r="AK876" i="1"/>
  <c r="AG876" i="1"/>
  <c r="AF876" i="1"/>
  <c r="AE876" i="1"/>
  <c r="AD876" i="1"/>
  <c r="AB876" i="1"/>
  <c r="X876" i="1"/>
  <c r="W876" i="1"/>
  <c r="V876" i="1"/>
  <c r="U876" i="1"/>
  <c r="S876" i="1"/>
  <c r="K876" i="1"/>
  <c r="J876" i="1"/>
  <c r="I876" i="1"/>
  <c r="CR875" i="1"/>
  <c r="CQ875" i="1"/>
  <c r="CP875" i="1"/>
  <c r="CO875" i="1"/>
  <c r="CM875" i="1"/>
  <c r="CI875" i="1"/>
  <c r="CH875" i="1"/>
  <c r="CG875" i="1"/>
  <c r="CF875" i="1"/>
  <c r="CD875" i="1"/>
  <c r="CC875" i="1"/>
  <c r="CB875" i="1"/>
  <c r="BZ875" i="1"/>
  <c r="BY875" i="1"/>
  <c r="BX875" i="1"/>
  <c r="BW875" i="1"/>
  <c r="BU875" i="1"/>
  <c r="BQ875" i="1"/>
  <c r="BP875" i="1"/>
  <c r="BO875" i="1"/>
  <c r="BN875" i="1"/>
  <c r="BL875" i="1"/>
  <c r="BH875" i="1"/>
  <c r="BG875" i="1"/>
  <c r="BF875" i="1"/>
  <c r="BE875" i="1"/>
  <c r="BC875" i="1"/>
  <c r="AY875" i="1"/>
  <c r="AX875" i="1"/>
  <c r="AW875" i="1"/>
  <c r="AV875" i="1"/>
  <c r="AT875" i="1"/>
  <c r="AP875" i="1"/>
  <c r="AO875" i="1"/>
  <c r="AN875" i="1"/>
  <c r="AM875" i="1"/>
  <c r="AK875" i="1"/>
  <c r="AG875" i="1"/>
  <c r="AF875" i="1"/>
  <c r="AE875" i="1"/>
  <c r="AD875" i="1"/>
  <c r="AB875" i="1"/>
  <c r="X875" i="1"/>
  <c r="W875" i="1"/>
  <c r="V875" i="1"/>
  <c r="U875" i="1"/>
  <c r="S875" i="1"/>
  <c r="K875" i="1"/>
  <c r="J875" i="1"/>
  <c r="I875" i="1"/>
  <c r="CR874" i="1"/>
  <c r="CQ874" i="1"/>
  <c r="CP874" i="1"/>
  <c r="CO874" i="1"/>
  <c r="CM874" i="1"/>
  <c r="CI874" i="1"/>
  <c r="CH874" i="1"/>
  <c r="CG874" i="1"/>
  <c r="CF874" i="1"/>
  <c r="CD874" i="1"/>
  <c r="CC874" i="1"/>
  <c r="CB874" i="1"/>
  <c r="BZ874" i="1"/>
  <c r="BY874" i="1"/>
  <c r="BX874" i="1"/>
  <c r="BW874" i="1"/>
  <c r="BU874" i="1"/>
  <c r="BQ874" i="1"/>
  <c r="BP874" i="1"/>
  <c r="BO874" i="1"/>
  <c r="BN874" i="1"/>
  <c r="BL874" i="1"/>
  <c r="BH874" i="1"/>
  <c r="BG874" i="1"/>
  <c r="BF874" i="1"/>
  <c r="BE874" i="1"/>
  <c r="BC874" i="1"/>
  <c r="AY874" i="1"/>
  <c r="AX874" i="1"/>
  <c r="AW874" i="1"/>
  <c r="AV874" i="1"/>
  <c r="AT874" i="1"/>
  <c r="AP874" i="1"/>
  <c r="AO874" i="1"/>
  <c r="AN874" i="1"/>
  <c r="AM874" i="1"/>
  <c r="AK874" i="1"/>
  <c r="AG874" i="1"/>
  <c r="AF874" i="1"/>
  <c r="AE874" i="1"/>
  <c r="AD874" i="1"/>
  <c r="AB874" i="1"/>
  <c r="X874" i="1"/>
  <c r="W874" i="1"/>
  <c r="V874" i="1"/>
  <c r="U874" i="1"/>
  <c r="S874" i="1"/>
  <c r="K874" i="1"/>
  <c r="J874" i="1"/>
  <c r="I874" i="1"/>
  <c r="CR873" i="1"/>
  <c r="CQ873" i="1"/>
  <c r="CP873" i="1"/>
  <c r="CO873" i="1"/>
  <c r="CM873" i="1"/>
  <c r="CI873" i="1"/>
  <c r="CH873" i="1"/>
  <c r="CG873" i="1"/>
  <c r="CF873" i="1"/>
  <c r="CD873" i="1"/>
  <c r="CC873" i="1"/>
  <c r="CB873" i="1"/>
  <c r="BZ873" i="1"/>
  <c r="BY873" i="1"/>
  <c r="BX873" i="1"/>
  <c r="BW873" i="1"/>
  <c r="BU873" i="1"/>
  <c r="BQ873" i="1"/>
  <c r="BP873" i="1"/>
  <c r="BO873" i="1"/>
  <c r="BN873" i="1"/>
  <c r="BL873" i="1"/>
  <c r="BH873" i="1"/>
  <c r="BG873" i="1"/>
  <c r="BF873" i="1"/>
  <c r="BE873" i="1"/>
  <c r="BC873" i="1"/>
  <c r="AY873" i="1"/>
  <c r="AX873" i="1"/>
  <c r="AW873" i="1"/>
  <c r="AV873" i="1"/>
  <c r="AT873" i="1"/>
  <c r="AP873" i="1"/>
  <c r="AO873" i="1"/>
  <c r="AN873" i="1"/>
  <c r="AM873" i="1"/>
  <c r="AK873" i="1"/>
  <c r="AG873" i="1"/>
  <c r="AF873" i="1"/>
  <c r="AE873" i="1"/>
  <c r="AD873" i="1"/>
  <c r="AB873" i="1"/>
  <c r="X873" i="1"/>
  <c r="W873" i="1"/>
  <c r="V873" i="1"/>
  <c r="U873" i="1"/>
  <c r="S873" i="1"/>
  <c r="K873" i="1"/>
  <c r="J873" i="1"/>
  <c r="I873" i="1"/>
  <c r="CR872" i="1"/>
  <c r="CQ872" i="1"/>
  <c r="CP872" i="1"/>
  <c r="CO872" i="1"/>
  <c r="CM872" i="1"/>
  <c r="CI872" i="1"/>
  <c r="CH872" i="1"/>
  <c r="CG872" i="1"/>
  <c r="CF872" i="1"/>
  <c r="CD872" i="1"/>
  <c r="CC872" i="1"/>
  <c r="CB872" i="1"/>
  <c r="BZ872" i="1"/>
  <c r="BY872" i="1"/>
  <c r="BX872" i="1"/>
  <c r="BW872" i="1"/>
  <c r="BU872" i="1"/>
  <c r="BQ872" i="1"/>
  <c r="BP872" i="1"/>
  <c r="BO872" i="1"/>
  <c r="BN872" i="1"/>
  <c r="BL872" i="1"/>
  <c r="BH872" i="1"/>
  <c r="BG872" i="1"/>
  <c r="BF872" i="1"/>
  <c r="BE872" i="1"/>
  <c r="BC872" i="1"/>
  <c r="AY872" i="1"/>
  <c r="AX872" i="1"/>
  <c r="AW872" i="1"/>
  <c r="AV872" i="1"/>
  <c r="AT872" i="1"/>
  <c r="AP872" i="1"/>
  <c r="AO872" i="1"/>
  <c r="AN872" i="1"/>
  <c r="AM872" i="1"/>
  <c r="AK872" i="1"/>
  <c r="AG872" i="1"/>
  <c r="AF872" i="1"/>
  <c r="AE872" i="1"/>
  <c r="AD872" i="1"/>
  <c r="AB872" i="1"/>
  <c r="X872" i="1"/>
  <c r="W872" i="1"/>
  <c r="V872" i="1"/>
  <c r="U872" i="1"/>
  <c r="S872" i="1"/>
  <c r="K872" i="1"/>
  <c r="J872" i="1"/>
  <c r="I872" i="1"/>
  <c r="CR871" i="1"/>
  <c r="CQ871" i="1"/>
  <c r="CP871" i="1"/>
  <c r="CO871" i="1"/>
  <c r="CM871" i="1"/>
  <c r="CI871" i="1"/>
  <c r="CH871" i="1"/>
  <c r="CG871" i="1"/>
  <c r="CF871" i="1"/>
  <c r="CD871" i="1"/>
  <c r="CC871" i="1"/>
  <c r="CB871" i="1"/>
  <c r="BZ871" i="1"/>
  <c r="BY871" i="1"/>
  <c r="BX871" i="1"/>
  <c r="BW871" i="1"/>
  <c r="BU871" i="1"/>
  <c r="BQ871" i="1"/>
  <c r="BP871" i="1"/>
  <c r="BO871" i="1"/>
  <c r="BN871" i="1"/>
  <c r="BL871" i="1"/>
  <c r="BH871" i="1"/>
  <c r="BG871" i="1"/>
  <c r="BF871" i="1"/>
  <c r="BE871" i="1"/>
  <c r="BC871" i="1"/>
  <c r="AY871" i="1"/>
  <c r="AX871" i="1"/>
  <c r="AW871" i="1"/>
  <c r="AV871" i="1"/>
  <c r="AT871" i="1"/>
  <c r="AP871" i="1"/>
  <c r="AO871" i="1"/>
  <c r="AN871" i="1"/>
  <c r="AM871" i="1"/>
  <c r="AK871" i="1"/>
  <c r="AG871" i="1"/>
  <c r="AF871" i="1"/>
  <c r="AE871" i="1"/>
  <c r="AD871" i="1"/>
  <c r="AB871" i="1"/>
  <c r="X871" i="1"/>
  <c r="W871" i="1"/>
  <c r="V871" i="1"/>
  <c r="U871" i="1"/>
  <c r="S871" i="1"/>
  <c r="K871" i="1"/>
  <c r="J871" i="1"/>
  <c r="I871" i="1"/>
  <c r="CR870" i="1"/>
  <c r="CQ870" i="1"/>
  <c r="CP870" i="1"/>
  <c r="CO870" i="1"/>
  <c r="CM870" i="1"/>
  <c r="CI870" i="1"/>
  <c r="CH870" i="1"/>
  <c r="CG870" i="1"/>
  <c r="CF870" i="1"/>
  <c r="CD870" i="1"/>
  <c r="CC870" i="1"/>
  <c r="CB870" i="1"/>
  <c r="BZ870" i="1"/>
  <c r="BY870" i="1"/>
  <c r="BX870" i="1"/>
  <c r="BW870" i="1"/>
  <c r="BU870" i="1"/>
  <c r="BQ870" i="1"/>
  <c r="BP870" i="1"/>
  <c r="BO870" i="1"/>
  <c r="BN870" i="1"/>
  <c r="BL870" i="1"/>
  <c r="BH870" i="1"/>
  <c r="BG870" i="1"/>
  <c r="BF870" i="1"/>
  <c r="BE870" i="1"/>
  <c r="BC870" i="1"/>
  <c r="AY870" i="1"/>
  <c r="AX870" i="1"/>
  <c r="AW870" i="1"/>
  <c r="AV870" i="1"/>
  <c r="AT870" i="1"/>
  <c r="AP870" i="1"/>
  <c r="AO870" i="1"/>
  <c r="AN870" i="1"/>
  <c r="AM870" i="1"/>
  <c r="AK870" i="1"/>
  <c r="AG870" i="1"/>
  <c r="AF870" i="1"/>
  <c r="AE870" i="1"/>
  <c r="AD870" i="1"/>
  <c r="AB870" i="1"/>
  <c r="X870" i="1"/>
  <c r="W870" i="1"/>
  <c r="V870" i="1"/>
  <c r="U870" i="1"/>
  <c r="S870" i="1"/>
  <c r="K870" i="1"/>
  <c r="J870" i="1"/>
  <c r="I870" i="1"/>
  <c r="CR869" i="1"/>
  <c r="CQ869" i="1"/>
  <c r="CP869" i="1"/>
  <c r="CO869" i="1"/>
  <c r="CM869" i="1"/>
  <c r="CI869" i="1"/>
  <c r="CH869" i="1"/>
  <c r="CG869" i="1"/>
  <c r="CF869" i="1"/>
  <c r="CD869" i="1"/>
  <c r="CC869" i="1"/>
  <c r="CB869" i="1"/>
  <c r="BZ869" i="1"/>
  <c r="BY869" i="1"/>
  <c r="BX869" i="1"/>
  <c r="BW869" i="1"/>
  <c r="BU869" i="1"/>
  <c r="BQ869" i="1"/>
  <c r="BP869" i="1"/>
  <c r="BO869" i="1"/>
  <c r="BN869" i="1"/>
  <c r="BL869" i="1"/>
  <c r="BH869" i="1"/>
  <c r="BG869" i="1"/>
  <c r="BF869" i="1"/>
  <c r="BE869" i="1"/>
  <c r="BC869" i="1"/>
  <c r="AY869" i="1"/>
  <c r="AX869" i="1"/>
  <c r="AW869" i="1"/>
  <c r="AV869" i="1"/>
  <c r="AT869" i="1"/>
  <c r="AP869" i="1"/>
  <c r="AO869" i="1"/>
  <c r="AN869" i="1"/>
  <c r="AM869" i="1"/>
  <c r="AK869" i="1"/>
  <c r="AG869" i="1"/>
  <c r="AF869" i="1"/>
  <c r="AE869" i="1"/>
  <c r="AD869" i="1"/>
  <c r="AB869" i="1"/>
  <c r="X869" i="1"/>
  <c r="W869" i="1"/>
  <c r="V869" i="1"/>
  <c r="U869" i="1"/>
  <c r="S869" i="1"/>
  <c r="K869" i="1"/>
  <c r="J869" i="1"/>
  <c r="I869" i="1"/>
  <c r="CR868" i="1"/>
  <c r="CQ868" i="1"/>
  <c r="CP868" i="1"/>
  <c r="CO868" i="1"/>
  <c r="CM868" i="1"/>
  <c r="CI868" i="1"/>
  <c r="CH868" i="1"/>
  <c r="CG868" i="1"/>
  <c r="CF868" i="1"/>
  <c r="CD868" i="1"/>
  <c r="CC868" i="1"/>
  <c r="CB868" i="1"/>
  <c r="BZ868" i="1"/>
  <c r="BY868" i="1"/>
  <c r="BX868" i="1"/>
  <c r="BW868" i="1"/>
  <c r="BU868" i="1"/>
  <c r="BQ868" i="1"/>
  <c r="BP868" i="1"/>
  <c r="BO868" i="1"/>
  <c r="BN868" i="1"/>
  <c r="BL868" i="1"/>
  <c r="BH868" i="1"/>
  <c r="BG868" i="1"/>
  <c r="BF868" i="1"/>
  <c r="BE868" i="1"/>
  <c r="BC868" i="1"/>
  <c r="AY868" i="1"/>
  <c r="AX868" i="1"/>
  <c r="AW868" i="1"/>
  <c r="AV868" i="1"/>
  <c r="AT868" i="1"/>
  <c r="AP868" i="1"/>
  <c r="AO868" i="1"/>
  <c r="AN868" i="1"/>
  <c r="AM868" i="1"/>
  <c r="AK868" i="1"/>
  <c r="AG868" i="1"/>
  <c r="AF868" i="1"/>
  <c r="AE868" i="1"/>
  <c r="AD868" i="1"/>
  <c r="AB868" i="1"/>
  <c r="X868" i="1"/>
  <c r="W868" i="1"/>
  <c r="V868" i="1"/>
  <c r="U868" i="1"/>
  <c r="S868" i="1"/>
  <c r="K868" i="1"/>
  <c r="J868" i="1"/>
  <c r="I868" i="1"/>
  <c r="CR867" i="1"/>
  <c r="CQ867" i="1"/>
  <c r="CP867" i="1"/>
  <c r="CO867" i="1"/>
  <c r="CM867" i="1"/>
  <c r="CI867" i="1"/>
  <c r="CH867" i="1"/>
  <c r="CG867" i="1"/>
  <c r="CF867" i="1"/>
  <c r="CD867" i="1"/>
  <c r="CC867" i="1"/>
  <c r="CB867" i="1"/>
  <c r="BZ867" i="1"/>
  <c r="BY867" i="1"/>
  <c r="BX867" i="1"/>
  <c r="BW867" i="1"/>
  <c r="BU867" i="1"/>
  <c r="BQ867" i="1"/>
  <c r="BP867" i="1"/>
  <c r="BO867" i="1"/>
  <c r="BN867" i="1"/>
  <c r="BL867" i="1"/>
  <c r="BH867" i="1"/>
  <c r="BG867" i="1"/>
  <c r="BF867" i="1"/>
  <c r="BE867" i="1"/>
  <c r="BC867" i="1"/>
  <c r="AY867" i="1"/>
  <c r="AX867" i="1"/>
  <c r="AW867" i="1"/>
  <c r="AV867" i="1"/>
  <c r="AT867" i="1"/>
  <c r="AP867" i="1"/>
  <c r="AO867" i="1"/>
  <c r="AN867" i="1"/>
  <c r="AM867" i="1"/>
  <c r="AK867" i="1"/>
  <c r="AG867" i="1"/>
  <c r="AF867" i="1"/>
  <c r="AE867" i="1"/>
  <c r="AD867" i="1"/>
  <c r="AB867" i="1"/>
  <c r="X867" i="1"/>
  <c r="W867" i="1"/>
  <c r="V867" i="1"/>
  <c r="U867" i="1"/>
  <c r="S867" i="1"/>
  <c r="K867" i="1"/>
  <c r="J867" i="1"/>
  <c r="I867" i="1"/>
  <c r="CR866" i="1"/>
  <c r="CQ866" i="1"/>
  <c r="CP866" i="1"/>
  <c r="CO866" i="1"/>
  <c r="CM866" i="1"/>
  <c r="CI866" i="1"/>
  <c r="CH866" i="1"/>
  <c r="CG866" i="1"/>
  <c r="CF866" i="1"/>
  <c r="CD866" i="1"/>
  <c r="CC866" i="1"/>
  <c r="CB866" i="1"/>
  <c r="BZ866" i="1"/>
  <c r="BY866" i="1"/>
  <c r="BX866" i="1"/>
  <c r="BW866" i="1"/>
  <c r="BU866" i="1"/>
  <c r="BQ866" i="1"/>
  <c r="BP866" i="1"/>
  <c r="BO866" i="1"/>
  <c r="BN866" i="1"/>
  <c r="BL866" i="1"/>
  <c r="BH866" i="1"/>
  <c r="BG866" i="1"/>
  <c r="BF866" i="1"/>
  <c r="BE866" i="1"/>
  <c r="BC866" i="1"/>
  <c r="AY866" i="1"/>
  <c r="AX866" i="1"/>
  <c r="AW866" i="1"/>
  <c r="AV866" i="1"/>
  <c r="AT866" i="1"/>
  <c r="AP866" i="1"/>
  <c r="AO866" i="1"/>
  <c r="AN866" i="1"/>
  <c r="AM866" i="1"/>
  <c r="AK866" i="1"/>
  <c r="AG866" i="1"/>
  <c r="AF866" i="1"/>
  <c r="AE866" i="1"/>
  <c r="AD866" i="1"/>
  <c r="AB866" i="1"/>
  <c r="X866" i="1"/>
  <c r="W866" i="1"/>
  <c r="V866" i="1"/>
  <c r="U866" i="1"/>
  <c r="S866" i="1"/>
  <c r="K866" i="1"/>
  <c r="J866" i="1"/>
  <c r="I866" i="1"/>
  <c r="CL864" i="1"/>
  <c r="CC864" i="1"/>
  <c r="BT864" i="1"/>
  <c r="BS864" i="1"/>
  <c r="BK864" i="1"/>
  <c r="BJ864" i="1"/>
  <c r="BB864" i="1"/>
  <c r="BA864" i="1"/>
  <c r="AS864" i="1"/>
  <c r="AR864" i="1"/>
  <c r="AJ864" i="1"/>
  <c r="AI864" i="1"/>
  <c r="AA864" i="1"/>
  <c r="Z864" i="1"/>
  <c r="R864" i="1"/>
  <c r="Q864" i="1"/>
  <c r="E864" i="1"/>
  <c r="D864" i="1"/>
  <c r="CM863" i="1"/>
  <c r="CK863" i="1"/>
  <c r="CD863" i="1"/>
  <c r="CB863" i="1"/>
  <c r="BU863" i="1"/>
  <c r="BS863" i="1"/>
  <c r="BL863" i="1"/>
  <c r="BJ863" i="1"/>
  <c r="BC863" i="1"/>
  <c r="BA863" i="1"/>
  <c r="AT863" i="1"/>
  <c r="AR863" i="1"/>
  <c r="AK863" i="1"/>
  <c r="AI863" i="1"/>
  <c r="AB863" i="1"/>
  <c r="Z863" i="1"/>
  <c r="S863" i="1"/>
  <c r="Q863" i="1"/>
  <c r="I863" i="1"/>
  <c r="E863" i="1"/>
  <c r="CK862" i="1"/>
  <c r="CB862" i="1"/>
  <c r="BS862" i="1"/>
  <c r="BJ862" i="1"/>
  <c r="BA862" i="1"/>
  <c r="AR862" i="1"/>
  <c r="AI862" i="1"/>
  <c r="Z862" i="1"/>
  <c r="Q862" i="1"/>
  <c r="E861" i="1"/>
  <c r="E860" i="1"/>
  <c r="CM856" i="1"/>
  <c r="CL856" i="1"/>
  <c r="CK856" i="1"/>
  <c r="CD856" i="1"/>
  <c r="CC856" i="1"/>
  <c r="CB856" i="1"/>
  <c r="BU856" i="1"/>
  <c r="BT856" i="1"/>
  <c r="BS856" i="1"/>
  <c r="BL856" i="1"/>
  <c r="BK856" i="1"/>
  <c r="BJ856" i="1"/>
  <c r="BC856" i="1"/>
  <c r="BB856" i="1"/>
  <c r="BA856" i="1"/>
  <c r="AT856" i="1"/>
  <c r="AS856" i="1"/>
  <c r="AR856" i="1"/>
  <c r="AK856" i="1"/>
  <c r="AJ856" i="1"/>
  <c r="AI856" i="1"/>
  <c r="AB856" i="1"/>
  <c r="AA856" i="1"/>
  <c r="Z856" i="1"/>
  <c r="S856" i="1"/>
  <c r="R856" i="1"/>
  <c r="Q856" i="1"/>
  <c r="K856" i="1"/>
  <c r="J856" i="1"/>
  <c r="I856" i="1"/>
  <c r="H856" i="1"/>
  <c r="F856" i="1"/>
  <c r="CR855" i="1"/>
  <c r="CQ855" i="1"/>
  <c r="CP855" i="1"/>
  <c r="CO855" i="1"/>
  <c r="CM855" i="1"/>
  <c r="CI855" i="1"/>
  <c r="CH855" i="1"/>
  <c r="CG855" i="1"/>
  <c r="CF855" i="1"/>
  <c r="CD855" i="1"/>
  <c r="CC855" i="1"/>
  <c r="CB855" i="1"/>
  <c r="BZ855" i="1"/>
  <c r="BY855" i="1"/>
  <c r="BX855" i="1"/>
  <c r="BW855" i="1"/>
  <c r="BU855" i="1"/>
  <c r="BQ855" i="1"/>
  <c r="BP855" i="1"/>
  <c r="BO855" i="1"/>
  <c r="BN855" i="1"/>
  <c r="BL855" i="1"/>
  <c r="BH855" i="1"/>
  <c r="BG855" i="1"/>
  <c r="BF855" i="1"/>
  <c r="BE855" i="1"/>
  <c r="BC855" i="1"/>
  <c r="AY855" i="1"/>
  <c r="AX855" i="1"/>
  <c r="AW855" i="1"/>
  <c r="AV855" i="1"/>
  <c r="AT855" i="1"/>
  <c r="AP855" i="1"/>
  <c r="AO855" i="1"/>
  <c r="AN855" i="1"/>
  <c r="AM855" i="1"/>
  <c r="AK855" i="1"/>
  <c r="AG855" i="1"/>
  <c r="AF855" i="1"/>
  <c r="AE855" i="1"/>
  <c r="AD855" i="1"/>
  <c r="AB855" i="1"/>
  <c r="X855" i="1"/>
  <c r="W855" i="1"/>
  <c r="V855" i="1"/>
  <c r="U855" i="1"/>
  <c r="S855" i="1"/>
  <c r="K855" i="1"/>
  <c r="J855" i="1"/>
  <c r="I855" i="1"/>
  <c r="CR854" i="1"/>
  <c r="CQ854" i="1"/>
  <c r="CP854" i="1"/>
  <c r="CO854" i="1"/>
  <c r="CM854" i="1"/>
  <c r="CI854" i="1"/>
  <c r="CH854" i="1"/>
  <c r="CG854" i="1"/>
  <c r="CF854" i="1"/>
  <c r="CD854" i="1"/>
  <c r="CC854" i="1"/>
  <c r="CB854" i="1"/>
  <c r="BZ854" i="1"/>
  <c r="BY854" i="1"/>
  <c r="BX854" i="1"/>
  <c r="BW854" i="1"/>
  <c r="BU854" i="1"/>
  <c r="BQ854" i="1"/>
  <c r="BP854" i="1"/>
  <c r="BO854" i="1"/>
  <c r="BN854" i="1"/>
  <c r="BL854" i="1"/>
  <c r="BH854" i="1"/>
  <c r="BG854" i="1"/>
  <c r="BF854" i="1"/>
  <c r="BE854" i="1"/>
  <c r="BC854" i="1"/>
  <c r="AY854" i="1"/>
  <c r="AX854" i="1"/>
  <c r="AW854" i="1"/>
  <c r="AV854" i="1"/>
  <c r="AT854" i="1"/>
  <c r="AP854" i="1"/>
  <c r="AO854" i="1"/>
  <c r="AN854" i="1"/>
  <c r="AM854" i="1"/>
  <c r="AK854" i="1"/>
  <c r="AG854" i="1"/>
  <c r="AF854" i="1"/>
  <c r="AE854" i="1"/>
  <c r="AD854" i="1"/>
  <c r="AB854" i="1"/>
  <c r="X854" i="1"/>
  <c r="W854" i="1"/>
  <c r="V854" i="1"/>
  <c r="U854" i="1"/>
  <c r="S854" i="1"/>
  <c r="K854" i="1"/>
  <c r="J854" i="1"/>
  <c r="I854" i="1"/>
  <c r="CR853" i="1"/>
  <c r="CQ853" i="1"/>
  <c r="CP853" i="1"/>
  <c r="CO853" i="1"/>
  <c r="CM853" i="1"/>
  <c r="CI853" i="1"/>
  <c r="CH853" i="1"/>
  <c r="CG853" i="1"/>
  <c r="CF853" i="1"/>
  <c r="CD853" i="1"/>
  <c r="CC853" i="1"/>
  <c r="CB853" i="1"/>
  <c r="BZ853" i="1"/>
  <c r="BY853" i="1"/>
  <c r="BX853" i="1"/>
  <c r="BW853" i="1"/>
  <c r="BU853" i="1"/>
  <c r="BQ853" i="1"/>
  <c r="BP853" i="1"/>
  <c r="BO853" i="1"/>
  <c r="BN853" i="1"/>
  <c r="BL853" i="1"/>
  <c r="BH853" i="1"/>
  <c r="BG853" i="1"/>
  <c r="BF853" i="1"/>
  <c r="BE853" i="1"/>
  <c r="BC853" i="1"/>
  <c r="AY853" i="1"/>
  <c r="AX853" i="1"/>
  <c r="AW853" i="1"/>
  <c r="AV853" i="1"/>
  <c r="AT853" i="1"/>
  <c r="AP853" i="1"/>
  <c r="AO853" i="1"/>
  <c r="AN853" i="1"/>
  <c r="AM853" i="1"/>
  <c r="AK853" i="1"/>
  <c r="AG853" i="1"/>
  <c r="AF853" i="1"/>
  <c r="AE853" i="1"/>
  <c r="AD853" i="1"/>
  <c r="AB853" i="1"/>
  <c r="X853" i="1"/>
  <c r="W853" i="1"/>
  <c r="V853" i="1"/>
  <c r="U853" i="1"/>
  <c r="S853" i="1"/>
  <c r="K853" i="1"/>
  <c r="J853" i="1"/>
  <c r="I853" i="1"/>
  <c r="CR852" i="1"/>
  <c r="CQ852" i="1"/>
  <c r="CP852" i="1"/>
  <c r="CO852" i="1"/>
  <c r="CM852" i="1"/>
  <c r="CI852" i="1"/>
  <c r="CH852" i="1"/>
  <c r="CG852" i="1"/>
  <c r="CF852" i="1"/>
  <c r="CD852" i="1"/>
  <c r="CC852" i="1"/>
  <c r="CB852" i="1"/>
  <c r="BZ852" i="1"/>
  <c r="BY852" i="1"/>
  <c r="BX852" i="1"/>
  <c r="BW852" i="1"/>
  <c r="BU852" i="1"/>
  <c r="BQ852" i="1"/>
  <c r="BP852" i="1"/>
  <c r="BO852" i="1"/>
  <c r="BN852" i="1"/>
  <c r="BL852" i="1"/>
  <c r="BH852" i="1"/>
  <c r="BG852" i="1"/>
  <c r="BF852" i="1"/>
  <c r="BE852" i="1"/>
  <c r="BC852" i="1"/>
  <c r="AY852" i="1"/>
  <c r="AX852" i="1"/>
  <c r="AW852" i="1"/>
  <c r="AV852" i="1"/>
  <c r="AT852" i="1"/>
  <c r="AP852" i="1"/>
  <c r="AO852" i="1"/>
  <c r="AN852" i="1"/>
  <c r="AM852" i="1"/>
  <c r="AK852" i="1"/>
  <c r="AG852" i="1"/>
  <c r="AF852" i="1"/>
  <c r="AE852" i="1"/>
  <c r="AD852" i="1"/>
  <c r="AB852" i="1"/>
  <c r="X852" i="1"/>
  <c r="W852" i="1"/>
  <c r="V852" i="1"/>
  <c r="U852" i="1"/>
  <c r="S852" i="1"/>
  <c r="K852" i="1"/>
  <c r="J852" i="1"/>
  <c r="I852" i="1"/>
  <c r="CR851" i="1"/>
  <c r="CQ851" i="1"/>
  <c r="CP851" i="1"/>
  <c r="CO851" i="1"/>
  <c r="CM851" i="1"/>
  <c r="CI851" i="1"/>
  <c r="CH851" i="1"/>
  <c r="CG851" i="1"/>
  <c r="CF851" i="1"/>
  <c r="CD851" i="1"/>
  <c r="CC851" i="1"/>
  <c r="CB851" i="1"/>
  <c r="BZ851" i="1"/>
  <c r="BY851" i="1"/>
  <c r="BX851" i="1"/>
  <c r="BW851" i="1"/>
  <c r="BU851" i="1"/>
  <c r="BQ851" i="1"/>
  <c r="BP851" i="1"/>
  <c r="BO851" i="1"/>
  <c r="BN851" i="1"/>
  <c r="BL851" i="1"/>
  <c r="BH851" i="1"/>
  <c r="BG851" i="1"/>
  <c r="BF851" i="1"/>
  <c r="BE851" i="1"/>
  <c r="BC851" i="1"/>
  <c r="AY851" i="1"/>
  <c r="AX851" i="1"/>
  <c r="AW851" i="1"/>
  <c r="AV851" i="1"/>
  <c r="AT851" i="1"/>
  <c r="AP851" i="1"/>
  <c r="AO851" i="1"/>
  <c r="AN851" i="1"/>
  <c r="AM851" i="1"/>
  <c r="AK851" i="1"/>
  <c r="AG851" i="1"/>
  <c r="AF851" i="1"/>
  <c r="AE851" i="1"/>
  <c r="AD851" i="1"/>
  <c r="AB851" i="1"/>
  <c r="X851" i="1"/>
  <c r="W851" i="1"/>
  <c r="V851" i="1"/>
  <c r="U851" i="1"/>
  <c r="S851" i="1"/>
  <c r="K851" i="1"/>
  <c r="J851" i="1"/>
  <c r="I851" i="1"/>
  <c r="CR850" i="1"/>
  <c r="CQ850" i="1"/>
  <c r="CP850" i="1"/>
  <c r="CO850" i="1"/>
  <c r="CM850" i="1"/>
  <c r="CI850" i="1"/>
  <c r="CH850" i="1"/>
  <c r="CG850" i="1"/>
  <c r="CF850" i="1"/>
  <c r="CD850" i="1"/>
  <c r="CC850" i="1"/>
  <c r="CB850" i="1"/>
  <c r="BZ850" i="1"/>
  <c r="BY850" i="1"/>
  <c r="BX850" i="1"/>
  <c r="BW850" i="1"/>
  <c r="BU850" i="1"/>
  <c r="BQ850" i="1"/>
  <c r="BP850" i="1"/>
  <c r="BO850" i="1"/>
  <c r="BN850" i="1"/>
  <c r="BL850" i="1"/>
  <c r="BH850" i="1"/>
  <c r="BG850" i="1"/>
  <c r="BF850" i="1"/>
  <c r="BE850" i="1"/>
  <c r="BC850" i="1"/>
  <c r="AY850" i="1"/>
  <c r="AX850" i="1"/>
  <c r="AW850" i="1"/>
  <c r="AV850" i="1"/>
  <c r="AT850" i="1"/>
  <c r="AP850" i="1"/>
  <c r="AO850" i="1"/>
  <c r="AN850" i="1"/>
  <c r="AM850" i="1"/>
  <c r="AK850" i="1"/>
  <c r="AG850" i="1"/>
  <c r="AF850" i="1"/>
  <c r="AE850" i="1"/>
  <c r="AD850" i="1"/>
  <c r="AB850" i="1"/>
  <c r="X850" i="1"/>
  <c r="W850" i="1"/>
  <c r="V850" i="1"/>
  <c r="U850" i="1"/>
  <c r="S850" i="1"/>
  <c r="K850" i="1"/>
  <c r="J850" i="1"/>
  <c r="I850" i="1"/>
  <c r="CR849" i="1"/>
  <c r="CQ849" i="1"/>
  <c r="CP849" i="1"/>
  <c r="CO849" i="1"/>
  <c r="CM849" i="1"/>
  <c r="CI849" i="1"/>
  <c r="CH849" i="1"/>
  <c r="CG849" i="1"/>
  <c r="CF849" i="1"/>
  <c r="CD849" i="1"/>
  <c r="CC849" i="1"/>
  <c r="CB849" i="1"/>
  <c r="BZ849" i="1"/>
  <c r="BY849" i="1"/>
  <c r="BX849" i="1"/>
  <c r="BW849" i="1"/>
  <c r="BU849" i="1"/>
  <c r="BQ849" i="1"/>
  <c r="BP849" i="1"/>
  <c r="BO849" i="1"/>
  <c r="BN849" i="1"/>
  <c r="BL849" i="1"/>
  <c r="BH849" i="1"/>
  <c r="BG849" i="1"/>
  <c r="BF849" i="1"/>
  <c r="BE849" i="1"/>
  <c r="BC849" i="1"/>
  <c r="AY849" i="1"/>
  <c r="AX849" i="1"/>
  <c r="AW849" i="1"/>
  <c r="AV849" i="1"/>
  <c r="AT849" i="1"/>
  <c r="AP849" i="1"/>
  <c r="AO849" i="1"/>
  <c r="AN849" i="1"/>
  <c r="AM849" i="1"/>
  <c r="AK849" i="1"/>
  <c r="AG849" i="1"/>
  <c r="AF849" i="1"/>
  <c r="AE849" i="1"/>
  <c r="AD849" i="1"/>
  <c r="AB849" i="1"/>
  <c r="X849" i="1"/>
  <c r="W849" i="1"/>
  <c r="V849" i="1"/>
  <c r="U849" i="1"/>
  <c r="S849" i="1"/>
  <c r="K849" i="1"/>
  <c r="J849" i="1"/>
  <c r="I849" i="1"/>
  <c r="CR848" i="1"/>
  <c r="CQ848" i="1"/>
  <c r="CP848" i="1"/>
  <c r="CO848" i="1"/>
  <c r="CM848" i="1"/>
  <c r="CI848" i="1"/>
  <c r="CH848" i="1"/>
  <c r="CG848" i="1"/>
  <c r="CF848" i="1"/>
  <c r="CD848" i="1"/>
  <c r="CC848" i="1"/>
  <c r="CB848" i="1"/>
  <c r="BZ848" i="1"/>
  <c r="BY848" i="1"/>
  <c r="BX848" i="1"/>
  <c r="BW848" i="1"/>
  <c r="BU848" i="1"/>
  <c r="BQ848" i="1"/>
  <c r="BP848" i="1"/>
  <c r="BO848" i="1"/>
  <c r="BN848" i="1"/>
  <c r="BL848" i="1"/>
  <c r="BH848" i="1"/>
  <c r="BG848" i="1"/>
  <c r="BF848" i="1"/>
  <c r="BE848" i="1"/>
  <c r="BC848" i="1"/>
  <c r="AY848" i="1"/>
  <c r="AX848" i="1"/>
  <c r="AW848" i="1"/>
  <c r="AV848" i="1"/>
  <c r="AT848" i="1"/>
  <c r="AP848" i="1"/>
  <c r="AO848" i="1"/>
  <c r="AN848" i="1"/>
  <c r="AM848" i="1"/>
  <c r="AK848" i="1"/>
  <c r="AG848" i="1"/>
  <c r="AF848" i="1"/>
  <c r="AE848" i="1"/>
  <c r="AD848" i="1"/>
  <c r="AB848" i="1"/>
  <c r="X848" i="1"/>
  <c r="W848" i="1"/>
  <c r="V848" i="1"/>
  <c r="U848" i="1"/>
  <c r="S848" i="1"/>
  <c r="K848" i="1"/>
  <c r="J848" i="1"/>
  <c r="I848" i="1"/>
  <c r="CR847" i="1"/>
  <c r="CQ847" i="1"/>
  <c r="CP847" i="1"/>
  <c r="CO847" i="1"/>
  <c r="CM847" i="1"/>
  <c r="CI847" i="1"/>
  <c r="CH847" i="1"/>
  <c r="CG847" i="1"/>
  <c r="CF847" i="1"/>
  <c r="CD847" i="1"/>
  <c r="CC847" i="1"/>
  <c r="CB847" i="1"/>
  <c r="BZ847" i="1"/>
  <c r="BY847" i="1"/>
  <c r="BX847" i="1"/>
  <c r="BW847" i="1"/>
  <c r="BU847" i="1"/>
  <c r="BQ847" i="1"/>
  <c r="BP847" i="1"/>
  <c r="BO847" i="1"/>
  <c r="BN847" i="1"/>
  <c r="BL847" i="1"/>
  <c r="BH847" i="1"/>
  <c r="BG847" i="1"/>
  <c r="BF847" i="1"/>
  <c r="BE847" i="1"/>
  <c r="BC847" i="1"/>
  <c r="AY847" i="1"/>
  <c r="AX847" i="1"/>
  <c r="AW847" i="1"/>
  <c r="AV847" i="1"/>
  <c r="AT847" i="1"/>
  <c r="AP847" i="1"/>
  <c r="AO847" i="1"/>
  <c r="AN847" i="1"/>
  <c r="AM847" i="1"/>
  <c r="AK847" i="1"/>
  <c r="AG847" i="1"/>
  <c r="AF847" i="1"/>
  <c r="AE847" i="1"/>
  <c r="AD847" i="1"/>
  <c r="AB847" i="1"/>
  <c r="X847" i="1"/>
  <c r="W847" i="1"/>
  <c r="V847" i="1"/>
  <c r="U847" i="1"/>
  <c r="S847" i="1"/>
  <c r="K847" i="1"/>
  <c r="J847" i="1"/>
  <c r="I847" i="1"/>
  <c r="CR846" i="1"/>
  <c r="CQ846" i="1"/>
  <c r="CP846" i="1"/>
  <c r="CO846" i="1"/>
  <c r="CM846" i="1"/>
  <c r="CI846" i="1"/>
  <c r="CH846" i="1"/>
  <c r="CG846" i="1"/>
  <c r="CF846" i="1"/>
  <c r="CD846" i="1"/>
  <c r="CC846" i="1"/>
  <c r="CB846" i="1"/>
  <c r="BZ846" i="1"/>
  <c r="BY846" i="1"/>
  <c r="BX846" i="1"/>
  <c r="BW846" i="1"/>
  <c r="BU846" i="1"/>
  <c r="BQ846" i="1"/>
  <c r="BP846" i="1"/>
  <c r="BO846" i="1"/>
  <c r="BN846" i="1"/>
  <c r="BL846" i="1"/>
  <c r="BH846" i="1"/>
  <c r="BG846" i="1"/>
  <c r="BF846" i="1"/>
  <c r="BE846" i="1"/>
  <c r="BC846" i="1"/>
  <c r="AY846" i="1"/>
  <c r="AX846" i="1"/>
  <c r="AW846" i="1"/>
  <c r="AV846" i="1"/>
  <c r="AT846" i="1"/>
  <c r="AP846" i="1"/>
  <c r="AO846" i="1"/>
  <c r="AN846" i="1"/>
  <c r="AM846" i="1"/>
  <c r="AK846" i="1"/>
  <c r="AG846" i="1"/>
  <c r="AF846" i="1"/>
  <c r="AE846" i="1"/>
  <c r="AD846" i="1"/>
  <c r="AB846" i="1"/>
  <c r="X846" i="1"/>
  <c r="W846" i="1"/>
  <c r="V846" i="1"/>
  <c r="U846" i="1"/>
  <c r="S846" i="1"/>
  <c r="K846" i="1"/>
  <c r="J846" i="1"/>
  <c r="I846" i="1"/>
  <c r="CR845" i="1"/>
  <c r="CQ845" i="1"/>
  <c r="CP845" i="1"/>
  <c r="CO845" i="1"/>
  <c r="CM845" i="1"/>
  <c r="CI845" i="1"/>
  <c r="CH845" i="1"/>
  <c r="CG845" i="1"/>
  <c r="CF845" i="1"/>
  <c r="CD845" i="1"/>
  <c r="CC845" i="1"/>
  <c r="CB845" i="1"/>
  <c r="BZ845" i="1"/>
  <c r="BY845" i="1"/>
  <c r="BX845" i="1"/>
  <c r="BW845" i="1"/>
  <c r="BU845" i="1"/>
  <c r="BQ845" i="1"/>
  <c r="BP845" i="1"/>
  <c r="BO845" i="1"/>
  <c r="BN845" i="1"/>
  <c r="BL845" i="1"/>
  <c r="BH845" i="1"/>
  <c r="BG845" i="1"/>
  <c r="BF845" i="1"/>
  <c r="BE845" i="1"/>
  <c r="BC845" i="1"/>
  <c r="AY845" i="1"/>
  <c r="AX845" i="1"/>
  <c r="AW845" i="1"/>
  <c r="AV845" i="1"/>
  <c r="AT845" i="1"/>
  <c r="AP845" i="1"/>
  <c r="AO845" i="1"/>
  <c r="AN845" i="1"/>
  <c r="AM845" i="1"/>
  <c r="AK845" i="1"/>
  <c r="AG845" i="1"/>
  <c r="AF845" i="1"/>
  <c r="AE845" i="1"/>
  <c r="AD845" i="1"/>
  <c r="AB845" i="1"/>
  <c r="X845" i="1"/>
  <c r="W845" i="1"/>
  <c r="V845" i="1"/>
  <c r="U845" i="1"/>
  <c r="S845" i="1"/>
  <c r="K845" i="1"/>
  <c r="J845" i="1"/>
  <c r="I845" i="1"/>
  <c r="CR844" i="1"/>
  <c r="CQ844" i="1"/>
  <c r="CP844" i="1"/>
  <c r="CO844" i="1"/>
  <c r="CM844" i="1"/>
  <c r="CI844" i="1"/>
  <c r="CH844" i="1"/>
  <c r="CG844" i="1"/>
  <c r="CF844" i="1"/>
  <c r="CD844" i="1"/>
  <c r="CC844" i="1"/>
  <c r="CB844" i="1"/>
  <c r="BZ844" i="1"/>
  <c r="BY844" i="1"/>
  <c r="BX844" i="1"/>
  <c r="BW844" i="1"/>
  <c r="BU844" i="1"/>
  <c r="BQ844" i="1"/>
  <c r="BP844" i="1"/>
  <c r="BO844" i="1"/>
  <c r="BN844" i="1"/>
  <c r="BL844" i="1"/>
  <c r="BH844" i="1"/>
  <c r="BG844" i="1"/>
  <c r="BF844" i="1"/>
  <c r="BE844" i="1"/>
  <c r="BC844" i="1"/>
  <c r="AY844" i="1"/>
  <c r="AX844" i="1"/>
  <c r="AW844" i="1"/>
  <c r="AV844" i="1"/>
  <c r="AT844" i="1"/>
  <c r="AP844" i="1"/>
  <c r="AO844" i="1"/>
  <c r="AN844" i="1"/>
  <c r="AM844" i="1"/>
  <c r="AK844" i="1"/>
  <c r="AG844" i="1"/>
  <c r="AF844" i="1"/>
  <c r="AE844" i="1"/>
  <c r="AD844" i="1"/>
  <c r="AB844" i="1"/>
  <c r="X844" i="1"/>
  <c r="W844" i="1"/>
  <c r="V844" i="1"/>
  <c r="U844" i="1"/>
  <c r="S844" i="1"/>
  <c r="K844" i="1"/>
  <c r="J844" i="1"/>
  <c r="I844" i="1"/>
  <c r="CL842" i="1"/>
  <c r="CC842" i="1"/>
  <c r="BT842" i="1"/>
  <c r="BS842" i="1"/>
  <c r="BK842" i="1"/>
  <c r="BJ842" i="1"/>
  <c r="BB842" i="1"/>
  <c r="BA842" i="1"/>
  <c r="AS842" i="1"/>
  <c r="AR842" i="1"/>
  <c r="AJ842" i="1"/>
  <c r="AI842" i="1"/>
  <c r="AA842" i="1"/>
  <c r="Z842" i="1"/>
  <c r="R842" i="1"/>
  <c r="Q842" i="1"/>
  <c r="E842" i="1"/>
  <c r="D842" i="1"/>
  <c r="CM841" i="1"/>
  <c r="CK841" i="1"/>
  <c r="CD841" i="1"/>
  <c r="CB841" i="1"/>
  <c r="BU841" i="1"/>
  <c r="BS841" i="1"/>
  <c r="BL841" i="1"/>
  <c r="BJ841" i="1"/>
  <c r="BC841" i="1"/>
  <c r="BA841" i="1"/>
  <c r="AT841" i="1"/>
  <c r="AR841" i="1"/>
  <c r="AK841" i="1"/>
  <c r="AI841" i="1"/>
  <c r="AB841" i="1"/>
  <c r="Z841" i="1"/>
  <c r="S841" i="1"/>
  <c r="Q841" i="1"/>
  <c r="I841" i="1"/>
  <c r="E841" i="1"/>
  <c r="CK840" i="1"/>
  <c r="CB840" i="1"/>
  <c r="BS840" i="1"/>
  <c r="BJ840" i="1"/>
  <c r="BA840" i="1"/>
  <c r="AR840" i="1"/>
  <c r="AI840" i="1"/>
  <c r="Z840" i="1"/>
  <c r="Q840" i="1"/>
  <c r="E839" i="1"/>
  <c r="E838" i="1"/>
  <c r="CM834" i="1"/>
  <c r="CL834" i="1"/>
  <c r="CK834" i="1"/>
  <c r="CD834" i="1"/>
  <c r="CC834" i="1"/>
  <c r="CB834" i="1"/>
  <c r="BU834" i="1"/>
  <c r="BT834" i="1"/>
  <c r="BS834" i="1"/>
  <c r="BL834" i="1"/>
  <c r="BK834" i="1"/>
  <c r="BJ834" i="1"/>
  <c r="BC834" i="1"/>
  <c r="BB834" i="1"/>
  <c r="BA834" i="1"/>
  <c r="AT834" i="1"/>
  <c r="AS834" i="1"/>
  <c r="AR834" i="1"/>
  <c r="AK834" i="1"/>
  <c r="AJ834" i="1"/>
  <c r="AI834" i="1"/>
  <c r="AB834" i="1"/>
  <c r="AA834" i="1"/>
  <c r="Z834" i="1"/>
  <c r="S834" i="1"/>
  <c r="R834" i="1"/>
  <c r="Q834" i="1"/>
  <c r="K834" i="1"/>
  <c r="J834" i="1"/>
  <c r="I834" i="1"/>
  <c r="H834" i="1"/>
  <c r="F834" i="1"/>
  <c r="CR833" i="1"/>
  <c r="CQ833" i="1"/>
  <c r="CP833" i="1"/>
  <c r="CO833" i="1"/>
  <c r="CM833" i="1"/>
  <c r="CI833" i="1"/>
  <c r="CH833" i="1"/>
  <c r="CG833" i="1"/>
  <c r="CF833" i="1"/>
  <c r="CD833" i="1"/>
  <c r="CC833" i="1"/>
  <c r="CB833" i="1"/>
  <c r="BZ833" i="1"/>
  <c r="BY833" i="1"/>
  <c r="BX833" i="1"/>
  <c r="BW833" i="1"/>
  <c r="BU833" i="1"/>
  <c r="BQ833" i="1"/>
  <c r="BP833" i="1"/>
  <c r="BO833" i="1"/>
  <c r="BN833" i="1"/>
  <c r="BL833" i="1"/>
  <c r="BH833" i="1"/>
  <c r="BG833" i="1"/>
  <c r="BF833" i="1"/>
  <c r="BE833" i="1"/>
  <c r="BC833" i="1"/>
  <c r="AY833" i="1"/>
  <c r="AX833" i="1"/>
  <c r="AW833" i="1"/>
  <c r="AV833" i="1"/>
  <c r="AT833" i="1"/>
  <c r="AP833" i="1"/>
  <c r="AO833" i="1"/>
  <c r="AN833" i="1"/>
  <c r="AM833" i="1"/>
  <c r="AK833" i="1"/>
  <c r="AG833" i="1"/>
  <c r="AF833" i="1"/>
  <c r="AE833" i="1"/>
  <c r="AD833" i="1"/>
  <c r="AB833" i="1"/>
  <c r="X833" i="1"/>
  <c r="W833" i="1"/>
  <c r="V833" i="1"/>
  <c r="U833" i="1"/>
  <c r="S833" i="1"/>
  <c r="K833" i="1"/>
  <c r="J833" i="1"/>
  <c r="I833" i="1"/>
  <c r="CR832" i="1"/>
  <c r="CQ832" i="1"/>
  <c r="CP832" i="1"/>
  <c r="CO832" i="1"/>
  <c r="CM832" i="1"/>
  <c r="CI832" i="1"/>
  <c r="CH832" i="1"/>
  <c r="CG832" i="1"/>
  <c r="CF832" i="1"/>
  <c r="CD832" i="1"/>
  <c r="CC832" i="1"/>
  <c r="CB832" i="1"/>
  <c r="BZ832" i="1"/>
  <c r="BY832" i="1"/>
  <c r="BX832" i="1"/>
  <c r="BW832" i="1"/>
  <c r="BU832" i="1"/>
  <c r="BQ832" i="1"/>
  <c r="BP832" i="1"/>
  <c r="BO832" i="1"/>
  <c r="BN832" i="1"/>
  <c r="BL832" i="1"/>
  <c r="BH832" i="1"/>
  <c r="BG832" i="1"/>
  <c r="BF832" i="1"/>
  <c r="BE832" i="1"/>
  <c r="BC832" i="1"/>
  <c r="AY832" i="1"/>
  <c r="AX832" i="1"/>
  <c r="AW832" i="1"/>
  <c r="AV832" i="1"/>
  <c r="AT832" i="1"/>
  <c r="AP832" i="1"/>
  <c r="AO832" i="1"/>
  <c r="AN832" i="1"/>
  <c r="AM832" i="1"/>
  <c r="AK832" i="1"/>
  <c r="AG832" i="1"/>
  <c r="AF832" i="1"/>
  <c r="AE832" i="1"/>
  <c r="AD832" i="1"/>
  <c r="AB832" i="1"/>
  <c r="X832" i="1"/>
  <c r="W832" i="1"/>
  <c r="V832" i="1"/>
  <c r="U832" i="1"/>
  <c r="S832" i="1"/>
  <c r="K832" i="1"/>
  <c r="J832" i="1"/>
  <c r="I832" i="1"/>
  <c r="CR831" i="1"/>
  <c r="CQ831" i="1"/>
  <c r="CP831" i="1"/>
  <c r="CO831" i="1"/>
  <c r="CM831" i="1"/>
  <c r="CI831" i="1"/>
  <c r="CH831" i="1"/>
  <c r="CG831" i="1"/>
  <c r="CF831" i="1"/>
  <c r="CD831" i="1"/>
  <c r="CC831" i="1"/>
  <c r="CB831" i="1"/>
  <c r="BZ831" i="1"/>
  <c r="BY831" i="1"/>
  <c r="BX831" i="1"/>
  <c r="BW831" i="1"/>
  <c r="BU831" i="1"/>
  <c r="BQ831" i="1"/>
  <c r="BP831" i="1"/>
  <c r="BO831" i="1"/>
  <c r="BN831" i="1"/>
  <c r="BL831" i="1"/>
  <c r="BH831" i="1"/>
  <c r="BG831" i="1"/>
  <c r="BF831" i="1"/>
  <c r="BE831" i="1"/>
  <c r="BC831" i="1"/>
  <c r="AY831" i="1"/>
  <c r="AX831" i="1"/>
  <c r="AW831" i="1"/>
  <c r="AV831" i="1"/>
  <c r="AT831" i="1"/>
  <c r="AP831" i="1"/>
  <c r="AO831" i="1"/>
  <c r="AN831" i="1"/>
  <c r="AM831" i="1"/>
  <c r="AK831" i="1"/>
  <c r="AG831" i="1"/>
  <c r="AF831" i="1"/>
  <c r="AE831" i="1"/>
  <c r="AD831" i="1"/>
  <c r="AB831" i="1"/>
  <c r="X831" i="1"/>
  <c r="W831" i="1"/>
  <c r="V831" i="1"/>
  <c r="U831" i="1"/>
  <c r="S831" i="1"/>
  <c r="K831" i="1"/>
  <c r="J831" i="1"/>
  <c r="I831" i="1"/>
  <c r="CR830" i="1"/>
  <c r="CQ830" i="1"/>
  <c r="CP830" i="1"/>
  <c r="CO830" i="1"/>
  <c r="CM830" i="1"/>
  <c r="CI830" i="1"/>
  <c r="CH830" i="1"/>
  <c r="CG830" i="1"/>
  <c r="CF830" i="1"/>
  <c r="CD830" i="1"/>
  <c r="CC830" i="1"/>
  <c r="CB830" i="1"/>
  <c r="BZ830" i="1"/>
  <c r="BY830" i="1"/>
  <c r="BX830" i="1"/>
  <c r="BW830" i="1"/>
  <c r="BU830" i="1"/>
  <c r="BQ830" i="1"/>
  <c r="BP830" i="1"/>
  <c r="BO830" i="1"/>
  <c r="BN830" i="1"/>
  <c r="BL830" i="1"/>
  <c r="BH830" i="1"/>
  <c r="BG830" i="1"/>
  <c r="BF830" i="1"/>
  <c r="BE830" i="1"/>
  <c r="BC830" i="1"/>
  <c r="AY830" i="1"/>
  <c r="AX830" i="1"/>
  <c r="AW830" i="1"/>
  <c r="AV830" i="1"/>
  <c r="AT830" i="1"/>
  <c r="AP830" i="1"/>
  <c r="AO830" i="1"/>
  <c r="AN830" i="1"/>
  <c r="AM830" i="1"/>
  <c r="AK830" i="1"/>
  <c r="AG830" i="1"/>
  <c r="AF830" i="1"/>
  <c r="AE830" i="1"/>
  <c r="AD830" i="1"/>
  <c r="AB830" i="1"/>
  <c r="X830" i="1"/>
  <c r="W830" i="1"/>
  <c r="V830" i="1"/>
  <c r="U830" i="1"/>
  <c r="S830" i="1"/>
  <c r="K830" i="1"/>
  <c r="J830" i="1"/>
  <c r="I830" i="1"/>
  <c r="CR829" i="1"/>
  <c r="CQ829" i="1"/>
  <c r="CP829" i="1"/>
  <c r="CO829" i="1"/>
  <c r="CM829" i="1"/>
  <c r="CI829" i="1"/>
  <c r="CH829" i="1"/>
  <c r="CG829" i="1"/>
  <c r="CF829" i="1"/>
  <c r="CD829" i="1"/>
  <c r="CC829" i="1"/>
  <c r="CB829" i="1"/>
  <c r="BZ829" i="1"/>
  <c r="BY829" i="1"/>
  <c r="BX829" i="1"/>
  <c r="BW829" i="1"/>
  <c r="BU829" i="1"/>
  <c r="BQ829" i="1"/>
  <c r="BP829" i="1"/>
  <c r="BO829" i="1"/>
  <c r="BN829" i="1"/>
  <c r="BL829" i="1"/>
  <c r="BH829" i="1"/>
  <c r="BG829" i="1"/>
  <c r="BF829" i="1"/>
  <c r="BE829" i="1"/>
  <c r="BC829" i="1"/>
  <c r="AY829" i="1"/>
  <c r="AX829" i="1"/>
  <c r="AW829" i="1"/>
  <c r="AV829" i="1"/>
  <c r="AT829" i="1"/>
  <c r="AP829" i="1"/>
  <c r="AO829" i="1"/>
  <c r="AN829" i="1"/>
  <c r="AM829" i="1"/>
  <c r="AK829" i="1"/>
  <c r="AG829" i="1"/>
  <c r="AF829" i="1"/>
  <c r="AE829" i="1"/>
  <c r="AD829" i="1"/>
  <c r="AB829" i="1"/>
  <c r="X829" i="1"/>
  <c r="W829" i="1"/>
  <c r="V829" i="1"/>
  <c r="U829" i="1"/>
  <c r="S829" i="1"/>
  <c r="K829" i="1"/>
  <c r="J829" i="1"/>
  <c r="I829" i="1"/>
  <c r="CR828" i="1"/>
  <c r="CQ828" i="1"/>
  <c r="CP828" i="1"/>
  <c r="CO828" i="1"/>
  <c r="CM828" i="1"/>
  <c r="CI828" i="1"/>
  <c r="CH828" i="1"/>
  <c r="CG828" i="1"/>
  <c r="CF828" i="1"/>
  <c r="CD828" i="1"/>
  <c r="CC828" i="1"/>
  <c r="CB828" i="1"/>
  <c r="BZ828" i="1"/>
  <c r="BY828" i="1"/>
  <c r="BX828" i="1"/>
  <c r="BW828" i="1"/>
  <c r="BU828" i="1"/>
  <c r="BQ828" i="1"/>
  <c r="BP828" i="1"/>
  <c r="BO828" i="1"/>
  <c r="BN828" i="1"/>
  <c r="BL828" i="1"/>
  <c r="BH828" i="1"/>
  <c r="BG828" i="1"/>
  <c r="BF828" i="1"/>
  <c r="BE828" i="1"/>
  <c r="BC828" i="1"/>
  <c r="AY828" i="1"/>
  <c r="AX828" i="1"/>
  <c r="AW828" i="1"/>
  <c r="AV828" i="1"/>
  <c r="AT828" i="1"/>
  <c r="AP828" i="1"/>
  <c r="AO828" i="1"/>
  <c r="AN828" i="1"/>
  <c r="AM828" i="1"/>
  <c r="AK828" i="1"/>
  <c r="AG828" i="1"/>
  <c r="AF828" i="1"/>
  <c r="AE828" i="1"/>
  <c r="AD828" i="1"/>
  <c r="AB828" i="1"/>
  <c r="X828" i="1"/>
  <c r="W828" i="1"/>
  <c r="V828" i="1"/>
  <c r="U828" i="1"/>
  <c r="S828" i="1"/>
  <c r="K828" i="1"/>
  <c r="J828" i="1"/>
  <c r="I828" i="1"/>
  <c r="CR827" i="1"/>
  <c r="CQ827" i="1"/>
  <c r="CP827" i="1"/>
  <c r="CO827" i="1"/>
  <c r="CM827" i="1"/>
  <c r="CI827" i="1"/>
  <c r="CH827" i="1"/>
  <c r="CG827" i="1"/>
  <c r="CF827" i="1"/>
  <c r="CD827" i="1"/>
  <c r="CC827" i="1"/>
  <c r="CB827" i="1"/>
  <c r="BZ827" i="1"/>
  <c r="BY827" i="1"/>
  <c r="BX827" i="1"/>
  <c r="BW827" i="1"/>
  <c r="BU827" i="1"/>
  <c r="BQ827" i="1"/>
  <c r="BP827" i="1"/>
  <c r="BO827" i="1"/>
  <c r="BN827" i="1"/>
  <c r="BL827" i="1"/>
  <c r="BH827" i="1"/>
  <c r="BG827" i="1"/>
  <c r="BF827" i="1"/>
  <c r="BE827" i="1"/>
  <c r="BC827" i="1"/>
  <c r="AY827" i="1"/>
  <c r="AX827" i="1"/>
  <c r="AW827" i="1"/>
  <c r="AV827" i="1"/>
  <c r="AT827" i="1"/>
  <c r="AP827" i="1"/>
  <c r="AO827" i="1"/>
  <c r="AN827" i="1"/>
  <c r="AM827" i="1"/>
  <c r="AK827" i="1"/>
  <c r="AG827" i="1"/>
  <c r="AF827" i="1"/>
  <c r="AE827" i="1"/>
  <c r="AD827" i="1"/>
  <c r="AB827" i="1"/>
  <c r="X827" i="1"/>
  <c r="W827" i="1"/>
  <c r="V827" i="1"/>
  <c r="U827" i="1"/>
  <c r="S827" i="1"/>
  <c r="K827" i="1"/>
  <c r="J827" i="1"/>
  <c r="I827" i="1"/>
  <c r="CR826" i="1"/>
  <c r="CQ826" i="1"/>
  <c r="CP826" i="1"/>
  <c r="CO826" i="1"/>
  <c r="CM826" i="1"/>
  <c r="CI826" i="1"/>
  <c r="CH826" i="1"/>
  <c r="CG826" i="1"/>
  <c r="CF826" i="1"/>
  <c r="CD826" i="1"/>
  <c r="CC826" i="1"/>
  <c r="CB826" i="1"/>
  <c r="BZ826" i="1"/>
  <c r="BY826" i="1"/>
  <c r="BX826" i="1"/>
  <c r="BW826" i="1"/>
  <c r="BU826" i="1"/>
  <c r="BQ826" i="1"/>
  <c r="BP826" i="1"/>
  <c r="BO826" i="1"/>
  <c r="BN826" i="1"/>
  <c r="BL826" i="1"/>
  <c r="BH826" i="1"/>
  <c r="BG826" i="1"/>
  <c r="BF826" i="1"/>
  <c r="BE826" i="1"/>
  <c r="BC826" i="1"/>
  <c r="AY826" i="1"/>
  <c r="AX826" i="1"/>
  <c r="AW826" i="1"/>
  <c r="AV826" i="1"/>
  <c r="AT826" i="1"/>
  <c r="AP826" i="1"/>
  <c r="AO826" i="1"/>
  <c r="AN826" i="1"/>
  <c r="AM826" i="1"/>
  <c r="AK826" i="1"/>
  <c r="AG826" i="1"/>
  <c r="AF826" i="1"/>
  <c r="AE826" i="1"/>
  <c r="AD826" i="1"/>
  <c r="AB826" i="1"/>
  <c r="X826" i="1"/>
  <c r="W826" i="1"/>
  <c r="V826" i="1"/>
  <c r="U826" i="1"/>
  <c r="S826" i="1"/>
  <c r="K826" i="1"/>
  <c r="J826" i="1"/>
  <c r="I826" i="1"/>
  <c r="CR825" i="1"/>
  <c r="CQ825" i="1"/>
  <c r="CP825" i="1"/>
  <c r="CO825" i="1"/>
  <c r="CM825" i="1"/>
  <c r="CI825" i="1"/>
  <c r="CH825" i="1"/>
  <c r="CG825" i="1"/>
  <c r="CF825" i="1"/>
  <c r="CD825" i="1"/>
  <c r="CC825" i="1"/>
  <c r="CB825" i="1"/>
  <c r="BZ825" i="1"/>
  <c r="BY825" i="1"/>
  <c r="BX825" i="1"/>
  <c r="BW825" i="1"/>
  <c r="BU825" i="1"/>
  <c r="BQ825" i="1"/>
  <c r="BP825" i="1"/>
  <c r="BO825" i="1"/>
  <c r="BN825" i="1"/>
  <c r="BL825" i="1"/>
  <c r="BH825" i="1"/>
  <c r="BG825" i="1"/>
  <c r="BF825" i="1"/>
  <c r="BE825" i="1"/>
  <c r="BC825" i="1"/>
  <c r="AY825" i="1"/>
  <c r="AX825" i="1"/>
  <c r="AW825" i="1"/>
  <c r="AV825" i="1"/>
  <c r="AT825" i="1"/>
  <c r="AP825" i="1"/>
  <c r="AO825" i="1"/>
  <c r="AN825" i="1"/>
  <c r="AM825" i="1"/>
  <c r="AK825" i="1"/>
  <c r="AG825" i="1"/>
  <c r="AF825" i="1"/>
  <c r="AE825" i="1"/>
  <c r="AD825" i="1"/>
  <c r="AB825" i="1"/>
  <c r="X825" i="1"/>
  <c r="W825" i="1"/>
  <c r="V825" i="1"/>
  <c r="U825" i="1"/>
  <c r="S825" i="1"/>
  <c r="K825" i="1"/>
  <c r="J825" i="1"/>
  <c r="I825" i="1"/>
  <c r="CR824" i="1"/>
  <c r="CQ824" i="1"/>
  <c r="CP824" i="1"/>
  <c r="CO824" i="1"/>
  <c r="CM824" i="1"/>
  <c r="CI824" i="1"/>
  <c r="CH824" i="1"/>
  <c r="CG824" i="1"/>
  <c r="CF824" i="1"/>
  <c r="CD824" i="1"/>
  <c r="CC824" i="1"/>
  <c r="CB824" i="1"/>
  <c r="BZ824" i="1"/>
  <c r="BY824" i="1"/>
  <c r="BX824" i="1"/>
  <c r="BW824" i="1"/>
  <c r="BU824" i="1"/>
  <c r="BQ824" i="1"/>
  <c r="BP824" i="1"/>
  <c r="BO824" i="1"/>
  <c r="BN824" i="1"/>
  <c r="BL824" i="1"/>
  <c r="BH824" i="1"/>
  <c r="BG824" i="1"/>
  <c r="BF824" i="1"/>
  <c r="BE824" i="1"/>
  <c r="BC824" i="1"/>
  <c r="AY824" i="1"/>
  <c r="AX824" i="1"/>
  <c r="AW824" i="1"/>
  <c r="AV824" i="1"/>
  <c r="AT824" i="1"/>
  <c r="AP824" i="1"/>
  <c r="AO824" i="1"/>
  <c r="AN824" i="1"/>
  <c r="AM824" i="1"/>
  <c r="AK824" i="1"/>
  <c r="AG824" i="1"/>
  <c r="AF824" i="1"/>
  <c r="AE824" i="1"/>
  <c r="AD824" i="1"/>
  <c r="AB824" i="1"/>
  <c r="X824" i="1"/>
  <c r="W824" i="1"/>
  <c r="V824" i="1"/>
  <c r="U824" i="1"/>
  <c r="S824" i="1"/>
  <c r="K824" i="1"/>
  <c r="J824" i="1"/>
  <c r="I824" i="1"/>
  <c r="CR823" i="1"/>
  <c r="CQ823" i="1"/>
  <c r="CP823" i="1"/>
  <c r="CO823" i="1"/>
  <c r="CM823" i="1"/>
  <c r="CI823" i="1"/>
  <c r="CH823" i="1"/>
  <c r="CG823" i="1"/>
  <c r="CF823" i="1"/>
  <c r="CD823" i="1"/>
  <c r="CC823" i="1"/>
  <c r="CB823" i="1"/>
  <c r="BZ823" i="1"/>
  <c r="BY823" i="1"/>
  <c r="BX823" i="1"/>
  <c r="BW823" i="1"/>
  <c r="BU823" i="1"/>
  <c r="BQ823" i="1"/>
  <c r="BP823" i="1"/>
  <c r="BO823" i="1"/>
  <c r="BN823" i="1"/>
  <c r="BL823" i="1"/>
  <c r="BH823" i="1"/>
  <c r="BG823" i="1"/>
  <c r="BF823" i="1"/>
  <c r="BE823" i="1"/>
  <c r="BC823" i="1"/>
  <c r="AY823" i="1"/>
  <c r="AX823" i="1"/>
  <c r="AW823" i="1"/>
  <c r="AV823" i="1"/>
  <c r="AT823" i="1"/>
  <c r="AP823" i="1"/>
  <c r="AO823" i="1"/>
  <c r="AN823" i="1"/>
  <c r="AM823" i="1"/>
  <c r="AK823" i="1"/>
  <c r="AG823" i="1"/>
  <c r="AF823" i="1"/>
  <c r="AE823" i="1"/>
  <c r="AD823" i="1"/>
  <c r="AB823" i="1"/>
  <c r="X823" i="1"/>
  <c r="W823" i="1"/>
  <c r="V823" i="1"/>
  <c r="U823" i="1"/>
  <c r="S823" i="1"/>
  <c r="K823" i="1"/>
  <c r="J823" i="1"/>
  <c r="I823" i="1"/>
  <c r="CR822" i="1"/>
  <c r="CQ822" i="1"/>
  <c r="CP822" i="1"/>
  <c r="CO822" i="1"/>
  <c r="CM822" i="1"/>
  <c r="CI822" i="1"/>
  <c r="CH822" i="1"/>
  <c r="CG822" i="1"/>
  <c r="CF822" i="1"/>
  <c r="CD822" i="1"/>
  <c r="CC822" i="1"/>
  <c r="CB822" i="1"/>
  <c r="BZ822" i="1"/>
  <c r="BY822" i="1"/>
  <c r="BX822" i="1"/>
  <c r="BW822" i="1"/>
  <c r="BU822" i="1"/>
  <c r="BQ822" i="1"/>
  <c r="BP822" i="1"/>
  <c r="BO822" i="1"/>
  <c r="BN822" i="1"/>
  <c r="BL822" i="1"/>
  <c r="BH822" i="1"/>
  <c r="BG822" i="1"/>
  <c r="BF822" i="1"/>
  <c r="BE822" i="1"/>
  <c r="BC822" i="1"/>
  <c r="AY822" i="1"/>
  <c r="AX822" i="1"/>
  <c r="AW822" i="1"/>
  <c r="AV822" i="1"/>
  <c r="AT822" i="1"/>
  <c r="AP822" i="1"/>
  <c r="AO822" i="1"/>
  <c r="AN822" i="1"/>
  <c r="AM822" i="1"/>
  <c r="AK822" i="1"/>
  <c r="AG822" i="1"/>
  <c r="AF822" i="1"/>
  <c r="AE822" i="1"/>
  <c r="AD822" i="1"/>
  <c r="AB822" i="1"/>
  <c r="X822" i="1"/>
  <c r="W822" i="1"/>
  <c r="V822" i="1"/>
  <c r="U822" i="1"/>
  <c r="S822" i="1"/>
  <c r="K822" i="1"/>
  <c r="J822" i="1"/>
  <c r="I822" i="1"/>
  <c r="CL820" i="1"/>
  <c r="CC820" i="1"/>
  <c r="BT820" i="1"/>
  <c r="BS820" i="1"/>
  <c r="BK820" i="1"/>
  <c r="BJ820" i="1"/>
  <c r="BB820" i="1"/>
  <c r="BA820" i="1"/>
  <c r="AS820" i="1"/>
  <c r="AR820" i="1"/>
  <c r="AJ820" i="1"/>
  <c r="AI820" i="1"/>
  <c r="AA820" i="1"/>
  <c r="Z820" i="1"/>
  <c r="R820" i="1"/>
  <c r="Q820" i="1"/>
  <c r="E820" i="1"/>
  <c r="D820" i="1"/>
  <c r="CM819" i="1"/>
  <c r="CK819" i="1"/>
  <c r="CD819" i="1"/>
  <c r="CB819" i="1"/>
  <c r="BU819" i="1"/>
  <c r="BS819" i="1"/>
  <c r="BL819" i="1"/>
  <c r="BJ819" i="1"/>
  <c r="BC819" i="1"/>
  <c r="BA819" i="1"/>
  <c r="AT819" i="1"/>
  <c r="AR819" i="1"/>
  <c r="AK819" i="1"/>
  <c r="AI819" i="1"/>
  <c r="AB819" i="1"/>
  <c r="Z819" i="1"/>
  <c r="S819" i="1"/>
  <c r="Q819" i="1"/>
  <c r="I819" i="1"/>
  <c r="E819" i="1"/>
  <c r="CK818" i="1"/>
  <c r="CB818" i="1"/>
  <c r="BS818" i="1"/>
  <c r="BJ818" i="1"/>
  <c r="BA818" i="1"/>
  <c r="AR818" i="1"/>
  <c r="AI818" i="1"/>
  <c r="Z818" i="1"/>
  <c r="Q818" i="1"/>
  <c r="E817" i="1"/>
  <c r="E816" i="1"/>
  <c r="CM812" i="1"/>
  <c r="CL812" i="1"/>
  <c r="CK812" i="1"/>
  <c r="CD812" i="1"/>
  <c r="CC812" i="1"/>
  <c r="CB812" i="1"/>
  <c r="BU812" i="1"/>
  <c r="BT812" i="1"/>
  <c r="BS812" i="1"/>
  <c r="BL812" i="1"/>
  <c r="BK812" i="1"/>
  <c r="BJ812" i="1"/>
  <c r="BC812" i="1"/>
  <c r="BB812" i="1"/>
  <c r="BA812" i="1"/>
  <c r="AT812" i="1"/>
  <c r="AS812" i="1"/>
  <c r="AR812" i="1"/>
  <c r="AK812" i="1"/>
  <c r="AJ812" i="1"/>
  <c r="AI812" i="1"/>
  <c r="AB812" i="1"/>
  <c r="AA812" i="1"/>
  <c r="Z812" i="1"/>
  <c r="S812" i="1"/>
  <c r="R812" i="1"/>
  <c r="Q812" i="1"/>
  <c r="K812" i="1"/>
  <c r="J812" i="1"/>
  <c r="I812" i="1"/>
  <c r="H812" i="1"/>
  <c r="F812" i="1"/>
  <c r="CR811" i="1"/>
  <c r="CQ811" i="1"/>
  <c r="CP811" i="1"/>
  <c r="CO811" i="1"/>
  <c r="CM811" i="1"/>
  <c r="CI811" i="1"/>
  <c r="CH811" i="1"/>
  <c r="CG811" i="1"/>
  <c r="CF811" i="1"/>
  <c r="CD811" i="1"/>
  <c r="CC811" i="1"/>
  <c r="CB811" i="1"/>
  <c r="BZ811" i="1"/>
  <c r="BY811" i="1"/>
  <c r="BX811" i="1"/>
  <c r="BW811" i="1"/>
  <c r="BU811" i="1"/>
  <c r="BQ811" i="1"/>
  <c r="BP811" i="1"/>
  <c r="BO811" i="1"/>
  <c r="BN811" i="1"/>
  <c r="BL811" i="1"/>
  <c r="BH811" i="1"/>
  <c r="BG811" i="1"/>
  <c r="BF811" i="1"/>
  <c r="BE811" i="1"/>
  <c r="BC811" i="1"/>
  <c r="AY811" i="1"/>
  <c r="AX811" i="1"/>
  <c r="AW811" i="1"/>
  <c r="AV811" i="1"/>
  <c r="AT811" i="1"/>
  <c r="AP811" i="1"/>
  <c r="AO811" i="1"/>
  <c r="AN811" i="1"/>
  <c r="AM811" i="1"/>
  <c r="AK811" i="1"/>
  <c r="AG811" i="1"/>
  <c r="AF811" i="1"/>
  <c r="AE811" i="1"/>
  <c r="AD811" i="1"/>
  <c r="AB811" i="1"/>
  <c r="X811" i="1"/>
  <c r="W811" i="1"/>
  <c r="V811" i="1"/>
  <c r="U811" i="1"/>
  <c r="S811" i="1"/>
  <c r="K811" i="1"/>
  <c r="J811" i="1"/>
  <c r="I811" i="1"/>
  <c r="CR810" i="1"/>
  <c r="CQ810" i="1"/>
  <c r="CP810" i="1"/>
  <c r="CO810" i="1"/>
  <c r="CM810" i="1"/>
  <c r="CI810" i="1"/>
  <c r="CH810" i="1"/>
  <c r="CG810" i="1"/>
  <c r="CF810" i="1"/>
  <c r="CD810" i="1"/>
  <c r="CC810" i="1"/>
  <c r="CB810" i="1"/>
  <c r="BZ810" i="1"/>
  <c r="BY810" i="1"/>
  <c r="BX810" i="1"/>
  <c r="BW810" i="1"/>
  <c r="BU810" i="1"/>
  <c r="BQ810" i="1"/>
  <c r="BP810" i="1"/>
  <c r="BO810" i="1"/>
  <c r="BN810" i="1"/>
  <c r="BL810" i="1"/>
  <c r="BH810" i="1"/>
  <c r="BG810" i="1"/>
  <c r="BF810" i="1"/>
  <c r="BE810" i="1"/>
  <c r="BC810" i="1"/>
  <c r="AY810" i="1"/>
  <c r="AX810" i="1"/>
  <c r="AW810" i="1"/>
  <c r="AV810" i="1"/>
  <c r="AT810" i="1"/>
  <c r="AP810" i="1"/>
  <c r="AO810" i="1"/>
  <c r="AN810" i="1"/>
  <c r="AM810" i="1"/>
  <c r="AK810" i="1"/>
  <c r="AG810" i="1"/>
  <c r="AF810" i="1"/>
  <c r="AE810" i="1"/>
  <c r="AD810" i="1"/>
  <c r="AB810" i="1"/>
  <c r="X810" i="1"/>
  <c r="W810" i="1"/>
  <c r="V810" i="1"/>
  <c r="U810" i="1"/>
  <c r="S810" i="1"/>
  <c r="K810" i="1"/>
  <c r="J810" i="1"/>
  <c r="I810" i="1"/>
  <c r="CR809" i="1"/>
  <c r="CQ809" i="1"/>
  <c r="CP809" i="1"/>
  <c r="CO809" i="1"/>
  <c r="CM809" i="1"/>
  <c r="CI809" i="1"/>
  <c r="CH809" i="1"/>
  <c r="CG809" i="1"/>
  <c r="CF809" i="1"/>
  <c r="CD809" i="1"/>
  <c r="CC809" i="1"/>
  <c r="CB809" i="1"/>
  <c r="BZ809" i="1"/>
  <c r="BY809" i="1"/>
  <c r="BX809" i="1"/>
  <c r="BW809" i="1"/>
  <c r="BU809" i="1"/>
  <c r="BQ809" i="1"/>
  <c r="BP809" i="1"/>
  <c r="BO809" i="1"/>
  <c r="BN809" i="1"/>
  <c r="BL809" i="1"/>
  <c r="BH809" i="1"/>
  <c r="BG809" i="1"/>
  <c r="BF809" i="1"/>
  <c r="BE809" i="1"/>
  <c r="BC809" i="1"/>
  <c r="AY809" i="1"/>
  <c r="AX809" i="1"/>
  <c r="AW809" i="1"/>
  <c r="AV809" i="1"/>
  <c r="AT809" i="1"/>
  <c r="AP809" i="1"/>
  <c r="AO809" i="1"/>
  <c r="AN809" i="1"/>
  <c r="AM809" i="1"/>
  <c r="AK809" i="1"/>
  <c r="AG809" i="1"/>
  <c r="AF809" i="1"/>
  <c r="AE809" i="1"/>
  <c r="AD809" i="1"/>
  <c r="AB809" i="1"/>
  <c r="X809" i="1"/>
  <c r="W809" i="1"/>
  <c r="V809" i="1"/>
  <c r="U809" i="1"/>
  <c r="S809" i="1"/>
  <c r="K809" i="1"/>
  <c r="J809" i="1"/>
  <c r="I809" i="1"/>
  <c r="CR808" i="1"/>
  <c r="CQ808" i="1"/>
  <c r="CP808" i="1"/>
  <c r="CO808" i="1"/>
  <c r="CM808" i="1"/>
  <c r="CI808" i="1"/>
  <c r="CH808" i="1"/>
  <c r="CG808" i="1"/>
  <c r="CF808" i="1"/>
  <c r="CD808" i="1"/>
  <c r="CC808" i="1"/>
  <c r="CB808" i="1"/>
  <c r="BZ808" i="1"/>
  <c r="BY808" i="1"/>
  <c r="BX808" i="1"/>
  <c r="BW808" i="1"/>
  <c r="BU808" i="1"/>
  <c r="BQ808" i="1"/>
  <c r="BP808" i="1"/>
  <c r="BO808" i="1"/>
  <c r="BN808" i="1"/>
  <c r="BL808" i="1"/>
  <c r="BH808" i="1"/>
  <c r="BG808" i="1"/>
  <c r="BF808" i="1"/>
  <c r="BE808" i="1"/>
  <c r="BC808" i="1"/>
  <c r="AY808" i="1"/>
  <c r="AX808" i="1"/>
  <c r="AW808" i="1"/>
  <c r="AV808" i="1"/>
  <c r="AT808" i="1"/>
  <c r="AP808" i="1"/>
  <c r="AO808" i="1"/>
  <c r="AN808" i="1"/>
  <c r="AM808" i="1"/>
  <c r="AK808" i="1"/>
  <c r="AG808" i="1"/>
  <c r="AF808" i="1"/>
  <c r="AE808" i="1"/>
  <c r="AD808" i="1"/>
  <c r="AB808" i="1"/>
  <c r="X808" i="1"/>
  <c r="W808" i="1"/>
  <c r="V808" i="1"/>
  <c r="U808" i="1"/>
  <c r="S808" i="1"/>
  <c r="K808" i="1"/>
  <c r="J808" i="1"/>
  <c r="I808" i="1"/>
  <c r="CR807" i="1"/>
  <c r="CQ807" i="1"/>
  <c r="CP807" i="1"/>
  <c r="CO807" i="1"/>
  <c r="CM807" i="1"/>
  <c r="CI807" i="1"/>
  <c r="CH807" i="1"/>
  <c r="CG807" i="1"/>
  <c r="CF807" i="1"/>
  <c r="CD807" i="1"/>
  <c r="CC807" i="1"/>
  <c r="CB807" i="1"/>
  <c r="BZ807" i="1"/>
  <c r="BY807" i="1"/>
  <c r="BX807" i="1"/>
  <c r="BW807" i="1"/>
  <c r="BU807" i="1"/>
  <c r="BQ807" i="1"/>
  <c r="BP807" i="1"/>
  <c r="BO807" i="1"/>
  <c r="BN807" i="1"/>
  <c r="BL807" i="1"/>
  <c r="BH807" i="1"/>
  <c r="BG807" i="1"/>
  <c r="BF807" i="1"/>
  <c r="BE807" i="1"/>
  <c r="BC807" i="1"/>
  <c r="AY807" i="1"/>
  <c r="AX807" i="1"/>
  <c r="AW807" i="1"/>
  <c r="AV807" i="1"/>
  <c r="AT807" i="1"/>
  <c r="AP807" i="1"/>
  <c r="AO807" i="1"/>
  <c r="AN807" i="1"/>
  <c r="AM807" i="1"/>
  <c r="AK807" i="1"/>
  <c r="AG807" i="1"/>
  <c r="AF807" i="1"/>
  <c r="AE807" i="1"/>
  <c r="AD807" i="1"/>
  <c r="AB807" i="1"/>
  <c r="X807" i="1"/>
  <c r="W807" i="1"/>
  <c r="V807" i="1"/>
  <c r="U807" i="1"/>
  <c r="S807" i="1"/>
  <c r="K807" i="1"/>
  <c r="J807" i="1"/>
  <c r="I807" i="1"/>
  <c r="CR806" i="1"/>
  <c r="CQ806" i="1"/>
  <c r="CP806" i="1"/>
  <c r="CO806" i="1"/>
  <c r="CM806" i="1"/>
  <c r="CI806" i="1"/>
  <c r="CH806" i="1"/>
  <c r="CG806" i="1"/>
  <c r="CF806" i="1"/>
  <c r="CD806" i="1"/>
  <c r="CC806" i="1"/>
  <c r="CB806" i="1"/>
  <c r="BZ806" i="1"/>
  <c r="BY806" i="1"/>
  <c r="BX806" i="1"/>
  <c r="BW806" i="1"/>
  <c r="BU806" i="1"/>
  <c r="BQ806" i="1"/>
  <c r="BP806" i="1"/>
  <c r="BO806" i="1"/>
  <c r="BN806" i="1"/>
  <c r="BL806" i="1"/>
  <c r="BH806" i="1"/>
  <c r="BG806" i="1"/>
  <c r="BF806" i="1"/>
  <c r="BE806" i="1"/>
  <c r="BC806" i="1"/>
  <c r="AY806" i="1"/>
  <c r="AX806" i="1"/>
  <c r="AW806" i="1"/>
  <c r="AV806" i="1"/>
  <c r="AT806" i="1"/>
  <c r="AP806" i="1"/>
  <c r="AO806" i="1"/>
  <c r="AN806" i="1"/>
  <c r="AM806" i="1"/>
  <c r="AK806" i="1"/>
  <c r="AG806" i="1"/>
  <c r="AF806" i="1"/>
  <c r="AE806" i="1"/>
  <c r="AD806" i="1"/>
  <c r="AB806" i="1"/>
  <c r="X806" i="1"/>
  <c r="W806" i="1"/>
  <c r="V806" i="1"/>
  <c r="U806" i="1"/>
  <c r="S806" i="1"/>
  <c r="K806" i="1"/>
  <c r="J806" i="1"/>
  <c r="I806" i="1"/>
  <c r="CR805" i="1"/>
  <c r="CQ805" i="1"/>
  <c r="CP805" i="1"/>
  <c r="CO805" i="1"/>
  <c r="CM805" i="1"/>
  <c r="CI805" i="1"/>
  <c r="CH805" i="1"/>
  <c r="CG805" i="1"/>
  <c r="CF805" i="1"/>
  <c r="CD805" i="1"/>
  <c r="CC805" i="1"/>
  <c r="CB805" i="1"/>
  <c r="BZ805" i="1"/>
  <c r="BY805" i="1"/>
  <c r="BX805" i="1"/>
  <c r="BW805" i="1"/>
  <c r="BU805" i="1"/>
  <c r="BQ805" i="1"/>
  <c r="BP805" i="1"/>
  <c r="BO805" i="1"/>
  <c r="BN805" i="1"/>
  <c r="BL805" i="1"/>
  <c r="BH805" i="1"/>
  <c r="BG805" i="1"/>
  <c r="BF805" i="1"/>
  <c r="BE805" i="1"/>
  <c r="BC805" i="1"/>
  <c r="AY805" i="1"/>
  <c r="AX805" i="1"/>
  <c r="AW805" i="1"/>
  <c r="AV805" i="1"/>
  <c r="AT805" i="1"/>
  <c r="AP805" i="1"/>
  <c r="AO805" i="1"/>
  <c r="AN805" i="1"/>
  <c r="AM805" i="1"/>
  <c r="AK805" i="1"/>
  <c r="AG805" i="1"/>
  <c r="AF805" i="1"/>
  <c r="AE805" i="1"/>
  <c r="AD805" i="1"/>
  <c r="AB805" i="1"/>
  <c r="X805" i="1"/>
  <c r="W805" i="1"/>
  <c r="V805" i="1"/>
  <c r="U805" i="1"/>
  <c r="S805" i="1"/>
  <c r="K805" i="1"/>
  <c r="J805" i="1"/>
  <c r="I805" i="1"/>
  <c r="CR804" i="1"/>
  <c r="CQ804" i="1"/>
  <c r="CP804" i="1"/>
  <c r="CO804" i="1"/>
  <c r="CM804" i="1"/>
  <c r="CI804" i="1"/>
  <c r="CH804" i="1"/>
  <c r="CG804" i="1"/>
  <c r="CF804" i="1"/>
  <c r="CD804" i="1"/>
  <c r="CC804" i="1"/>
  <c r="CB804" i="1"/>
  <c r="BZ804" i="1"/>
  <c r="BY804" i="1"/>
  <c r="BX804" i="1"/>
  <c r="BW804" i="1"/>
  <c r="BU804" i="1"/>
  <c r="BQ804" i="1"/>
  <c r="BP804" i="1"/>
  <c r="BO804" i="1"/>
  <c r="BN804" i="1"/>
  <c r="BL804" i="1"/>
  <c r="BH804" i="1"/>
  <c r="BG804" i="1"/>
  <c r="BF804" i="1"/>
  <c r="BE804" i="1"/>
  <c r="BC804" i="1"/>
  <c r="AY804" i="1"/>
  <c r="AX804" i="1"/>
  <c r="AW804" i="1"/>
  <c r="AV804" i="1"/>
  <c r="AT804" i="1"/>
  <c r="AP804" i="1"/>
  <c r="AO804" i="1"/>
  <c r="AN804" i="1"/>
  <c r="AM804" i="1"/>
  <c r="AK804" i="1"/>
  <c r="AG804" i="1"/>
  <c r="AF804" i="1"/>
  <c r="AE804" i="1"/>
  <c r="AD804" i="1"/>
  <c r="AB804" i="1"/>
  <c r="X804" i="1"/>
  <c r="W804" i="1"/>
  <c r="V804" i="1"/>
  <c r="U804" i="1"/>
  <c r="S804" i="1"/>
  <c r="K804" i="1"/>
  <c r="J804" i="1"/>
  <c r="I804" i="1"/>
  <c r="CR803" i="1"/>
  <c r="CQ803" i="1"/>
  <c r="CP803" i="1"/>
  <c r="CO803" i="1"/>
  <c r="CM803" i="1"/>
  <c r="CI803" i="1"/>
  <c r="CH803" i="1"/>
  <c r="CG803" i="1"/>
  <c r="CF803" i="1"/>
  <c r="CD803" i="1"/>
  <c r="CC803" i="1"/>
  <c r="CB803" i="1"/>
  <c r="BZ803" i="1"/>
  <c r="BY803" i="1"/>
  <c r="BX803" i="1"/>
  <c r="BW803" i="1"/>
  <c r="BU803" i="1"/>
  <c r="BQ803" i="1"/>
  <c r="BP803" i="1"/>
  <c r="BO803" i="1"/>
  <c r="BN803" i="1"/>
  <c r="BL803" i="1"/>
  <c r="BH803" i="1"/>
  <c r="BG803" i="1"/>
  <c r="BF803" i="1"/>
  <c r="BE803" i="1"/>
  <c r="BC803" i="1"/>
  <c r="AY803" i="1"/>
  <c r="AX803" i="1"/>
  <c r="AW803" i="1"/>
  <c r="AV803" i="1"/>
  <c r="AT803" i="1"/>
  <c r="AP803" i="1"/>
  <c r="AO803" i="1"/>
  <c r="AN803" i="1"/>
  <c r="AM803" i="1"/>
  <c r="AK803" i="1"/>
  <c r="AG803" i="1"/>
  <c r="AF803" i="1"/>
  <c r="AE803" i="1"/>
  <c r="AD803" i="1"/>
  <c r="AB803" i="1"/>
  <c r="X803" i="1"/>
  <c r="W803" i="1"/>
  <c r="V803" i="1"/>
  <c r="U803" i="1"/>
  <c r="S803" i="1"/>
  <c r="K803" i="1"/>
  <c r="J803" i="1"/>
  <c r="I803" i="1"/>
  <c r="CR802" i="1"/>
  <c r="CQ802" i="1"/>
  <c r="CP802" i="1"/>
  <c r="CO802" i="1"/>
  <c r="CM802" i="1"/>
  <c r="CI802" i="1"/>
  <c r="CH802" i="1"/>
  <c r="CG802" i="1"/>
  <c r="CF802" i="1"/>
  <c r="CD802" i="1"/>
  <c r="CC802" i="1"/>
  <c r="CB802" i="1"/>
  <c r="BZ802" i="1"/>
  <c r="BY802" i="1"/>
  <c r="BX802" i="1"/>
  <c r="BW802" i="1"/>
  <c r="BU802" i="1"/>
  <c r="BQ802" i="1"/>
  <c r="BP802" i="1"/>
  <c r="BO802" i="1"/>
  <c r="BN802" i="1"/>
  <c r="BL802" i="1"/>
  <c r="BH802" i="1"/>
  <c r="BG802" i="1"/>
  <c r="BF802" i="1"/>
  <c r="BE802" i="1"/>
  <c r="BC802" i="1"/>
  <c r="AY802" i="1"/>
  <c r="AX802" i="1"/>
  <c r="AW802" i="1"/>
  <c r="AV802" i="1"/>
  <c r="AT802" i="1"/>
  <c r="AP802" i="1"/>
  <c r="AO802" i="1"/>
  <c r="AN802" i="1"/>
  <c r="AM802" i="1"/>
  <c r="AK802" i="1"/>
  <c r="AG802" i="1"/>
  <c r="AF802" i="1"/>
  <c r="AE802" i="1"/>
  <c r="AD802" i="1"/>
  <c r="AB802" i="1"/>
  <c r="X802" i="1"/>
  <c r="W802" i="1"/>
  <c r="V802" i="1"/>
  <c r="U802" i="1"/>
  <c r="S802" i="1"/>
  <c r="K802" i="1"/>
  <c r="J802" i="1"/>
  <c r="I802" i="1"/>
  <c r="CR801" i="1"/>
  <c r="CQ801" i="1"/>
  <c r="CP801" i="1"/>
  <c r="CO801" i="1"/>
  <c r="CM801" i="1"/>
  <c r="CI801" i="1"/>
  <c r="CH801" i="1"/>
  <c r="CG801" i="1"/>
  <c r="CF801" i="1"/>
  <c r="CD801" i="1"/>
  <c r="CC801" i="1"/>
  <c r="CB801" i="1"/>
  <c r="BZ801" i="1"/>
  <c r="BY801" i="1"/>
  <c r="BX801" i="1"/>
  <c r="BW801" i="1"/>
  <c r="BU801" i="1"/>
  <c r="BQ801" i="1"/>
  <c r="BP801" i="1"/>
  <c r="BO801" i="1"/>
  <c r="BN801" i="1"/>
  <c r="BL801" i="1"/>
  <c r="BH801" i="1"/>
  <c r="BG801" i="1"/>
  <c r="BF801" i="1"/>
  <c r="BE801" i="1"/>
  <c r="BC801" i="1"/>
  <c r="AY801" i="1"/>
  <c r="AX801" i="1"/>
  <c r="AW801" i="1"/>
  <c r="AV801" i="1"/>
  <c r="AT801" i="1"/>
  <c r="AP801" i="1"/>
  <c r="AO801" i="1"/>
  <c r="AN801" i="1"/>
  <c r="AM801" i="1"/>
  <c r="AK801" i="1"/>
  <c r="AG801" i="1"/>
  <c r="AF801" i="1"/>
  <c r="AE801" i="1"/>
  <c r="AD801" i="1"/>
  <c r="AB801" i="1"/>
  <c r="X801" i="1"/>
  <c r="W801" i="1"/>
  <c r="V801" i="1"/>
  <c r="U801" i="1"/>
  <c r="S801" i="1"/>
  <c r="K801" i="1"/>
  <c r="J801" i="1"/>
  <c r="I801" i="1"/>
  <c r="CR800" i="1"/>
  <c r="CQ800" i="1"/>
  <c r="CP800" i="1"/>
  <c r="CO800" i="1"/>
  <c r="CM800" i="1"/>
  <c r="CI800" i="1"/>
  <c r="CH800" i="1"/>
  <c r="CG800" i="1"/>
  <c r="CF800" i="1"/>
  <c r="CD800" i="1"/>
  <c r="CC800" i="1"/>
  <c r="CB800" i="1"/>
  <c r="BZ800" i="1"/>
  <c r="BY800" i="1"/>
  <c r="BX800" i="1"/>
  <c r="BW800" i="1"/>
  <c r="BU800" i="1"/>
  <c r="BQ800" i="1"/>
  <c r="BP800" i="1"/>
  <c r="BO800" i="1"/>
  <c r="BN800" i="1"/>
  <c r="BL800" i="1"/>
  <c r="BH800" i="1"/>
  <c r="BG800" i="1"/>
  <c r="BF800" i="1"/>
  <c r="BE800" i="1"/>
  <c r="BC800" i="1"/>
  <c r="AY800" i="1"/>
  <c r="AX800" i="1"/>
  <c r="AW800" i="1"/>
  <c r="AV800" i="1"/>
  <c r="AT800" i="1"/>
  <c r="AP800" i="1"/>
  <c r="AO800" i="1"/>
  <c r="AN800" i="1"/>
  <c r="AM800" i="1"/>
  <c r="AK800" i="1"/>
  <c r="AG800" i="1"/>
  <c r="AF800" i="1"/>
  <c r="AE800" i="1"/>
  <c r="AD800" i="1"/>
  <c r="AB800" i="1"/>
  <c r="X800" i="1"/>
  <c r="W800" i="1"/>
  <c r="V800" i="1"/>
  <c r="U800" i="1"/>
  <c r="S800" i="1"/>
  <c r="K800" i="1"/>
  <c r="J800" i="1"/>
  <c r="I800" i="1"/>
  <c r="CL798" i="1"/>
  <c r="CC798" i="1"/>
  <c r="BT798" i="1"/>
  <c r="BS798" i="1"/>
  <c r="BK798" i="1"/>
  <c r="BJ798" i="1"/>
  <c r="BB798" i="1"/>
  <c r="BA798" i="1"/>
  <c r="AS798" i="1"/>
  <c r="AR798" i="1"/>
  <c r="AJ798" i="1"/>
  <c r="AI798" i="1"/>
  <c r="AA798" i="1"/>
  <c r="Z798" i="1"/>
  <c r="R798" i="1"/>
  <c r="Q798" i="1"/>
  <c r="E798" i="1"/>
  <c r="D798" i="1"/>
  <c r="CM797" i="1"/>
  <c r="CK797" i="1"/>
  <c r="CD797" i="1"/>
  <c r="CB797" i="1"/>
  <c r="BU797" i="1"/>
  <c r="BS797" i="1"/>
  <c r="BL797" i="1"/>
  <c r="BJ797" i="1"/>
  <c r="BC797" i="1"/>
  <c r="BA797" i="1"/>
  <c r="AT797" i="1"/>
  <c r="AR797" i="1"/>
  <c r="AK797" i="1"/>
  <c r="AI797" i="1"/>
  <c r="AB797" i="1"/>
  <c r="Z797" i="1"/>
  <c r="S797" i="1"/>
  <c r="Q797" i="1"/>
  <c r="I797" i="1"/>
  <c r="E797" i="1"/>
  <c r="CK796" i="1"/>
  <c r="CB796" i="1"/>
  <c r="BS796" i="1"/>
  <c r="BJ796" i="1"/>
  <c r="BA796" i="1"/>
  <c r="AR796" i="1"/>
  <c r="AI796" i="1"/>
  <c r="Z796" i="1"/>
  <c r="Q796" i="1"/>
  <c r="E795" i="1"/>
  <c r="E794" i="1"/>
  <c r="CM790" i="1"/>
  <c r="CL790" i="1"/>
  <c r="CK790" i="1"/>
  <c r="CD790" i="1"/>
  <c r="CC790" i="1"/>
  <c r="CB790" i="1"/>
  <c r="BU790" i="1"/>
  <c r="BT790" i="1"/>
  <c r="BS790" i="1"/>
  <c r="BL790" i="1"/>
  <c r="BK790" i="1"/>
  <c r="BJ790" i="1"/>
  <c r="BC790" i="1"/>
  <c r="BB790" i="1"/>
  <c r="BA790" i="1"/>
  <c r="AT790" i="1"/>
  <c r="AS790" i="1"/>
  <c r="AR790" i="1"/>
  <c r="AK790" i="1"/>
  <c r="AJ790" i="1"/>
  <c r="AI790" i="1"/>
  <c r="AB790" i="1"/>
  <c r="AA790" i="1"/>
  <c r="Z790" i="1"/>
  <c r="S790" i="1"/>
  <c r="R790" i="1"/>
  <c r="Q790" i="1"/>
  <c r="K790" i="1"/>
  <c r="J790" i="1"/>
  <c r="I790" i="1"/>
  <c r="H790" i="1"/>
  <c r="F790" i="1"/>
  <c r="CR789" i="1"/>
  <c r="CQ789" i="1"/>
  <c r="CP789" i="1"/>
  <c r="CO789" i="1"/>
  <c r="CM789" i="1"/>
  <c r="CI789" i="1"/>
  <c r="CH789" i="1"/>
  <c r="CG789" i="1"/>
  <c r="CF789" i="1"/>
  <c r="CD789" i="1"/>
  <c r="CC789" i="1"/>
  <c r="CB789" i="1"/>
  <c r="BZ789" i="1"/>
  <c r="BY789" i="1"/>
  <c r="BX789" i="1"/>
  <c r="BW789" i="1"/>
  <c r="BU789" i="1"/>
  <c r="BQ789" i="1"/>
  <c r="BP789" i="1"/>
  <c r="BO789" i="1"/>
  <c r="BN789" i="1"/>
  <c r="BL789" i="1"/>
  <c r="BH789" i="1"/>
  <c r="BG789" i="1"/>
  <c r="BF789" i="1"/>
  <c r="BE789" i="1"/>
  <c r="BC789" i="1"/>
  <c r="AY789" i="1"/>
  <c r="AX789" i="1"/>
  <c r="AW789" i="1"/>
  <c r="AV789" i="1"/>
  <c r="AT789" i="1"/>
  <c r="AP789" i="1"/>
  <c r="AO789" i="1"/>
  <c r="AN789" i="1"/>
  <c r="AM789" i="1"/>
  <c r="AK789" i="1"/>
  <c r="AG789" i="1"/>
  <c r="AF789" i="1"/>
  <c r="AE789" i="1"/>
  <c r="AD789" i="1"/>
  <c r="AB789" i="1"/>
  <c r="X789" i="1"/>
  <c r="W789" i="1"/>
  <c r="V789" i="1"/>
  <c r="U789" i="1"/>
  <c r="S789" i="1"/>
  <c r="K789" i="1"/>
  <c r="J789" i="1"/>
  <c r="I789" i="1"/>
  <c r="CR788" i="1"/>
  <c r="CQ788" i="1"/>
  <c r="CP788" i="1"/>
  <c r="CO788" i="1"/>
  <c r="CM788" i="1"/>
  <c r="CI788" i="1"/>
  <c r="CH788" i="1"/>
  <c r="CG788" i="1"/>
  <c r="CF788" i="1"/>
  <c r="CD788" i="1"/>
  <c r="CC788" i="1"/>
  <c r="CB788" i="1"/>
  <c r="BZ788" i="1"/>
  <c r="BY788" i="1"/>
  <c r="BX788" i="1"/>
  <c r="BW788" i="1"/>
  <c r="BU788" i="1"/>
  <c r="BQ788" i="1"/>
  <c r="BP788" i="1"/>
  <c r="BO788" i="1"/>
  <c r="BN788" i="1"/>
  <c r="BL788" i="1"/>
  <c r="BH788" i="1"/>
  <c r="BG788" i="1"/>
  <c r="BF788" i="1"/>
  <c r="BE788" i="1"/>
  <c r="BC788" i="1"/>
  <c r="AY788" i="1"/>
  <c r="AX788" i="1"/>
  <c r="AW788" i="1"/>
  <c r="AV788" i="1"/>
  <c r="AT788" i="1"/>
  <c r="AP788" i="1"/>
  <c r="AO788" i="1"/>
  <c r="AN788" i="1"/>
  <c r="AM788" i="1"/>
  <c r="AK788" i="1"/>
  <c r="AG788" i="1"/>
  <c r="AF788" i="1"/>
  <c r="AE788" i="1"/>
  <c r="AD788" i="1"/>
  <c r="AB788" i="1"/>
  <c r="X788" i="1"/>
  <c r="W788" i="1"/>
  <c r="V788" i="1"/>
  <c r="U788" i="1"/>
  <c r="S788" i="1"/>
  <c r="K788" i="1"/>
  <c r="J788" i="1"/>
  <c r="I788" i="1"/>
  <c r="CR787" i="1"/>
  <c r="CQ787" i="1"/>
  <c r="CP787" i="1"/>
  <c r="CO787" i="1"/>
  <c r="CM787" i="1"/>
  <c r="CI787" i="1"/>
  <c r="CH787" i="1"/>
  <c r="CG787" i="1"/>
  <c r="CF787" i="1"/>
  <c r="CD787" i="1"/>
  <c r="CC787" i="1"/>
  <c r="CB787" i="1"/>
  <c r="BZ787" i="1"/>
  <c r="BY787" i="1"/>
  <c r="BX787" i="1"/>
  <c r="BW787" i="1"/>
  <c r="BU787" i="1"/>
  <c r="BQ787" i="1"/>
  <c r="BP787" i="1"/>
  <c r="BO787" i="1"/>
  <c r="BN787" i="1"/>
  <c r="BL787" i="1"/>
  <c r="BH787" i="1"/>
  <c r="BG787" i="1"/>
  <c r="BF787" i="1"/>
  <c r="BE787" i="1"/>
  <c r="BC787" i="1"/>
  <c r="AY787" i="1"/>
  <c r="AX787" i="1"/>
  <c r="AW787" i="1"/>
  <c r="AV787" i="1"/>
  <c r="AT787" i="1"/>
  <c r="AP787" i="1"/>
  <c r="AO787" i="1"/>
  <c r="AN787" i="1"/>
  <c r="AM787" i="1"/>
  <c r="AK787" i="1"/>
  <c r="AG787" i="1"/>
  <c r="AF787" i="1"/>
  <c r="AE787" i="1"/>
  <c r="AD787" i="1"/>
  <c r="AB787" i="1"/>
  <c r="X787" i="1"/>
  <c r="W787" i="1"/>
  <c r="V787" i="1"/>
  <c r="U787" i="1"/>
  <c r="S787" i="1"/>
  <c r="K787" i="1"/>
  <c r="J787" i="1"/>
  <c r="I787" i="1"/>
  <c r="CR786" i="1"/>
  <c r="CQ786" i="1"/>
  <c r="CP786" i="1"/>
  <c r="CO786" i="1"/>
  <c r="CM786" i="1"/>
  <c r="CI786" i="1"/>
  <c r="CH786" i="1"/>
  <c r="CG786" i="1"/>
  <c r="CF786" i="1"/>
  <c r="CD786" i="1"/>
  <c r="CC786" i="1"/>
  <c r="CB786" i="1"/>
  <c r="BZ786" i="1"/>
  <c r="BY786" i="1"/>
  <c r="BX786" i="1"/>
  <c r="BW786" i="1"/>
  <c r="BU786" i="1"/>
  <c r="BQ786" i="1"/>
  <c r="BP786" i="1"/>
  <c r="BO786" i="1"/>
  <c r="BN786" i="1"/>
  <c r="BL786" i="1"/>
  <c r="BH786" i="1"/>
  <c r="BG786" i="1"/>
  <c r="BF786" i="1"/>
  <c r="BE786" i="1"/>
  <c r="BC786" i="1"/>
  <c r="AY786" i="1"/>
  <c r="AX786" i="1"/>
  <c r="AW786" i="1"/>
  <c r="AV786" i="1"/>
  <c r="AT786" i="1"/>
  <c r="AP786" i="1"/>
  <c r="AO786" i="1"/>
  <c r="AN786" i="1"/>
  <c r="AM786" i="1"/>
  <c r="AK786" i="1"/>
  <c r="AG786" i="1"/>
  <c r="AF786" i="1"/>
  <c r="AE786" i="1"/>
  <c r="AD786" i="1"/>
  <c r="AB786" i="1"/>
  <c r="X786" i="1"/>
  <c r="W786" i="1"/>
  <c r="V786" i="1"/>
  <c r="U786" i="1"/>
  <c r="S786" i="1"/>
  <c r="K786" i="1"/>
  <c r="J786" i="1"/>
  <c r="I786" i="1"/>
  <c r="CR785" i="1"/>
  <c r="CQ785" i="1"/>
  <c r="CP785" i="1"/>
  <c r="CO785" i="1"/>
  <c r="CM785" i="1"/>
  <c r="CI785" i="1"/>
  <c r="CH785" i="1"/>
  <c r="CG785" i="1"/>
  <c r="CF785" i="1"/>
  <c r="CD785" i="1"/>
  <c r="CC785" i="1"/>
  <c r="CB785" i="1"/>
  <c r="BZ785" i="1"/>
  <c r="BY785" i="1"/>
  <c r="BX785" i="1"/>
  <c r="BW785" i="1"/>
  <c r="BU785" i="1"/>
  <c r="BQ785" i="1"/>
  <c r="BP785" i="1"/>
  <c r="BO785" i="1"/>
  <c r="BN785" i="1"/>
  <c r="BL785" i="1"/>
  <c r="BH785" i="1"/>
  <c r="BG785" i="1"/>
  <c r="BF785" i="1"/>
  <c r="BE785" i="1"/>
  <c r="BC785" i="1"/>
  <c r="AY785" i="1"/>
  <c r="AX785" i="1"/>
  <c r="AW785" i="1"/>
  <c r="AV785" i="1"/>
  <c r="AT785" i="1"/>
  <c r="AP785" i="1"/>
  <c r="AO785" i="1"/>
  <c r="AN785" i="1"/>
  <c r="AM785" i="1"/>
  <c r="AK785" i="1"/>
  <c r="AG785" i="1"/>
  <c r="AF785" i="1"/>
  <c r="AE785" i="1"/>
  <c r="AD785" i="1"/>
  <c r="AB785" i="1"/>
  <c r="X785" i="1"/>
  <c r="W785" i="1"/>
  <c r="V785" i="1"/>
  <c r="U785" i="1"/>
  <c r="S785" i="1"/>
  <c r="K785" i="1"/>
  <c r="J785" i="1"/>
  <c r="I785" i="1"/>
  <c r="CR784" i="1"/>
  <c r="CQ784" i="1"/>
  <c r="CP784" i="1"/>
  <c r="CO784" i="1"/>
  <c r="CM784" i="1"/>
  <c r="CI784" i="1"/>
  <c r="CH784" i="1"/>
  <c r="CG784" i="1"/>
  <c r="CF784" i="1"/>
  <c r="CD784" i="1"/>
  <c r="CC784" i="1"/>
  <c r="CB784" i="1"/>
  <c r="BZ784" i="1"/>
  <c r="BY784" i="1"/>
  <c r="BX784" i="1"/>
  <c r="BW784" i="1"/>
  <c r="BU784" i="1"/>
  <c r="BQ784" i="1"/>
  <c r="BP784" i="1"/>
  <c r="BO784" i="1"/>
  <c r="BN784" i="1"/>
  <c r="BL784" i="1"/>
  <c r="BH784" i="1"/>
  <c r="BG784" i="1"/>
  <c r="BF784" i="1"/>
  <c r="BE784" i="1"/>
  <c r="BC784" i="1"/>
  <c r="AY784" i="1"/>
  <c r="AX784" i="1"/>
  <c r="AW784" i="1"/>
  <c r="AV784" i="1"/>
  <c r="AT784" i="1"/>
  <c r="AP784" i="1"/>
  <c r="AO784" i="1"/>
  <c r="AN784" i="1"/>
  <c r="AM784" i="1"/>
  <c r="AK784" i="1"/>
  <c r="AG784" i="1"/>
  <c r="AF784" i="1"/>
  <c r="AE784" i="1"/>
  <c r="AD784" i="1"/>
  <c r="AB784" i="1"/>
  <c r="X784" i="1"/>
  <c r="W784" i="1"/>
  <c r="V784" i="1"/>
  <c r="U784" i="1"/>
  <c r="S784" i="1"/>
  <c r="K784" i="1"/>
  <c r="J784" i="1"/>
  <c r="I784" i="1"/>
  <c r="CR783" i="1"/>
  <c r="CQ783" i="1"/>
  <c r="CP783" i="1"/>
  <c r="CO783" i="1"/>
  <c r="CM783" i="1"/>
  <c r="CI783" i="1"/>
  <c r="CH783" i="1"/>
  <c r="CG783" i="1"/>
  <c r="CF783" i="1"/>
  <c r="CD783" i="1"/>
  <c r="CC783" i="1"/>
  <c r="CB783" i="1"/>
  <c r="BZ783" i="1"/>
  <c r="BY783" i="1"/>
  <c r="BX783" i="1"/>
  <c r="BW783" i="1"/>
  <c r="BU783" i="1"/>
  <c r="BQ783" i="1"/>
  <c r="BP783" i="1"/>
  <c r="BO783" i="1"/>
  <c r="BN783" i="1"/>
  <c r="BL783" i="1"/>
  <c r="BH783" i="1"/>
  <c r="BG783" i="1"/>
  <c r="BF783" i="1"/>
  <c r="BE783" i="1"/>
  <c r="BC783" i="1"/>
  <c r="AY783" i="1"/>
  <c r="AX783" i="1"/>
  <c r="AW783" i="1"/>
  <c r="AV783" i="1"/>
  <c r="AT783" i="1"/>
  <c r="AP783" i="1"/>
  <c r="AO783" i="1"/>
  <c r="AN783" i="1"/>
  <c r="AM783" i="1"/>
  <c r="AK783" i="1"/>
  <c r="AG783" i="1"/>
  <c r="AF783" i="1"/>
  <c r="AE783" i="1"/>
  <c r="AD783" i="1"/>
  <c r="AB783" i="1"/>
  <c r="X783" i="1"/>
  <c r="W783" i="1"/>
  <c r="V783" i="1"/>
  <c r="U783" i="1"/>
  <c r="S783" i="1"/>
  <c r="K783" i="1"/>
  <c r="J783" i="1"/>
  <c r="I783" i="1"/>
  <c r="CR782" i="1"/>
  <c r="CQ782" i="1"/>
  <c r="CP782" i="1"/>
  <c r="CO782" i="1"/>
  <c r="CM782" i="1"/>
  <c r="CI782" i="1"/>
  <c r="CH782" i="1"/>
  <c r="CG782" i="1"/>
  <c r="CF782" i="1"/>
  <c r="CD782" i="1"/>
  <c r="CC782" i="1"/>
  <c r="CB782" i="1"/>
  <c r="BZ782" i="1"/>
  <c r="BY782" i="1"/>
  <c r="BX782" i="1"/>
  <c r="BW782" i="1"/>
  <c r="BU782" i="1"/>
  <c r="BQ782" i="1"/>
  <c r="BP782" i="1"/>
  <c r="BO782" i="1"/>
  <c r="BN782" i="1"/>
  <c r="BL782" i="1"/>
  <c r="BH782" i="1"/>
  <c r="BG782" i="1"/>
  <c r="BF782" i="1"/>
  <c r="BE782" i="1"/>
  <c r="BC782" i="1"/>
  <c r="AY782" i="1"/>
  <c r="AX782" i="1"/>
  <c r="AW782" i="1"/>
  <c r="AV782" i="1"/>
  <c r="AT782" i="1"/>
  <c r="AP782" i="1"/>
  <c r="AO782" i="1"/>
  <c r="AN782" i="1"/>
  <c r="AM782" i="1"/>
  <c r="AK782" i="1"/>
  <c r="AG782" i="1"/>
  <c r="AF782" i="1"/>
  <c r="AE782" i="1"/>
  <c r="AD782" i="1"/>
  <c r="AB782" i="1"/>
  <c r="X782" i="1"/>
  <c r="W782" i="1"/>
  <c r="V782" i="1"/>
  <c r="U782" i="1"/>
  <c r="S782" i="1"/>
  <c r="K782" i="1"/>
  <c r="J782" i="1"/>
  <c r="I782" i="1"/>
  <c r="CR781" i="1"/>
  <c r="CQ781" i="1"/>
  <c r="CP781" i="1"/>
  <c r="CO781" i="1"/>
  <c r="CM781" i="1"/>
  <c r="CI781" i="1"/>
  <c r="CH781" i="1"/>
  <c r="CG781" i="1"/>
  <c r="CF781" i="1"/>
  <c r="CD781" i="1"/>
  <c r="CC781" i="1"/>
  <c r="CB781" i="1"/>
  <c r="BZ781" i="1"/>
  <c r="BY781" i="1"/>
  <c r="BX781" i="1"/>
  <c r="BW781" i="1"/>
  <c r="BU781" i="1"/>
  <c r="BQ781" i="1"/>
  <c r="BP781" i="1"/>
  <c r="BO781" i="1"/>
  <c r="BN781" i="1"/>
  <c r="BL781" i="1"/>
  <c r="BH781" i="1"/>
  <c r="BG781" i="1"/>
  <c r="BF781" i="1"/>
  <c r="BE781" i="1"/>
  <c r="BC781" i="1"/>
  <c r="AY781" i="1"/>
  <c r="AX781" i="1"/>
  <c r="AW781" i="1"/>
  <c r="AV781" i="1"/>
  <c r="AT781" i="1"/>
  <c r="AP781" i="1"/>
  <c r="AO781" i="1"/>
  <c r="AN781" i="1"/>
  <c r="AM781" i="1"/>
  <c r="AK781" i="1"/>
  <c r="AG781" i="1"/>
  <c r="AF781" i="1"/>
  <c r="AE781" i="1"/>
  <c r="AD781" i="1"/>
  <c r="AB781" i="1"/>
  <c r="X781" i="1"/>
  <c r="W781" i="1"/>
  <c r="V781" i="1"/>
  <c r="U781" i="1"/>
  <c r="S781" i="1"/>
  <c r="K781" i="1"/>
  <c r="J781" i="1"/>
  <c r="I781" i="1"/>
  <c r="CR780" i="1"/>
  <c r="CQ780" i="1"/>
  <c r="CP780" i="1"/>
  <c r="CO780" i="1"/>
  <c r="CM780" i="1"/>
  <c r="CI780" i="1"/>
  <c r="CH780" i="1"/>
  <c r="CG780" i="1"/>
  <c r="CF780" i="1"/>
  <c r="CD780" i="1"/>
  <c r="CC780" i="1"/>
  <c r="CB780" i="1"/>
  <c r="BZ780" i="1"/>
  <c r="BY780" i="1"/>
  <c r="BX780" i="1"/>
  <c r="BW780" i="1"/>
  <c r="BU780" i="1"/>
  <c r="BQ780" i="1"/>
  <c r="BP780" i="1"/>
  <c r="BO780" i="1"/>
  <c r="BN780" i="1"/>
  <c r="BL780" i="1"/>
  <c r="BH780" i="1"/>
  <c r="BG780" i="1"/>
  <c r="BF780" i="1"/>
  <c r="BE780" i="1"/>
  <c r="BC780" i="1"/>
  <c r="AY780" i="1"/>
  <c r="AX780" i="1"/>
  <c r="AW780" i="1"/>
  <c r="AV780" i="1"/>
  <c r="AT780" i="1"/>
  <c r="AP780" i="1"/>
  <c r="AO780" i="1"/>
  <c r="AN780" i="1"/>
  <c r="AM780" i="1"/>
  <c r="AK780" i="1"/>
  <c r="AG780" i="1"/>
  <c r="AF780" i="1"/>
  <c r="AE780" i="1"/>
  <c r="AD780" i="1"/>
  <c r="AB780" i="1"/>
  <c r="X780" i="1"/>
  <c r="W780" i="1"/>
  <c r="V780" i="1"/>
  <c r="U780" i="1"/>
  <c r="S780" i="1"/>
  <c r="K780" i="1"/>
  <c r="J780" i="1"/>
  <c r="I780" i="1"/>
  <c r="CR779" i="1"/>
  <c r="CQ779" i="1"/>
  <c r="CP779" i="1"/>
  <c r="CO779" i="1"/>
  <c r="CM779" i="1"/>
  <c r="CI779" i="1"/>
  <c r="CH779" i="1"/>
  <c r="CG779" i="1"/>
  <c r="CF779" i="1"/>
  <c r="CD779" i="1"/>
  <c r="CC779" i="1"/>
  <c r="CB779" i="1"/>
  <c r="BZ779" i="1"/>
  <c r="BY779" i="1"/>
  <c r="BX779" i="1"/>
  <c r="BW779" i="1"/>
  <c r="BU779" i="1"/>
  <c r="BQ779" i="1"/>
  <c r="BP779" i="1"/>
  <c r="BO779" i="1"/>
  <c r="BN779" i="1"/>
  <c r="BL779" i="1"/>
  <c r="BH779" i="1"/>
  <c r="BG779" i="1"/>
  <c r="BF779" i="1"/>
  <c r="BE779" i="1"/>
  <c r="BC779" i="1"/>
  <c r="AY779" i="1"/>
  <c r="AX779" i="1"/>
  <c r="AW779" i="1"/>
  <c r="AV779" i="1"/>
  <c r="AT779" i="1"/>
  <c r="AP779" i="1"/>
  <c r="AO779" i="1"/>
  <c r="AN779" i="1"/>
  <c r="AM779" i="1"/>
  <c r="AK779" i="1"/>
  <c r="AG779" i="1"/>
  <c r="AF779" i="1"/>
  <c r="AE779" i="1"/>
  <c r="AD779" i="1"/>
  <c r="AB779" i="1"/>
  <c r="X779" i="1"/>
  <c r="W779" i="1"/>
  <c r="V779" i="1"/>
  <c r="U779" i="1"/>
  <c r="S779" i="1"/>
  <c r="K779" i="1"/>
  <c r="J779" i="1"/>
  <c r="I779" i="1"/>
  <c r="CR778" i="1"/>
  <c r="CQ778" i="1"/>
  <c r="CP778" i="1"/>
  <c r="CO778" i="1"/>
  <c r="CM778" i="1"/>
  <c r="CI778" i="1"/>
  <c r="CH778" i="1"/>
  <c r="CG778" i="1"/>
  <c r="CF778" i="1"/>
  <c r="CD778" i="1"/>
  <c r="CC778" i="1"/>
  <c r="CB778" i="1"/>
  <c r="BZ778" i="1"/>
  <c r="BY778" i="1"/>
  <c r="BX778" i="1"/>
  <c r="BW778" i="1"/>
  <c r="BU778" i="1"/>
  <c r="BQ778" i="1"/>
  <c r="BP778" i="1"/>
  <c r="BO778" i="1"/>
  <c r="BN778" i="1"/>
  <c r="BL778" i="1"/>
  <c r="BH778" i="1"/>
  <c r="BG778" i="1"/>
  <c r="BF778" i="1"/>
  <c r="BE778" i="1"/>
  <c r="BC778" i="1"/>
  <c r="AY778" i="1"/>
  <c r="AX778" i="1"/>
  <c r="AW778" i="1"/>
  <c r="AV778" i="1"/>
  <c r="AT778" i="1"/>
  <c r="AP778" i="1"/>
  <c r="AO778" i="1"/>
  <c r="AN778" i="1"/>
  <c r="AM778" i="1"/>
  <c r="AK778" i="1"/>
  <c r="AG778" i="1"/>
  <c r="AF778" i="1"/>
  <c r="AE778" i="1"/>
  <c r="AD778" i="1"/>
  <c r="AB778" i="1"/>
  <c r="X778" i="1"/>
  <c r="W778" i="1"/>
  <c r="V778" i="1"/>
  <c r="U778" i="1"/>
  <c r="S778" i="1"/>
  <c r="K778" i="1"/>
  <c r="J778" i="1"/>
  <c r="I778" i="1"/>
  <c r="CL776" i="1"/>
  <c r="CC776" i="1"/>
  <c r="BT776" i="1"/>
  <c r="BS776" i="1"/>
  <c r="BK776" i="1"/>
  <c r="BJ776" i="1"/>
  <c r="BB776" i="1"/>
  <c r="BA776" i="1"/>
  <c r="AS776" i="1"/>
  <c r="AR776" i="1"/>
  <c r="AJ776" i="1"/>
  <c r="AI776" i="1"/>
  <c r="AA776" i="1"/>
  <c r="Z776" i="1"/>
  <c r="R776" i="1"/>
  <c r="Q776" i="1"/>
  <c r="E776" i="1"/>
  <c r="D776" i="1"/>
  <c r="CM775" i="1"/>
  <c r="CK775" i="1"/>
  <c r="CD775" i="1"/>
  <c r="CB775" i="1"/>
  <c r="BU775" i="1"/>
  <c r="BS775" i="1"/>
  <c r="BL775" i="1"/>
  <c r="BJ775" i="1"/>
  <c r="BC775" i="1"/>
  <c r="BA775" i="1"/>
  <c r="AT775" i="1"/>
  <c r="AR775" i="1"/>
  <c r="AK775" i="1"/>
  <c r="AI775" i="1"/>
  <c r="AB775" i="1"/>
  <c r="Z775" i="1"/>
  <c r="S775" i="1"/>
  <c r="Q775" i="1"/>
  <c r="I775" i="1"/>
  <c r="E775" i="1"/>
  <c r="CK774" i="1"/>
  <c r="CB774" i="1"/>
  <c r="BS774" i="1"/>
  <c r="BJ774" i="1"/>
  <c r="BA774" i="1"/>
  <c r="AR774" i="1"/>
  <c r="AI774" i="1"/>
  <c r="Z774" i="1"/>
  <c r="Q774" i="1"/>
  <c r="E773" i="1"/>
  <c r="E772" i="1"/>
  <c r="CM768" i="1"/>
  <c r="CL768" i="1"/>
  <c r="CK768" i="1"/>
  <c r="CD768" i="1"/>
  <c r="CC768" i="1"/>
  <c r="CB768" i="1"/>
  <c r="BU768" i="1"/>
  <c r="BT768" i="1"/>
  <c r="BS768" i="1"/>
  <c r="BL768" i="1"/>
  <c r="BK768" i="1"/>
  <c r="BJ768" i="1"/>
  <c r="BC768" i="1"/>
  <c r="BB768" i="1"/>
  <c r="BA768" i="1"/>
  <c r="AT768" i="1"/>
  <c r="AS768" i="1"/>
  <c r="AR768" i="1"/>
  <c r="AK768" i="1"/>
  <c r="AJ768" i="1"/>
  <c r="AI768" i="1"/>
  <c r="AB768" i="1"/>
  <c r="AA768" i="1"/>
  <c r="Z768" i="1"/>
  <c r="S768" i="1"/>
  <c r="R768" i="1"/>
  <c r="Q768" i="1"/>
  <c r="K768" i="1"/>
  <c r="J768" i="1"/>
  <c r="I768" i="1"/>
  <c r="H768" i="1"/>
  <c r="F768" i="1"/>
  <c r="CR767" i="1"/>
  <c r="CQ767" i="1"/>
  <c r="CP767" i="1"/>
  <c r="CO767" i="1"/>
  <c r="CM767" i="1"/>
  <c r="CI767" i="1"/>
  <c r="CH767" i="1"/>
  <c r="CG767" i="1"/>
  <c r="CF767" i="1"/>
  <c r="CD767" i="1"/>
  <c r="CC767" i="1"/>
  <c r="CB767" i="1"/>
  <c r="BZ767" i="1"/>
  <c r="BY767" i="1"/>
  <c r="BX767" i="1"/>
  <c r="BW767" i="1"/>
  <c r="BU767" i="1"/>
  <c r="BQ767" i="1"/>
  <c r="BP767" i="1"/>
  <c r="BO767" i="1"/>
  <c r="BN767" i="1"/>
  <c r="BL767" i="1"/>
  <c r="BH767" i="1"/>
  <c r="BG767" i="1"/>
  <c r="BF767" i="1"/>
  <c r="BE767" i="1"/>
  <c r="BC767" i="1"/>
  <c r="AY767" i="1"/>
  <c r="AX767" i="1"/>
  <c r="AW767" i="1"/>
  <c r="AV767" i="1"/>
  <c r="AT767" i="1"/>
  <c r="AP767" i="1"/>
  <c r="AO767" i="1"/>
  <c r="AN767" i="1"/>
  <c r="AM767" i="1"/>
  <c r="AK767" i="1"/>
  <c r="AG767" i="1"/>
  <c r="AF767" i="1"/>
  <c r="AE767" i="1"/>
  <c r="AD767" i="1"/>
  <c r="AB767" i="1"/>
  <c r="X767" i="1"/>
  <c r="W767" i="1"/>
  <c r="V767" i="1"/>
  <c r="U767" i="1"/>
  <c r="S767" i="1"/>
  <c r="K767" i="1"/>
  <c r="J767" i="1"/>
  <c r="I767" i="1"/>
  <c r="CR766" i="1"/>
  <c r="CQ766" i="1"/>
  <c r="CP766" i="1"/>
  <c r="CO766" i="1"/>
  <c r="CM766" i="1"/>
  <c r="CI766" i="1"/>
  <c r="CH766" i="1"/>
  <c r="CG766" i="1"/>
  <c r="CF766" i="1"/>
  <c r="CD766" i="1"/>
  <c r="CC766" i="1"/>
  <c r="CB766" i="1"/>
  <c r="BZ766" i="1"/>
  <c r="BY766" i="1"/>
  <c r="BX766" i="1"/>
  <c r="BW766" i="1"/>
  <c r="BU766" i="1"/>
  <c r="BQ766" i="1"/>
  <c r="BP766" i="1"/>
  <c r="BO766" i="1"/>
  <c r="BN766" i="1"/>
  <c r="BL766" i="1"/>
  <c r="BH766" i="1"/>
  <c r="BG766" i="1"/>
  <c r="BF766" i="1"/>
  <c r="BE766" i="1"/>
  <c r="BC766" i="1"/>
  <c r="AY766" i="1"/>
  <c r="AX766" i="1"/>
  <c r="AW766" i="1"/>
  <c r="AV766" i="1"/>
  <c r="AT766" i="1"/>
  <c r="AP766" i="1"/>
  <c r="AO766" i="1"/>
  <c r="AN766" i="1"/>
  <c r="AM766" i="1"/>
  <c r="AK766" i="1"/>
  <c r="AG766" i="1"/>
  <c r="AF766" i="1"/>
  <c r="AE766" i="1"/>
  <c r="AD766" i="1"/>
  <c r="AB766" i="1"/>
  <c r="X766" i="1"/>
  <c r="W766" i="1"/>
  <c r="V766" i="1"/>
  <c r="U766" i="1"/>
  <c r="S766" i="1"/>
  <c r="K766" i="1"/>
  <c r="J766" i="1"/>
  <c r="I766" i="1"/>
  <c r="CR765" i="1"/>
  <c r="CQ765" i="1"/>
  <c r="CP765" i="1"/>
  <c r="CO765" i="1"/>
  <c r="CM765" i="1"/>
  <c r="CI765" i="1"/>
  <c r="CH765" i="1"/>
  <c r="CG765" i="1"/>
  <c r="CF765" i="1"/>
  <c r="CD765" i="1"/>
  <c r="CC765" i="1"/>
  <c r="CB765" i="1"/>
  <c r="BZ765" i="1"/>
  <c r="BY765" i="1"/>
  <c r="BX765" i="1"/>
  <c r="BW765" i="1"/>
  <c r="BU765" i="1"/>
  <c r="BQ765" i="1"/>
  <c r="BP765" i="1"/>
  <c r="BO765" i="1"/>
  <c r="BN765" i="1"/>
  <c r="BL765" i="1"/>
  <c r="BH765" i="1"/>
  <c r="BG765" i="1"/>
  <c r="BF765" i="1"/>
  <c r="BE765" i="1"/>
  <c r="BC765" i="1"/>
  <c r="AY765" i="1"/>
  <c r="AX765" i="1"/>
  <c r="AW765" i="1"/>
  <c r="AV765" i="1"/>
  <c r="AT765" i="1"/>
  <c r="AP765" i="1"/>
  <c r="AO765" i="1"/>
  <c r="AN765" i="1"/>
  <c r="AM765" i="1"/>
  <c r="AK765" i="1"/>
  <c r="AG765" i="1"/>
  <c r="AF765" i="1"/>
  <c r="AE765" i="1"/>
  <c r="AD765" i="1"/>
  <c r="AB765" i="1"/>
  <c r="X765" i="1"/>
  <c r="W765" i="1"/>
  <c r="V765" i="1"/>
  <c r="U765" i="1"/>
  <c r="S765" i="1"/>
  <c r="K765" i="1"/>
  <c r="J765" i="1"/>
  <c r="I765" i="1"/>
  <c r="CR764" i="1"/>
  <c r="CQ764" i="1"/>
  <c r="CP764" i="1"/>
  <c r="CO764" i="1"/>
  <c r="CM764" i="1"/>
  <c r="CI764" i="1"/>
  <c r="CH764" i="1"/>
  <c r="CG764" i="1"/>
  <c r="CF764" i="1"/>
  <c r="CD764" i="1"/>
  <c r="CC764" i="1"/>
  <c r="CB764" i="1"/>
  <c r="BZ764" i="1"/>
  <c r="BY764" i="1"/>
  <c r="BX764" i="1"/>
  <c r="BW764" i="1"/>
  <c r="BU764" i="1"/>
  <c r="BQ764" i="1"/>
  <c r="BP764" i="1"/>
  <c r="BO764" i="1"/>
  <c r="BN764" i="1"/>
  <c r="BL764" i="1"/>
  <c r="BH764" i="1"/>
  <c r="BG764" i="1"/>
  <c r="BF764" i="1"/>
  <c r="BE764" i="1"/>
  <c r="BC764" i="1"/>
  <c r="AY764" i="1"/>
  <c r="AX764" i="1"/>
  <c r="AW764" i="1"/>
  <c r="AV764" i="1"/>
  <c r="AT764" i="1"/>
  <c r="AP764" i="1"/>
  <c r="AO764" i="1"/>
  <c r="AN764" i="1"/>
  <c r="AM764" i="1"/>
  <c r="AK764" i="1"/>
  <c r="AG764" i="1"/>
  <c r="AF764" i="1"/>
  <c r="AE764" i="1"/>
  <c r="AD764" i="1"/>
  <c r="AB764" i="1"/>
  <c r="X764" i="1"/>
  <c r="W764" i="1"/>
  <c r="V764" i="1"/>
  <c r="U764" i="1"/>
  <c r="S764" i="1"/>
  <c r="K764" i="1"/>
  <c r="J764" i="1"/>
  <c r="I764" i="1"/>
  <c r="CR763" i="1"/>
  <c r="CQ763" i="1"/>
  <c r="CP763" i="1"/>
  <c r="CO763" i="1"/>
  <c r="CM763" i="1"/>
  <c r="CI763" i="1"/>
  <c r="CH763" i="1"/>
  <c r="CG763" i="1"/>
  <c r="CF763" i="1"/>
  <c r="CD763" i="1"/>
  <c r="CC763" i="1"/>
  <c r="CB763" i="1"/>
  <c r="BZ763" i="1"/>
  <c r="BY763" i="1"/>
  <c r="BX763" i="1"/>
  <c r="BW763" i="1"/>
  <c r="BU763" i="1"/>
  <c r="BQ763" i="1"/>
  <c r="BP763" i="1"/>
  <c r="BO763" i="1"/>
  <c r="BN763" i="1"/>
  <c r="BL763" i="1"/>
  <c r="BH763" i="1"/>
  <c r="BG763" i="1"/>
  <c r="BF763" i="1"/>
  <c r="BE763" i="1"/>
  <c r="BC763" i="1"/>
  <c r="AY763" i="1"/>
  <c r="AX763" i="1"/>
  <c r="AW763" i="1"/>
  <c r="AV763" i="1"/>
  <c r="AT763" i="1"/>
  <c r="AP763" i="1"/>
  <c r="AO763" i="1"/>
  <c r="AN763" i="1"/>
  <c r="AM763" i="1"/>
  <c r="AK763" i="1"/>
  <c r="AG763" i="1"/>
  <c r="AF763" i="1"/>
  <c r="AE763" i="1"/>
  <c r="AD763" i="1"/>
  <c r="AB763" i="1"/>
  <c r="X763" i="1"/>
  <c r="W763" i="1"/>
  <c r="V763" i="1"/>
  <c r="U763" i="1"/>
  <c r="S763" i="1"/>
  <c r="K763" i="1"/>
  <c r="J763" i="1"/>
  <c r="I763" i="1"/>
  <c r="CR762" i="1"/>
  <c r="CQ762" i="1"/>
  <c r="CP762" i="1"/>
  <c r="CO762" i="1"/>
  <c r="CM762" i="1"/>
  <c r="CI762" i="1"/>
  <c r="CH762" i="1"/>
  <c r="CG762" i="1"/>
  <c r="CF762" i="1"/>
  <c r="CD762" i="1"/>
  <c r="CC762" i="1"/>
  <c r="CB762" i="1"/>
  <c r="BZ762" i="1"/>
  <c r="BY762" i="1"/>
  <c r="BX762" i="1"/>
  <c r="BW762" i="1"/>
  <c r="BU762" i="1"/>
  <c r="BQ762" i="1"/>
  <c r="BP762" i="1"/>
  <c r="BO762" i="1"/>
  <c r="BN762" i="1"/>
  <c r="BL762" i="1"/>
  <c r="BH762" i="1"/>
  <c r="BG762" i="1"/>
  <c r="BF762" i="1"/>
  <c r="BE762" i="1"/>
  <c r="BC762" i="1"/>
  <c r="AY762" i="1"/>
  <c r="AX762" i="1"/>
  <c r="AW762" i="1"/>
  <c r="AV762" i="1"/>
  <c r="AT762" i="1"/>
  <c r="AP762" i="1"/>
  <c r="AO762" i="1"/>
  <c r="AN762" i="1"/>
  <c r="AM762" i="1"/>
  <c r="AK762" i="1"/>
  <c r="AG762" i="1"/>
  <c r="AF762" i="1"/>
  <c r="AE762" i="1"/>
  <c r="AD762" i="1"/>
  <c r="AB762" i="1"/>
  <c r="X762" i="1"/>
  <c r="W762" i="1"/>
  <c r="V762" i="1"/>
  <c r="U762" i="1"/>
  <c r="S762" i="1"/>
  <c r="K762" i="1"/>
  <c r="J762" i="1"/>
  <c r="I762" i="1"/>
  <c r="CR761" i="1"/>
  <c r="CQ761" i="1"/>
  <c r="CP761" i="1"/>
  <c r="CO761" i="1"/>
  <c r="CM761" i="1"/>
  <c r="CI761" i="1"/>
  <c r="CH761" i="1"/>
  <c r="CG761" i="1"/>
  <c r="CF761" i="1"/>
  <c r="CD761" i="1"/>
  <c r="CC761" i="1"/>
  <c r="CB761" i="1"/>
  <c r="BZ761" i="1"/>
  <c r="BY761" i="1"/>
  <c r="BX761" i="1"/>
  <c r="BW761" i="1"/>
  <c r="BU761" i="1"/>
  <c r="BQ761" i="1"/>
  <c r="BP761" i="1"/>
  <c r="BO761" i="1"/>
  <c r="BN761" i="1"/>
  <c r="BL761" i="1"/>
  <c r="BH761" i="1"/>
  <c r="BG761" i="1"/>
  <c r="BF761" i="1"/>
  <c r="BE761" i="1"/>
  <c r="BC761" i="1"/>
  <c r="AY761" i="1"/>
  <c r="AX761" i="1"/>
  <c r="AW761" i="1"/>
  <c r="AV761" i="1"/>
  <c r="AT761" i="1"/>
  <c r="AP761" i="1"/>
  <c r="AO761" i="1"/>
  <c r="AN761" i="1"/>
  <c r="AM761" i="1"/>
  <c r="AK761" i="1"/>
  <c r="AG761" i="1"/>
  <c r="AF761" i="1"/>
  <c r="AE761" i="1"/>
  <c r="AD761" i="1"/>
  <c r="AB761" i="1"/>
  <c r="X761" i="1"/>
  <c r="W761" i="1"/>
  <c r="V761" i="1"/>
  <c r="U761" i="1"/>
  <c r="S761" i="1"/>
  <c r="K761" i="1"/>
  <c r="J761" i="1"/>
  <c r="I761" i="1"/>
  <c r="CR760" i="1"/>
  <c r="CQ760" i="1"/>
  <c r="CP760" i="1"/>
  <c r="CO760" i="1"/>
  <c r="CM760" i="1"/>
  <c r="CI760" i="1"/>
  <c r="CH760" i="1"/>
  <c r="CG760" i="1"/>
  <c r="CF760" i="1"/>
  <c r="CD760" i="1"/>
  <c r="CC760" i="1"/>
  <c r="CB760" i="1"/>
  <c r="BZ760" i="1"/>
  <c r="BY760" i="1"/>
  <c r="BX760" i="1"/>
  <c r="BW760" i="1"/>
  <c r="BU760" i="1"/>
  <c r="BQ760" i="1"/>
  <c r="BP760" i="1"/>
  <c r="BO760" i="1"/>
  <c r="BN760" i="1"/>
  <c r="BL760" i="1"/>
  <c r="BH760" i="1"/>
  <c r="BG760" i="1"/>
  <c r="BF760" i="1"/>
  <c r="BE760" i="1"/>
  <c r="BC760" i="1"/>
  <c r="AY760" i="1"/>
  <c r="AX760" i="1"/>
  <c r="AW760" i="1"/>
  <c r="AV760" i="1"/>
  <c r="AT760" i="1"/>
  <c r="AP760" i="1"/>
  <c r="AO760" i="1"/>
  <c r="AN760" i="1"/>
  <c r="AM760" i="1"/>
  <c r="AK760" i="1"/>
  <c r="AG760" i="1"/>
  <c r="AF760" i="1"/>
  <c r="AE760" i="1"/>
  <c r="AD760" i="1"/>
  <c r="AB760" i="1"/>
  <c r="X760" i="1"/>
  <c r="W760" i="1"/>
  <c r="V760" i="1"/>
  <c r="U760" i="1"/>
  <c r="S760" i="1"/>
  <c r="K760" i="1"/>
  <c r="J760" i="1"/>
  <c r="I760" i="1"/>
  <c r="CR759" i="1"/>
  <c r="CQ759" i="1"/>
  <c r="CP759" i="1"/>
  <c r="CO759" i="1"/>
  <c r="CM759" i="1"/>
  <c r="CI759" i="1"/>
  <c r="CH759" i="1"/>
  <c r="CG759" i="1"/>
  <c r="CF759" i="1"/>
  <c r="CD759" i="1"/>
  <c r="CC759" i="1"/>
  <c r="CB759" i="1"/>
  <c r="BZ759" i="1"/>
  <c r="BY759" i="1"/>
  <c r="BX759" i="1"/>
  <c r="BW759" i="1"/>
  <c r="BU759" i="1"/>
  <c r="BQ759" i="1"/>
  <c r="BP759" i="1"/>
  <c r="BO759" i="1"/>
  <c r="BN759" i="1"/>
  <c r="BL759" i="1"/>
  <c r="BH759" i="1"/>
  <c r="BG759" i="1"/>
  <c r="BF759" i="1"/>
  <c r="BE759" i="1"/>
  <c r="BC759" i="1"/>
  <c r="AY759" i="1"/>
  <c r="AX759" i="1"/>
  <c r="AW759" i="1"/>
  <c r="AV759" i="1"/>
  <c r="AT759" i="1"/>
  <c r="AP759" i="1"/>
  <c r="AO759" i="1"/>
  <c r="AN759" i="1"/>
  <c r="AM759" i="1"/>
  <c r="AK759" i="1"/>
  <c r="AG759" i="1"/>
  <c r="AF759" i="1"/>
  <c r="AE759" i="1"/>
  <c r="AD759" i="1"/>
  <c r="AB759" i="1"/>
  <c r="X759" i="1"/>
  <c r="W759" i="1"/>
  <c r="V759" i="1"/>
  <c r="U759" i="1"/>
  <c r="S759" i="1"/>
  <c r="K759" i="1"/>
  <c r="J759" i="1"/>
  <c r="I759" i="1"/>
  <c r="CR758" i="1"/>
  <c r="CQ758" i="1"/>
  <c r="CP758" i="1"/>
  <c r="CO758" i="1"/>
  <c r="CM758" i="1"/>
  <c r="CI758" i="1"/>
  <c r="CH758" i="1"/>
  <c r="CG758" i="1"/>
  <c r="CF758" i="1"/>
  <c r="CD758" i="1"/>
  <c r="CC758" i="1"/>
  <c r="CB758" i="1"/>
  <c r="BZ758" i="1"/>
  <c r="BY758" i="1"/>
  <c r="BX758" i="1"/>
  <c r="BW758" i="1"/>
  <c r="BU758" i="1"/>
  <c r="BQ758" i="1"/>
  <c r="BP758" i="1"/>
  <c r="BO758" i="1"/>
  <c r="BN758" i="1"/>
  <c r="BL758" i="1"/>
  <c r="BH758" i="1"/>
  <c r="BG758" i="1"/>
  <c r="BF758" i="1"/>
  <c r="BE758" i="1"/>
  <c r="BC758" i="1"/>
  <c r="AY758" i="1"/>
  <c r="AX758" i="1"/>
  <c r="AW758" i="1"/>
  <c r="AV758" i="1"/>
  <c r="AT758" i="1"/>
  <c r="AP758" i="1"/>
  <c r="AO758" i="1"/>
  <c r="AN758" i="1"/>
  <c r="AM758" i="1"/>
  <c r="AK758" i="1"/>
  <c r="AG758" i="1"/>
  <c r="AF758" i="1"/>
  <c r="AE758" i="1"/>
  <c r="AD758" i="1"/>
  <c r="AB758" i="1"/>
  <c r="X758" i="1"/>
  <c r="W758" i="1"/>
  <c r="V758" i="1"/>
  <c r="U758" i="1"/>
  <c r="S758" i="1"/>
  <c r="K758" i="1"/>
  <c r="J758" i="1"/>
  <c r="I758" i="1"/>
  <c r="CR757" i="1"/>
  <c r="CQ757" i="1"/>
  <c r="CP757" i="1"/>
  <c r="CO757" i="1"/>
  <c r="CM757" i="1"/>
  <c r="CI757" i="1"/>
  <c r="CH757" i="1"/>
  <c r="CG757" i="1"/>
  <c r="CF757" i="1"/>
  <c r="CD757" i="1"/>
  <c r="CC757" i="1"/>
  <c r="CB757" i="1"/>
  <c r="BZ757" i="1"/>
  <c r="BY757" i="1"/>
  <c r="BX757" i="1"/>
  <c r="BW757" i="1"/>
  <c r="BU757" i="1"/>
  <c r="BQ757" i="1"/>
  <c r="BP757" i="1"/>
  <c r="BO757" i="1"/>
  <c r="BN757" i="1"/>
  <c r="BL757" i="1"/>
  <c r="BH757" i="1"/>
  <c r="BG757" i="1"/>
  <c r="BF757" i="1"/>
  <c r="BE757" i="1"/>
  <c r="BC757" i="1"/>
  <c r="AY757" i="1"/>
  <c r="AX757" i="1"/>
  <c r="AW757" i="1"/>
  <c r="AV757" i="1"/>
  <c r="AT757" i="1"/>
  <c r="AP757" i="1"/>
  <c r="AO757" i="1"/>
  <c r="AN757" i="1"/>
  <c r="AM757" i="1"/>
  <c r="AK757" i="1"/>
  <c r="AG757" i="1"/>
  <c r="AF757" i="1"/>
  <c r="AE757" i="1"/>
  <c r="AD757" i="1"/>
  <c r="AB757" i="1"/>
  <c r="X757" i="1"/>
  <c r="W757" i="1"/>
  <c r="V757" i="1"/>
  <c r="U757" i="1"/>
  <c r="S757" i="1"/>
  <c r="K757" i="1"/>
  <c r="J757" i="1"/>
  <c r="I757" i="1"/>
  <c r="CR756" i="1"/>
  <c r="CQ756" i="1"/>
  <c r="CP756" i="1"/>
  <c r="CO756" i="1"/>
  <c r="CM756" i="1"/>
  <c r="CI756" i="1"/>
  <c r="CH756" i="1"/>
  <c r="CG756" i="1"/>
  <c r="CF756" i="1"/>
  <c r="CD756" i="1"/>
  <c r="CC756" i="1"/>
  <c r="CB756" i="1"/>
  <c r="BZ756" i="1"/>
  <c r="BY756" i="1"/>
  <c r="BX756" i="1"/>
  <c r="BW756" i="1"/>
  <c r="BU756" i="1"/>
  <c r="BQ756" i="1"/>
  <c r="BP756" i="1"/>
  <c r="BO756" i="1"/>
  <c r="BN756" i="1"/>
  <c r="BL756" i="1"/>
  <c r="BH756" i="1"/>
  <c r="BG756" i="1"/>
  <c r="BF756" i="1"/>
  <c r="BE756" i="1"/>
  <c r="BC756" i="1"/>
  <c r="AY756" i="1"/>
  <c r="AX756" i="1"/>
  <c r="AW756" i="1"/>
  <c r="AV756" i="1"/>
  <c r="AT756" i="1"/>
  <c r="AP756" i="1"/>
  <c r="AO756" i="1"/>
  <c r="AN756" i="1"/>
  <c r="AM756" i="1"/>
  <c r="AK756" i="1"/>
  <c r="AG756" i="1"/>
  <c r="AF756" i="1"/>
  <c r="AE756" i="1"/>
  <c r="AD756" i="1"/>
  <c r="AB756" i="1"/>
  <c r="X756" i="1"/>
  <c r="W756" i="1"/>
  <c r="V756" i="1"/>
  <c r="U756" i="1"/>
  <c r="S756" i="1"/>
  <c r="K756" i="1"/>
  <c r="J756" i="1"/>
  <c r="I756" i="1"/>
  <c r="CL754" i="1"/>
  <c r="CC754" i="1"/>
  <c r="BT754" i="1"/>
  <c r="BS754" i="1"/>
  <c r="BK754" i="1"/>
  <c r="BJ754" i="1"/>
  <c r="BB754" i="1"/>
  <c r="BA754" i="1"/>
  <c r="AS754" i="1"/>
  <c r="AR754" i="1"/>
  <c r="AJ754" i="1"/>
  <c r="AI754" i="1"/>
  <c r="AA754" i="1"/>
  <c r="Z754" i="1"/>
  <c r="R754" i="1"/>
  <c r="Q754" i="1"/>
  <c r="E754" i="1"/>
  <c r="D754" i="1"/>
  <c r="CM753" i="1"/>
  <c r="CK753" i="1"/>
  <c r="CD753" i="1"/>
  <c r="CB753" i="1"/>
  <c r="BU753" i="1"/>
  <c r="BS753" i="1"/>
  <c r="BL753" i="1"/>
  <c r="BJ753" i="1"/>
  <c r="BC753" i="1"/>
  <c r="BA753" i="1"/>
  <c r="AT753" i="1"/>
  <c r="AR753" i="1"/>
  <c r="AK753" i="1"/>
  <c r="AI753" i="1"/>
  <c r="AB753" i="1"/>
  <c r="Z753" i="1"/>
  <c r="S753" i="1"/>
  <c r="Q753" i="1"/>
  <c r="I753" i="1"/>
  <c r="E753" i="1"/>
  <c r="CK752" i="1"/>
  <c r="CB752" i="1"/>
  <c r="BS752" i="1"/>
  <c r="BJ752" i="1"/>
  <c r="BA752" i="1"/>
  <c r="AR752" i="1"/>
  <c r="AI752" i="1"/>
  <c r="Z752" i="1"/>
  <c r="Q752" i="1"/>
  <c r="E751" i="1"/>
  <c r="E750" i="1"/>
  <c r="CM746" i="1"/>
  <c r="CL746" i="1"/>
  <c r="CK746" i="1"/>
  <c r="CD746" i="1"/>
  <c r="CC746" i="1"/>
  <c r="CB746" i="1"/>
  <c r="BU746" i="1"/>
  <c r="BT746" i="1"/>
  <c r="BS746" i="1"/>
  <c r="BL746" i="1"/>
  <c r="BK746" i="1"/>
  <c r="BJ746" i="1"/>
  <c r="BC746" i="1"/>
  <c r="BB746" i="1"/>
  <c r="BA746" i="1"/>
  <c r="AT746" i="1"/>
  <c r="AS746" i="1"/>
  <c r="AR746" i="1"/>
  <c r="AK746" i="1"/>
  <c r="AJ746" i="1"/>
  <c r="AI746" i="1"/>
  <c r="AB746" i="1"/>
  <c r="AA746" i="1"/>
  <c r="Z746" i="1"/>
  <c r="S746" i="1"/>
  <c r="R746" i="1"/>
  <c r="Q746" i="1"/>
  <c r="K746" i="1"/>
  <c r="J746" i="1"/>
  <c r="I746" i="1"/>
  <c r="H746" i="1"/>
  <c r="F746" i="1"/>
  <c r="CR745" i="1"/>
  <c r="CQ745" i="1"/>
  <c r="CP745" i="1"/>
  <c r="CO745" i="1"/>
  <c r="CM745" i="1"/>
  <c r="CI745" i="1"/>
  <c r="CH745" i="1"/>
  <c r="CG745" i="1"/>
  <c r="CF745" i="1"/>
  <c r="CD745" i="1"/>
  <c r="CC745" i="1"/>
  <c r="CB745" i="1"/>
  <c r="BZ745" i="1"/>
  <c r="BY745" i="1"/>
  <c r="BX745" i="1"/>
  <c r="BW745" i="1"/>
  <c r="BU745" i="1"/>
  <c r="BQ745" i="1"/>
  <c r="BP745" i="1"/>
  <c r="BO745" i="1"/>
  <c r="BN745" i="1"/>
  <c r="BL745" i="1"/>
  <c r="BH745" i="1"/>
  <c r="BG745" i="1"/>
  <c r="BF745" i="1"/>
  <c r="BE745" i="1"/>
  <c r="BC745" i="1"/>
  <c r="AY745" i="1"/>
  <c r="AX745" i="1"/>
  <c r="AW745" i="1"/>
  <c r="AV745" i="1"/>
  <c r="AT745" i="1"/>
  <c r="AP745" i="1"/>
  <c r="AO745" i="1"/>
  <c r="AN745" i="1"/>
  <c r="AM745" i="1"/>
  <c r="AK745" i="1"/>
  <c r="AG745" i="1"/>
  <c r="AF745" i="1"/>
  <c r="AE745" i="1"/>
  <c r="AD745" i="1"/>
  <c r="AB745" i="1"/>
  <c r="X745" i="1"/>
  <c r="W745" i="1"/>
  <c r="V745" i="1"/>
  <c r="U745" i="1"/>
  <c r="S745" i="1"/>
  <c r="K745" i="1"/>
  <c r="J745" i="1"/>
  <c r="I745" i="1"/>
  <c r="CR744" i="1"/>
  <c r="CQ744" i="1"/>
  <c r="CP744" i="1"/>
  <c r="CO744" i="1"/>
  <c r="CM744" i="1"/>
  <c r="CI744" i="1"/>
  <c r="CH744" i="1"/>
  <c r="CG744" i="1"/>
  <c r="CF744" i="1"/>
  <c r="CD744" i="1"/>
  <c r="CC744" i="1"/>
  <c r="CB744" i="1"/>
  <c r="BZ744" i="1"/>
  <c r="BY744" i="1"/>
  <c r="BX744" i="1"/>
  <c r="BW744" i="1"/>
  <c r="BU744" i="1"/>
  <c r="BQ744" i="1"/>
  <c r="BP744" i="1"/>
  <c r="BO744" i="1"/>
  <c r="BN744" i="1"/>
  <c r="BL744" i="1"/>
  <c r="BH744" i="1"/>
  <c r="BG744" i="1"/>
  <c r="BF744" i="1"/>
  <c r="BE744" i="1"/>
  <c r="BC744" i="1"/>
  <c r="AY744" i="1"/>
  <c r="AX744" i="1"/>
  <c r="AW744" i="1"/>
  <c r="AV744" i="1"/>
  <c r="AT744" i="1"/>
  <c r="AP744" i="1"/>
  <c r="AO744" i="1"/>
  <c r="AN744" i="1"/>
  <c r="AM744" i="1"/>
  <c r="AK744" i="1"/>
  <c r="AG744" i="1"/>
  <c r="AF744" i="1"/>
  <c r="AE744" i="1"/>
  <c r="AD744" i="1"/>
  <c r="AB744" i="1"/>
  <c r="X744" i="1"/>
  <c r="W744" i="1"/>
  <c r="V744" i="1"/>
  <c r="U744" i="1"/>
  <c r="S744" i="1"/>
  <c r="K744" i="1"/>
  <c r="J744" i="1"/>
  <c r="I744" i="1"/>
  <c r="CR743" i="1"/>
  <c r="CQ743" i="1"/>
  <c r="CP743" i="1"/>
  <c r="CO743" i="1"/>
  <c r="CM743" i="1"/>
  <c r="CI743" i="1"/>
  <c r="CH743" i="1"/>
  <c r="CG743" i="1"/>
  <c r="CF743" i="1"/>
  <c r="CD743" i="1"/>
  <c r="CC743" i="1"/>
  <c r="CB743" i="1"/>
  <c r="BZ743" i="1"/>
  <c r="BY743" i="1"/>
  <c r="BX743" i="1"/>
  <c r="BW743" i="1"/>
  <c r="BU743" i="1"/>
  <c r="BQ743" i="1"/>
  <c r="BP743" i="1"/>
  <c r="BO743" i="1"/>
  <c r="BN743" i="1"/>
  <c r="BL743" i="1"/>
  <c r="BH743" i="1"/>
  <c r="BG743" i="1"/>
  <c r="BF743" i="1"/>
  <c r="BE743" i="1"/>
  <c r="BC743" i="1"/>
  <c r="AY743" i="1"/>
  <c r="AX743" i="1"/>
  <c r="AW743" i="1"/>
  <c r="AV743" i="1"/>
  <c r="AT743" i="1"/>
  <c r="AP743" i="1"/>
  <c r="AO743" i="1"/>
  <c r="AN743" i="1"/>
  <c r="AM743" i="1"/>
  <c r="AK743" i="1"/>
  <c r="AG743" i="1"/>
  <c r="AF743" i="1"/>
  <c r="AE743" i="1"/>
  <c r="AD743" i="1"/>
  <c r="AB743" i="1"/>
  <c r="X743" i="1"/>
  <c r="W743" i="1"/>
  <c r="V743" i="1"/>
  <c r="U743" i="1"/>
  <c r="S743" i="1"/>
  <c r="K743" i="1"/>
  <c r="J743" i="1"/>
  <c r="I743" i="1"/>
  <c r="CR742" i="1"/>
  <c r="CQ742" i="1"/>
  <c r="CP742" i="1"/>
  <c r="CO742" i="1"/>
  <c r="CM742" i="1"/>
  <c r="CI742" i="1"/>
  <c r="CH742" i="1"/>
  <c r="CG742" i="1"/>
  <c r="CF742" i="1"/>
  <c r="CD742" i="1"/>
  <c r="CC742" i="1"/>
  <c r="CB742" i="1"/>
  <c r="BZ742" i="1"/>
  <c r="BY742" i="1"/>
  <c r="BX742" i="1"/>
  <c r="BW742" i="1"/>
  <c r="BU742" i="1"/>
  <c r="BQ742" i="1"/>
  <c r="BP742" i="1"/>
  <c r="BO742" i="1"/>
  <c r="BN742" i="1"/>
  <c r="BL742" i="1"/>
  <c r="BH742" i="1"/>
  <c r="BG742" i="1"/>
  <c r="BF742" i="1"/>
  <c r="BE742" i="1"/>
  <c r="BC742" i="1"/>
  <c r="AY742" i="1"/>
  <c r="AX742" i="1"/>
  <c r="AW742" i="1"/>
  <c r="AV742" i="1"/>
  <c r="AT742" i="1"/>
  <c r="AP742" i="1"/>
  <c r="AO742" i="1"/>
  <c r="AN742" i="1"/>
  <c r="AM742" i="1"/>
  <c r="AK742" i="1"/>
  <c r="AG742" i="1"/>
  <c r="AF742" i="1"/>
  <c r="AE742" i="1"/>
  <c r="AD742" i="1"/>
  <c r="AB742" i="1"/>
  <c r="X742" i="1"/>
  <c r="W742" i="1"/>
  <c r="V742" i="1"/>
  <c r="U742" i="1"/>
  <c r="S742" i="1"/>
  <c r="K742" i="1"/>
  <c r="J742" i="1"/>
  <c r="I742" i="1"/>
  <c r="CR741" i="1"/>
  <c r="CQ741" i="1"/>
  <c r="CP741" i="1"/>
  <c r="CO741" i="1"/>
  <c r="CM741" i="1"/>
  <c r="CI741" i="1"/>
  <c r="CH741" i="1"/>
  <c r="CG741" i="1"/>
  <c r="CF741" i="1"/>
  <c r="CD741" i="1"/>
  <c r="CC741" i="1"/>
  <c r="CB741" i="1"/>
  <c r="BZ741" i="1"/>
  <c r="BY741" i="1"/>
  <c r="BX741" i="1"/>
  <c r="BW741" i="1"/>
  <c r="BU741" i="1"/>
  <c r="BQ741" i="1"/>
  <c r="BP741" i="1"/>
  <c r="BO741" i="1"/>
  <c r="BN741" i="1"/>
  <c r="BL741" i="1"/>
  <c r="BH741" i="1"/>
  <c r="BG741" i="1"/>
  <c r="BF741" i="1"/>
  <c r="BE741" i="1"/>
  <c r="BC741" i="1"/>
  <c r="AY741" i="1"/>
  <c r="AX741" i="1"/>
  <c r="AW741" i="1"/>
  <c r="AV741" i="1"/>
  <c r="AT741" i="1"/>
  <c r="AP741" i="1"/>
  <c r="AO741" i="1"/>
  <c r="AN741" i="1"/>
  <c r="AM741" i="1"/>
  <c r="AK741" i="1"/>
  <c r="AG741" i="1"/>
  <c r="AF741" i="1"/>
  <c r="AE741" i="1"/>
  <c r="AD741" i="1"/>
  <c r="AB741" i="1"/>
  <c r="X741" i="1"/>
  <c r="W741" i="1"/>
  <c r="V741" i="1"/>
  <c r="U741" i="1"/>
  <c r="S741" i="1"/>
  <c r="K741" i="1"/>
  <c r="J741" i="1"/>
  <c r="I741" i="1"/>
  <c r="CR740" i="1"/>
  <c r="CQ740" i="1"/>
  <c r="CP740" i="1"/>
  <c r="CO740" i="1"/>
  <c r="CM740" i="1"/>
  <c r="CI740" i="1"/>
  <c r="CH740" i="1"/>
  <c r="CG740" i="1"/>
  <c r="CF740" i="1"/>
  <c r="CD740" i="1"/>
  <c r="CC740" i="1"/>
  <c r="CB740" i="1"/>
  <c r="BZ740" i="1"/>
  <c r="BY740" i="1"/>
  <c r="BX740" i="1"/>
  <c r="BW740" i="1"/>
  <c r="BU740" i="1"/>
  <c r="BQ740" i="1"/>
  <c r="BP740" i="1"/>
  <c r="BO740" i="1"/>
  <c r="BN740" i="1"/>
  <c r="BL740" i="1"/>
  <c r="BH740" i="1"/>
  <c r="BG740" i="1"/>
  <c r="BF740" i="1"/>
  <c r="BE740" i="1"/>
  <c r="BC740" i="1"/>
  <c r="AY740" i="1"/>
  <c r="AX740" i="1"/>
  <c r="AW740" i="1"/>
  <c r="AV740" i="1"/>
  <c r="AT740" i="1"/>
  <c r="AP740" i="1"/>
  <c r="AO740" i="1"/>
  <c r="AN740" i="1"/>
  <c r="AM740" i="1"/>
  <c r="AK740" i="1"/>
  <c r="AG740" i="1"/>
  <c r="AF740" i="1"/>
  <c r="AE740" i="1"/>
  <c r="AD740" i="1"/>
  <c r="AB740" i="1"/>
  <c r="X740" i="1"/>
  <c r="W740" i="1"/>
  <c r="V740" i="1"/>
  <c r="U740" i="1"/>
  <c r="S740" i="1"/>
  <c r="K740" i="1"/>
  <c r="J740" i="1"/>
  <c r="I740" i="1"/>
  <c r="CR739" i="1"/>
  <c r="CQ739" i="1"/>
  <c r="CP739" i="1"/>
  <c r="CO739" i="1"/>
  <c r="CM739" i="1"/>
  <c r="CI739" i="1"/>
  <c r="CH739" i="1"/>
  <c r="CG739" i="1"/>
  <c r="CF739" i="1"/>
  <c r="CD739" i="1"/>
  <c r="CC739" i="1"/>
  <c r="CB739" i="1"/>
  <c r="BZ739" i="1"/>
  <c r="BY739" i="1"/>
  <c r="BX739" i="1"/>
  <c r="BW739" i="1"/>
  <c r="BU739" i="1"/>
  <c r="BQ739" i="1"/>
  <c r="BP739" i="1"/>
  <c r="BO739" i="1"/>
  <c r="BN739" i="1"/>
  <c r="BL739" i="1"/>
  <c r="BH739" i="1"/>
  <c r="BG739" i="1"/>
  <c r="BF739" i="1"/>
  <c r="BE739" i="1"/>
  <c r="BC739" i="1"/>
  <c r="AY739" i="1"/>
  <c r="AX739" i="1"/>
  <c r="AW739" i="1"/>
  <c r="AV739" i="1"/>
  <c r="AT739" i="1"/>
  <c r="AP739" i="1"/>
  <c r="AO739" i="1"/>
  <c r="AN739" i="1"/>
  <c r="AM739" i="1"/>
  <c r="AK739" i="1"/>
  <c r="AG739" i="1"/>
  <c r="AF739" i="1"/>
  <c r="AE739" i="1"/>
  <c r="AD739" i="1"/>
  <c r="AB739" i="1"/>
  <c r="X739" i="1"/>
  <c r="W739" i="1"/>
  <c r="V739" i="1"/>
  <c r="U739" i="1"/>
  <c r="S739" i="1"/>
  <c r="K739" i="1"/>
  <c r="J739" i="1"/>
  <c r="I739" i="1"/>
  <c r="CR738" i="1"/>
  <c r="CQ738" i="1"/>
  <c r="CP738" i="1"/>
  <c r="CO738" i="1"/>
  <c r="CM738" i="1"/>
  <c r="CI738" i="1"/>
  <c r="CH738" i="1"/>
  <c r="CG738" i="1"/>
  <c r="CF738" i="1"/>
  <c r="CD738" i="1"/>
  <c r="CC738" i="1"/>
  <c r="CB738" i="1"/>
  <c r="BZ738" i="1"/>
  <c r="BY738" i="1"/>
  <c r="BX738" i="1"/>
  <c r="BW738" i="1"/>
  <c r="BU738" i="1"/>
  <c r="BQ738" i="1"/>
  <c r="BP738" i="1"/>
  <c r="BO738" i="1"/>
  <c r="BN738" i="1"/>
  <c r="BL738" i="1"/>
  <c r="BH738" i="1"/>
  <c r="BG738" i="1"/>
  <c r="BF738" i="1"/>
  <c r="BE738" i="1"/>
  <c r="BC738" i="1"/>
  <c r="AY738" i="1"/>
  <c r="AX738" i="1"/>
  <c r="AW738" i="1"/>
  <c r="AV738" i="1"/>
  <c r="AT738" i="1"/>
  <c r="AP738" i="1"/>
  <c r="AO738" i="1"/>
  <c r="AN738" i="1"/>
  <c r="AM738" i="1"/>
  <c r="AK738" i="1"/>
  <c r="AG738" i="1"/>
  <c r="AF738" i="1"/>
  <c r="AE738" i="1"/>
  <c r="AD738" i="1"/>
  <c r="AB738" i="1"/>
  <c r="X738" i="1"/>
  <c r="W738" i="1"/>
  <c r="V738" i="1"/>
  <c r="U738" i="1"/>
  <c r="S738" i="1"/>
  <c r="K738" i="1"/>
  <c r="J738" i="1"/>
  <c r="I738" i="1"/>
  <c r="CR737" i="1"/>
  <c r="CQ737" i="1"/>
  <c r="CP737" i="1"/>
  <c r="CO737" i="1"/>
  <c r="CM737" i="1"/>
  <c r="CI737" i="1"/>
  <c r="CH737" i="1"/>
  <c r="CG737" i="1"/>
  <c r="CF737" i="1"/>
  <c r="CD737" i="1"/>
  <c r="CC737" i="1"/>
  <c r="CB737" i="1"/>
  <c r="BZ737" i="1"/>
  <c r="BY737" i="1"/>
  <c r="BX737" i="1"/>
  <c r="BW737" i="1"/>
  <c r="BU737" i="1"/>
  <c r="BQ737" i="1"/>
  <c r="BP737" i="1"/>
  <c r="BO737" i="1"/>
  <c r="BN737" i="1"/>
  <c r="BL737" i="1"/>
  <c r="BH737" i="1"/>
  <c r="BG737" i="1"/>
  <c r="BF737" i="1"/>
  <c r="BE737" i="1"/>
  <c r="BC737" i="1"/>
  <c r="AY737" i="1"/>
  <c r="AX737" i="1"/>
  <c r="AW737" i="1"/>
  <c r="AV737" i="1"/>
  <c r="AT737" i="1"/>
  <c r="AP737" i="1"/>
  <c r="AO737" i="1"/>
  <c r="AN737" i="1"/>
  <c r="AM737" i="1"/>
  <c r="AK737" i="1"/>
  <c r="AG737" i="1"/>
  <c r="AF737" i="1"/>
  <c r="AE737" i="1"/>
  <c r="AD737" i="1"/>
  <c r="AB737" i="1"/>
  <c r="X737" i="1"/>
  <c r="W737" i="1"/>
  <c r="V737" i="1"/>
  <c r="U737" i="1"/>
  <c r="S737" i="1"/>
  <c r="K737" i="1"/>
  <c r="J737" i="1"/>
  <c r="I737" i="1"/>
  <c r="CR736" i="1"/>
  <c r="CQ736" i="1"/>
  <c r="CP736" i="1"/>
  <c r="CO736" i="1"/>
  <c r="CM736" i="1"/>
  <c r="CI736" i="1"/>
  <c r="CH736" i="1"/>
  <c r="CG736" i="1"/>
  <c r="CF736" i="1"/>
  <c r="CD736" i="1"/>
  <c r="CC736" i="1"/>
  <c r="CB736" i="1"/>
  <c r="BZ736" i="1"/>
  <c r="BY736" i="1"/>
  <c r="BX736" i="1"/>
  <c r="BW736" i="1"/>
  <c r="BU736" i="1"/>
  <c r="BQ736" i="1"/>
  <c r="BP736" i="1"/>
  <c r="BO736" i="1"/>
  <c r="BN736" i="1"/>
  <c r="BL736" i="1"/>
  <c r="BH736" i="1"/>
  <c r="BG736" i="1"/>
  <c r="BF736" i="1"/>
  <c r="BE736" i="1"/>
  <c r="BC736" i="1"/>
  <c r="AY736" i="1"/>
  <c r="AX736" i="1"/>
  <c r="AW736" i="1"/>
  <c r="AV736" i="1"/>
  <c r="AT736" i="1"/>
  <c r="AP736" i="1"/>
  <c r="AO736" i="1"/>
  <c r="AN736" i="1"/>
  <c r="AM736" i="1"/>
  <c r="AK736" i="1"/>
  <c r="AG736" i="1"/>
  <c r="AF736" i="1"/>
  <c r="AE736" i="1"/>
  <c r="AD736" i="1"/>
  <c r="AB736" i="1"/>
  <c r="X736" i="1"/>
  <c r="W736" i="1"/>
  <c r="V736" i="1"/>
  <c r="U736" i="1"/>
  <c r="S736" i="1"/>
  <c r="K736" i="1"/>
  <c r="J736" i="1"/>
  <c r="I736" i="1"/>
  <c r="CR735" i="1"/>
  <c r="CQ735" i="1"/>
  <c r="CP735" i="1"/>
  <c r="CO735" i="1"/>
  <c r="CM735" i="1"/>
  <c r="CI735" i="1"/>
  <c r="CH735" i="1"/>
  <c r="CG735" i="1"/>
  <c r="CF735" i="1"/>
  <c r="CD735" i="1"/>
  <c r="CC735" i="1"/>
  <c r="CB735" i="1"/>
  <c r="BZ735" i="1"/>
  <c r="BY735" i="1"/>
  <c r="BX735" i="1"/>
  <c r="BW735" i="1"/>
  <c r="BU735" i="1"/>
  <c r="BQ735" i="1"/>
  <c r="BP735" i="1"/>
  <c r="BO735" i="1"/>
  <c r="BN735" i="1"/>
  <c r="BL735" i="1"/>
  <c r="BH735" i="1"/>
  <c r="BG735" i="1"/>
  <c r="BF735" i="1"/>
  <c r="BE735" i="1"/>
  <c r="BC735" i="1"/>
  <c r="AY735" i="1"/>
  <c r="AX735" i="1"/>
  <c r="AW735" i="1"/>
  <c r="AV735" i="1"/>
  <c r="AT735" i="1"/>
  <c r="AP735" i="1"/>
  <c r="AO735" i="1"/>
  <c r="AN735" i="1"/>
  <c r="AM735" i="1"/>
  <c r="AK735" i="1"/>
  <c r="AG735" i="1"/>
  <c r="AF735" i="1"/>
  <c r="AE735" i="1"/>
  <c r="AD735" i="1"/>
  <c r="AB735" i="1"/>
  <c r="X735" i="1"/>
  <c r="W735" i="1"/>
  <c r="V735" i="1"/>
  <c r="U735" i="1"/>
  <c r="S735" i="1"/>
  <c r="K735" i="1"/>
  <c r="J735" i="1"/>
  <c r="I735" i="1"/>
  <c r="CR734" i="1"/>
  <c r="CQ734" i="1"/>
  <c r="CP734" i="1"/>
  <c r="CO734" i="1"/>
  <c r="CM734" i="1"/>
  <c r="CI734" i="1"/>
  <c r="CH734" i="1"/>
  <c r="CG734" i="1"/>
  <c r="CF734" i="1"/>
  <c r="CD734" i="1"/>
  <c r="CC734" i="1"/>
  <c r="CB734" i="1"/>
  <c r="BZ734" i="1"/>
  <c r="BY734" i="1"/>
  <c r="BX734" i="1"/>
  <c r="BW734" i="1"/>
  <c r="BU734" i="1"/>
  <c r="BQ734" i="1"/>
  <c r="BP734" i="1"/>
  <c r="BO734" i="1"/>
  <c r="BN734" i="1"/>
  <c r="BL734" i="1"/>
  <c r="BH734" i="1"/>
  <c r="BG734" i="1"/>
  <c r="BF734" i="1"/>
  <c r="BE734" i="1"/>
  <c r="BC734" i="1"/>
  <c r="AY734" i="1"/>
  <c r="AX734" i="1"/>
  <c r="AW734" i="1"/>
  <c r="AV734" i="1"/>
  <c r="AT734" i="1"/>
  <c r="AP734" i="1"/>
  <c r="AO734" i="1"/>
  <c r="AN734" i="1"/>
  <c r="AM734" i="1"/>
  <c r="AK734" i="1"/>
  <c r="AG734" i="1"/>
  <c r="AF734" i="1"/>
  <c r="AE734" i="1"/>
  <c r="AD734" i="1"/>
  <c r="AB734" i="1"/>
  <c r="X734" i="1"/>
  <c r="W734" i="1"/>
  <c r="V734" i="1"/>
  <c r="U734" i="1"/>
  <c r="S734" i="1"/>
  <c r="K734" i="1"/>
  <c r="J734" i="1"/>
  <c r="I734" i="1"/>
  <c r="CL732" i="1"/>
  <c r="CC732" i="1"/>
  <c r="BT732" i="1"/>
  <c r="BS732" i="1"/>
  <c r="BK732" i="1"/>
  <c r="BJ732" i="1"/>
  <c r="BB732" i="1"/>
  <c r="BA732" i="1"/>
  <c r="AS732" i="1"/>
  <c r="AR732" i="1"/>
  <c r="AJ732" i="1"/>
  <c r="AI732" i="1"/>
  <c r="AA732" i="1"/>
  <c r="Z732" i="1"/>
  <c r="R732" i="1"/>
  <c r="Q732" i="1"/>
  <c r="E732" i="1"/>
  <c r="D732" i="1"/>
  <c r="CM731" i="1"/>
  <c r="CK731" i="1"/>
  <c r="CD731" i="1"/>
  <c r="CB731" i="1"/>
  <c r="BU731" i="1"/>
  <c r="BS731" i="1"/>
  <c r="BL731" i="1"/>
  <c r="BJ731" i="1"/>
  <c r="BC731" i="1"/>
  <c r="BA731" i="1"/>
  <c r="AT731" i="1"/>
  <c r="AR731" i="1"/>
  <c r="AK731" i="1"/>
  <c r="AI731" i="1"/>
  <c r="AB731" i="1"/>
  <c r="Z731" i="1"/>
  <c r="S731" i="1"/>
  <c r="Q731" i="1"/>
  <c r="I731" i="1"/>
  <c r="E731" i="1"/>
  <c r="CK730" i="1"/>
  <c r="CB730" i="1"/>
  <c r="BS730" i="1"/>
  <c r="BJ730" i="1"/>
  <c r="BA730" i="1"/>
  <c r="AR730" i="1"/>
  <c r="AI730" i="1"/>
  <c r="Z730" i="1"/>
  <c r="Q730" i="1"/>
  <c r="E729" i="1"/>
  <c r="E728" i="1"/>
  <c r="CM724" i="1"/>
  <c r="CL724" i="1"/>
  <c r="CK724" i="1"/>
  <c r="CD724" i="1"/>
  <c r="CC724" i="1"/>
  <c r="CB724" i="1"/>
  <c r="BU724" i="1"/>
  <c r="BT724" i="1"/>
  <c r="BS724" i="1"/>
  <c r="BL724" i="1"/>
  <c r="BK724" i="1"/>
  <c r="BJ724" i="1"/>
  <c r="BC724" i="1"/>
  <c r="BB724" i="1"/>
  <c r="BA724" i="1"/>
  <c r="AT724" i="1"/>
  <c r="AS724" i="1"/>
  <c r="AR724" i="1"/>
  <c r="AK724" i="1"/>
  <c r="AJ724" i="1"/>
  <c r="AI724" i="1"/>
  <c r="AB724" i="1"/>
  <c r="AA724" i="1"/>
  <c r="Z724" i="1"/>
  <c r="S724" i="1"/>
  <c r="R724" i="1"/>
  <c r="Q724" i="1"/>
  <c r="K724" i="1"/>
  <c r="J724" i="1"/>
  <c r="I724" i="1"/>
  <c r="H724" i="1"/>
  <c r="F724" i="1"/>
  <c r="CR723" i="1"/>
  <c r="CQ723" i="1"/>
  <c r="CP723" i="1"/>
  <c r="CO723" i="1"/>
  <c r="CM723" i="1"/>
  <c r="CI723" i="1"/>
  <c r="CH723" i="1"/>
  <c r="CG723" i="1"/>
  <c r="CF723" i="1"/>
  <c r="CD723" i="1"/>
  <c r="CC723" i="1"/>
  <c r="CB723" i="1"/>
  <c r="BZ723" i="1"/>
  <c r="BY723" i="1"/>
  <c r="BX723" i="1"/>
  <c r="BW723" i="1"/>
  <c r="BU723" i="1"/>
  <c r="BQ723" i="1"/>
  <c r="BP723" i="1"/>
  <c r="BO723" i="1"/>
  <c r="BN723" i="1"/>
  <c r="BL723" i="1"/>
  <c r="BH723" i="1"/>
  <c r="BG723" i="1"/>
  <c r="BF723" i="1"/>
  <c r="BE723" i="1"/>
  <c r="BC723" i="1"/>
  <c r="AY723" i="1"/>
  <c r="AX723" i="1"/>
  <c r="AW723" i="1"/>
  <c r="AV723" i="1"/>
  <c r="AT723" i="1"/>
  <c r="AP723" i="1"/>
  <c r="AO723" i="1"/>
  <c r="AN723" i="1"/>
  <c r="AM723" i="1"/>
  <c r="AK723" i="1"/>
  <c r="AG723" i="1"/>
  <c r="AF723" i="1"/>
  <c r="AE723" i="1"/>
  <c r="AD723" i="1"/>
  <c r="AB723" i="1"/>
  <c r="X723" i="1"/>
  <c r="W723" i="1"/>
  <c r="V723" i="1"/>
  <c r="U723" i="1"/>
  <c r="S723" i="1"/>
  <c r="K723" i="1"/>
  <c r="J723" i="1"/>
  <c r="I723" i="1"/>
  <c r="CR722" i="1"/>
  <c r="CQ722" i="1"/>
  <c r="CP722" i="1"/>
  <c r="CO722" i="1"/>
  <c r="CM722" i="1"/>
  <c r="CI722" i="1"/>
  <c r="CH722" i="1"/>
  <c r="CG722" i="1"/>
  <c r="CF722" i="1"/>
  <c r="CD722" i="1"/>
  <c r="CC722" i="1"/>
  <c r="CB722" i="1"/>
  <c r="BZ722" i="1"/>
  <c r="BY722" i="1"/>
  <c r="BX722" i="1"/>
  <c r="BW722" i="1"/>
  <c r="BU722" i="1"/>
  <c r="BQ722" i="1"/>
  <c r="BP722" i="1"/>
  <c r="BO722" i="1"/>
  <c r="BN722" i="1"/>
  <c r="BL722" i="1"/>
  <c r="BH722" i="1"/>
  <c r="BG722" i="1"/>
  <c r="BF722" i="1"/>
  <c r="BE722" i="1"/>
  <c r="BC722" i="1"/>
  <c r="AY722" i="1"/>
  <c r="AX722" i="1"/>
  <c r="AW722" i="1"/>
  <c r="AV722" i="1"/>
  <c r="AT722" i="1"/>
  <c r="AP722" i="1"/>
  <c r="AO722" i="1"/>
  <c r="AN722" i="1"/>
  <c r="AM722" i="1"/>
  <c r="AK722" i="1"/>
  <c r="AG722" i="1"/>
  <c r="AF722" i="1"/>
  <c r="AE722" i="1"/>
  <c r="AD722" i="1"/>
  <c r="AB722" i="1"/>
  <c r="X722" i="1"/>
  <c r="W722" i="1"/>
  <c r="V722" i="1"/>
  <c r="U722" i="1"/>
  <c r="S722" i="1"/>
  <c r="K722" i="1"/>
  <c r="J722" i="1"/>
  <c r="I722" i="1"/>
  <c r="CR721" i="1"/>
  <c r="CQ721" i="1"/>
  <c r="CP721" i="1"/>
  <c r="CO721" i="1"/>
  <c r="CM721" i="1"/>
  <c r="CI721" i="1"/>
  <c r="CH721" i="1"/>
  <c r="CG721" i="1"/>
  <c r="CF721" i="1"/>
  <c r="CD721" i="1"/>
  <c r="CC721" i="1"/>
  <c r="CB721" i="1"/>
  <c r="BZ721" i="1"/>
  <c r="BY721" i="1"/>
  <c r="BX721" i="1"/>
  <c r="BW721" i="1"/>
  <c r="BU721" i="1"/>
  <c r="BQ721" i="1"/>
  <c r="BP721" i="1"/>
  <c r="BO721" i="1"/>
  <c r="BN721" i="1"/>
  <c r="BL721" i="1"/>
  <c r="BH721" i="1"/>
  <c r="BG721" i="1"/>
  <c r="BF721" i="1"/>
  <c r="BE721" i="1"/>
  <c r="BC721" i="1"/>
  <c r="AY721" i="1"/>
  <c r="AX721" i="1"/>
  <c r="AW721" i="1"/>
  <c r="AV721" i="1"/>
  <c r="AT721" i="1"/>
  <c r="AP721" i="1"/>
  <c r="AO721" i="1"/>
  <c r="AN721" i="1"/>
  <c r="AM721" i="1"/>
  <c r="AK721" i="1"/>
  <c r="AG721" i="1"/>
  <c r="AF721" i="1"/>
  <c r="AE721" i="1"/>
  <c r="AD721" i="1"/>
  <c r="AB721" i="1"/>
  <c r="X721" i="1"/>
  <c r="W721" i="1"/>
  <c r="V721" i="1"/>
  <c r="U721" i="1"/>
  <c r="S721" i="1"/>
  <c r="K721" i="1"/>
  <c r="J721" i="1"/>
  <c r="I721" i="1"/>
  <c r="CR720" i="1"/>
  <c r="CQ720" i="1"/>
  <c r="CP720" i="1"/>
  <c r="CO720" i="1"/>
  <c r="CM720" i="1"/>
  <c r="CI720" i="1"/>
  <c r="CH720" i="1"/>
  <c r="CG720" i="1"/>
  <c r="CF720" i="1"/>
  <c r="CD720" i="1"/>
  <c r="CC720" i="1"/>
  <c r="CB720" i="1"/>
  <c r="BZ720" i="1"/>
  <c r="BY720" i="1"/>
  <c r="BX720" i="1"/>
  <c r="BW720" i="1"/>
  <c r="BU720" i="1"/>
  <c r="BQ720" i="1"/>
  <c r="BP720" i="1"/>
  <c r="BO720" i="1"/>
  <c r="BN720" i="1"/>
  <c r="BL720" i="1"/>
  <c r="BH720" i="1"/>
  <c r="BG720" i="1"/>
  <c r="BF720" i="1"/>
  <c r="BE720" i="1"/>
  <c r="BC720" i="1"/>
  <c r="AY720" i="1"/>
  <c r="AX720" i="1"/>
  <c r="AW720" i="1"/>
  <c r="AV720" i="1"/>
  <c r="AT720" i="1"/>
  <c r="AP720" i="1"/>
  <c r="AO720" i="1"/>
  <c r="AN720" i="1"/>
  <c r="AM720" i="1"/>
  <c r="AK720" i="1"/>
  <c r="AG720" i="1"/>
  <c r="AF720" i="1"/>
  <c r="AE720" i="1"/>
  <c r="AD720" i="1"/>
  <c r="AB720" i="1"/>
  <c r="X720" i="1"/>
  <c r="W720" i="1"/>
  <c r="V720" i="1"/>
  <c r="U720" i="1"/>
  <c r="S720" i="1"/>
  <c r="K720" i="1"/>
  <c r="J720" i="1"/>
  <c r="I720" i="1"/>
  <c r="CR719" i="1"/>
  <c r="CQ719" i="1"/>
  <c r="CP719" i="1"/>
  <c r="CO719" i="1"/>
  <c r="CM719" i="1"/>
  <c r="CI719" i="1"/>
  <c r="CH719" i="1"/>
  <c r="CG719" i="1"/>
  <c r="CF719" i="1"/>
  <c r="CD719" i="1"/>
  <c r="CC719" i="1"/>
  <c r="CB719" i="1"/>
  <c r="BZ719" i="1"/>
  <c r="BY719" i="1"/>
  <c r="BX719" i="1"/>
  <c r="BW719" i="1"/>
  <c r="BU719" i="1"/>
  <c r="BQ719" i="1"/>
  <c r="BP719" i="1"/>
  <c r="BO719" i="1"/>
  <c r="BN719" i="1"/>
  <c r="BL719" i="1"/>
  <c r="BH719" i="1"/>
  <c r="BG719" i="1"/>
  <c r="BF719" i="1"/>
  <c r="BE719" i="1"/>
  <c r="BC719" i="1"/>
  <c r="AY719" i="1"/>
  <c r="AX719" i="1"/>
  <c r="AW719" i="1"/>
  <c r="AV719" i="1"/>
  <c r="AT719" i="1"/>
  <c r="AP719" i="1"/>
  <c r="AO719" i="1"/>
  <c r="AN719" i="1"/>
  <c r="AM719" i="1"/>
  <c r="AK719" i="1"/>
  <c r="AG719" i="1"/>
  <c r="AF719" i="1"/>
  <c r="AE719" i="1"/>
  <c r="AD719" i="1"/>
  <c r="AB719" i="1"/>
  <c r="X719" i="1"/>
  <c r="W719" i="1"/>
  <c r="V719" i="1"/>
  <c r="U719" i="1"/>
  <c r="S719" i="1"/>
  <c r="K719" i="1"/>
  <c r="J719" i="1"/>
  <c r="I719" i="1"/>
  <c r="CR718" i="1"/>
  <c r="CQ718" i="1"/>
  <c r="CP718" i="1"/>
  <c r="CO718" i="1"/>
  <c r="CM718" i="1"/>
  <c r="CI718" i="1"/>
  <c r="CH718" i="1"/>
  <c r="CG718" i="1"/>
  <c r="CF718" i="1"/>
  <c r="CD718" i="1"/>
  <c r="CC718" i="1"/>
  <c r="CB718" i="1"/>
  <c r="BZ718" i="1"/>
  <c r="BY718" i="1"/>
  <c r="BX718" i="1"/>
  <c r="BW718" i="1"/>
  <c r="BU718" i="1"/>
  <c r="BQ718" i="1"/>
  <c r="BP718" i="1"/>
  <c r="BO718" i="1"/>
  <c r="BN718" i="1"/>
  <c r="BL718" i="1"/>
  <c r="BH718" i="1"/>
  <c r="BG718" i="1"/>
  <c r="BF718" i="1"/>
  <c r="BE718" i="1"/>
  <c r="BC718" i="1"/>
  <c r="AY718" i="1"/>
  <c r="AX718" i="1"/>
  <c r="AW718" i="1"/>
  <c r="AV718" i="1"/>
  <c r="AT718" i="1"/>
  <c r="AP718" i="1"/>
  <c r="AO718" i="1"/>
  <c r="AN718" i="1"/>
  <c r="AM718" i="1"/>
  <c r="AK718" i="1"/>
  <c r="AG718" i="1"/>
  <c r="AF718" i="1"/>
  <c r="AE718" i="1"/>
  <c r="AD718" i="1"/>
  <c r="AB718" i="1"/>
  <c r="X718" i="1"/>
  <c r="W718" i="1"/>
  <c r="V718" i="1"/>
  <c r="U718" i="1"/>
  <c r="S718" i="1"/>
  <c r="K718" i="1"/>
  <c r="J718" i="1"/>
  <c r="I718" i="1"/>
  <c r="CR717" i="1"/>
  <c r="CQ717" i="1"/>
  <c r="CP717" i="1"/>
  <c r="CO717" i="1"/>
  <c r="CM717" i="1"/>
  <c r="CI717" i="1"/>
  <c r="CH717" i="1"/>
  <c r="CG717" i="1"/>
  <c r="CF717" i="1"/>
  <c r="CD717" i="1"/>
  <c r="CC717" i="1"/>
  <c r="CB717" i="1"/>
  <c r="BZ717" i="1"/>
  <c r="BY717" i="1"/>
  <c r="BX717" i="1"/>
  <c r="BW717" i="1"/>
  <c r="BU717" i="1"/>
  <c r="BQ717" i="1"/>
  <c r="BP717" i="1"/>
  <c r="BO717" i="1"/>
  <c r="BN717" i="1"/>
  <c r="BL717" i="1"/>
  <c r="BH717" i="1"/>
  <c r="BG717" i="1"/>
  <c r="BF717" i="1"/>
  <c r="BE717" i="1"/>
  <c r="BC717" i="1"/>
  <c r="AY717" i="1"/>
  <c r="AX717" i="1"/>
  <c r="AW717" i="1"/>
  <c r="AV717" i="1"/>
  <c r="AT717" i="1"/>
  <c r="AP717" i="1"/>
  <c r="AO717" i="1"/>
  <c r="AN717" i="1"/>
  <c r="AM717" i="1"/>
  <c r="AK717" i="1"/>
  <c r="AG717" i="1"/>
  <c r="AF717" i="1"/>
  <c r="AE717" i="1"/>
  <c r="AD717" i="1"/>
  <c r="AB717" i="1"/>
  <c r="X717" i="1"/>
  <c r="W717" i="1"/>
  <c r="V717" i="1"/>
  <c r="U717" i="1"/>
  <c r="S717" i="1"/>
  <c r="K717" i="1"/>
  <c r="J717" i="1"/>
  <c r="I717" i="1"/>
  <c r="CR716" i="1"/>
  <c r="CQ716" i="1"/>
  <c r="CP716" i="1"/>
  <c r="CO716" i="1"/>
  <c r="CM716" i="1"/>
  <c r="CI716" i="1"/>
  <c r="CH716" i="1"/>
  <c r="CG716" i="1"/>
  <c r="CF716" i="1"/>
  <c r="CD716" i="1"/>
  <c r="CC716" i="1"/>
  <c r="CB716" i="1"/>
  <c r="BZ716" i="1"/>
  <c r="BY716" i="1"/>
  <c r="BX716" i="1"/>
  <c r="BW716" i="1"/>
  <c r="BU716" i="1"/>
  <c r="BQ716" i="1"/>
  <c r="BP716" i="1"/>
  <c r="BO716" i="1"/>
  <c r="BN716" i="1"/>
  <c r="BL716" i="1"/>
  <c r="BH716" i="1"/>
  <c r="BG716" i="1"/>
  <c r="BF716" i="1"/>
  <c r="BE716" i="1"/>
  <c r="BC716" i="1"/>
  <c r="AY716" i="1"/>
  <c r="AX716" i="1"/>
  <c r="AW716" i="1"/>
  <c r="AV716" i="1"/>
  <c r="AT716" i="1"/>
  <c r="AP716" i="1"/>
  <c r="AO716" i="1"/>
  <c r="AN716" i="1"/>
  <c r="AM716" i="1"/>
  <c r="AK716" i="1"/>
  <c r="AG716" i="1"/>
  <c r="AF716" i="1"/>
  <c r="AE716" i="1"/>
  <c r="AD716" i="1"/>
  <c r="AB716" i="1"/>
  <c r="X716" i="1"/>
  <c r="W716" i="1"/>
  <c r="V716" i="1"/>
  <c r="U716" i="1"/>
  <c r="S716" i="1"/>
  <c r="K716" i="1"/>
  <c r="J716" i="1"/>
  <c r="I716" i="1"/>
  <c r="CR715" i="1"/>
  <c r="CQ715" i="1"/>
  <c r="CP715" i="1"/>
  <c r="CO715" i="1"/>
  <c r="CM715" i="1"/>
  <c r="CI715" i="1"/>
  <c r="CH715" i="1"/>
  <c r="CG715" i="1"/>
  <c r="CF715" i="1"/>
  <c r="CD715" i="1"/>
  <c r="CC715" i="1"/>
  <c r="CB715" i="1"/>
  <c r="BZ715" i="1"/>
  <c r="BY715" i="1"/>
  <c r="BX715" i="1"/>
  <c r="BW715" i="1"/>
  <c r="BU715" i="1"/>
  <c r="BQ715" i="1"/>
  <c r="BP715" i="1"/>
  <c r="BO715" i="1"/>
  <c r="BN715" i="1"/>
  <c r="BL715" i="1"/>
  <c r="BH715" i="1"/>
  <c r="BG715" i="1"/>
  <c r="BF715" i="1"/>
  <c r="BE715" i="1"/>
  <c r="BC715" i="1"/>
  <c r="AY715" i="1"/>
  <c r="AX715" i="1"/>
  <c r="AW715" i="1"/>
  <c r="AV715" i="1"/>
  <c r="AT715" i="1"/>
  <c r="AP715" i="1"/>
  <c r="AO715" i="1"/>
  <c r="AN715" i="1"/>
  <c r="AM715" i="1"/>
  <c r="AK715" i="1"/>
  <c r="AG715" i="1"/>
  <c r="AF715" i="1"/>
  <c r="AE715" i="1"/>
  <c r="AD715" i="1"/>
  <c r="AB715" i="1"/>
  <c r="X715" i="1"/>
  <c r="W715" i="1"/>
  <c r="V715" i="1"/>
  <c r="U715" i="1"/>
  <c r="S715" i="1"/>
  <c r="K715" i="1"/>
  <c r="J715" i="1"/>
  <c r="I715" i="1"/>
  <c r="CR714" i="1"/>
  <c r="CQ714" i="1"/>
  <c r="CP714" i="1"/>
  <c r="CO714" i="1"/>
  <c r="CM714" i="1"/>
  <c r="CI714" i="1"/>
  <c r="CH714" i="1"/>
  <c r="CG714" i="1"/>
  <c r="CF714" i="1"/>
  <c r="CD714" i="1"/>
  <c r="CC714" i="1"/>
  <c r="CB714" i="1"/>
  <c r="BZ714" i="1"/>
  <c r="BY714" i="1"/>
  <c r="BX714" i="1"/>
  <c r="BW714" i="1"/>
  <c r="BU714" i="1"/>
  <c r="BQ714" i="1"/>
  <c r="BP714" i="1"/>
  <c r="BO714" i="1"/>
  <c r="BN714" i="1"/>
  <c r="BL714" i="1"/>
  <c r="BH714" i="1"/>
  <c r="BG714" i="1"/>
  <c r="BF714" i="1"/>
  <c r="BE714" i="1"/>
  <c r="BC714" i="1"/>
  <c r="AY714" i="1"/>
  <c r="AX714" i="1"/>
  <c r="AW714" i="1"/>
  <c r="AV714" i="1"/>
  <c r="AT714" i="1"/>
  <c r="AP714" i="1"/>
  <c r="AO714" i="1"/>
  <c r="AN714" i="1"/>
  <c r="AM714" i="1"/>
  <c r="AK714" i="1"/>
  <c r="AG714" i="1"/>
  <c r="AF714" i="1"/>
  <c r="AE714" i="1"/>
  <c r="AD714" i="1"/>
  <c r="AB714" i="1"/>
  <c r="X714" i="1"/>
  <c r="W714" i="1"/>
  <c r="V714" i="1"/>
  <c r="U714" i="1"/>
  <c r="S714" i="1"/>
  <c r="K714" i="1"/>
  <c r="J714" i="1"/>
  <c r="I714" i="1"/>
  <c r="CR713" i="1"/>
  <c r="CQ713" i="1"/>
  <c r="CP713" i="1"/>
  <c r="CO713" i="1"/>
  <c r="CM713" i="1"/>
  <c r="CI713" i="1"/>
  <c r="CH713" i="1"/>
  <c r="CG713" i="1"/>
  <c r="CF713" i="1"/>
  <c r="CD713" i="1"/>
  <c r="CC713" i="1"/>
  <c r="CB713" i="1"/>
  <c r="BZ713" i="1"/>
  <c r="BY713" i="1"/>
  <c r="BX713" i="1"/>
  <c r="BW713" i="1"/>
  <c r="BU713" i="1"/>
  <c r="BQ713" i="1"/>
  <c r="BP713" i="1"/>
  <c r="BO713" i="1"/>
  <c r="BN713" i="1"/>
  <c r="BL713" i="1"/>
  <c r="BH713" i="1"/>
  <c r="BG713" i="1"/>
  <c r="BF713" i="1"/>
  <c r="BE713" i="1"/>
  <c r="BC713" i="1"/>
  <c r="AY713" i="1"/>
  <c r="AX713" i="1"/>
  <c r="AW713" i="1"/>
  <c r="AV713" i="1"/>
  <c r="AT713" i="1"/>
  <c r="AP713" i="1"/>
  <c r="AO713" i="1"/>
  <c r="AN713" i="1"/>
  <c r="AM713" i="1"/>
  <c r="AK713" i="1"/>
  <c r="AG713" i="1"/>
  <c r="AF713" i="1"/>
  <c r="AE713" i="1"/>
  <c r="AD713" i="1"/>
  <c r="AB713" i="1"/>
  <c r="X713" i="1"/>
  <c r="W713" i="1"/>
  <c r="V713" i="1"/>
  <c r="U713" i="1"/>
  <c r="S713" i="1"/>
  <c r="K713" i="1"/>
  <c r="J713" i="1"/>
  <c r="I713" i="1"/>
  <c r="CR712" i="1"/>
  <c r="CQ712" i="1"/>
  <c r="CP712" i="1"/>
  <c r="CO712" i="1"/>
  <c r="CM712" i="1"/>
  <c r="CI712" i="1"/>
  <c r="CH712" i="1"/>
  <c r="CG712" i="1"/>
  <c r="CF712" i="1"/>
  <c r="CD712" i="1"/>
  <c r="CC712" i="1"/>
  <c r="CB712" i="1"/>
  <c r="BZ712" i="1"/>
  <c r="BY712" i="1"/>
  <c r="BX712" i="1"/>
  <c r="BW712" i="1"/>
  <c r="BU712" i="1"/>
  <c r="BQ712" i="1"/>
  <c r="BP712" i="1"/>
  <c r="BO712" i="1"/>
  <c r="BN712" i="1"/>
  <c r="BL712" i="1"/>
  <c r="BH712" i="1"/>
  <c r="BG712" i="1"/>
  <c r="BF712" i="1"/>
  <c r="BE712" i="1"/>
  <c r="BC712" i="1"/>
  <c r="AY712" i="1"/>
  <c r="AX712" i="1"/>
  <c r="AW712" i="1"/>
  <c r="AV712" i="1"/>
  <c r="AT712" i="1"/>
  <c r="AP712" i="1"/>
  <c r="AO712" i="1"/>
  <c r="AN712" i="1"/>
  <c r="AM712" i="1"/>
  <c r="AK712" i="1"/>
  <c r="AG712" i="1"/>
  <c r="AF712" i="1"/>
  <c r="AE712" i="1"/>
  <c r="AD712" i="1"/>
  <c r="AB712" i="1"/>
  <c r="X712" i="1"/>
  <c r="W712" i="1"/>
  <c r="V712" i="1"/>
  <c r="U712" i="1"/>
  <c r="S712" i="1"/>
  <c r="K712" i="1"/>
  <c r="J712" i="1"/>
  <c r="I712" i="1"/>
  <c r="CL710" i="1"/>
  <c r="CC710" i="1"/>
  <c r="BT710" i="1"/>
  <c r="BS710" i="1"/>
  <c r="BK710" i="1"/>
  <c r="BJ710" i="1"/>
  <c r="BB710" i="1"/>
  <c r="BA710" i="1"/>
  <c r="AS710" i="1"/>
  <c r="AR710" i="1"/>
  <c r="AJ710" i="1"/>
  <c r="AI710" i="1"/>
  <c r="AA710" i="1"/>
  <c r="Z710" i="1"/>
  <c r="R710" i="1"/>
  <c r="Q710" i="1"/>
  <c r="E710" i="1"/>
  <c r="D710" i="1"/>
  <c r="CM709" i="1"/>
  <c r="CK709" i="1"/>
  <c r="CD709" i="1"/>
  <c r="CB709" i="1"/>
  <c r="BU709" i="1"/>
  <c r="BS709" i="1"/>
  <c r="BL709" i="1"/>
  <c r="BJ709" i="1"/>
  <c r="BC709" i="1"/>
  <c r="BA709" i="1"/>
  <c r="AT709" i="1"/>
  <c r="AR709" i="1"/>
  <c r="AK709" i="1"/>
  <c r="AI709" i="1"/>
  <c r="AB709" i="1"/>
  <c r="Z709" i="1"/>
  <c r="S709" i="1"/>
  <c r="Q709" i="1"/>
  <c r="I709" i="1"/>
  <c r="E709" i="1"/>
  <c r="CK708" i="1"/>
  <c r="CB708" i="1"/>
  <c r="BS708" i="1"/>
  <c r="BJ708" i="1"/>
  <c r="BA708" i="1"/>
  <c r="AR708" i="1"/>
  <c r="AI708" i="1"/>
  <c r="Z708" i="1"/>
  <c r="Q708" i="1"/>
  <c r="E707" i="1"/>
  <c r="E706" i="1"/>
  <c r="CM702" i="1"/>
  <c r="CL702" i="1"/>
  <c r="CK702" i="1"/>
  <c r="CD702" i="1"/>
  <c r="CC702" i="1"/>
  <c r="CB702" i="1"/>
  <c r="BU702" i="1"/>
  <c r="BT702" i="1"/>
  <c r="BS702" i="1"/>
  <c r="BL702" i="1"/>
  <c r="BK702" i="1"/>
  <c r="BJ702" i="1"/>
  <c r="BC702" i="1"/>
  <c r="BB702" i="1"/>
  <c r="BA702" i="1"/>
  <c r="AT702" i="1"/>
  <c r="AS702" i="1"/>
  <c r="AR702" i="1"/>
  <c r="AK702" i="1"/>
  <c r="AJ702" i="1"/>
  <c r="AI702" i="1"/>
  <c r="AB702" i="1"/>
  <c r="AA702" i="1"/>
  <c r="Z702" i="1"/>
  <c r="S702" i="1"/>
  <c r="R702" i="1"/>
  <c r="Q702" i="1"/>
  <c r="K702" i="1"/>
  <c r="J702" i="1"/>
  <c r="I702" i="1"/>
  <c r="H702" i="1"/>
  <c r="F702" i="1"/>
  <c r="CR701" i="1"/>
  <c r="CQ701" i="1"/>
  <c r="CP701" i="1"/>
  <c r="CO701" i="1"/>
  <c r="CM701" i="1"/>
  <c r="CI701" i="1"/>
  <c r="CH701" i="1"/>
  <c r="CG701" i="1"/>
  <c r="CF701" i="1"/>
  <c r="CD701" i="1"/>
  <c r="CC701" i="1"/>
  <c r="CB701" i="1"/>
  <c r="BZ701" i="1"/>
  <c r="BY701" i="1"/>
  <c r="BX701" i="1"/>
  <c r="BW701" i="1"/>
  <c r="BU701" i="1"/>
  <c r="BQ701" i="1"/>
  <c r="BP701" i="1"/>
  <c r="BO701" i="1"/>
  <c r="BN701" i="1"/>
  <c r="BL701" i="1"/>
  <c r="BH701" i="1"/>
  <c r="BG701" i="1"/>
  <c r="BF701" i="1"/>
  <c r="BE701" i="1"/>
  <c r="BC701" i="1"/>
  <c r="AY701" i="1"/>
  <c r="AX701" i="1"/>
  <c r="AW701" i="1"/>
  <c r="AV701" i="1"/>
  <c r="AT701" i="1"/>
  <c r="AP701" i="1"/>
  <c r="AO701" i="1"/>
  <c r="AN701" i="1"/>
  <c r="AM701" i="1"/>
  <c r="AK701" i="1"/>
  <c r="AG701" i="1"/>
  <c r="AF701" i="1"/>
  <c r="AE701" i="1"/>
  <c r="AD701" i="1"/>
  <c r="AB701" i="1"/>
  <c r="X701" i="1"/>
  <c r="W701" i="1"/>
  <c r="V701" i="1"/>
  <c r="U701" i="1"/>
  <c r="S701" i="1"/>
  <c r="K701" i="1"/>
  <c r="J701" i="1"/>
  <c r="I701" i="1"/>
  <c r="CR700" i="1"/>
  <c r="CQ700" i="1"/>
  <c r="CP700" i="1"/>
  <c r="CO700" i="1"/>
  <c r="CM700" i="1"/>
  <c r="CI700" i="1"/>
  <c r="CH700" i="1"/>
  <c r="CG700" i="1"/>
  <c r="CF700" i="1"/>
  <c r="CD700" i="1"/>
  <c r="CC700" i="1"/>
  <c r="CB700" i="1"/>
  <c r="BZ700" i="1"/>
  <c r="BY700" i="1"/>
  <c r="BX700" i="1"/>
  <c r="BW700" i="1"/>
  <c r="BU700" i="1"/>
  <c r="BQ700" i="1"/>
  <c r="BP700" i="1"/>
  <c r="BO700" i="1"/>
  <c r="BN700" i="1"/>
  <c r="BL700" i="1"/>
  <c r="BH700" i="1"/>
  <c r="BG700" i="1"/>
  <c r="BF700" i="1"/>
  <c r="BE700" i="1"/>
  <c r="BC700" i="1"/>
  <c r="AY700" i="1"/>
  <c r="AX700" i="1"/>
  <c r="AW700" i="1"/>
  <c r="AV700" i="1"/>
  <c r="AT700" i="1"/>
  <c r="AP700" i="1"/>
  <c r="AO700" i="1"/>
  <c r="AN700" i="1"/>
  <c r="AM700" i="1"/>
  <c r="AK700" i="1"/>
  <c r="AG700" i="1"/>
  <c r="AF700" i="1"/>
  <c r="AE700" i="1"/>
  <c r="AD700" i="1"/>
  <c r="AB700" i="1"/>
  <c r="X700" i="1"/>
  <c r="W700" i="1"/>
  <c r="V700" i="1"/>
  <c r="U700" i="1"/>
  <c r="S700" i="1"/>
  <c r="K700" i="1"/>
  <c r="J700" i="1"/>
  <c r="I700" i="1"/>
  <c r="CR699" i="1"/>
  <c r="CQ699" i="1"/>
  <c r="CP699" i="1"/>
  <c r="CO699" i="1"/>
  <c r="CM699" i="1"/>
  <c r="CI699" i="1"/>
  <c r="CH699" i="1"/>
  <c r="CG699" i="1"/>
  <c r="CF699" i="1"/>
  <c r="CD699" i="1"/>
  <c r="CC699" i="1"/>
  <c r="CB699" i="1"/>
  <c r="BZ699" i="1"/>
  <c r="BY699" i="1"/>
  <c r="BX699" i="1"/>
  <c r="BW699" i="1"/>
  <c r="BU699" i="1"/>
  <c r="BQ699" i="1"/>
  <c r="BP699" i="1"/>
  <c r="BO699" i="1"/>
  <c r="BN699" i="1"/>
  <c r="BL699" i="1"/>
  <c r="BH699" i="1"/>
  <c r="BG699" i="1"/>
  <c r="BF699" i="1"/>
  <c r="BE699" i="1"/>
  <c r="BC699" i="1"/>
  <c r="AY699" i="1"/>
  <c r="AX699" i="1"/>
  <c r="AW699" i="1"/>
  <c r="AV699" i="1"/>
  <c r="AT699" i="1"/>
  <c r="AP699" i="1"/>
  <c r="AO699" i="1"/>
  <c r="AN699" i="1"/>
  <c r="AM699" i="1"/>
  <c r="AK699" i="1"/>
  <c r="AG699" i="1"/>
  <c r="AF699" i="1"/>
  <c r="AE699" i="1"/>
  <c r="AD699" i="1"/>
  <c r="AB699" i="1"/>
  <c r="X699" i="1"/>
  <c r="W699" i="1"/>
  <c r="V699" i="1"/>
  <c r="U699" i="1"/>
  <c r="S699" i="1"/>
  <c r="K699" i="1"/>
  <c r="J699" i="1"/>
  <c r="I699" i="1"/>
  <c r="CR698" i="1"/>
  <c r="CQ698" i="1"/>
  <c r="CP698" i="1"/>
  <c r="CO698" i="1"/>
  <c r="CM698" i="1"/>
  <c r="CI698" i="1"/>
  <c r="CH698" i="1"/>
  <c r="CG698" i="1"/>
  <c r="CF698" i="1"/>
  <c r="CD698" i="1"/>
  <c r="CC698" i="1"/>
  <c r="CB698" i="1"/>
  <c r="BZ698" i="1"/>
  <c r="BY698" i="1"/>
  <c r="BX698" i="1"/>
  <c r="BW698" i="1"/>
  <c r="BU698" i="1"/>
  <c r="BQ698" i="1"/>
  <c r="BP698" i="1"/>
  <c r="BO698" i="1"/>
  <c r="BN698" i="1"/>
  <c r="BL698" i="1"/>
  <c r="BH698" i="1"/>
  <c r="BG698" i="1"/>
  <c r="BF698" i="1"/>
  <c r="BE698" i="1"/>
  <c r="BC698" i="1"/>
  <c r="AY698" i="1"/>
  <c r="AX698" i="1"/>
  <c r="AW698" i="1"/>
  <c r="AV698" i="1"/>
  <c r="AT698" i="1"/>
  <c r="AP698" i="1"/>
  <c r="AO698" i="1"/>
  <c r="AN698" i="1"/>
  <c r="AM698" i="1"/>
  <c r="AK698" i="1"/>
  <c r="AG698" i="1"/>
  <c r="AF698" i="1"/>
  <c r="AE698" i="1"/>
  <c r="AD698" i="1"/>
  <c r="AB698" i="1"/>
  <c r="X698" i="1"/>
  <c r="W698" i="1"/>
  <c r="V698" i="1"/>
  <c r="U698" i="1"/>
  <c r="S698" i="1"/>
  <c r="K698" i="1"/>
  <c r="J698" i="1"/>
  <c r="I698" i="1"/>
  <c r="CR697" i="1"/>
  <c r="CQ697" i="1"/>
  <c r="CP697" i="1"/>
  <c r="CO697" i="1"/>
  <c r="CM697" i="1"/>
  <c r="CI697" i="1"/>
  <c r="CH697" i="1"/>
  <c r="CG697" i="1"/>
  <c r="CF697" i="1"/>
  <c r="CD697" i="1"/>
  <c r="CC697" i="1"/>
  <c r="CB697" i="1"/>
  <c r="BZ697" i="1"/>
  <c r="BY697" i="1"/>
  <c r="BX697" i="1"/>
  <c r="BW697" i="1"/>
  <c r="BU697" i="1"/>
  <c r="BQ697" i="1"/>
  <c r="BP697" i="1"/>
  <c r="BO697" i="1"/>
  <c r="BN697" i="1"/>
  <c r="BL697" i="1"/>
  <c r="BH697" i="1"/>
  <c r="BG697" i="1"/>
  <c r="BF697" i="1"/>
  <c r="BE697" i="1"/>
  <c r="BC697" i="1"/>
  <c r="AY697" i="1"/>
  <c r="AX697" i="1"/>
  <c r="AW697" i="1"/>
  <c r="AV697" i="1"/>
  <c r="AT697" i="1"/>
  <c r="AP697" i="1"/>
  <c r="AO697" i="1"/>
  <c r="AN697" i="1"/>
  <c r="AM697" i="1"/>
  <c r="AK697" i="1"/>
  <c r="AG697" i="1"/>
  <c r="AF697" i="1"/>
  <c r="AE697" i="1"/>
  <c r="AD697" i="1"/>
  <c r="AB697" i="1"/>
  <c r="X697" i="1"/>
  <c r="W697" i="1"/>
  <c r="V697" i="1"/>
  <c r="U697" i="1"/>
  <c r="S697" i="1"/>
  <c r="K697" i="1"/>
  <c r="J697" i="1"/>
  <c r="I697" i="1"/>
  <c r="CR696" i="1"/>
  <c r="CQ696" i="1"/>
  <c r="CP696" i="1"/>
  <c r="CO696" i="1"/>
  <c r="CM696" i="1"/>
  <c r="CI696" i="1"/>
  <c r="CH696" i="1"/>
  <c r="CG696" i="1"/>
  <c r="CF696" i="1"/>
  <c r="CD696" i="1"/>
  <c r="CC696" i="1"/>
  <c r="CB696" i="1"/>
  <c r="BZ696" i="1"/>
  <c r="BY696" i="1"/>
  <c r="BX696" i="1"/>
  <c r="BW696" i="1"/>
  <c r="BU696" i="1"/>
  <c r="BQ696" i="1"/>
  <c r="BP696" i="1"/>
  <c r="BO696" i="1"/>
  <c r="BN696" i="1"/>
  <c r="BL696" i="1"/>
  <c r="BH696" i="1"/>
  <c r="BG696" i="1"/>
  <c r="BF696" i="1"/>
  <c r="BE696" i="1"/>
  <c r="BC696" i="1"/>
  <c r="AY696" i="1"/>
  <c r="AX696" i="1"/>
  <c r="AW696" i="1"/>
  <c r="AV696" i="1"/>
  <c r="AT696" i="1"/>
  <c r="AP696" i="1"/>
  <c r="AO696" i="1"/>
  <c r="AN696" i="1"/>
  <c r="AM696" i="1"/>
  <c r="AK696" i="1"/>
  <c r="AG696" i="1"/>
  <c r="AF696" i="1"/>
  <c r="AE696" i="1"/>
  <c r="AD696" i="1"/>
  <c r="AB696" i="1"/>
  <c r="X696" i="1"/>
  <c r="W696" i="1"/>
  <c r="V696" i="1"/>
  <c r="U696" i="1"/>
  <c r="S696" i="1"/>
  <c r="K696" i="1"/>
  <c r="J696" i="1"/>
  <c r="I696" i="1"/>
  <c r="CR695" i="1"/>
  <c r="CQ695" i="1"/>
  <c r="CP695" i="1"/>
  <c r="CO695" i="1"/>
  <c r="CM695" i="1"/>
  <c r="CI695" i="1"/>
  <c r="CH695" i="1"/>
  <c r="CG695" i="1"/>
  <c r="CF695" i="1"/>
  <c r="CD695" i="1"/>
  <c r="CC695" i="1"/>
  <c r="CB695" i="1"/>
  <c r="BZ695" i="1"/>
  <c r="BY695" i="1"/>
  <c r="BX695" i="1"/>
  <c r="BW695" i="1"/>
  <c r="BU695" i="1"/>
  <c r="BQ695" i="1"/>
  <c r="BP695" i="1"/>
  <c r="BO695" i="1"/>
  <c r="BN695" i="1"/>
  <c r="BL695" i="1"/>
  <c r="BH695" i="1"/>
  <c r="BG695" i="1"/>
  <c r="BF695" i="1"/>
  <c r="BE695" i="1"/>
  <c r="BC695" i="1"/>
  <c r="AY695" i="1"/>
  <c r="AX695" i="1"/>
  <c r="AW695" i="1"/>
  <c r="AV695" i="1"/>
  <c r="AT695" i="1"/>
  <c r="AP695" i="1"/>
  <c r="AO695" i="1"/>
  <c r="AN695" i="1"/>
  <c r="AM695" i="1"/>
  <c r="AK695" i="1"/>
  <c r="AG695" i="1"/>
  <c r="AF695" i="1"/>
  <c r="AE695" i="1"/>
  <c r="AD695" i="1"/>
  <c r="AB695" i="1"/>
  <c r="X695" i="1"/>
  <c r="W695" i="1"/>
  <c r="V695" i="1"/>
  <c r="U695" i="1"/>
  <c r="S695" i="1"/>
  <c r="K695" i="1"/>
  <c r="J695" i="1"/>
  <c r="I695" i="1"/>
  <c r="CR694" i="1"/>
  <c r="CQ694" i="1"/>
  <c r="CP694" i="1"/>
  <c r="CO694" i="1"/>
  <c r="CM694" i="1"/>
  <c r="CI694" i="1"/>
  <c r="CH694" i="1"/>
  <c r="CG694" i="1"/>
  <c r="CF694" i="1"/>
  <c r="CD694" i="1"/>
  <c r="CC694" i="1"/>
  <c r="CB694" i="1"/>
  <c r="BZ694" i="1"/>
  <c r="BY694" i="1"/>
  <c r="BX694" i="1"/>
  <c r="BW694" i="1"/>
  <c r="BU694" i="1"/>
  <c r="BQ694" i="1"/>
  <c r="BP694" i="1"/>
  <c r="BO694" i="1"/>
  <c r="BN694" i="1"/>
  <c r="BL694" i="1"/>
  <c r="BH694" i="1"/>
  <c r="BG694" i="1"/>
  <c r="BF694" i="1"/>
  <c r="BE694" i="1"/>
  <c r="BC694" i="1"/>
  <c r="AY694" i="1"/>
  <c r="AX694" i="1"/>
  <c r="AW694" i="1"/>
  <c r="AV694" i="1"/>
  <c r="AT694" i="1"/>
  <c r="AP694" i="1"/>
  <c r="AO694" i="1"/>
  <c r="AN694" i="1"/>
  <c r="AM694" i="1"/>
  <c r="AK694" i="1"/>
  <c r="AG694" i="1"/>
  <c r="AF694" i="1"/>
  <c r="AE694" i="1"/>
  <c r="AD694" i="1"/>
  <c r="AB694" i="1"/>
  <c r="X694" i="1"/>
  <c r="W694" i="1"/>
  <c r="V694" i="1"/>
  <c r="U694" i="1"/>
  <c r="S694" i="1"/>
  <c r="K694" i="1"/>
  <c r="J694" i="1"/>
  <c r="I694" i="1"/>
  <c r="CR693" i="1"/>
  <c r="CQ693" i="1"/>
  <c r="CP693" i="1"/>
  <c r="CO693" i="1"/>
  <c r="CM693" i="1"/>
  <c r="CI693" i="1"/>
  <c r="CH693" i="1"/>
  <c r="CG693" i="1"/>
  <c r="CF693" i="1"/>
  <c r="CD693" i="1"/>
  <c r="CC693" i="1"/>
  <c r="CB693" i="1"/>
  <c r="BZ693" i="1"/>
  <c r="BY693" i="1"/>
  <c r="BX693" i="1"/>
  <c r="BW693" i="1"/>
  <c r="BU693" i="1"/>
  <c r="BQ693" i="1"/>
  <c r="BP693" i="1"/>
  <c r="BO693" i="1"/>
  <c r="BN693" i="1"/>
  <c r="BL693" i="1"/>
  <c r="BH693" i="1"/>
  <c r="BG693" i="1"/>
  <c r="BF693" i="1"/>
  <c r="BE693" i="1"/>
  <c r="BC693" i="1"/>
  <c r="AY693" i="1"/>
  <c r="AX693" i="1"/>
  <c r="AW693" i="1"/>
  <c r="AV693" i="1"/>
  <c r="AT693" i="1"/>
  <c r="AP693" i="1"/>
  <c r="AO693" i="1"/>
  <c r="AN693" i="1"/>
  <c r="AM693" i="1"/>
  <c r="AK693" i="1"/>
  <c r="AG693" i="1"/>
  <c r="AF693" i="1"/>
  <c r="AE693" i="1"/>
  <c r="AD693" i="1"/>
  <c r="AB693" i="1"/>
  <c r="X693" i="1"/>
  <c r="W693" i="1"/>
  <c r="V693" i="1"/>
  <c r="U693" i="1"/>
  <c r="S693" i="1"/>
  <c r="K693" i="1"/>
  <c r="J693" i="1"/>
  <c r="I693" i="1"/>
  <c r="CR692" i="1"/>
  <c r="CQ692" i="1"/>
  <c r="CP692" i="1"/>
  <c r="CO692" i="1"/>
  <c r="CM692" i="1"/>
  <c r="CI692" i="1"/>
  <c r="CH692" i="1"/>
  <c r="CG692" i="1"/>
  <c r="CF692" i="1"/>
  <c r="CD692" i="1"/>
  <c r="CC692" i="1"/>
  <c r="CB692" i="1"/>
  <c r="BZ692" i="1"/>
  <c r="BY692" i="1"/>
  <c r="BX692" i="1"/>
  <c r="BW692" i="1"/>
  <c r="BU692" i="1"/>
  <c r="BQ692" i="1"/>
  <c r="BP692" i="1"/>
  <c r="BO692" i="1"/>
  <c r="BN692" i="1"/>
  <c r="BL692" i="1"/>
  <c r="BH692" i="1"/>
  <c r="BG692" i="1"/>
  <c r="BF692" i="1"/>
  <c r="BE692" i="1"/>
  <c r="BC692" i="1"/>
  <c r="AY692" i="1"/>
  <c r="AX692" i="1"/>
  <c r="AW692" i="1"/>
  <c r="AV692" i="1"/>
  <c r="AT692" i="1"/>
  <c r="AP692" i="1"/>
  <c r="AO692" i="1"/>
  <c r="AN692" i="1"/>
  <c r="AM692" i="1"/>
  <c r="AK692" i="1"/>
  <c r="AG692" i="1"/>
  <c r="AF692" i="1"/>
  <c r="AE692" i="1"/>
  <c r="AD692" i="1"/>
  <c r="AB692" i="1"/>
  <c r="X692" i="1"/>
  <c r="W692" i="1"/>
  <c r="V692" i="1"/>
  <c r="U692" i="1"/>
  <c r="S692" i="1"/>
  <c r="K692" i="1"/>
  <c r="J692" i="1"/>
  <c r="I692" i="1"/>
  <c r="CR691" i="1"/>
  <c r="CQ691" i="1"/>
  <c r="CP691" i="1"/>
  <c r="CO691" i="1"/>
  <c r="CM691" i="1"/>
  <c r="CI691" i="1"/>
  <c r="CH691" i="1"/>
  <c r="CG691" i="1"/>
  <c r="CF691" i="1"/>
  <c r="CD691" i="1"/>
  <c r="CC691" i="1"/>
  <c r="CB691" i="1"/>
  <c r="BZ691" i="1"/>
  <c r="BY691" i="1"/>
  <c r="BX691" i="1"/>
  <c r="BW691" i="1"/>
  <c r="BU691" i="1"/>
  <c r="BQ691" i="1"/>
  <c r="BP691" i="1"/>
  <c r="BO691" i="1"/>
  <c r="BN691" i="1"/>
  <c r="BL691" i="1"/>
  <c r="BH691" i="1"/>
  <c r="BG691" i="1"/>
  <c r="BF691" i="1"/>
  <c r="BE691" i="1"/>
  <c r="BC691" i="1"/>
  <c r="AY691" i="1"/>
  <c r="AX691" i="1"/>
  <c r="AW691" i="1"/>
  <c r="AV691" i="1"/>
  <c r="AT691" i="1"/>
  <c r="AP691" i="1"/>
  <c r="AO691" i="1"/>
  <c r="AN691" i="1"/>
  <c r="AM691" i="1"/>
  <c r="AK691" i="1"/>
  <c r="AG691" i="1"/>
  <c r="AF691" i="1"/>
  <c r="AE691" i="1"/>
  <c r="AD691" i="1"/>
  <c r="AB691" i="1"/>
  <c r="X691" i="1"/>
  <c r="W691" i="1"/>
  <c r="V691" i="1"/>
  <c r="U691" i="1"/>
  <c r="S691" i="1"/>
  <c r="K691" i="1"/>
  <c r="J691" i="1"/>
  <c r="I691" i="1"/>
  <c r="CR690" i="1"/>
  <c r="CQ690" i="1"/>
  <c r="CP690" i="1"/>
  <c r="CO690" i="1"/>
  <c r="CM690" i="1"/>
  <c r="CI690" i="1"/>
  <c r="CH690" i="1"/>
  <c r="CG690" i="1"/>
  <c r="CF690" i="1"/>
  <c r="CD690" i="1"/>
  <c r="CC690" i="1"/>
  <c r="CB690" i="1"/>
  <c r="BZ690" i="1"/>
  <c r="BY690" i="1"/>
  <c r="BX690" i="1"/>
  <c r="BW690" i="1"/>
  <c r="BU690" i="1"/>
  <c r="BQ690" i="1"/>
  <c r="BP690" i="1"/>
  <c r="BO690" i="1"/>
  <c r="BN690" i="1"/>
  <c r="BL690" i="1"/>
  <c r="BH690" i="1"/>
  <c r="BG690" i="1"/>
  <c r="BF690" i="1"/>
  <c r="BE690" i="1"/>
  <c r="BC690" i="1"/>
  <c r="AY690" i="1"/>
  <c r="AX690" i="1"/>
  <c r="AW690" i="1"/>
  <c r="AV690" i="1"/>
  <c r="AT690" i="1"/>
  <c r="AP690" i="1"/>
  <c r="AO690" i="1"/>
  <c r="AN690" i="1"/>
  <c r="AM690" i="1"/>
  <c r="AK690" i="1"/>
  <c r="AG690" i="1"/>
  <c r="AF690" i="1"/>
  <c r="AE690" i="1"/>
  <c r="AD690" i="1"/>
  <c r="AB690" i="1"/>
  <c r="X690" i="1"/>
  <c r="W690" i="1"/>
  <c r="V690" i="1"/>
  <c r="U690" i="1"/>
  <c r="S690" i="1"/>
  <c r="K690" i="1"/>
  <c r="J690" i="1"/>
  <c r="I690" i="1"/>
  <c r="CL688" i="1"/>
  <c r="CC688" i="1"/>
  <c r="BT688" i="1"/>
  <c r="BS688" i="1"/>
  <c r="BK688" i="1"/>
  <c r="BJ688" i="1"/>
  <c r="BB688" i="1"/>
  <c r="BA688" i="1"/>
  <c r="AS688" i="1"/>
  <c r="AR688" i="1"/>
  <c r="AJ688" i="1"/>
  <c r="AI688" i="1"/>
  <c r="AA688" i="1"/>
  <c r="Z688" i="1"/>
  <c r="R688" i="1"/>
  <c r="Q688" i="1"/>
  <c r="E688" i="1"/>
  <c r="D688" i="1"/>
  <c r="CM687" i="1"/>
  <c r="CK687" i="1"/>
  <c r="CD687" i="1"/>
  <c r="CB687" i="1"/>
  <c r="BU687" i="1"/>
  <c r="BS687" i="1"/>
  <c r="BL687" i="1"/>
  <c r="BJ687" i="1"/>
  <c r="BC687" i="1"/>
  <c r="BA687" i="1"/>
  <c r="AT687" i="1"/>
  <c r="AR687" i="1"/>
  <c r="AK687" i="1"/>
  <c r="AI687" i="1"/>
  <c r="AB687" i="1"/>
  <c r="Z687" i="1"/>
  <c r="S687" i="1"/>
  <c r="Q687" i="1"/>
  <c r="I687" i="1"/>
  <c r="E687" i="1"/>
  <c r="CK686" i="1"/>
  <c r="CB686" i="1"/>
  <c r="BS686" i="1"/>
  <c r="BJ686" i="1"/>
  <c r="BA686" i="1"/>
  <c r="AR686" i="1"/>
  <c r="AI686" i="1"/>
  <c r="Z686" i="1"/>
  <c r="Q686" i="1"/>
  <c r="E685" i="1"/>
  <c r="E684" i="1"/>
  <c r="CM680" i="1"/>
  <c r="CL680" i="1"/>
  <c r="CK680" i="1"/>
  <c r="CD680" i="1"/>
  <c r="CC680" i="1"/>
  <c r="CB680" i="1"/>
  <c r="BU680" i="1"/>
  <c r="BT680" i="1"/>
  <c r="BS680" i="1"/>
  <c r="BL680" i="1"/>
  <c r="BK680" i="1"/>
  <c r="BJ680" i="1"/>
  <c r="BC680" i="1"/>
  <c r="BB680" i="1"/>
  <c r="BA680" i="1"/>
  <c r="AT680" i="1"/>
  <c r="AS680" i="1"/>
  <c r="AR680" i="1"/>
  <c r="AK680" i="1"/>
  <c r="AJ680" i="1"/>
  <c r="AI680" i="1"/>
  <c r="AB680" i="1"/>
  <c r="AA680" i="1"/>
  <c r="Z680" i="1"/>
  <c r="S680" i="1"/>
  <c r="R680" i="1"/>
  <c r="Q680" i="1"/>
  <c r="K680" i="1"/>
  <c r="J680" i="1"/>
  <c r="I680" i="1"/>
  <c r="H680" i="1"/>
  <c r="F680" i="1"/>
  <c r="CR679" i="1"/>
  <c r="CQ679" i="1"/>
  <c r="CP679" i="1"/>
  <c r="CO679" i="1"/>
  <c r="CM679" i="1"/>
  <c r="CI679" i="1"/>
  <c r="CH679" i="1"/>
  <c r="CG679" i="1"/>
  <c r="CF679" i="1"/>
  <c r="CD679" i="1"/>
  <c r="CC679" i="1"/>
  <c r="CB679" i="1"/>
  <c r="BZ679" i="1"/>
  <c r="BY679" i="1"/>
  <c r="BX679" i="1"/>
  <c r="BW679" i="1"/>
  <c r="BU679" i="1"/>
  <c r="BQ679" i="1"/>
  <c r="BP679" i="1"/>
  <c r="BO679" i="1"/>
  <c r="BN679" i="1"/>
  <c r="BL679" i="1"/>
  <c r="BH679" i="1"/>
  <c r="BG679" i="1"/>
  <c r="BF679" i="1"/>
  <c r="BE679" i="1"/>
  <c r="BC679" i="1"/>
  <c r="AY679" i="1"/>
  <c r="AX679" i="1"/>
  <c r="AW679" i="1"/>
  <c r="AV679" i="1"/>
  <c r="AT679" i="1"/>
  <c r="AP679" i="1"/>
  <c r="AO679" i="1"/>
  <c r="AN679" i="1"/>
  <c r="AM679" i="1"/>
  <c r="AK679" i="1"/>
  <c r="AG679" i="1"/>
  <c r="AF679" i="1"/>
  <c r="AE679" i="1"/>
  <c r="AD679" i="1"/>
  <c r="AB679" i="1"/>
  <c r="X679" i="1"/>
  <c r="W679" i="1"/>
  <c r="V679" i="1"/>
  <c r="U679" i="1"/>
  <c r="S679" i="1"/>
  <c r="K679" i="1"/>
  <c r="J679" i="1"/>
  <c r="I679" i="1"/>
  <c r="CR678" i="1"/>
  <c r="CQ678" i="1"/>
  <c r="CP678" i="1"/>
  <c r="CO678" i="1"/>
  <c r="CM678" i="1"/>
  <c r="CI678" i="1"/>
  <c r="CH678" i="1"/>
  <c r="CG678" i="1"/>
  <c r="CF678" i="1"/>
  <c r="CD678" i="1"/>
  <c r="CC678" i="1"/>
  <c r="CB678" i="1"/>
  <c r="BZ678" i="1"/>
  <c r="BY678" i="1"/>
  <c r="BX678" i="1"/>
  <c r="BW678" i="1"/>
  <c r="BU678" i="1"/>
  <c r="BQ678" i="1"/>
  <c r="BP678" i="1"/>
  <c r="BO678" i="1"/>
  <c r="BN678" i="1"/>
  <c r="BL678" i="1"/>
  <c r="BH678" i="1"/>
  <c r="BG678" i="1"/>
  <c r="BF678" i="1"/>
  <c r="BE678" i="1"/>
  <c r="BC678" i="1"/>
  <c r="AY678" i="1"/>
  <c r="AX678" i="1"/>
  <c r="AW678" i="1"/>
  <c r="AV678" i="1"/>
  <c r="AT678" i="1"/>
  <c r="AP678" i="1"/>
  <c r="AO678" i="1"/>
  <c r="AN678" i="1"/>
  <c r="AM678" i="1"/>
  <c r="AK678" i="1"/>
  <c r="AG678" i="1"/>
  <c r="AF678" i="1"/>
  <c r="AE678" i="1"/>
  <c r="AD678" i="1"/>
  <c r="AB678" i="1"/>
  <c r="X678" i="1"/>
  <c r="W678" i="1"/>
  <c r="V678" i="1"/>
  <c r="U678" i="1"/>
  <c r="S678" i="1"/>
  <c r="K678" i="1"/>
  <c r="J678" i="1"/>
  <c r="I678" i="1"/>
  <c r="CR677" i="1"/>
  <c r="CQ677" i="1"/>
  <c r="CP677" i="1"/>
  <c r="CO677" i="1"/>
  <c r="CM677" i="1"/>
  <c r="CI677" i="1"/>
  <c r="CH677" i="1"/>
  <c r="CG677" i="1"/>
  <c r="CF677" i="1"/>
  <c r="CD677" i="1"/>
  <c r="CC677" i="1"/>
  <c r="CB677" i="1"/>
  <c r="BZ677" i="1"/>
  <c r="BY677" i="1"/>
  <c r="BX677" i="1"/>
  <c r="BW677" i="1"/>
  <c r="BU677" i="1"/>
  <c r="BQ677" i="1"/>
  <c r="BP677" i="1"/>
  <c r="BO677" i="1"/>
  <c r="BN677" i="1"/>
  <c r="BL677" i="1"/>
  <c r="BH677" i="1"/>
  <c r="BG677" i="1"/>
  <c r="BF677" i="1"/>
  <c r="BE677" i="1"/>
  <c r="BC677" i="1"/>
  <c r="AY677" i="1"/>
  <c r="AX677" i="1"/>
  <c r="AW677" i="1"/>
  <c r="AV677" i="1"/>
  <c r="AT677" i="1"/>
  <c r="AP677" i="1"/>
  <c r="AO677" i="1"/>
  <c r="AN677" i="1"/>
  <c r="AM677" i="1"/>
  <c r="AK677" i="1"/>
  <c r="AG677" i="1"/>
  <c r="AF677" i="1"/>
  <c r="AE677" i="1"/>
  <c r="AD677" i="1"/>
  <c r="AB677" i="1"/>
  <c r="X677" i="1"/>
  <c r="W677" i="1"/>
  <c r="V677" i="1"/>
  <c r="U677" i="1"/>
  <c r="S677" i="1"/>
  <c r="K677" i="1"/>
  <c r="J677" i="1"/>
  <c r="I677" i="1"/>
  <c r="CR676" i="1"/>
  <c r="CQ676" i="1"/>
  <c r="CP676" i="1"/>
  <c r="CO676" i="1"/>
  <c r="CM676" i="1"/>
  <c r="CI676" i="1"/>
  <c r="CH676" i="1"/>
  <c r="CG676" i="1"/>
  <c r="CF676" i="1"/>
  <c r="CD676" i="1"/>
  <c r="CC676" i="1"/>
  <c r="CB676" i="1"/>
  <c r="BZ676" i="1"/>
  <c r="BY676" i="1"/>
  <c r="BX676" i="1"/>
  <c r="BW676" i="1"/>
  <c r="BU676" i="1"/>
  <c r="BQ676" i="1"/>
  <c r="BP676" i="1"/>
  <c r="BO676" i="1"/>
  <c r="BN676" i="1"/>
  <c r="BL676" i="1"/>
  <c r="BH676" i="1"/>
  <c r="BG676" i="1"/>
  <c r="BF676" i="1"/>
  <c r="BE676" i="1"/>
  <c r="BC676" i="1"/>
  <c r="AY676" i="1"/>
  <c r="AX676" i="1"/>
  <c r="AW676" i="1"/>
  <c r="AV676" i="1"/>
  <c r="AT676" i="1"/>
  <c r="AP676" i="1"/>
  <c r="AO676" i="1"/>
  <c r="AN676" i="1"/>
  <c r="AM676" i="1"/>
  <c r="AK676" i="1"/>
  <c r="AG676" i="1"/>
  <c r="AF676" i="1"/>
  <c r="AE676" i="1"/>
  <c r="AD676" i="1"/>
  <c r="AB676" i="1"/>
  <c r="X676" i="1"/>
  <c r="W676" i="1"/>
  <c r="V676" i="1"/>
  <c r="U676" i="1"/>
  <c r="S676" i="1"/>
  <c r="K676" i="1"/>
  <c r="J676" i="1"/>
  <c r="I676" i="1"/>
  <c r="CR675" i="1"/>
  <c r="CQ675" i="1"/>
  <c r="CP675" i="1"/>
  <c r="CO675" i="1"/>
  <c r="CM675" i="1"/>
  <c r="CI675" i="1"/>
  <c r="CH675" i="1"/>
  <c r="CG675" i="1"/>
  <c r="CF675" i="1"/>
  <c r="CD675" i="1"/>
  <c r="CC675" i="1"/>
  <c r="CB675" i="1"/>
  <c r="BZ675" i="1"/>
  <c r="BY675" i="1"/>
  <c r="BX675" i="1"/>
  <c r="BW675" i="1"/>
  <c r="BU675" i="1"/>
  <c r="BQ675" i="1"/>
  <c r="BP675" i="1"/>
  <c r="BO675" i="1"/>
  <c r="BN675" i="1"/>
  <c r="BL675" i="1"/>
  <c r="BH675" i="1"/>
  <c r="BG675" i="1"/>
  <c r="BF675" i="1"/>
  <c r="BE675" i="1"/>
  <c r="BC675" i="1"/>
  <c r="AY675" i="1"/>
  <c r="AX675" i="1"/>
  <c r="AW675" i="1"/>
  <c r="AV675" i="1"/>
  <c r="AT675" i="1"/>
  <c r="AP675" i="1"/>
  <c r="AO675" i="1"/>
  <c r="AN675" i="1"/>
  <c r="AM675" i="1"/>
  <c r="AK675" i="1"/>
  <c r="AG675" i="1"/>
  <c r="AF675" i="1"/>
  <c r="AE675" i="1"/>
  <c r="AD675" i="1"/>
  <c r="AB675" i="1"/>
  <c r="X675" i="1"/>
  <c r="W675" i="1"/>
  <c r="V675" i="1"/>
  <c r="U675" i="1"/>
  <c r="S675" i="1"/>
  <c r="K675" i="1"/>
  <c r="J675" i="1"/>
  <c r="I675" i="1"/>
  <c r="CR674" i="1"/>
  <c r="CQ674" i="1"/>
  <c r="CP674" i="1"/>
  <c r="CO674" i="1"/>
  <c r="CM674" i="1"/>
  <c r="CI674" i="1"/>
  <c r="CH674" i="1"/>
  <c r="CG674" i="1"/>
  <c r="CF674" i="1"/>
  <c r="CD674" i="1"/>
  <c r="CC674" i="1"/>
  <c r="CB674" i="1"/>
  <c r="BZ674" i="1"/>
  <c r="BY674" i="1"/>
  <c r="BX674" i="1"/>
  <c r="BW674" i="1"/>
  <c r="BU674" i="1"/>
  <c r="BQ674" i="1"/>
  <c r="BP674" i="1"/>
  <c r="BO674" i="1"/>
  <c r="BN674" i="1"/>
  <c r="BL674" i="1"/>
  <c r="BH674" i="1"/>
  <c r="BG674" i="1"/>
  <c r="BF674" i="1"/>
  <c r="BE674" i="1"/>
  <c r="BC674" i="1"/>
  <c r="AY674" i="1"/>
  <c r="AX674" i="1"/>
  <c r="AW674" i="1"/>
  <c r="AV674" i="1"/>
  <c r="AT674" i="1"/>
  <c r="AP674" i="1"/>
  <c r="AO674" i="1"/>
  <c r="AN674" i="1"/>
  <c r="AM674" i="1"/>
  <c r="AK674" i="1"/>
  <c r="AG674" i="1"/>
  <c r="AF674" i="1"/>
  <c r="AE674" i="1"/>
  <c r="AD674" i="1"/>
  <c r="AB674" i="1"/>
  <c r="X674" i="1"/>
  <c r="W674" i="1"/>
  <c r="V674" i="1"/>
  <c r="U674" i="1"/>
  <c r="S674" i="1"/>
  <c r="K674" i="1"/>
  <c r="J674" i="1"/>
  <c r="I674" i="1"/>
  <c r="CR673" i="1"/>
  <c r="CQ673" i="1"/>
  <c r="CP673" i="1"/>
  <c r="CO673" i="1"/>
  <c r="CM673" i="1"/>
  <c r="CI673" i="1"/>
  <c r="CH673" i="1"/>
  <c r="CG673" i="1"/>
  <c r="CF673" i="1"/>
  <c r="CD673" i="1"/>
  <c r="CC673" i="1"/>
  <c r="CB673" i="1"/>
  <c r="BZ673" i="1"/>
  <c r="BY673" i="1"/>
  <c r="BX673" i="1"/>
  <c r="BW673" i="1"/>
  <c r="BU673" i="1"/>
  <c r="BQ673" i="1"/>
  <c r="BP673" i="1"/>
  <c r="BO673" i="1"/>
  <c r="BN673" i="1"/>
  <c r="BL673" i="1"/>
  <c r="BH673" i="1"/>
  <c r="BG673" i="1"/>
  <c r="BF673" i="1"/>
  <c r="BE673" i="1"/>
  <c r="BC673" i="1"/>
  <c r="AY673" i="1"/>
  <c r="AX673" i="1"/>
  <c r="AW673" i="1"/>
  <c r="AV673" i="1"/>
  <c r="AT673" i="1"/>
  <c r="AP673" i="1"/>
  <c r="AO673" i="1"/>
  <c r="AN673" i="1"/>
  <c r="AM673" i="1"/>
  <c r="AK673" i="1"/>
  <c r="AG673" i="1"/>
  <c r="AF673" i="1"/>
  <c r="AE673" i="1"/>
  <c r="AD673" i="1"/>
  <c r="AB673" i="1"/>
  <c r="X673" i="1"/>
  <c r="W673" i="1"/>
  <c r="V673" i="1"/>
  <c r="U673" i="1"/>
  <c r="S673" i="1"/>
  <c r="K673" i="1"/>
  <c r="J673" i="1"/>
  <c r="I673" i="1"/>
  <c r="CR672" i="1"/>
  <c r="CQ672" i="1"/>
  <c r="CP672" i="1"/>
  <c r="CO672" i="1"/>
  <c r="CM672" i="1"/>
  <c r="CI672" i="1"/>
  <c r="CH672" i="1"/>
  <c r="CG672" i="1"/>
  <c r="CF672" i="1"/>
  <c r="CD672" i="1"/>
  <c r="CC672" i="1"/>
  <c r="CB672" i="1"/>
  <c r="BZ672" i="1"/>
  <c r="BY672" i="1"/>
  <c r="BX672" i="1"/>
  <c r="BW672" i="1"/>
  <c r="BU672" i="1"/>
  <c r="BQ672" i="1"/>
  <c r="BP672" i="1"/>
  <c r="BO672" i="1"/>
  <c r="BN672" i="1"/>
  <c r="BL672" i="1"/>
  <c r="BH672" i="1"/>
  <c r="BG672" i="1"/>
  <c r="BF672" i="1"/>
  <c r="BE672" i="1"/>
  <c r="BC672" i="1"/>
  <c r="AY672" i="1"/>
  <c r="AX672" i="1"/>
  <c r="AW672" i="1"/>
  <c r="AV672" i="1"/>
  <c r="AT672" i="1"/>
  <c r="AP672" i="1"/>
  <c r="AO672" i="1"/>
  <c r="AN672" i="1"/>
  <c r="AM672" i="1"/>
  <c r="AK672" i="1"/>
  <c r="AG672" i="1"/>
  <c r="AF672" i="1"/>
  <c r="AE672" i="1"/>
  <c r="AD672" i="1"/>
  <c r="AB672" i="1"/>
  <c r="X672" i="1"/>
  <c r="W672" i="1"/>
  <c r="V672" i="1"/>
  <c r="U672" i="1"/>
  <c r="S672" i="1"/>
  <c r="K672" i="1"/>
  <c r="J672" i="1"/>
  <c r="I672" i="1"/>
  <c r="CR671" i="1"/>
  <c r="CQ671" i="1"/>
  <c r="CP671" i="1"/>
  <c r="CO671" i="1"/>
  <c r="CM671" i="1"/>
  <c r="CI671" i="1"/>
  <c r="CH671" i="1"/>
  <c r="CG671" i="1"/>
  <c r="CF671" i="1"/>
  <c r="CD671" i="1"/>
  <c r="CC671" i="1"/>
  <c r="CB671" i="1"/>
  <c r="BZ671" i="1"/>
  <c r="BY671" i="1"/>
  <c r="BX671" i="1"/>
  <c r="BW671" i="1"/>
  <c r="BU671" i="1"/>
  <c r="BQ671" i="1"/>
  <c r="BP671" i="1"/>
  <c r="BO671" i="1"/>
  <c r="BN671" i="1"/>
  <c r="BL671" i="1"/>
  <c r="BH671" i="1"/>
  <c r="BG671" i="1"/>
  <c r="BF671" i="1"/>
  <c r="BE671" i="1"/>
  <c r="BC671" i="1"/>
  <c r="AY671" i="1"/>
  <c r="AX671" i="1"/>
  <c r="AW671" i="1"/>
  <c r="AV671" i="1"/>
  <c r="AT671" i="1"/>
  <c r="AP671" i="1"/>
  <c r="AO671" i="1"/>
  <c r="AN671" i="1"/>
  <c r="AM671" i="1"/>
  <c r="AK671" i="1"/>
  <c r="AG671" i="1"/>
  <c r="AF671" i="1"/>
  <c r="AE671" i="1"/>
  <c r="AD671" i="1"/>
  <c r="AB671" i="1"/>
  <c r="X671" i="1"/>
  <c r="W671" i="1"/>
  <c r="V671" i="1"/>
  <c r="U671" i="1"/>
  <c r="S671" i="1"/>
  <c r="K671" i="1"/>
  <c r="J671" i="1"/>
  <c r="I671" i="1"/>
  <c r="CR670" i="1"/>
  <c r="CQ670" i="1"/>
  <c r="CP670" i="1"/>
  <c r="CO670" i="1"/>
  <c r="CM670" i="1"/>
  <c r="CI670" i="1"/>
  <c r="CH670" i="1"/>
  <c r="CG670" i="1"/>
  <c r="CF670" i="1"/>
  <c r="CD670" i="1"/>
  <c r="CC670" i="1"/>
  <c r="CB670" i="1"/>
  <c r="BZ670" i="1"/>
  <c r="BY670" i="1"/>
  <c r="BX670" i="1"/>
  <c r="BW670" i="1"/>
  <c r="BU670" i="1"/>
  <c r="BQ670" i="1"/>
  <c r="BP670" i="1"/>
  <c r="BO670" i="1"/>
  <c r="BN670" i="1"/>
  <c r="BL670" i="1"/>
  <c r="BH670" i="1"/>
  <c r="BG670" i="1"/>
  <c r="BF670" i="1"/>
  <c r="BE670" i="1"/>
  <c r="BC670" i="1"/>
  <c r="AY670" i="1"/>
  <c r="AX670" i="1"/>
  <c r="AW670" i="1"/>
  <c r="AV670" i="1"/>
  <c r="AT670" i="1"/>
  <c r="AP670" i="1"/>
  <c r="AO670" i="1"/>
  <c r="AN670" i="1"/>
  <c r="AM670" i="1"/>
  <c r="AK670" i="1"/>
  <c r="AG670" i="1"/>
  <c r="AF670" i="1"/>
  <c r="AE670" i="1"/>
  <c r="AD670" i="1"/>
  <c r="AB670" i="1"/>
  <c r="X670" i="1"/>
  <c r="W670" i="1"/>
  <c r="V670" i="1"/>
  <c r="U670" i="1"/>
  <c r="S670" i="1"/>
  <c r="K670" i="1"/>
  <c r="J670" i="1"/>
  <c r="I670" i="1"/>
  <c r="CR669" i="1"/>
  <c r="CQ669" i="1"/>
  <c r="CP669" i="1"/>
  <c r="CO669" i="1"/>
  <c r="CM669" i="1"/>
  <c r="CI669" i="1"/>
  <c r="CH669" i="1"/>
  <c r="CG669" i="1"/>
  <c r="CF669" i="1"/>
  <c r="CD669" i="1"/>
  <c r="CC669" i="1"/>
  <c r="CB669" i="1"/>
  <c r="BZ669" i="1"/>
  <c r="BY669" i="1"/>
  <c r="BX669" i="1"/>
  <c r="BW669" i="1"/>
  <c r="BU669" i="1"/>
  <c r="BQ669" i="1"/>
  <c r="BP669" i="1"/>
  <c r="BO669" i="1"/>
  <c r="BN669" i="1"/>
  <c r="BL669" i="1"/>
  <c r="BH669" i="1"/>
  <c r="BG669" i="1"/>
  <c r="BF669" i="1"/>
  <c r="BE669" i="1"/>
  <c r="BC669" i="1"/>
  <c r="AY669" i="1"/>
  <c r="AX669" i="1"/>
  <c r="AW669" i="1"/>
  <c r="AV669" i="1"/>
  <c r="AT669" i="1"/>
  <c r="AP669" i="1"/>
  <c r="AO669" i="1"/>
  <c r="AN669" i="1"/>
  <c r="AM669" i="1"/>
  <c r="AK669" i="1"/>
  <c r="AG669" i="1"/>
  <c r="AF669" i="1"/>
  <c r="AE669" i="1"/>
  <c r="AD669" i="1"/>
  <c r="AB669" i="1"/>
  <c r="X669" i="1"/>
  <c r="W669" i="1"/>
  <c r="V669" i="1"/>
  <c r="U669" i="1"/>
  <c r="S669" i="1"/>
  <c r="K669" i="1"/>
  <c r="J669" i="1"/>
  <c r="I669" i="1"/>
  <c r="CR668" i="1"/>
  <c r="CQ668" i="1"/>
  <c r="CP668" i="1"/>
  <c r="CO668" i="1"/>
  <c r="CM668" i="1"/>
  <c r="CI668" i="1"/>
  <c r="CH668" i="1"/>
  <c r="CG668" i="1"/>
  <c r="CF668" i="1"/>
  <c r="CD668" i="1"/>
  <c r="CC668" i="1"/>
  <c r="CB668" i="1"/>
  <c r="BZ668" i="1"/>
  <c r="BY668" i="1"/>
  <c r="BX668" i="1"/>
  <c r="BW668" i="1"/>
  <c r="BU668" i="1"/>
  <c r="BQ668" i="1"/>
  <c r="BP668" i="1"/>
  <c r="BO668" i="1"/>
  <c r="BN668" i="1"/>
  <c r="BL668" i="1"/>
  <c r="BH668" i="1"/>
  <c r="BG668" i="1"/>
  <c r="BF668" i="1"/>
  <c r="BE668" i="1"/>
  <c r="BC668" i="1"/>
  <c r="AY668" i="1"/>
  <c r="AX668" i="1"/>
  <c r="AW668" i="1"/>
  <c r="AV668" i="1"/>
  <c r="AT668" i="1"/>
  <c r="AP668" i="1"/>
  <c r="AO668" i="1"/>
  <c r="AN668" i="1"/>
  <c r="AM668" i="1"/>
  <c r="AK668" i="1"/>
  <c r="AG668" i="1"/>
  <c r="AF668" i="1"/>
  <c r="AE668" i="1"/>
  <c r="AD668" i="1"/>
  <c r="AB668" i="1"/>
  <c r="X668" i="1"/>
  <c r="W668" i="1"/>
  <c r="V668" i="1"/>
  <c r="U668" i="1"/>
  <c r="S668" i="1"/>
  <c r="K668" i="1"/>
  <c r="J668" i="1"/>
  <c r="I668" i="1"/>
  <c r="CL666" i="1"/>
  <c r="CC666" i="1"/>
  <c r="BT666" i="1"/>
  <c r="BS666" i="1"/>
  <c r="BK666" i="1"/>
  <c r="BJ666" i="1"/>
  <c r="BB666" i="1"/>
  <c r="BA666" i="1"/>
  <c r="AS666" i="1"/>
  <c r="AR666" i="1"/>
  <c r="AJ666" i="1"/>
  <c r="AI666" i="1"/>
  <c r="AA666" i="1"/>
  <c r="Z666" i="1"/>
  <c r="R666" i="1"/>
  <c r="Q666" i="1"/>
  <c r="E666" i="1"/>
  <c r="D666" i="1"/>
  <c r="CM665" i="1"/>
  <c r="CK665" i="1"/>
  <c r="CD665" i="1"/>
  <c r="CB665" i="1"/>
  <c r="BU665" i="1"/>
  <c r="BS665" i="1"/>
  <c r="BL665" i="1"/>
  <c r="BJ665" i="1"/>
  <c r="BC665" i="1"/>
  <c r="BA665" i="1"/>
  <c r="AT665" i="1"/>
  <c r="AR665" i="1"/>
  <c r="AK665" i="1"/>
  <c r="AI665" i="1"/>
  <c r="AB665" i="1"/>
  <c r="Z665" i="1"/>
  <c r="S665" i="1"/>
  <c r="Q665" i="1"/>
  <c r="I665" i="1"/>
  <c r="CK664" i="1"/>
  <c r="CB664" i="1"/>
  <c r="BS664" i="1"/>
  <c r="BJ664" i="1"/>
  <c r="BA664" i="1"/>
  <c r="AR664" i="1"/>
  <c r="AI664" i="1"/>
  <c r="Z664" i="1"/>
  <c r="Q664" i="1"/>
  <c r="E663" i="1"/>
  <c r="E662" i="1"/>
  <c r="CM658" i="1"/>
  <c r="CL658" i="1"/>
  <c r="CK658" i="1"/>
  <c r="CD658" i="1"/>
  <c r="CC658" i="1"/>
  <c r="CB658" i="1"/>
  <c r="BU658" i="1"/>
  <c r="BT658" i="1"/>
  <c r="BS658" i="1"/>
  <c r="BL658" i="1"/>
  <c r="BK658" i="1"/>
  <c r="BJ658" i="1"/>
  <c r="BC658" i="1"/>
  <c r="BB658" i="1"/>
  <c r="BA658" i="1"/>
  <c r="AT658" i="1"/>
  <c r="AS658" i="1"/>
  <c r="AR658" i="1"/>
  <c r="AK658" i="1"/>
  <c r="AJ658" i="1"/>
  <c r="AI658" i="1"/>
  <c r="AB658" i="1"/>
  <c r="AA658" i="1"/>
  <c r="Z658" i="1"/>
  <c r="S658" i="1"/>
  <c r="R658" i="1"/>
  <c r="Q658" i="1"/>
  <c r="K658" i="1"/>
  <c r="J658" i="1"/>
  <c r="I658" i="1"/>
  <c r="H658" i="1"/>
  <c r="F658" i="1"/>
  <c r="CR657" i="1"/>
  <c r="CQ657" i="1"/>
  <c r="CP657" i="1"/>
  <c r="CO657" i="1"/>
  <c r="CM657" i="1"/>
  <c r="CI657" i="1"/>
  <c r="CH657" i="1"/>
  <c r="CG657" i="1"/>
  <c r="CF657" i="1"/>
  <c r="CD657" i="1"/>
  <c r="CC657" i="1"/>
  <c r="CB657" i="1"/>
  <c r="BZ657" i="1"/>
  <c r="BY657" i="1"/>
  <c r="BX657" i="1"/>
  <c r="BW657" i="1"/>
  <c r="BU657" i="1"/>
  <c r="BQ657" i="1"/>
  <c r="BP657" i="1"/>
  <c r="BO657" i="1"/>
  <c r="BN657" i="1"/>
  <c r="BL657" i="1"/>
  <c r="BH657" i="1"/>
  <c r="BG657" i="1"/>
  <c r="BF657" i="1"/>
  <c r="BE657" i="1"/>
  <c r="BC657" i="1"/>
  <c r="AY657" i="1"/>
  <c r="AX657" i="1"/>
  <c r="AW657" i="1"/>
  <c r="AV657" i="1"/>
  <c r="AT657" i="1"/>
  <c r="AP657" i="1"/>
  <c r="AO657" i="1"/>
  <c r="AN657" i="1"/>
  <c r="AM657" i="1"/>
  <c r="AK657" i="1"/>
  <c r="AG657" i="1"/>
  <c r="AF657" i="1"/>
  <c r="AE657" i="1"/>
  <c r="AD657" i="1"/>
  <c r="AB657" i="1"/>
  <c r="X657" i="1"/>
  <c r="W657" i="1"/>
  <c r="V657" i="1"/>
  <c r="U657" i="1"/>
  <c r="S657" i="1"/>
  <c r="K657" i="1"/>
  <c r="J657" i="1"/>
  <c r="I657" i="1"/>
  <c r="CR656" i="1"/>
  <c r="CQ656" i="1"/>
  <c r="CP656" i="1"/>
  <c r="CO656" i="1"/>
  <c r="CM656" i="1"/>
  <c r="CI656" i="1"/>
  <c r="CH656" i="1"/>
  <c r="CG656" i="1"/>
  <c r="CF656" i="1"/>
  <c r="CD656" i="1"/>
  <c r="CC656" i="1"/>
  <c r="CB656" i="1"/>
  <c r="BZ656" i="1"/>
  <c r="BY656" i="1"/>
  <c r="BX656" i="1"/>
  <c r="BW656" i="1"/>
  <c r="BU656" i="1"/>
  <c r="BQ656" i="1"/>
  <c r="BP656" i="1"/>
  <c r="BO656" i="1"/>
  <c r="BN656" i="1"/>
  <c r="BL656" i="1"/>
  <c r="BH656" i="1"/>
  <c r="BG656" i="1"/>
  <c r="BF656" i="1"/>
  <c r="BE656" i="1"/>
  <c r="BC656" i="1"/>
  <c r="AY656" i="1"/>
  <c r="AX656" i="1"/>
  <c r="AW656" i="1"/>
  <c r="AV656" i="1"/>
  <c r="AT656" i="1"/>
  <c r="AP656" i="1"/>
  <c r="AO656" i="1"/>
  <c r="AN656" i="1"/>
  <c r="AM656" i="1"/>
  <c r="AK656" i="1"/>
  <c r="AG656" i="1"/>
  <c r="AF656" i="1"/>
  <c r="AE656" i="1"/>
  <c r="AD656" i="1"/>
  <c r="AB656" i="1"/>
  <c r="X656" i="1"/>
  <c r="W656" i="1"/>
  <c r="V656" i="1"/>
  <c r="U656" i="1"/>
  <c r="S656" i="1"/>
  <c r="K656" i="1"/>
  <c r="J656" i="1"/>
  <c r="I656" i="1"/>
  <c r="CR655" i="1"/>
  <c r="CQ655" i="1"/>
  <c r="CP655" i="1"/>
  <c r="CO655" i="1"/>
  <c r="CM655" i="1"/>
  <c r="CI655" i="1"/>
  <c r="CH655" i="1"/>
  <c r="CG655" i="1"/>
  <c r="CF655" i="1"/>
  <c r="CD655" i="1"/>
  <c r="CC655" i="1"/>
  <c r="CB655" i="1"/>
  <c r="BZ655" i="1"/>
  <c r="BY655" i="1"/>
  <c r="BX655" i="1"/>
  <c r="BW655" i="1"/>
  <c r="BU655" i="1"/>
  <c r="BQ655" i="1"/>
  <c r="BP655" i="1"/>
  <c r="BO655" i="1"/>
  <c r="BN655" i="1"/>
  <c r="BL655" i="1"/>
  <c r="BH655" i="1"/>
  <c r="BG655" i="1"/>
  <c r="BF655" i="1"/>
  <c r="BE655" i="1"/>
  <c r="BC655" i="1"/>
  <c r="AY655" i="1"/>
  <c r="AX655" i="1"/>
  <c r="AW655" i="1"/>
  <c r="AV655" i="1"/>
  <c r="AT655" i="1"/>
  <c r="AP655" i="1"/>
  <c r="AO655" i="1"/>
  <c r="AN655" i="1"/>
  <c r="AM655" i="1"/>
  <c r="AK655" i="1"/>
  <c r="AG655" i="1"/>
  <c r="AF655" i="1"/>
  <c r="AE655" i="1"/>
  <c r="AD655" i="1"/>
  <c r="AB655" i="1"/>
  <c r="X655" i="1"/>
  <c r="W655" i="1"/>
  <c r="V655" i="1"/>
  <c r="U655" i="1"/>
  <c r="S655" i="1"/>
  <c r="K655" i="1"/>
  <c r="J655" i="1"/>
  <c r="I655" i="1"/>
  <c r="CR654" i="1"/>
  <c r="CQ654" i="1"/>
  <c r="CP654" i="1"/>
  <c r="CO654" i="1"/>
  <c r="CM654" i="1"/>
  <c r="CI654" i="1"/>
  <c r="CH654" i="1"/>
  <c r="CG654" i="1"/>
  <c r="CF654" i="1"/>
  <c r="CD654" i="1"/>
  <c r="CC654" i="1"/>
  <c r="CB654" i="1"/>
  <c r="BZ654" i="1"/>
  <c r="BY654" i="1"/>
  <c r="BX654" i="1"/>
  <c r="BW654" i="1"/>
  <c r="BU654" i="1"/>
  <c r="BQ654" i="1"/>
  <c r="BP654" i="1"/>
  <c r="BO654" i="1"/>
  <c r="BN654" i="1"/>
  <c r="BL654" i="1"/>
  <c r="BH654" i="1"/>
  <c r="BG654" i="1"/>
  <c r="BF654" i="1"/>
  <c r="BE654" i="1"/>
  <c r="BC654" i="1"/>
  <c r="AY654" i="1"/>
  <c r="AX654" i="1"/>
  <c r="AW654" i="1"/>
  <c r="AV654" i="1"/>
  <c r="AT654" i="1"/>
  <c r="AP654" i="1"/>
  <c r="AO654" i="1"/>
  <c r="AN654" i="1"/>
  <c r="AM654" i="1"/>
  <c r="AK654" i="1"/>
  <c r="AG654" i="1"/>
  <c r="AF654" i="1"/>
  <c r="AE654" i="1"/>
  <c r="AD654" i="1"/>
  <c r="AB654" i="1"/>
  <c r="X654" i="1"/>
  <c r="W654" i="1"/>
  <c r="V654" i="1"/>
  <c r="U654" i="1"/>
  <c r="S654" i="1"/>
  <c r="K654" i="1"/>
  <c r="J654" i="1"/>
  <c r="I654" i="1"/>
  <c r="CR653" i="1"/>
  <c r="CQ653" i="1"/>
  <c r="CP653" i="1"/>
  <c r="CO653" i="1"/>
  <c r="CM653" i="1"/>
  <c r="CI653" i="1"/>
  <c r="CH653" i="1"/>
  <c r="CG653" i="1"/>
  <c r="CF653" i="1"/>
  <c r="CD653" i="1"/>
  <c r="CC653" i="1"/>
  <c r="CB653" i="1"/>
  <c r="BZ653" i="1"/>
  <c r="BY653" i="1"/>
  <c r="BX653" i="1"/>
  <c r="BW653" i="1"/>
  <c r="BU653" i="1"/>
  <c r="BQ653" i="1"/>
  <c r="BP653" i="1"/>
  <c r="BO653" i="1"/>
  <c r="BN653" i="1"/>
  <c r="BL653" i="1"/>
  <c r="BH653" i="1"/>
  <c r="BG653" i="1"/>
  <c r="BF653" i="1"/>
  <c r="BE653" i="1"/>
  <c r="BC653" i="1"/>
  <c r="AY653" i="1"/>
  <c r="AX653" i="1"/>
  <c r="AW653" i="1"/>
  <c r="AV653" i="1"/>
  <c r="AT653" i="1"/>
  <c r="AP653" i="1"/>
  <c r="AO653" i="1"/>
  <c r="AN653" i="1"/>
  <c r="AM653" i="1"/>
  <c r="AK653" i="1"/>
  <c r="AG653" i="1"/>
  <c r="AF653" i="1"/>
  <c r="AE653" i="1"/>
  <c r="AD653" i="1"/>
  <c r="AB653" i="1"/>
  <c r="X653" i="1"/>
  <c r="W653" i="1"/>
  <c r="V653" i="1"/>
  <c r="U653" i="1"/>
  <c r="S653" i="1"/>
  <c r="K653" i="1"/>
  <c r="J653" i="1"/>
  <c r="I653" i="1"/>
  <c r="CR652" i="1"/>
  <c r="CQ652" i="1"/>
  <c r="CP652" i="1"/>
  <c r="CO652" i="1"/>
  <c r="CM652" i="1"/>
  <c r="CI652" i="1"/>
  <c r="CH652" i="1"/>
  <c r="CG652" i="1"/>
  <c r="CF652" i="1"/>
  <c r="CD652" i="1"/>
  <c r="CC652" i="1"/>
  <c r="CB652" i="1"/>
  <c r="BZ652" i="1"/>
  <c r="BY652" i="1"/>
  <c r="BX652" i="1"/>
  <c r="BW652" i="1"/>
  <c r="BU652" i="1"/>
  <c r="BQ652" i="1"/>
  <c r="BP652" i="1"/>
  <c r="BO652" i="1"/>
  <c r="BN652" i="1"/>
  <c r="BL652" i="1"/>
  <c r="BH652" i="1"/>
  <c r="BG652" i="1"/>
  <c r="BF652" i="1"/>
  <c r="BE652" i="1"/>
  <c r="BC652" i="1"/>
  <c r="AY652" i="1"/>
  <c r="AX652" i="1"/>
  <c r="AW652" i="1"/>
  <c r="AV652" i="1"/>
  <c r="AT652" i="1"/>
  <c r="AP652" i="1"/>
  <c r="AO652" i="1"/>
  <c r="AN652" i="1"/>
  <c r="AM652" i="1"/>
  <c r="AK652" i="1"/>
  <c r="AG652" i="1"/>
  <c r="AF652" i="1"/>
  <c r="AE652" i="1"/>
  <c r="AD652" i="1"/>
  <c r="AB652" i="1"/>
  <c r="X652" i="1"/>
  <c r="W652" i="1"/>
  <c r="V652" i="1"/>
  <c r="U652" i="1"/>
  <c r="S652" i="1"/>
  <c r="K652" i="1"/>
  <c r="J652" i="1"/>
  <c r="I652" i="1"/>
  <c r="CR651" i="1"/>
  <c r="CQ651" i="1"/>
  <c r="CP651" i="1"/>
  <c r="CO651" i="1"/>
  <c r="CM651" i="1"/>
  <c r="CI651" i="1"/>
  <c r="CH651" i="1"/>
  <c r="CG651" i="1"/>
  <c r="CF651" i="1"/>
  <c r="CD651" i="1"/>
  <c r="CC651" i="1"/>
  <c r="CB651" i="1"/>
  <c r="BZ651" i="1"/>
  <c r="BY651" i="1"/>
  <c r="BX651" i="1"/>
  <c r="BW651" i="1"/>
  <c r="BU651" i="1"/>
  <c r="BQ651" i="1"/>
  <c r="BP651" i="1"/>
  <c r="BO651" i="1"/>
  <c r="BN651" i="1"/>
  <c r="BL651" i="1"/>
  <c r="BH651" i="1"/>
  <c r="BG651" i="1"/>
  <c r="BF651" i="1"/>
  <c r="BE651" i="1"/>
  <c r="BC651" i="1"/>
  <c r="AY651" i="1"/>
  <c r="AX651" i="1"/>
  <c r="AW651" i="1"/>
  <c r="AV651" i="1"/>
  <c r="AT651" i="1"/>
  <c r="AP651" i="1"/>
  <c r="AO651" i="1"/>
  <c r="AN651" i="1"/>
  <c r="AM651" i="1"/>
  <c r="AK651" i="1"/>
  <c r="AG651" i="1"/>
  <c r="AF651" i="1"/>
  <c r="AE651" i="1"/>
  <c r="AD651" i="1"/>
  <c r="AB651" i="1"/>
  <c r="X651" i="1"/>
  <c r="W651" i="1"/>
  <c r="V651" i="1"/>
  <c r="U651" i="1"/>
  <c r="S651" i="1"/>
  <c r="K651" i="1"/>
  <c r="J651" i="1"/>
  <c r="I651" i="1"/>
  <c r="CR650" i="1"/>
  <c r="CQ650" i="1"/>
  <c r="CP650" i="1"/>
  <c r="CO650" i="1"/>
  <c r="CM650" i="1"/>
  <c r="CI650" i="1"/>
  <c r="CH650" i="1"/>
  <c r="CG650" i="1"/>
  <c r="CF650" i="1"/>
  <c r="CD650" i="1"/>
  <c r="CC650" i="1"/>
  <c r="CB650" i="1"/>
  <c r="BZ650" i="1"/>
  <c r="BY650" i="1"/>
  <c r="BX650" i="1"/>
  <c r="BW650" i="1"/>
  <c r="BU650" i="1"/>
  <c r="BQ650" i="1"/>
  <c r="BP650" i="1"/>
  <c r="BO650" i="1"/>
  <c r="BN650" i="1"/>
  <c r="BL650" i="1"/>
  <c r="BH650" i="1"/>
  <c r="BG650" i="1"/>
  <c r="BF650" i="1"/>
  <c r="BE650" i="1"/>
  <c r="BC650" i="1"/>
  <c r="AY650" i="1"/>
  <c r="AX650" i="1"/>
  <c r="AW650" i="1"/>
  <c r="AV650" i="1"/>
  <c r="AT650" i="1"/>
  <c r="AP650" i="1"/>
  <c r="AO650" i="1"/>
  <c r="AN650" i="1"/>
  <c r="AM650" i="1"/>
  <c r="AK650" i="1"/>
  <c r="AG650" i="1"/>
  <c r="AF650" i="1"/>
  <c r="AE650" i="1"/>
  <c r="AD650" i="1"/>
  <c r="AB650" i="1"/>
  <c r="X650" i="1"/>
  <c r="W650" i="1"/>
  <c r="V650" i="1"/>
  <c r="U650" i="1"/>
  <c r="S650" i="1"/>
  <c r="K650" i="1"/>
  <c r="J650" i="1"/>
  <c r="I650" i="1"/>
  <c r="CR649" i="1"/>
  <c r="CQ649" i="1"/>
  <c r="CP649" i="1"/>
  <c r="CO649" i="1"/>
  <c r="CM649" i="1"/>
  <c r="CI649" i="1"/>
  <c r="CH649" i="1"/>
  <c r="CG649" i="1"/>
  <c r="CF649" i="1"/>
  <c r="CD649" i="1"/>
  <c r="CC649" i="1"/>
  <c r="CB649" i="1"/>
  <c r="BZ649" i="1"/>
  <c r="BY649" i="1"/>
  <c r="BX649" i="1"/>
  <c r="BW649" i="1"/>
  <c r="BU649" i="1"/>
  <c r="BQ649" i="1"/>
  <c r="BP649" i="1"/>
  <c r="BO649" i="1"/>
  <c r="BN649" i="1"/>
  <c r="BL649" i="1"/>
  <c r="BH649" i="1"/>
  <c r="BG649" i="1"/>
  <c r="BF649" i="1"/>
  <c r="BE649" i="1"/>
  <c r="BC649" i="1"/>
  <c r="AY649" i="1"/>
  <c r="AX649" i="1"/>
  <c r="AW649" i="1"/>
  <c r="AV649" i="1"/>
  <c r="AT649" i="1"/>
  <c r="AP649" i="1"/>
  <c r="AO649" i="1"/>
  <c r="AN649" i="1"/>
  <c r="AM649" i="1"/>
  <c r="AK649" i="1"/>
  <c r="AG649" i="1"/>
  <c r="AF649" i="1"/>
  <c r="AE649" i="1"/>
  <c r="AD649" i="1"/>
  <c r="AB649" i="1"/>
  <c r="X649" i="1"/>
  <c r="W649" i="1"/>
  <c r="V649" i="1"/>
  <c r="U649" i="1"/>
  <c r="S649" i="1"/>
  <c r="K649" i="1"/>
  <c r="J649" i="1"/>
  <c r="I649" i="1"/>
  <c r="CR648" i="1"/>
  <c r="CQ648" i="1"/>
  <c r="CP648" i="1"/>
  <c r="CO648" i="1"/>
  <c r="CM648" i="1"/>
  <c r="CI648" i="1"/>
  <c r="CH648" i="1"/>
  <c r="CG648" i="1"/>
  <c r="CF648" i="1"/>
  <c r="CD648" i="1"/>
  <c r="CC648" i="1"/>
  <c r="CB648" i="1"/>
  <c r="BZ648" i="1"/>
  <c r="BY648" i="1"/>
  <c r="BX648" i="1"/>
  <c r="BW648" i="1"/>
  <c r="BU648" i="1"/>
  <c r="BQ648" i="1"/>
  <c r="BP648" i="1"/>
  <c r="BO648" i="1"/>
  <c r="BN648" i="1"/>
  <c r="BL648" i="1"/>
  <c r="BH648" i="1"/>
  <c r="BG648" i="1"/>
  <c r="BF648" i="1"/>
  <c r="BE648" i="1"/>
  <c r="BC648" i="1"/>
  <c r="AY648" i="1"/>
  <c r="AX648" i="1"/>
  <c r="AW648" i="1"/>
  <c r="AV648" i="1"/>
  <c r="AT648" i="1"/>
  <c r="AP648" i="1"/>
  <c r="AO648" i="1"/>
  <c r="AN648" i="1"/>
  <c r="AM648" i="1"/>
  <c r="AK648" i="1"/>
  <c r="AG648" i="1"/>
  <c r="AF648" i="1"/>
  <c r="AE648" i="1"/>
  <c r="AD648" i="1"/>
  <c r="AB648" i="1"/>
  <c r="X648" i="1"/>
  <c r="W648" i="1"/>
  <c r="V648" i="1"/>
  <c r="U648" i="1"/>
  <c r="S648" i="1"/>
  <c r="K648" i="1"/>
  <c r="J648" i="1"/>
  <c r="I648" i="1"/>
  <c r="CR647" i="1"/>
  <c r="CQ647" i="1"/>
  <c r="CP647" i="1"/>
  <c r="CO647" i="1"/>
  <c r="CM647" i="1"/>
  <c r="CI647" i="1"/>
  <c r="CH647" i="1"/>
  <c r="CG647" i="1"/>
  <c r="CF647" i="1"/>
  <c r="CD647" i="1"/>
  <c r="CC647" i="1"/>
  <c r="CB647" i="1"/>
  <c r="BZ647" i="1"/>
  <c r="BY647" i="1"/>
  <c r="BX647" i="1"/>
  <c r="BW647" i="1"/>
  <c r="BU647" i="1"/>
  <c r="BQ647" i="1"/>
  <c r="BP647" i="1"/>
  <c r="BO647" i="1"/>
  <c r="BN647" i="1"/>
  <c r="BL647" i="1"/>
  <c r="BH647" i="1"/>
  <c r="BG647" i="1"/>
  <c r="BF647" i="1"/>
  <c r="BE647" i="1"/>
  <c r="BC647" i="1"/>
  <c r="AY647" i="1"/>
  <c r="AX647" i="1"/>
  <c r="AW647" i="1"/>
  <c r="AV647" i="1"/>
  <c r="AT647" i="1"/>
  <c r="AP647" i="1"/>
  <c r="AO647" i="1"/>
  <c r="AN647" i="1"/>
  <c r="AM647" i="1"/>
  <c r="AK647" i="1"/>
  <c r="AG647" i="1"/>
  <c r="AF647" i="1"/>
  <c r="AE647" i="1"/>
  <c r="AD647" i="1"/>
  <c r="AB647" i="1"/>
  <c r="X647" i="1"/>
  <c r="W647" i="1"/>
  <c r="V647" i="1"/>
  <c r="U647" i="1"/>
  <c r="S647" i="1"/>
  <c r="K647" i="1"/>
  <c r="J647" i="1"/>
  <c r="I647" i="1"/>
  <c r="CR646" i="1"/>
  <c r="CQ646" i="1"/>
  <c r="CP646" i="1"/>
  <c r="CO646" i="1"/>
  <c r="CM646" i="1"/>
  <c r="CI646" i="1"/>
  <c r="CH646" i="1"/>
  <c r="CG646" i="1"/>
  <c r="CF646" i="1"/>
  <c r="CD646" i="1"/>
  <c r="CC646" i="1"/>
  <c r="CB646" i="1"/>
  <c r="BZ646" i="1"/>
  <c r="BY646" i="1"/>
  <c r="BX646" i="1"/>
  <c r="BW646" i="1"/>
  <c r="BU646" i="1"/>
  <c r="BQ646" i="1"/>
  <c r="BP646" i="1"/>
  <c r="BO646" i="1"/>
  <c r="BN646" i="1"/>
  <c r="BL646" i="1"/>
  <c r="BH646" i="1"/>
  <c r="BG646" i="1"/>
  <c r="BF646" i="1"/>
  <c r="BE646" i="1"/>
  <c r="BC646" i="1"/>
  <c r="AY646" i="1"/>
  <c r="AX646" i="1"/>
  <c r="AW646" i="1"/>
  <c r="AV646" i="1"/>
  <c r="AT646" i="1"/>
  <c r="AP646" i="1"/>
  <c r="AO646" i="1"/>
  <c r="AN646" i="1"/>
  <c r="AM646" i="1"/>
  <c r="AK646" i="1"/>
  <c r="AG646" i="1"/>
  <c r="AF646" i="1"/>
  <c r="AE646" i="1"/>
  <c r="AD646" i="1"/>
  <c r="AB646" i="1"/>
  <c r="X646" i="1"/>
  <c r="W646" i="1"/>
  <c r="V646" i="1"/>
  <c r="U646" i="1"/>
  <c r="S646" i="1"/>
  <c r="K646" i="1"/>
  <c r="J646" i="1"/>
  <c r="I646" i="1"/>
  <c r="CL644" i="1"/>
  <c r="CC644" i="1"/>
  <c r="BT644" i="1"/>
  <c r="BS644" i="1"/>
  <c r="BK644" i="1"/>
  <c r="BJ644" i="1"/>
  <c r="BB644" i="1"/>
  <c r="BA644" i="1"/>
  <c r="AS644" i="1"/>
  <c r="AR644" i="1"/>
  <c r="AJ644" i="1"/>
  <c r="AI644" i="1"/>
  <c r="AA644" i="1"/>
  <c r="Z644" i="1"/>
  <c r="R644" i="1"/>
  <c r="Q644" i="1"/>
  <c r="E644" i="1"/>
  <c r="D644" i="1"/>
  <c r="CM643" i="1"/>
  <c r="CK643" i="1"/>
  <c r="CD643" i="1"/>
  <c r="CB643" i="1"/>
  <c r="BU643" i="1"/>
  <c r="BS643" i="1"/>
  <c r="BL643" i="1"/>
  <c r="BJ643" i="1"/>
  <c r="BC643" i="1"/>
  <c r="BA643" i="1"/>
  <c r="AT643" i="1"/>
  <c r="AR643" i="1"/>
  <c r="AK643" i="1"/>
  <c r="AI643" i="1"/>
  <c r="AB643" i="1"/>
  <c r="Z643" i="1"/>
  <c r="S643" i="1"/>
  <c r="Q643" i="1"/>
  <c r="I643" i="1"/>
  <c r="E643" i="1"/>
  <c r="CK642" i="1"/>
  <c r="CB642" i="1"/>
  <c r="BS642" i="1"/>
  <c r="BJ642" i="1"/>
  <c r="BA642" i="1"/>
  <c r="AR642" i="1"/>
  <c r="AI642" i="1"/>
  <c r="Z642" i="1"/>
  <c r="Q642" i="1"/>
  <c r="E641" i="1"/>
  <c r="E640" i="1"/>
  <c r="CM636" i="1"/>
  <c r="CL636" i="1"/>
  <c r="CK636" i="1"/>
  <c r="CD636" i="1"/>
  <c r="CC636" i="1"/>
  <c r="CB636" i="1"/>
  <c r="BU636" i="1"/>
  <c r="BT636" i="1"/>
  <c r="BS636" i="1"/>
  <c r="BL636" i="1"/>
  <c r="BK636" i="1"/>
  <c r="BJ636" i="1"/>
  <c r="BC636" i="1"/>
  <c r="BB636" i="1"/>
  <c r="BA636" i="1"/>
  <c r="AT636" i="1"/>
  <c r="AS636" i="1"/>
  <c r="AR636" i="1"/>
  <c r="AK636" i="1"/>
  <c r="AJ636" i="1"/>
  <c r="AI636" i="1"/>
  <c r="AB636" i="1"/>
  <c r="AA636" i="1"/>
  <c r="Z636" i="1"/>
  <c r="S636" i="1"/>
  <c r="R636" i="1"/>
  <c r="Q636" i="1"/>
  <c r="K636" i="1"/>
  <c r="J636" i="1"/>
  <c r="I636" i="1"/>
  <c r="H636" i="1"/>
  <c r="F636" i="1"/>
  <c r="CR635" i="1"/>
  <c r="CQ635" i="1"/>
  <c r="CP635" i="1"/>
  <c r="CO635" i="1"/>
  <c r="CM635" i="1"/>
  <c r="CI635" i="1"/>
  <c r="CH635" i="1"/>
  <c r="CG635" i="1"/>
  <c r="CF635" i="1"/>
  <c r="CD635" i="1"/>
  <c r="CC635" i="1"/>
  <c r="CB635" i="1"/>
  <c r="BZ635" i="1"/>
  <c r="BY635" i="1"/>
  <c r="BX635" i="1"/>
  <c r="BW635" i="1"/>
  <c r="BU635" i="1"/>
  <c r="BQ635" i="1"/>
  <c r="BP635" i="1"/>
  <c r="BO635" i="1"/>
  <c r="BN635" i="1"/>
  <c r="BL635" i="1"/>
  <c r="BH635" i="1"/>
  <c r="BG635" i="1"/>
  <c r="BF635" i="1"/>
  <c r="BE635" i="1"/>
  <c r="BC635" i="1"/>
  <c r="AY635" i="1"/>
  <c r="AX635" i="1"/>
  <c r="AW635" i="1"/>
  <c r="AV635" i="1"/>
  <c r="AT635" i="1"/>
  <c r="AP635" i="1"/>
  <c r="AO635" i="1"/>
  <c r="AN635" i="1"/>
  <c r="AM635" i="1"/>
  <c r="AK635" i="1"/>
  <c r="AG635" i="1"/>
  <c r="AF635" i="1"/>
  <c r="AE635" i="1"/>
  <c r="AD635" i="1"/>
  <c r="AB635" i="1"/>
  <c r="X635" i="1"/>
  <c r="W635" i="1"/>
  <c r="V635" i="1"/>
  <c r="U635" i="1"/>
  <c r="S635" i="1"/>
  <c r="K635" i="1"/>
  <c r="J635" i="1"/>
  <c r="I635" i="1"/>
  <c r="CR634" i="1"/>
  <c r="CQ634" i="1"/>
  <c r="CP634" i="1"/>
  <c r="CO634" i="1"/>
  <c r="CM634" i="1"/>
  <c r="CI634" i="1"/>
  <c r="CH634" i="1"/>
  <c r="CG634" i="1"/>
  <c r="CF634" i="1"/>
  <c r="CD634" i="1"/>
  <c r="CC634" i="1"/>
  <c r="CB634" i="1"/>
  <c r="BZ634" i="1"/>
  <c r="BY634" i="1"/>
  <c r="BX634" i="1"/>
  <c r="BW634" i="1"/>
  <c r="BU634" i="1"/>
  <c r="BQ634" i="1"/>
  <c r="BP634" i="1"/>
  <c r="BO634" i="1"/>
  <c r="BN634" i="1"/>
  <c r="BL634" i="1"/>
  <c r="BH634" i="1"/>
  <c r="BG634" i="1"/>
  <c r="BF634" i="1"/>
  <c r="BE634" i="1"/>
  <c r="BC634" i="1"/>
  <c r="AY634" i="1"/>
  <c r="AX634" i="1"/>
  <c r="AW634" i="1"/>
  <c r="AV634" i="1"/>
  <c r="AT634" i="1"/>
  <c r="AP634" i="1"/>
  <c r="AO634" i="1"/>
  <c r="AN634" i="1"/>
  <c r="AM634" i="1"/>
  <c r="AK634" i="1"/>
  <c r="AG634" i="1"/>
  <c r="AF634" i="1"/>
  <c r="AE634" i="1"/>
  <c r="AD634" i="1"/>
  <c r="AB634" i="1"/>
  <c r="X634" i="1"/>
  <c r="W634" i="1"/>
  <c r="V634" i="1"/>
  <c r="U634" i="1"/>
  <c r="S634" i="1"/>
  <c r="K634" i="1"/>
  <c r="J634" i="1"/>
  <c r="I634" i="1"/>
  <c r="CR633" i="1"/>
  <c r="CQ633" i="1"/>
  <c r="CP633" i="1"/>
  <c r="CO633" i="1"/>
  <c r="CM633" i="1"/>
  <c r="CI633" i="1"/>
  <c r="CH633" i="1"/>
  <c r="CG633" i="1"/>
  <c r="CF633" i="1"/>
  <c r="CD633" i="1"/>
  <c r="CC633" i="1"/>
  <c r="CB633" i="1"/>
  <c r="BZ633" i="1"/>
  <c r="BY633" i="1"/>
  <c r="BX633" i="1"/>
  <c r="BW633" i="1"/>
  <c r="BU633" i="1"/>
  <c r="BQ633" i="1"/>
  <c r="BP633" i="1"/>
  <c r="BO633" i="1"/>
  <c r="BN633" i="1"/>
  <c r="BL633" i="1"/>
  <c r="BH633" i="1"/>
  <c r="BG633" i="1"/>
  <c r="BF633" i="1"/>
  <c r="BE633" i="1"/>
  <c r="BC633" i="1"/>
  <c r="AY633" i="1"/>
  <c r="AX633" i="1"/>
  <c r="AW633" i="1"/>
  <c r="AV633" i="1"/>
  <c r="AT633" i="1"/>
  <c r="AP633" i="1"/>
  <c r="AO633" i="1"/>
  <c r="AN633" i="1"/>
  <c r="AM633" i="1"/>
  <c r="AK633" i="1"/>
  <c r="AG633" i="1"/>
  <c r="AF633" i="1"/>
  <c r="AE633" i="1"/>
  <c r="AD633" i="1"/>
  <c r="AB633" i="1"/>
  <c r="X633" i="1"/>
  <c r="W633" i="1"/>
  <c r="V633" i="1"/>
  <c r="U633" i="1"/>
  <c r="S633" i="1"/>
  <c r="K633" i="1"/>
  <c r="J633" i="1"/>
  <c r="I633" i="1"/>
  <c r="CR632" i="1"/>
  <c r="CQ632" i="1"/>
  <c r="CP632" i="1"/>
  <c r="CO632" i="1"/>
  <c r="CM632" i="1"/>
  <c r="CI632" i="1"/>
  <c r="CH632" i="1"/>
  <c r="CG632" i="1"/>
  <c r="CF632" i="1"/>
  <c r="CD632" i="1"/>
  <c r="CC632" i="1"/>
  <c r="CB632" i="1"/>
  <c r="BZ632" i="1"/>
  <c r="BY632" i="1"/>
  <c r="BX632" i="1"/>
  <c r="BW632" i="1"/>
  <c r="BU632" i="1"/>
  <c r="BQ632" i="1"/>
  <c r="BP632" i="1"/>
  <c r="BO632" i="1"/>
  <c r="BN632" i="1"/>
  <c r="BL632" i="1"/>
  <c r="BH632" i="1"/>
  <c r="BG632" i="1"/>
  <c r="BF632" i="1"/>
  <c r="BE632" i="1"/>
  <c r="BC632" i="1"/>
  <c r="AY632" i="1"/>
  <c r="AX632" i="1"/>
  <c r="AW632" i="1"/>
  <c r="AV632" i="1"/>
  <c r="AT632" i="1"/>
  <c r="AP632" i="1"/>
  <c r="AO632" i="1"/>
  <c r="AN632" i="1"/>
  <c r="AM632" i="1"/>
  <c r="AK632" i="1"/>
  <c r="AG632" i="1"/>
  <c r="AF632" i="1"/>
  <c r="AE632" i="1"/>
  <c r="AD632" i="1"/>
  <c r="AB632" i="1"/>
  <c r="X632" i="1"/>
  <c r="W632" i="1"/>
  <c r="V632" i="1"/>
  <c r="U632" i="1"/>
  <c r="S632" i="1"/>
  <c r="K632" i="1"/>
  <c r="J632" i="1"/>
  <c r="I632" i="1"/>
  <c r="CR631" i="1"/>
  <c r="CQ631" i="1"/>
  <c r="CP631" i="1"/>
  <c r="CO631" i="1"/>
  <c r="CM631" i="1"/>
  <c r="CI631" i="1"/>
  <c r="CH631" i="1"/>
  <c r="CG631" i="1"/>
  <c r="CF631" i="1"/>
  <c r="CD631" i="1"/>
  <c r="CC631" i="1"/>
  <c r="CB631" i="1"/>
  <c r="BZ631" i="1"/>
  <c r="BY631" i="1"/>
  <c r="BX631" i="1"/>
  <c r="BW631" i="1"/>
  <c r="BU631" i="1"/>
  <c r="BQ631" i="1"/>
  <c r="BP631" i="1"/>
  <c r="BO631" i="1"/>
  <c r="BN631" i="1"/>
  <c r="BL631" i="1"/>
  <c r="BH631" i="1"/>
  <c r="BG631" i="1"/>
  <c r="BF631" i="1"/>
  <c r="BE631" i="1"/>
  <c r="BC631" i="1"/>
  <c r="AY631" i="1"/>
  <c r="AX631" i="1"/>
  <c r="AW631" i="1"/>
  <c r="AV631" i="1"/>
  <c r="AT631" i="1"/>
  <c r="AP631" i="1"/>
  <c r="AO631" i="1"/>
  <c r="AN631" i="1"/>
  <c r="AM631" i="1"/>
  <c r="AK631" i="1"/>
  <c r="AG631" i="1"/>
  <c r="AF631" i="1"/>
  <c r="AE631" i="1"/>
  <c r="AD631" i="1"/>
  <c r="AB631" i="1"/>
  <c r="X631" i="1"/>
  <c r="W631" i="1"/>
  <c r="V631" i="1"/>
  <c r="U631" i="1"/>
  <c r="S631" i="1"/>
  <c r="K631" i="1"/>
  <c r="J631" i="1"/>
  <c r="I631" i="1"/>
  <c r="CR630" i="1"/>
  <c r="CQ630" i="1"/>
  <c r="CP630" i="1"/>
  <c r="CO630" i="1"/>
  <c r="CM630" i="1"/>
  <c r="CI630" i="1"/>
  <c r="CH630" i="1"/>
  <c r="CG630" i="1"/>
  <c r="CF630" i="1"/>
  <c r="CD630" i="1"/>
  <c r="CC630" i="1"/>
  <c r="CB630" i="1"/>
  <c r="BZ630" i="1"/>
  <c r="BY630" i="1"/>
  <c r="BX630" i="1"/>
  <c r="BW630" i="1"/>
  <c r="BU630" i="1"/>
  <c r="BQ630" i="1"/>
  <c r="BP630" i="1"/>
  <c r="BO630" i="1"/>
  <c r="BN630" i="1"/>
  <c r="BL630" i="1"/>
  <c r="BH630" i="1"/>
  <c r="BG630" i="1"/>
  <c r="BF630" i="1"/>
  <c r="BE630" i="1"/>
  <c r="BC630" i="1"/>
  <c r="AY630" i="1"/>
  <c r="AX630" i="1"/>
  <c r="AW630" i="1"/>
  <c r="AV630" i="1"/>
  <c r="AT630" i="1"/>
  <c r="AP630" i="1"/>
  <c r="AO630" i="1"/>
  <c r="AN630" i="1"/>
  <c r="AM630" i="1"/>
  <c r="AK630" i="1"/>
  <c r="AG630" i="1"/>
  <c r="AF630" i="1"/>
  <c r="AE630" i="1"/>
  <c r="AD630" i="1"/>
  <c r="AB630" i="1"/>
  <c r="X630" i="1"/>
  <c r="W630" i="1"/>
  <c r="V630" i="1"/>
  <c r="U630" i="1"/>
  <c r="S630" i="1"/>
  <c r="K630" i="1"/>
  <c r="J630" i="1"/>
  <c r="I630" i="1"/>
  <c r="CR629" i="1"/>
  <c r="CQ629" i="1"/>
  <c r="CP629" i="1"/>
  <c r="CO629" i="1"/>
  <c r="CM629" i="1"/>
  <c r="CI629" i="1"/>
  <c r="CH629" i="1"/>
  <c r="CG629" i="1"/>
  <c r="CF629" i="1"/>
  <c r="CD629" i="1"/>
  <c r="CC629" i="1"/>
  <c r="CB629" i="1"/>
  <c r="BZ629" i="1"/>
  <c r="BY629" i="1"/>
  <c r="BX629" i="1"/>
  <c r="BW629" i="1"/>
  <c r="BU629" i="1"/>
  <c r="BQ629" i="1"/>
  <c r="BP629" i="1"/>
  <c r="BO629" i="1"/>
  <c r="BN629" i="1"/>
  <c r="BL629" i="1"/>
  <c r="BH629" i="1"/>
  <c r="BG629" i="1"/>
  <c r="BF629" i="1"/>
  <c r="BE629" i="1"/>
  <c r="BC629" i="1"/>
  <c r="AY629" i="1"/>
  <c r="AX629" i="1"/>
  <c r="AW629" i="1"/>
  <c r="AV629" i="1"/>
  <c r="AT629" i="1"/>
  <c r="AP629" i="1"/>
  <c r="AO629" i="1"/>
  <c r="AN629" i="1"/>
  <c r="AM629" i="1"/>
  <c r="AK629" i="1"/>
  <c r="AG629" i="1"/>
  <c r="AF629" i="1"/>
  <c r="AE629" i="1"/>
  <c r="AD629" i="1"/>
  <c r="AB629" i="1"/>
  <c r="X629" i="1"/>
  <c r="W629" i="1"/>
  <c r="V629" i="1"/>
  <c r="U629" i="1"/>
  <c r="S629" i="1"/>
  <c r="K629" i="1"/>
  <c r="J629" i="1"/>
  <c r="I629" i="1"/>
  <c r="CR628" i="1"/>
  <c r="CQ628" i="1"/>
  <c r="CP628" i="1"/>
  <c r="CO628" i="1"/>
  <c r="CM628" i="1"/>
  <c r="CI628" i="1"/>
  <c r="CH628" i="1"/>
  <c r="CG628" i="1"/>
  <c r="CF628" i="1"/>
  <c r="CD628" i="1"/>
  <c r="CC628" i="1"/>
  <c r="CB628" i="1"/>
  <c r="BZ628" i="1"/>
  <c r="BY628" i="1"/>
  <c r="BX628" i="1"/>
  <c r="BW628" i="1"/>
  <c r="BU628" i="1"/>
  <c r="BQ628" i="1"/>
  <c r="BP628" i="1"/>
  <c r="BO628" i="1"/>
  <c r="BN628" i="1"/>
  <c r="BL628" i="1"/>
  <c r="BH628" i="1"/>
  <c r="BG628" i="1"/>
  <c r="BF628" i="1"/>
  <c r="BE628" i="1"/>
  <c r="BC628" i="1"/>
  <c r="AY628" i="1"/>
  <c r="AX628" i="1"/>
  <c r="AW628" i="1"/>
  <c r="AV628" i="1"/>
  <c r="AT628" i="1"/>
  <c r="AP628" i="1"/>
  <c r="AO628" i="1"/>
  <c r="AN628" i="1"/>
  <c r="AM628" i="1"/>
  <c r="AK628" i="1"/>
  <c r="AG628" i="1"/>
  <c r="AF628" i="1"/>
  <c r="AE628" i="1"/>
  <c r="AD628" i="1"/>
  <c r="AB628" i="1"/>
  <c r="X628" i="1"/>
  <c r="W628" i="1"/>
  <c r="V628" i="1"/>
  <c r="U628" i="1"/>
  <c r="S628" i="1"/>
  <c r="K628" i="1"/>
  <c r="J628" i="1"/>
  <c r="I628" i="1"/>
  <c r="CR627" i="1"/>
  <c r="CQ627" i="1"/>
  <c r="CP627" i="1"/>
  <c r="CO627" i="1"/>
  <c r="CM627" i="1"/>
  <c r="CI627" i="1"/>
  <c r="CH627" i="1"/>
  <c r="CG627" i="1"/>
  <c r="CF627" i="1"/>
  <c r="CD627" i="1"/>
  <c r="CC627" i="1"/>
  <c r="CB627" i="1"/>
  <c r="BZ627" i="1"/>
  <c r="BY627" i="1"/>
  <c r="BX627" i="1"/>
  <c r="BW627" i="1"/>
  <c r="BU627" i="1"/>
  <c r="BQ627" i="1"/>
  <c r="BP627" i="1"/>
  <c r="BO627" i="1"/>
  <c r="BN627" i="1"/>
  <c r="BL627" i="1"/>
  <c r="BH627" i="1"/>
  <c r="BG627" i="1"/>
  <c r="BF627" i="1"/>
  <c r="BE627" i="1"/>
  <c r="BC627" i="1"/>
  <c r="AY627" i="1"/>
  <c r="AX627" i="1"/>
  <c r="AW627" i="1"/>
  <c r="AV627" i="1"/>
  <c r="AT627" i="1"/>
  <c r="AP627" i="1"/>
  <c r="AO627" i="1"/>
  <c r="AN627" i="1"/>
  <c r="AM627" i="1"/>
  <c r="AK627" i="1"/>
  <c r="AG627" i="1"/>
  <c r="AF627" i="1"/>
  <c r="AE627" i="1"/>
  <c r="AD627" i="1"/>
  <c r="AB627" i="1"/>
  <c r="X627" i="1"/>
  <c r="W627" i="1"/>
  <c r="V627" i="1"/>
  <c r="U627" i="1"/>
  <c r="S627" i="1"/>
  <c r="K627" i="1"/>
  <c r="J627" i="1"/>
  <c r="I627" i="1"/>
  <c r="CR626" i="1"/>
  <c r="CQ626" i="1"/>
  <c r="CP626" i="1"/>
  <c r="CO626" i="1"/>
  <c r="CM626" i="1"/>
  <c r="CI626" i="1"/>
  <c r="CH626" i="1"/>
  <c r="CG626" i="1"/>
  <c r="CF626" i="1"/>
  <c r="CD626" i="1"/>
  <c r="CC626" i="1"/>
  <c r="CB626" i="1"/>
  <c r="BZ626" i="1"/>
  <c r="BY626" i="1"/>
  <c r="BX626" i="1"/>
  <c r="BW626" i="1"/>
  <c r="BU626" i="1"/>
  <c r="BQ626" i="1"/>
  <c r="BP626" i="1"/>
  <c r="BO626" i="1"/>
  <c r="BN626" i="1"/>
  <c r="BH626" i="1"/>
  <c r="BG626" i="1"/>
  <c r="BF626" i="1"/>
  <c r="BE626" i="1"/>
  <c r="BC626" i="1"/>
  <c r="AY626" i="1"/>
  <c r="AX626" i="1"/>
  <c r="AW626" i="1"/>
  <c r="AV626" i="1"/>
  <c r="AT626" i="1"/>
  <c r="AP626" i="1"/>
  <c r="AO626" i="1"/>
  <c r="AN626" i="1"/>
  <c r="AM626" i="1"/>
  <c r="AK626" i="1"/>
  <c r="AG626" i="1"/>
  <c r="AF626" i="1"/>
  <c r="AE626" i="1"/>
  <c r="AD626" i="1"/>
  <c r="AB626" i="1"/>
  <c r="X626" i="1"/>
  <c r="W626" i="1"/>
  <c r="V626" i="1"/>
  <c r="U626" i="1"/>
  <c r="S626" i="1"/>
  <c r="K626" i="1"/>
  <c r="J626" i="1"/>
  <c r="I626" i="1"/>
  <c r="CR625" i="1"/>
  <c r="CQ625" i="1"/>
  <c r="CP625" i="1"/>
  <c r="CO625" i="1"/>
  <c r="CM625" i="1"/>
  <c r="CI625" i="1"/>
  <c r="CH625" i="1"/>
  <c r="CG625" i="1"/>
  <c r="CF625" i="1"/>
  <c r="CD625" i="1"/>
  <c r="CC625" i="1"/>
  <c r="CB625" i="1"/>
  <c r="BZ625" i="1"/>
  <c r="BY625" i="1"/>
  <c r="BX625" i="1"/>
  <c r="BW625" i="1"/>
  <c r="BU625" i="1"/>
  <c r="BQ625" i="1"/>
  <c r="BP625" i="1"/>
  <c r="BO625" i="1"/>
  <c r="BN625" i="1"/>
  <c r="BL625" i="1"/>
  <c r="BH625" i="1"/>
  <c r="BG625" i="1"/>
  <c r="BF625" i="1"/>
  <c r="BE625" i="1"/>
  <c r="BC625" i="1"/>
  <c r="AY625" i="1"/>
  <c r="AX625" i="1"/>
  <c r="AW625" i="1"/>
  <c r="AV625" i="1"/>
  <c r="AT625" i="1"/>
  <c r="AP625" i="1"/>
  <c r="AO625" i="1"/>
  <c r="AN625" i="1"/>
  <c r="AM625" i="1"/>
  <c r="AK625" i="1"/>
  <c r="AG625" i="1"/>
  <c r="AF625" i="1"/>
  <c r="AE625" i="1"/>
  <c r="AD625" i="1"/>
  <c r="AB625" i="1"/>
  <c r="X625" i="1"/>
  <c r="W625" i="1"/>
  <c r="V625" i="1"/>
  <c r="U625" i="1"/>
  <c r="S625" i="1"/>
  <c r="K625" i="1"/>
  <c r="J625" i="1"/>
  <c r="I625" i="1"/>
  <c r="CR624" i="1"/>
  <c r="CQ624" i="1"/>
  <c r="CP624" i="1"/>
  <c r="CO624" i="1"/>
  <c r="CM624" i="1"/>
  <c r="CI624" i="1"/>
  <c r="CH624" i="1"/>
  <c r="CG624" i="1"/>
  <c r="CF624" i="1"/>
  <c r="CD624" i="1"/>
  <c r="CC624" i="1"/>
  <c r="CB624" i="1"/>
  <c r="BZ624" i="1"/>
  <c r="BY624" i="1"/>
  <c r="BX624" i="1"/>
  <c r="BW624" i="1"/>
  <c r="BU624" i="1"/>
  <c r="BQ624" i="1"/>
  <c r="BP624" i="1"/>
  <c r="BO624" i="1"/>
  <c r="BN624" i="1"/>
  <c r="BL624" i="1"/>
  <c r="BH624" i="1"/>
  <c r="BG624" i="1"/>
  <c r="BF624" i="1"/>
  <c r="BE624" i="1"/>
  <c r="BC624" i="1"/>
  <c r="AY624" i="1"/>
  <c r="AX624" i="1"/>
  <c r="AW624" i="1"/>
  <c r="AV624" i="1"/>
  <c r="AT624" i="1"/>
  <c r="AP624" i="1"/>
  <c r="AO624" i="1"/>
  <c r="AN624" i="1"/>
  <c r="AM624" i="1"/>
  <c r="AK624" i="1"/>
  <c r="AG624" i="1"/>
  <c r="AF624" i="1"/>
  <c r="AE624" i="1"/>
  <c r="AD624" i="1"/>
  <c r="AB624" i="1"/>
  <c r="X624" i="1"/>
  <c r="W624" i="1"/>
  <c r="V624" i="1"/>
  <c r="U624" i="1"/>
  <c r="S624" i="1"/>
  <c r="K624" i="1"/>
  <c r="J624" i="1"/>
  <c r="I624" i="1"/>
  <c r="CL622" i="1"/>
  <c r="CC622" i="1"/>
  <c r="BT622" i="1"/>
  <c r="BS622" i="1"/>
  <c r="BK622" i="1"/>
  <c r="BJ622" i="1"/>
  <c r="BB622" i="1"/>
  <c r="BA622" i="1"/>
  <c r="AS622" i="1"/>
  <c r="AR622" i="1"/>
  <c r="AJ622" i="1"/>
  <c r="AI622" i="1"/>
  <c r="AA622" i="1"/>
  <c r="Z622" i="1"/>
  <c r="R622" i="1"/>
  <c r="Q622" i="1"/>
  <c r="E622" i="1"/>
  <c r="D622" i="1"/>
  <c r="CM621" i="1"/>
  <c r="CK621" i="1"/>
  <c r="CD621" i="1"/>
  <c r="CB621" i="1"/>
  <c r="BU621" i="1"/>
  <c r="BS621" i="1"/>
  <c r="BL621" i="1"/>
  <c r="BJ621" i="1"/>
  <c r="BC621" i="1"/>
  <c r="BA621" i="1"/>
  <c r="AT621" i="1"/>
  <c r="AR621" i="1"/>
  <c r="AK621" i="1"/>
  <c r="AI621" i="1"/>
  <c r="AB621" i="1"/>
  <c r="Z621" i="1"/>
  <c r="S621" i="1"/>
  <c r="Q621" i="1"/>
  <c r="I621" i="1"/>
  <c r="E621" i="1"/>
  <c r="CK620" i="1"/>
  <c r="CB620" i="1"/>
  <c r="BS620" i="1"/>
  <c r="BJ620" i="1"/>
  <c r="BA620" i="1"/>
  <c r="AR620" i="1"/>
  <c r="AI620" i="1"/>
  <c r="Z620" i="1"/>
  <c r="Q620" i="1"/>
  <c r="E619" i="1"/>
  <c r="E618" i="1"/>
  <c r="CM614" i="1"/>
  <c r="CL614" i="1"/>
  <c r="CK614" i="1"/>
  <c r="CD614" i="1"/>
  <c r="CC614" i="1"/>
  <c r="CB614" i="1"/>
  <c r="BU614" i="1"/>
  <c r="BT614" i="1"/>
  <c r="BS614" i="1"/>
  <c r="BL614" i="1"/>
  <c r="BK614" i="1"/>
  <c r="BJ614" i="1"/>
  <c r="BC614" i="1"/>
  <c r="BB614" i="1"/>
  <c r="BA614" i="1"/>
  <c r="AT614" i="1"/>
  <c r="AS614" i="1"/>
  <c r="AR614" i="1"/>
  <c r="AK614" i="1"/>
  <c r="AJ614" i="1"/>
  <c r="AI614" i="1"/>
  <c r="AB614" i="1"/>
  <c r="AA614" i="1"/>
  <c r="Z614" i="1"/>
  <c r="S614" i="1"/>
  <c r="R614" i="1"/>
  <c r="Q614" i="1"/>
  <c r="K614" i="1"/>
  <c r="J614" i="1"/>
  <c r="I614" i="1"/>
  <c r="H614" i="1"/>
  <c r="F614" i="1"/>
  <c r="CR613" i="1"/>
  <c r="CQ613" i="1"/>
  <c r="CP613" i="1"/>
  <c r="CO613" i="1"/>
  <c r="CM613" i="1"/>
  <c r="CI613" i="1"/>
  <c r="CH613" i="1"/>
  <c r="CG613" i="1"/>
  <c r="CF613" i="1"/>
  <c r="CD613" i="1"/>
  <c r="CC613" i="1"/>
  <c r="CB613" i="1"/>
  <c r="BZ613" i="1"/>
  <c r="BY613" i="1"/>
  <c r="BX613" i="1"/>
  <c r="BW613" i="1"/>
  <c r="BU613" i="1"/>
  <c r="BQ613" i="1"/>
  <c r="BP613" i="1"/>
  <c r="BO613" i="1"/>
  <c r="BN613" i="1"/>
  <c r="BL613" i="1"/>
  <c r="BH613" i="1"/>
  <c r="BG613" i="1"/>
  <c r="BF613" i="1"/>
  <c r="BE613" i="1"/>
  <c r="BC613" i="1"/>
  <c r="AY613" i="1"/>
  <c r="AX613" i="1"/>
  <c r="AW613" i="1"/>
  <c r="AV613" i="1"/>
  <c r="AT613" i="1"/>
  <c r="AP613" i="1"/>
  <c r="AO613" i="1"/>
  <c r="AN613" i="1"/>
  <c r="AM613" i="1"/>
  <c r="AK613" i="1"/>
  <c r="AG613" i="1"/>
  <c r="AF613" i="1"/>
  <c r="AE613" i="1"/>
  <c r="AD613" i="1"/>
  <c r="AB613" i="1"/>
  <c r="X613" i="1"/>
  <c r="W613" i="1"/>
  <c r="V613" i="1"/>
  <c r="U613" i="1"/>
  <c r="S613" i="1"/>
  <c r="K613" i="1"/>
  <c r="J613" i="1"/>
  <c r="I613" i="1"/>
  <c r="CR612" i="1"/>
  <c r="CQ612" i="1"/>
  <c r="CP612" i="1"/>
  <c r="CO612" i="1"/>
  <c r="CM612" i="1"/>
  <c r="CI612" i="1"/>
  <c r="CH612" i="1"/>
  <c r="CG612" i="1"/>
  <c r="CF612" i="1"/>
  <c r="CD612" i="1"/>
  <c r="CC612" i="1"/>
  <c r="CB612" i="1"/>
  <c r="BZ612" i="1"/>
  <c r="BY612" i="1"/>
  <c r="BX612" i="1"/>
  <c r="BW612" i="1"/>
  <c r="BU612" i="1"/>
  <c r="BQ612" i="1"/>
  <c r="BP612" i="1"/>
  <c r="BO612" i="1"/>
  <c r="BN612" i="1"/>
  <c r="BL612" i="1"/>
  <c r="BH612" i="1"/>
  <c r="BG612" i="1"/>
  <c r="BF612" i="1"/>
  <c r="BE612" i="1"/>
  <c r="BC612" i="1"/>
  <c r="AY612" i="1"/>
  <c r="AX612" i="1"/>
  <c r="AW612" i="1"/>
  <c r="AV612" i="1"/>
  <c r="AT612" i="1"/>
  <c r="AP612" i="1"/>
  <c r="AO612" i="1"/>
  <c r="AN612" i="1"/>
  <c r="AM612" i="1"/>
  <c r="AK612" i="1"/>
  <c r="AG612" i="1"/>
  <c r="AF612" i="1"/>
  <c r="AE612" i="1"/>
  <c r="AD612" i="1"/>
  <c r="AB612" i="1"/>
  <c r="X612" i="1"/>
  <c r="W612" i="1"/>
  <c r="V612" i="1"/>
  <c r="U612" i="1"/>
  <c r="S612" i="1"/>
  <c r="K612" i="1"/>
  <c r="J612" i="1"/>
  <c r="I612" i="1"/>
  <c r="CR611" i="1"/>
  <c r="CQ611" i="1"/>
  <c r="CP611" i="1"/>
  <c r="CO611" i="1"/>
  <c r="CM611" i="1"/>
  <c r="CI611" i="1"/>
  <c r="CH611" i="1"/>
  <c r="CG611" i="1"/>
  <c r="CF611" i="1"/>
  <c r="CD611" i="1"/>
  <c r="CC611" i="1"/>
  <c r="CB611" i="1"/>
  <c r="BZ611" i="1"/>
  <c r="BY611" i="1"/>
  <c r="BX611" i="1"/>
  <c r="BW611" i="1"/>
  <c r="BU611" i="1"/>
  <c r="BQ611" i="1"/>
  <c r="BP611" i="1"/>
  <c r="BO611" i="1"/>
  <c r="BN611" i="1"/>
  <c r="BL611" i="1"/>
  <c r="BH611" i="1"/>
  <c r="BG611" i="1"/>
  <c r="BF611" i="1"/>
  <c r="BE611" i="1"/>
  <c r="BC611" i="1"/>
  <c r="AY611" i="1"/>
  <c r="AX611" i="1"/>
  <c r="AW611" i="1"/>
  <c r="AV611" i="1"/>
  <c r="AT611" i="1"/>
  <c r="AP611" i="1"/>
  <c r="AO611" i="1"/>
  <c r="AN611" i="1"/>
  <c r="AM611" i="1"/>
  <c r="AK611" i="1"/>
  <c r="AG611" i="1"/>
  <c r="AF611" i="1"/>
  <c r="AE611" i="1"/>
  <c r="AD611" i="1"/>
  <c r="AB611" i="1"/>
  <c r="X611" i="1"/>
  <c r="W611" i="1"/>
  <c r="V611" i="1"/>
  <c r="U611" i="1"/>
  <c r="S611" i="1"/>
  <c r="K611" i="1"/>
  <c r="J611" i="1"/>
  <c r="I611" i="1"/>
  <c r="CR610" i="1"/>
  <c r="CQ610" i="1"/>
  <c r="CP610" i="1"/>
  <c r="CO610" i="1"/>
  <c r="CM610" i="1"/>
  <c r="CI610" i="1"/>
  <c r="CH610" i="1"/>
  <c r="CG610" i="1"/>
  <c r="CF610" i="1"/>
  <c r="CD610" i="1"/>
  <c r="CC610" i="1"/>
  <c r="CB610" i="1"/>
  <c r="BZ610" i="1"/>
  <c r="BY610" i="1"/>
  <c r="BX610" i="1"/>
  <c r="BW610" i="1"/>
  <c r="BU610" i="1"/>
  <c r="BQ610" i="1"/>
  <c r="BP610" i="1"/>
  <c r="BO610" i="1"/>
  <c r="BN610" i="1"/>
  <c r="BL610" i="1"/>
  <c r="BH610" i="1"/>
  <c r="BG610" i="1"/>
  <c r="BF610" i="1"/>
  <c r="BE610" i="1"/>
  <c r="BC610" i="1"/>
  <c r="AY610" i="1"/>
  <c r="AX610" i="1"/>
  <c r="AW610" i="1"/>
  <c r="AV610" i="1"/>
  <c r="AT610" i="1"/>
  <c r="AP610" i="1"/>
  <c r="AO610" i="1"/>
  <c r="AN610" i="1"/>
  <c r="AM610" i="1"/>
  <c r="AK610" i="1"/>
  <c r="AG610" i="1"/>
  <c r="AF610" i="1"/>
  <c r="AE610" i="1"/>
  <c r="AD610" i="1"/>
  <c r="AB610" i="1"/>
  <c r="X610" i="1"/>
  <c r="W610" i="1"/>
  <c r="V610" i="1"/>
  <c r="U610" i="1"/>
  <c r="S610" i="1"/>
  <c r="K610" i="1"/>
  <c r="J610" i="1"/>
  <c r="I610" i="1"/>
  <c r="CR609" i="1"/>
  <c r="CQ609" i="1"/>
  <c r="CP609" i="1"/>
  <c r="CO609" i="1"/>
  <c r="CM609" i="1"/>
  <c r="CI609" i="1"/>
  <c r="CH609" i="1"/>
  <c r="CG609" i="1"/>
  <c r="CF609" i="1"/>
  <c r="CD609" i="1"/>
  <c r="CC609" i="1"/>
  <c r="CB609" i="1"/>
  <c r="BZ609" i="1"/>
  <c r="BY609" i="1"/>
  <c r="BX609" i="1"/>
  <c r="BW609" i="1"/>
  <c r="BU609" i="1"/>
  <c r="BQ609" i="1"/>
  <c r="BP609" i="1"/>
  <c r="BO609" i="1"/>
  <c r="BN609" i="1"/>
  <c r="BL609" i="1"/>
  <c r="BH609" i="1"/>
  <c r="BG609" i="1"/>
  <c r="BF609" i="1"/>
  <c r="BE609" i="1"/>
  <c r="BC609" i="1"/>
  <c r="AY609" i="1"/>
  <c r="AX609" i="1"/>
  <c r="AW609" i="1"/>
  <c r="AV609" i="1"/>
  <c r="AT609" i="1"/>
  <c r="AP609" i="1"/>
  <c r="AO609" i="1"/>
  <c r="AN609" i="1"/>
  <c r="AM609" i="1"/>
  <c r="AK609" i="1"/>
  <c r="AG609" i="1"/>
  <c r="AF609" i="1"/>
  <c r="AE609" i="1"/>
  <c r="AD609" i="1"/>
  <c r="AB609" i="1"/>
  <c r="X609" i="1"/>
  <c r="W609" i="1"/>
  <c r="V609" i="1"/>
  <c r="U609" i="1"/>
  <c r="S609" i="1"/>
  <c r="K609" i="1"/>
  <c r="J609" i="1"/>
  <c r="I609" i="1"/>
  <c r="CR608" i="1"/>
  <c r="CQ608" i="1"/>
  <c r="CP608" i="1"/>
  <c r="CO608" i="1"/>
  <c r="CM608" i="1"/>
  <c r="CI608" i="1"/>
  <c r="CH608" i="1"/>
  <c r="CG608" i="1"/>
  <c r="CF608" i="1"/>
  <c r="CD608" i="1"/>
  <c r="CC608" i="1"/>
  <c r="CB608" i="1"/>
  <c r="BZ608" i="1"/>
  <c r="BY608" i="1"/>
  <c r="BX608" i="1"/>
  <c r="BW608" i="1"/>
  <c r="BU608" i="1"/>
  <c r="BQ608" i="1"/>
  <c r="BP608" i="1"/>
  <c r="BO608" i="1"/>
  <c r="BN608" i="1"/>
  <c r="BL608" i="1"/>
  <c r="BH608" i="1"/>
  <c r="BG608" i="1"/>
  <c r="BF608" i="1"/>
  <c r="BE608" i="1"/>
  <c r="BC608" i="1"/>
  <c r="AY608" i="1"/>
  <c r="AX608" i="1"/>
  <c r="AW608" i="1"/>
  <c r="AV608" i="1"/>
  <c r="AT608" i="1"/>
  <c r="AP608" i="1"/>
  <c r="AO608" i="1"/>
  <c r="AN608" i="1"/>
  <c r="AM608" i="1"/>
  <c r="AK608" i="1"/>
  <c r="AG608" i="1"/>
  <c r="AF608" i="1"/>
  <c r="AE608" i="1"/>
  <c r="AD608" i="1"/>
  <c r="AB608" i="1"/>
  <c r="X608" i="1"/>
  <c r="W608" i="1"/>
  <c r="V608" i="1"/>
  <c r="U608" i="1"/>
  <c r="S608" i="1"/>
  <c r="K608" i="1"/>
  <c r="J608" i="1"/>
  <c r="I608" i="1"/>
  <c r="CR607" i="1"/>
  <c r="CQ607" i="1"/>
  <c r="CP607" i="1"/>
  <c r="CO607" i="1"/>
  <c r="CM607" i="1"/>
  <c r="CI607" i="1"/>
  <c r="CH607" i="1"/>
  <c r="CG607" i="1"/>
  <c r="CF607" i="1"/>
  <c r="CD607" i="1"/>
  <c r="CC607" i="1"/>
  <c r="CB607" i="1"/>
  <c r="BZ607" i="1"/>
  <c r="BY607" i="1"/>
  <c r="BX607" i="1"/>
  <c r="BW607" i="1"/>
  <c r="BU607" i="1"/>
  <c r="BQ607" i="1"/>
  <c r="BP607" i="1"/>
  <c r="BO607" i="1"/>
  <c r="BN607" i="1"/>
  <c r="BL607" i="1"/>
  <c r="BH607" i="1"/>
  <c r="BG607" i="1"/>
  <c r="BF607" i="1"/>
  <c r="BE607" i="1"/>
  <c r="BC607" i="1"/>
  <c r="AY607" i="1"/>
  <c r="AX607" i="1"/>
  <c r="AW607" i="1"/>
  <c r="AV607" i="1"/>
  <c r="AT607" i="1"/>
  <c r="AP607" i="1"/>
  <c r="AO607" i="1"/>
  <c r="AN607" i="1"/>
  <c r="AM607" i="1"/>
  <c r="AK607" i="1"/>
  <c r="AG607" i="1"/>
  <c r="AF607" i="1"/>
  <c r="AE607" i="1"/>
  <c r="AD607" i="1"/>
  <c r="AB607" i="1"/>
  <c r="X607" i="1"/>
  <c r="W607" i="1"/>
  <c r="V607" i="1"/>
  <c r="U607" i="1"/>
  <c r="S607" i="1"/>
  <c r="K607" i="1"/>
  <c r="J607" i="1"/>
  <c r="I607" i="1"/>
  <c r="CR606" i="1"/>
  <c r="CQ606" i="1"/>
  <c r="CP606" i="1"/>
  <c r="CO606" i="1"/>
  <c r="CM606" i="1"/>
  <c r="CI606" i="1"/>
  <c r="CH606" i="1"/>
  <c r="CG606" i="1"/>
  <c r="CF606" i="1"/>
  <c r="CD606" i="1"/>
  <c r="CC606" i="1"/>
  <c r="CB606" i="1"/>
  <c r="BZ606" i="1"/>
  <c r="BY606" i="1"/>
  <c r="BX606" i="1"/>
  <c r="BW606" i="1"/>
  <c r="BU606" i="1"/>
  <c r="BQ606" i="1"/>
  <c r="BP606" i="1"/>
  <c r="BO606" i="1"/>
  <c r="BN606" i="1"/>
  <c r="BL606" i="1"/>
  <c r="BH606" i="1"/>
  <c r="BG606" i="1"/>
  <c r="BF606" i="1"/>
  <c r="BE606" i="1"/>
  <c r="BC606" i="1"/>
  <c r="AY606" i="1"/>
  <c r="AX606" i="1"/>
  <c r="AW606" i="1"/>
  <c r="AV606" i="1"/>
  <c r="AT606" i="1"/>
  <c r="AP606" i="1"/>
  <c r="AO606" i="1"/>
  <c r="AN606" i="1"/>
  <c r="AM606" i="1"/>
  <c r="AK606" i="1"/>
  <c r="AG606" i="1"/>
  <c r="AF606" i="1"/>
  <c r="AE606" i="1"/>
  <c r="AD606" i="1"/>
  <c r="AB606" i="1"/>
  <c r="X606" i="1"/>
  <c r="W606" i="1"/>
  <c r="V606" i="1"/>
  <c r="U606" i="1"/>
  <c r="S606" i="1"/>
  <c r="K606" i="1"/>
  <c r="J606" i="1"/>
  <c r="I606" i="1"/>
  <c r="CR605" i="1"/>
  <c r="CQ605" i="1"/>
  <c r="CP605" i="1"/>
  <c r="CO605" i="1"/>
  <c r="CM605" i="1"/>
  <c r="CI605" i="1"/>
  <c r="CH605" i="1"/>
  <c r="CG605" i="1"/>
  <c r="CF605" i="1"/>
  <c r="CD605" i="1"/>
  <c r="CC605" i="1"/>
  <c r="CB605" i="1"/>
  <c r="BZ605" i="1"/>
  <c r="BY605" i="1"/>
  <c r="BX605" i="1"/>
  <c r="BW605" i="1"/>
  <c r="BU605" i="1"/>
  <c r="BQ605" i="1"/>
  <c r="BP605" i="1"/>
  <c r="BO605" i="1"/>
  <c r="BN605" i="1"/>
  <c r="BL605" i="1"/>
  <c r="BH605" i="1"/>
  <c r="BG605" i="1"/>
  <c r="BF605" i="1"/>
  <c r="BE605" i="1"/>
  <c r="BC605" i="1"/>
  <c r="AY605" i="1"/>
  <c r="AX605" i="1"/>
  <c r="AW605" i="1"/>
  <c r="AV605" i="1"/>
  <c r="AT605" i="1"/>
  <c r="AP605" i="1"/>
  <c r="AO605" i="1"/>
  <c r="AN605" i="1"/>
  <c r="AM605" i="1"/>
  <c r="AK605" i="1"/>
  <c r="AG605" i="1"/>
  <c r="AF605" i="1"/>
  <c r="AE605" i="1"/>
  <c r="AD605" i="1"/>
  <c r="AB605" i="1"/>
  <c r="X605" i="1"/>
  <c r="W605" i="1"/>
  <c r="V605" i="1"/>
  <c r="U605" i="1"/>
  <c r="S605" i="1"/>
  <c r="K605" i="1"/>
  <c r="J605" i="1"/>
  <c r="I605" i="1"/>
  <c r="CR604" i="1"/>
  <c r="CQ604" i="1"/>
  <c r="CP604" i="1"/>
  <c r="CO604" i="1"/>
  <c r="CM604" i="1"/>
  <c r="CI604" i="1"/>
  <c r="CH604" i="1"/>
  <c r="CG604" i="1"/>
  <c r="CF604" i="1"/>
  <c r="CD604" i="1"/>
  <c r="CC604" i="1"/>
  <c r="CB604" i="1"/>
  <c r="BZ604" i="1"/>
  <c r="BY604" i="1"/>
  <c r="BX604" i="1"/>
  <c r="BW604" i="1"/>
  <c r="BU604" i="1"/>
  <c r="BQ604" i="1"/>
  <c r="BP604" i="1"/>
  <c r="BO604" i="1"/>
  <c r="BN604" i="1"/>
  <c r="BL604" i="1"/>
  <c r="BH604" i="1"/>
  <c r="BG604" i="1"/>
  <c r="BF604" i="1"/>
  <c r="BE604" i="1"/>
  <c r="BC604" i="1"/>
  <c r="AY604" i="1"/>
  <c r="AX604" i="1"/>
  <c r="AW604" i="1"/>
  <c r="AV604" i="1"/>
  <c r="AT604" i="1"/>
  <c r="AP604" i="1"/>
  <c r="AO604" i="1"/>
  <c r="AN604" i="1"/>
  <c r="AM604" i="1"/>
  <c r="AK604" i="1"/>
  <c r="AG604" i="1"/>
  <c r="AF604" i="1"/>
  <c r="AE604" i="1"/>
  <c r="AD604" i="1"/>
  <c r="AB604" i="1"/>
  <c r="X604" i="1"/>
  <c r="W604" i="1"/>
  <c r="V604" i="1"/>
  <c r="U604" i="1"/>
  <c r="S604" i="1"/>
  <c r="K604" i="1"/>
  <c r="J604" i="1"/>
  <c r="I604" i="1"/>
  <c r="CR603" i="1"/>
  <c r="CQ603" i="1"/>
  <c r="CP603" i="1"/>
  <c r="CO603" i="1"/>
  <c r="CM603" i="1"/>
  <c r="CI603" i="1"/>
  <c r="CH603" i="1"/>
  <c r="CG603" i="1"/>
  <c r="CF603" i="1"/>
  <c r="CD603" i="1"/>
  <c r="CC603" i="1"/>
  <c r="CB603" i="1"/>
  <c r="BZ603" i="1"/>
  <c r="BY603" i="1"/>
  <c r="BX603" i="1"/>
  <c r="BW603" i="1"/>
  <c r="BU603" i="1"/>
  <c r="BQ603" i="1"/>
  <c r="BP603" i="1"/>
  <c r="BO603" i="1"/>
  <c r="BN603" i="1"/>
  <c r="BL603" i="1"/>
  <c r="BH603" i="1"/>
  <c r="BG603" i="1"/>
  <c r="BF603" i="1"/>
  <c r="BE603" i="1"/>
  <c r="BC603" i="1"/>
  <c r="AY603" i="1"/>
  <c r="AX603" i="1"/>
  <c r="AW603" i="1"/>
  <c r="AV603" i="1"/>
  <c r="AT603" i="1"/>
  <c r="AP603" i="1"/>
  <c r="AO603" i="1"/>
  <c r="AN603" i="1"/>
  <c r="AM603" i="1"/>
  <c r="AK603" i="1"/>
  <c r="AG603" i="1"/>
  <c r="AF603" i="1"/>
  <c r="AE603" i="1"/>
  <c r="AD603" i="1"/>
  <c r="AB603" i="1"/>
  <c r="X603" i="1"/>
  <c r="W603" i="1"/>
  <c r="V603" i="1"/>
  <c r="U603" i="1"/>
  <c r="S603" i="1"/>
  <c r="K603" i="1"/>
  <c r="J603" i="1"/>
  <c r="I603" i="1"/>
  <c r="CR602" i="1"/>
  <c r="CQ602" i="1"/>
  <c r="CP602" i="1"/>
  <c r="CO602" i="1"/>
  <c r="CM602" i="1"/>
  <c r="CI602" i="1"/>
  <c r="CH602" i="1"/>
  <c r="CG602" i="1"/>
  <c r="CF602" i="1"/>
  <c r="CD602" i="1"/>
  <c r="CC602" i="1"/>
  <c r="CB602" i="1"/>
  <c r="BZ602" i="1"/>
  <c r="BY602" i="1"/>
  <c r="BX602" i="1"/>
  <c r="BW602" i="1"/>
  <c r="BU602" i="1"/>
  <c r="BQ602" i="1"/>
  <c r="BP602" i="1"/>
  <c r="BO602" i="1"/>
  <c r="BN602" i="1"/>
  <c r="BL602" i="1"/>
  <c r="BH602" i="1"/>
  <c r="BG602" i="1"/>
  <c r="BF602" i="1"/>
  <c r="BE602" i="1"/>
  <c r="BC602" i="1"/>
  <c r="AY602" i="1"/>
  <c r="AX602" i="1"/>
  <c r="AW602" i="1"/>
  <c r="AV602" i="1"/>
  <c r="AT602" i="1"/>
  <c r="AP602" i="1"/>
  <c r="AO602" i="1"/>
  <c r="AN602" i="1"/>
  <c r="AM602" i="1"/>
  <c r="AK602" i="1"/>
  <c r="AG602" i="1"/>
  <c r="AF602" i="1"/>
  <c r="AE602" i="1"/>
  <c r="AD602" i="1"/>
  <c r="AB602" i="1"/>
  <c r="X602" i="1"/>
  <c r="W602" i="1"/>
  <c r="V602" i="1"/>
  <c r="U602" i="1"/>
  <c r="S602" i="1"/>
  <c r="K602" i="1"/>
  <c r="J602" i="1"/>
  <c r="I602" i="1"/>
  <c r="CL600" i="1"/>
  <c r="CC600" i="1"/>
  <c r="BT600" i="1"/>
  <c r="BS600" i="1"/>
  <c r="BK600" i="1"/>
  <c r="BJ600" i="1"/>
  <c r="BB600" i="1"/>
  <c r="BA600" i="1"/>
  <c r="AS600" i="1"/>
  <c r="AR600" i="1"/>
  <c r="AJ600" i="1"/>
  <c r="AI600" i="1"/>
  <c r="AA600" i="1"/>
  <c r="Z600" i="1"/>
  <c r="R600" i="1"/>
  <c r="Q600" i="1"/>
  <c r="E600" i="1"/>
  <c r="D600" i="1"/>
  <c r="CM599" i="1"/>
  <c r="CK599" i="1"/>
  <c r="CD599" i="1"/>
  <c r="CB599" i="1"/>
  <c r="BU599" i="1"/>
  <c r="BS599" i="1"/>
  <c r="BL599" i="1"/>
  <c r="BJ599" i="1"/>
  <c r="BC599" i="1"/>
  <c r="BA599" i="1"/>
  <c r="AT599" i="1"/>
  <c r="AR599" i="1"/>
  <c r="AK599" i="1"/>
  <c r="AI599" i="1"/>
  <c r="AB599" i="1"/>
  <c r="Z599" i="1"/>
  <c r="S599" i="1"/>
  <c r="Q599" i="1"/>
  <c r="I599" i="1"/>
  <c r="E599" i="1"/>
  <c r="CK598" i="1"/>
  <c r="CB598" i="1"/>
  <c r="BS598" i="1"/>
  <c r="BJ598" i="1"/>
  <c r="BA598" i="1"/>
  <c r="AR598" i="1"/>
  <c r="AI598" i="1"/>
  <c r="Z598" i="1"/>
  <c r="Q598" i="1"/>
  <c r="E597" i="1"/>
  <c r="E596" i="1"/>
  <c r="CM592" i="1"/>
  <c r="CL592" i="1"/>
  <c r="CK592" i="1"/>
  <c r="CD592" i="1"/>
  <c r="CC592" i="1"/>
  <c r="CB592" i="1"/>
  <c r="BU592" i="1"/>
  <c r="BT592" i="1"/>
  <c r="BS592" i="1"/>
  <c r="BL592" i="1"/>
  <c r="BK592" i="1"/>
  <c r="BJ592" i="1"/>
  <c r="BC592" i="1"/>
  <c r="BB592" i="1"/>
  <c r="BA592" i="1"/>
  <c r="AT592" i="1"/>
  <c r="AS592" i="1"/>
  <c r="AR592" i="1"/>
  <c r="AK592" i="1"/>
  <c r="AJ592" i="1"/>
  <c r="AI592" i="1"/>
  <c r="AB592" i="1"/>
  <c r="AA592" i="1"/>
  <c r="Z592" i="1"/>
  <c r="S592" i="1"/>
  <c r="R592" i="1"/>
  <c r="Q592" i="1"/>
  <c r="K592" i="1"/>
  <c r="J592" i="1"/>
  <c r="I592" i="1"/>
  <c r="H592" i="1"/>
  <c r="F592" i="1"/>
  <c r="CR591" i="1"/>
  <c r="CQ591" i="1"/>
  <c r="CP591" i="1"/>
  <c r="CO591" i="1"/>
  <c r="CM591" i="1"/>
  <c r="CI591" i="1"/>
  <c r="CH591" i="1"/>
  <c r="CG591" i="1"/>
  <c r="CF591" i="1"/>
  <c r="CD591" i="1"/>
  <c r="CC591" i="1"/>
  <c r="CB591" i="1"/>
  <c r="BZ591" i="1"/>
  <c r="BY591" i="1"/>
  <c r="BX591" i="1"/>
  <c r="BW591" i="1"/>
  <c r="BU591" i="1"/>
  <c r="BQ591" i="1"/>
  <c r="BP591" i="1"/>
  <c r="BO591" i="1"/>
  <c r="BN591" i="1"/>
  <c r="BL591" i="1"/>
  <c r="BH591" i="1"/>
  <c r="BG591" i="1"/>
  <c r="BF591" i="1"/>
  <c r="BE591" i="1"/>
  <c r="BC591" i="1"/>
  <c r="AY591" i="1"/>
  <c r="AX591" i="1"/>
  <c r="AW591" i="1"/>
  <c r="AV591" i="1"/>
  <c r="AT591" i="1"/>
  <c r="AP591" i="1"/>
  <c r="AO591" i="1"/>
  <c r="AN591" i="1"/>
  <c r="AM591" i="1"/>
  <c r="AK591" i="1"/>
  <c r="AG591" i="1"/>
  <c r="AF591" i="1"/>
  <c r="AE591" i="1"/>
  <c r="AD591" i="1"/>
  <c r="AB591" i="1"/>
  <c r="X591" i="1"/>
  <c r="W591" i="1"/>
  <c r="V591" i="1"/>
  <c r="U591" i="1"/>
  <c r="S591" i="1"/>
  <c r="K591" i="1"/>
  <c r="J591" i="1"/>
  <c r="I591" i="1"/>
  <c r="CR590" i="1"/>
  <c r="CQ590" i="1"/>
  <c r="CP590" i="1"/>
  <c r="CO590" i="1"/>
  <c r="CM590" i="1"/>
  <c r="CI590" i="1"/>
  <c r="CH590" i="1"/>
  <c r="CG590" i="1"/>
  <c r="CF590" i="1"/>
  <c r="CD590" i="1"/>
  <c r="CC590" i="1"/>
  <c r="CB590" i="1"/>
  <c r="BZ590" i="1"/>
  <c r="BY590" i="1"/>
  <c r="BX590" i="1"/>
  <c r="BW590" i="1"/>
  <c r="BU590" i="1"/>
  <c r="BQ590" i="1"/>
  <c r="BP590" i="1"/>
  <c r="BO590" i="1"/>
  <c r="BN590" i="1"/>
  <c r="BL590" i="1"/>
  <c r="BH590" i="1"/>
  <c r="BG590" i="1"/>
  <c r="BF590" i="1"/>
  <c r="BE590" i="1"/>
  <c r="BC590" i="1"/>
  <c r="AY590" i="1"/>
  <c r="AX590" i="1"/>
  <c r="AW590" i="1"/>
  <c r="AV590" i="1"/>
  <c r="AT590" i="1"/>
  <c r="AP590" i="1"/>
  <c r="AO590" i="1"/>
  <c r="AN590" i="1"/>
  <c r="AM590" i="1"/>
  <c r="AK590" i="1"/>
  <c r="AG590" i="1"/>
  <c r="AF590" i="1"/>
  <c r="AE590" i="1"/>
  <c r="AD590" i="1"/>
  <c r="AB590" i="1"/>
  <c r="X590" i="1"/>
  <c r="W590" i="1"/>
  <c r="V590" i="1"/>
  <c r="U590" i="1"/>
  <c r="S590" i="1"/>
  <c r="K590" i="1"/>
  <c r="J590" i="1"/>
  <c r="I590" i="1"/>
  <c r="CR589" i="1"/>
  <c r="CQ589" i="1"/>
  <c r="CP589" i="1"/>
  <c r="CO589" i="1"/>
  <c r="CM589" i="1"/>
  <c r="CI589" i="1"/>
  <c r="CH589" i="1"/>
  <c r="CG589" i="1"/>
  <c r="CF589" i="1"/>
  <c r="CD589" i="1"/>
  <c r="CC589" i="1"/>
  <c r="CB589" i="1"/>
  <c r="BZ589" i="1"/>
  <c r="BY589" i="1"/>
  <c r="BX589" i="1"/>
  <c r="BW589" i="1"/>
  <c r="BU589" i="1"/>
  <c r="BQ589" i="1"/>
  <c r="BP589" i="1"/>
  <c r="BO589" i="1"/>
  <c r="BN589" i="1"/>
  <c r="BL589" i="1"/>
  <c r="BH589" i="1"/>
  <c r="BG589" i="1"/>
  <c r="BF589" i="1"/>
  <c r="BE589" i="1"/>
  <c r="BC589" i="1"/>
  <c r="AY589" i="1"/>
  <c r="AX589" i="1"/>
  <c r="AW589" i="1"/>
  <c r="AV589" i="1"/>
  <c r="AT589" i="1"/>
  <c r="AP589" i="1"/>
  <c r="AO589" i="1"/>
  <c r="AN589" i="1"/>
  <c r="AM589" i="1"/>
  <c r="AK589" i="1"/>
  <c r="AG589" i="1"/>
  <c r="AF589" i="1"/>
  <c r="AE589" i="1"/>
  <c r="AD589" i="1"/>
  <c r="AB589" i="1"/>
  <c r="X589" i="1"/>
  <c r="W589" i="1"/>
  <c r="V589" i="1"/>
  <c r="U589" i="1"/>
  <c r="S589" i="1"/>
  <c r="K589" i="1"/>
  <c r="J589" i="1"/>
  <c r="I589" i="1"/>
  <c r="CR588" i="1"/>
  <c r="CQ588" i="1"/>
  <c r="CP588" i="1"/>
  <c r="CO588" i="1"/>
  <c r="CM588" i="1"/>
  <c r="CI588" i="1"/>
  <c r="CH588" i="1"/>
  <c r="CG588" i="1"/>
  <c r="CF588" i="1"/>
  <c r="CD588" i="1"/>
  <c r="CC588" i="1"/>
  <c r="CB588" i="1"/>
  <c r="BZ588" i="1"/>
  <c r="BY588" i="1"/>
  <c r="BX588" i="1"/>
  <c r="BW588" i="1"/>
  <c r="BU588" i="1"/>
  <c r="BQ588" i="1"/>
  <c r="BP588" i="1"/>
  <c r="BO588" i="1"/>
  <c r="BN588" i="1"/>
  <c r="BL588" i="1"/>
  <c r="BH588" i="1"/>
  <c r="BG588" i="1"/>
  <c r="BF588" i="1"/>
  <c r="BE588" i="1"/>
  <c r="BC588" i="1"/>
  <c r="AY588" i="1"/>
  <c r="AX588" i="1"/>
  <c r="AW588" i="1"/>
  <c r="AV588" i="1"/>
  <c r="AT588" i="1"/>
  <c r="AP588" i="1"/>
  <c r="AO588" i="1"/>
  <c r="AN588" i="1"/>
  <c r="AM588" i="1"/>
  <c r="AK588" i="1"/>
  <c r="AG588" i="1"/>
  <c r="AF588" i="1"/>
  <c r="AE588" i="1"/>
  <c r="AD588" i="1"/>
  <c r="AB588" i="1"/>
  <c r="X588" i="1"/>
  <c r="W588" i="1"/>
  <c r="V588" i="1"/>
  <c r="U588" i="1"/>
  <c r="S588" i="1"/>
  <c r="K588" i="1"/>
  <c r="J588" i="1"/>
  <c r="I588" i="1"/>
  <c r="CR587" i="1"/>
  <c r="CQ587" i="1"/>
  <c r="CP587" i="1"/>
  <c r="CO587" i="1"/>
  <c r="CM587" i="1"/>
  <c r="CI587" i="1"/>
  <c r="CH587" i="1"/>
  <c r="CG587" i="1"/>
  <c r="CF587" i="1"/>
  <c r="CD587" i="1"/>
  <c r="CC587" i="1"/>
  <c r="CB587" i="1"/>
  <c r="BZ587" i="1"/>
  <c r="BY587" i="1"/>
  <c r="BX587" i="1"/>
  <c r="BW587" i="1"/>
  <c r="BU587" i="1"/>
  <c r="BQ587" i="1"/>
  <c r="BP587" i="1"/>
  <c r="BO587" i="1"/>
  <c r="BN587" i="1"/>
  <c r="BL587" i="1"/>
  <c r="BH587" i="1"/>
  <c r="BG587" i="1"/>
  <c r="BF587" i="1"/>
  <c r="BE587" i="1"/>
  <c r="BC587" i="1"/>
  <c r="AY587" i="1"/>
  <c r="AX587" i="1"/>
  <c r="AW587" i="1"/>
  <c r="AV587" i="1"/>
  <c r="AT587" i="1"/>
  <c r="AP587" i="1"/>
  <c r="AO587" i="1"/>
  <c r="AN587" i="1"/>
  <c r="AM587" i="1"/>
  <c r="AK587" i="1"/>
  <c r="AG587" i="1"/>
  <c r="AF587" i="1"/>
  <c r="AE587" i="1"/>
  <c r="AD587" i="1"/>
  <c r="AB587" i="1"/>
  <c r="X587" i="1"/>
  <c r="W587" i="1"/>
  <c r="V587" i="1"/>
  <c r="U587" i="1"/>
  <c r="S587" i="1"/>
  <c r="K587" i="1"/>
  <c r="J587" i="1"/>
  <c r="I587" i="1"/>
  <c r="CR586" i="1"/>
  <c r="CQ586" i="1"/>
  <c r="CP586" i="1"/>
  <c r="CO586" i="1"/>
  <c r="CM586" i="1"/>
  <c r="CI586" i="1"/>
  <c r="CH586" i="1"/>
  <c r="CG586" i="1"/>
  <c r="CF586" i="1"/>
  <c r="CD586" i="1"/>
  <c r="CC586" i="1"/>
  <c r="CB586" i="1"/>
  <c r="BZ586" i="1"/>
  <c r="BY586" i="1"/>
  <c r="BX586" i="1"/>
  <c r="BW586" i="1"/>
  <c r="BU586" i="1"/>
  <c r="BQ586" i="1"/>
  <c r="BP586" i="1"/>
  <c r="BO586" i="1"/>
  <c r="BN586" i="1"/>
  <c r="BL586" i="1"/>
  <c r="BH586" i="1"/>
  <c r="BG586" i="1"/>
  <c r="BF586" i="1"/>
  <c r="BE586" i="1"/>
  <c r="BC586" i="1"/>
  <c r="AY586" i="1"/>
  <c r="AX586" i="1"/>
  <c r="AW586" i="1"/>
  <c r="AV586" i="1"/>
  <c r="AT586" i="1"/>
  <c r="AP586" i="1"/>
  <c r="AO586" i="1"/>
  <c r="AN586" i="1"/>
  <c r="AM586" i="1"/>
  <c r="AK586" i="1"/>
  <c r="AG586" i="1"/>
  <c r="AF586" i="1"/>
  <c r="AE586" i="1"/>
  <c r="AD586" i="1"/>
  <c r="AB586" i="1"/>
  <c r="X586" i="1"/>
  <c r="W586" i="1"/>
  <c r="V586" i="1"/>
  <c r="U586" i="1"/>
  <c r="S586" i="1"/>
  <c r="K586" i="1"/>
  <c r="J586" i="1"/>
  <c r="I586" i="1"/>
  <c r="CR585" i="1"/>
  <c r="CQ585" i="1"/>
  <c r="CP585" i="1"/>
  <c r="CO585" i="1"/>
  <c r="CM585" i="1"/>
  <c r="CI585" i="1"/>
  <c r="CH585" i="1"/>
  <c r="CG585" i="1"/>
  <c r="CF585" i="1"/>
  <c r="CD585" i="1"/>
  <c r="CC585" i="1"/>
  <c r="CB585" i="1"/>
  <c r="BZ585" i="1"/>
  <c r="BY585" i="1"/>
  <c r="BX585" i="1"/>
  <c r="BW585" i="1"/>
  <c r="BU585" i="1"/>
  <c r="BQ585" i="1"/>
  <c r="BP585" i="1"/>
  <c r="BO585" i="1"/>
  <c r="BN585" i="1"/>
  <c r="BL585" i="1"/>
  <c r="BH585" i="1"/>
  <c r="BG585" i="1"/>
  <c r="BF585" i="1"/>
  <c r="BE585" i="1"/>
  <c r="BC585" i="1"/>
  <c r="AY585" i="1"/>
  <c r="AX585" i="1"/>
  <c r="AW585" i="1"/>
  <c r="AV585" i="1"/>
  <c r="AT585" i="1"/>
  <c r="AP585" i="1"/>
  <c r="AO585" i="1"/>
  <c r="AN585" i="1"/>
  <c r="AM585" i="1"/>
  <c r="AK585" i="1"/>
  <c r="AG585" i="1"/>
  <c r="AF585" i="1"/>
  <c r="AE585" i="1"/>
  <c r="AD585" i="1"/>
  <c r="AB585" i="1"/>
  <c r="X585" i="1"/>
  <c r="W585" i="1"/>
  <c r="V585" i="1"/>
  <c r="U585" i="1"/>
  <c r="S585" i="1"/>
  <c r="K585" i="1"/>
  <c r="J585" i="1"/>
  <c r="I585" i="1"/>
  <c r="CR584" i="1"/>
  <c r="CQ584" i="1"/>
  <c r="CP584" i="1"/>
  <c r="CO584" i="1"/>
  <c r="CM584" i="1"/>
  <c r="CI584" i="1"/>
  <c r="CH584" i="1"/>
  <c r="CG584" i="1"/>
  <c r="CF584" i="1"/>
  <c r="CD584" i="1"/>
  <c r="CC584" i="1"/>
  <c r="CB584" i="1"/>
  <c r="BZ584" i="1"/>
  <c r="BY584" i="1"/>
  <c r="BX584" i="1"/>
  <c r="BW584" i="1"/>
  <c r="BU584" i="1"/>
  <c r="BQ584" i="1"/>
  <c r="BP584" i="1"/>
  <c r="BO584" i="1"/>
  <c r="BN584" i="1"/>
  <c r="BL584" i="1"/>
  <c r="BH584" i="1"/>
  <c r="BG584" i="1"/>
  <c r="BF584" i="1"/>
  <c r="BE584" i="1"/>
  <c r="BC584" i="1"/>
  <c r="AY584" i="1"/>
  <c r="AX584" i="1"/>
  <c r="AW584" i="1"/>
  <c r="AV584" i="1"/>
  <c r="AT584" i="1"/>
  <c r="AP584" i="1"/>
  <c r="AO584" i="1"/>
  <c r="AN584" i="1"/>
  <c r="AM584" i="1"/>
  <c r="AK584" i="1"/>
  <c r="AG584" i="1"/>
  <c r="AF584" i="1"/>
  <c r="AE584" i="1"/>
  <c r="AD584" i="1"/>
  <c r="AB584" i="1"/>
  <c r="X584" i="1"/>
  <c r="W584" i="1"/>
  <c r="V584" i="1"/>
  <c r="U584" i="1"/>
  <c r="S584" i="1"/>
  <c r="K584" i="1"/>
  <c r="J584" i="1"/>
  <c r="I584" i="1"/>
  <c r="CR583" i="1"/>
  <c r="CQ583" i="1"/>
  <c r="CP583" i="1"/>
  <c r="CO583" i="1"/>
  <c r="CM583" i="1"/>
  <c r="CI583" i="1"/>
  <c r="CH583" i="1"/>
  <c r="CG583" i="1"/>
  <c r="CF583" i="1"/>
  <c r="CD583" i="1"/>
  <c r="CC583" i="1"/>
  <c r="CB583" i="1"/>
  <c r="BZ583" i="1"/>
  <c r="BY583" i="1"/>
  <c r="BX583" i="1"/>
  <c r="BW583" i="1"/>
  <c r="BU583" i="1"/>
  <c r="BQ583" i="1"/>
  <c r="BP583" i="1"/>
  <c r="BO583" i="1"/>
  <c r="BN583" i="1"/>
  <c r="BL583" i="1"/>
  <c r="BH583" i="1"/>
  <c r="BG583" i="1"/>
  <c r="BF583" i="1"/>
  <c r="BE583" i="1"/>
  <c r="BC583" i="1"/>
  <c r="AY583" i="1"/>
  <c r="AX583" i="1"/>
  <c r="AW583" i="1"/>
  <c r="AV583" i="1"/>
  <c r="AT583" i="1"/>
  <c r="AP583" i="1"/>
  <c r="AO583" i="1"/>
  <c r="AN583" i="1"/>
  <c r="AM583" i="1"/>
  <c r="AK583" i="1"/>
  <c r="AG583" i="1"/>
  <c r="AF583" i="1"/>
  <c r="AE583" i="1"/>
  <c r="AD583" i="1"/>
  <c r="AB583" i="1"/>
  <c r="X583" i="1"/>
  <c r="W583" i="1"/>
  <c r="V583" i="1"/>
  <c r="U583" i="1"/>
  <c r="S583" i="1"/>
  <c r="K583" i="1"/>
  <c r="J583" i="1"/>
  <c r="I583" i="1"/>
  <c r="CR582" i="1"/>
  <c r="CQ582" i="1"/>
  <c r="CP582" i="1"/>
  <c r="CO582" i="1"/>
  <c r="CM582" i="1"/>
  <c r="CI582" i="1"/>
  <c r="CH582" i="1"/>
  <c r="CG582" i="1"/>
  <c r="CF582" i="1"/>
  <c r="CD582" i="1"/>
  <c r="CC582" i="1"/>
  <c r="CB582" i="1"/>
  <c r="BZ582" i="1"/>
  <c r="BY582" i="1"/>
  <c r="BX582" i="1"/>
  <c r="BW582" i="1"/>
  <c r="BU582" i="1"/>
  <c r="BQ582" i="1"/>
  <c r="BP582" i="1"/>
  <c r="BO582" i="1"/>
  <c r="BN582" i="1"/>
  <c r="BL582" i="1"/>
  <c r="BH582" i="1"/>
  <c r="BG582" i="1"/>
  <c r="BF582" i="1"/>
  <c r="BE582" i="1"/>
  <c r="BC582" i="1"/>
  <c r="AY582" i="1"/>
  <c r="AX582" i="1"/>
  <c r="AW582" i="1"/>
  <c r="AV582" i="1"/>
  <c r="AT582" i="1"/>
  <c r="AP582" i="1"/>
  <c r="AO582" i="1"/>
  <c r="AN582" i="1"/>
  <c r="AM582" i="1"/>
  <c r="AK582" i="1"/>
  <c r="AG582" i="1"/>
  <c r="AF582" i="1"/>
  <c r="AE582" i="1"/>
  <c r="AD582" i="1"/>
  <c r="AB582" i="1"/>
  <c r="X582" i="1"/>
  <c r="W582" i="1"/>
  <c r="V582" i="1"/>
  <c r="U582" i="1"/>
  <c r="S582" i="1"/>
  <c r="K582" i="1"/>
  <c r="J582" i="1"/>
  <c r="I582" i="1"/>
  <c r="CR581" i="1"/>
  <c r="CQ581" i="1"/>
  <c r="CP581" i="1"/>
  <c r="CO581" i="1"/>
  <c r="CM581" i="1"/>
  <c r="CI581" i="1"/>
  <c r="CH581" i="1"/>
  <c r="CG581" i="1"/>
  <c r="CF581" i="1"/>
  <c r="CD581" i="1"/>
  <c r="CC581" i="1"/>
  <c r="CB581" i="1"/>
  <c r="BZ581" i="1"/>
  <c r="BY581" i="1"/>
  <c r="BX581" i="1"/>
  <c r="BW581" i="1"/>
  <c r="BU581" i="1"/>
  <c r="BQ581" i="1"/>
  <c r="BP581" i="1"/>
  <c r="BO581" i="1"/>
  <c r="BN581" i="1"/>
  <c r="BL581" i="1"/>
  <c r="BH581" i="1"/>
  <c r="BG581" i="1"/>
  <c r="BF581" i="1"/>
  <c r="BE581" i="1"/>
  <c r="BC581" i="1"/>
  <c r="AY581" i="1"/>
  <c r="AX581" i="1"/>
  <c r="AW581" i="1"/>
  <c r="AV581" i="1"/>
  <c r="AT581" i="1"/>
  <c r="AP581" i="1"/>
  <c r="AO581" i="1"/>
  <c r="AN581" i="1"/>
  <c r="AM581" i="1"/>
  <c r="AK581" i="1"/>
  <c r="AG581" i="1"/>
  <c r="AF581" i="1"/>
  <c r="AE581" i="1"/>
  <c r="AD581" i="1"/>
  <c r="AB581" i="1"/>
  <c r="X581" i="1"/>
  <c r="W581" i="1"/>
  <c r="V581" i="1"/>
  <c r="U581" i="1"/>
  <c r="S581" i="1"/>
  <c r="K581" i="1"/>
  <c r="J581" i="1"/>
  <c r="I581" i="1"/>
  <c r="CR580" i="1"/>
  <c r="CQ580" i="1"/>
  <c r="CP580" i="1"/>
  <c r="CO580" i="1"/>
  <c r="CM580" i="1"/>
  <c r="CI580" i="1"/>
  <c r="CH580" i="1"/>
  <c r="CG580" i="1"/>
  <c r="CF580" i="1"/>
  <c r="CD580" i="1"/>
  <c r="CC580" i="1"/>
  <c r="CB580" i="1"/>
  <c r="BZ580" i="1"/>
  <c r="BY580" i="1"/>
  <c r="BX580" i="1"/>
  <c r="BW580" i="1"/>
  <c r="BU580" i="1"/>
  <c r="BQ580" i="1"/>
  <c r="BP580" i="1"/>
  <c r="BO580" i="1"/>
  <c r="BN580" i="1"/>
  <c r="BL580" i="1"/>
  <c r="BH580" i="1"/>
  <c r="BG580" i="1"/>
  <c r="BF580" i="1"/>
  <c r="BE580" i="1"/>
  <c r="BC580" i="1"/>
  <c r="AY580" i="1"/>
  <c r="AX580" i="1"/>
  <c r="AW580" i="1"/>
  <c r="AV580" i="1"/>
  <c r="AT580" i="1"/>
  <c r="AP580" i="1"/>
  <c r="AO580" i="1"/>
  <c r="AN580" i="1"/>
  <c r="AM580" i="1"/>
  <c r="AK580" i="1"/>
  <c r="AG580" i="1"/>
  <c r="AF580" i="1"/>
  <c r="AE580" i="1"/>
  <c r="AD580" i="1"/>
  <c r="AB580" i="1"/>
  <c r="X580" i="1"/>
  <c r="W580" i="1"/>
  <c r="V580" i="1"/>
  <c r="U580" i="1"/>
  <c r="S580" i="1"/>
  <c r="K580" i="1"/>
  <c r="J580" i="1"/>
  <c r="I580" i="1"/>
  <c r="CL578" i="1"/>
  <c r="CC578" i="1"/>
  <c r="BT578" i="1"/>
  <c r="BS578" i="1"/>
  <c r="BK578" i="1"/>
  <c r="BJ578" i="1"/>
  <c r="BB578" i="1"/>
  <c r="BA578" i="1"/>
  <c r="AS578" i="1"/>
  <c r="AR578" i="1"/>
  <c r="AJ578" i="1"/>
  <c r="AI578" i="1"/>
  <c r="AA578" i="1"/>
  <c r="Z578" i="1"/>
  <c r="R578" i="1"/>
  <c r="Q578" i="1"/>
  <c r="E578" i="1"/>
  <c r="D578" i="1"/>
  <c r="CM577" i="1"/>
  <c r="CK577" i="1"/>
  <c r="CD577" i="1"/>
  <c r="CB577" i="1"/>
  <c r="BU577" i="1"/>
  <c r="BS577" i="1"/>
  <c r="BL577" i="1"/>
  <c r="BJ577" i="1"/>
  <c r="BC577" i="1"/>
  <c r="BA577" i="1"/>
  <c r="AT577" i="1"/>
  <c r="AR577" i="1"/>
  <c r="AK577" i="1"/>
  <c r="AI577" i="1"/>
  <c r="AB577" i="1"/>
  <c r="Z577" i="1"/>
  <c r="S577" i="1"/>
  <c r="Q577" i="1"/>
  <c r="I577" i="1"/>
  <c r="CK576" i="1"/>
  <c r="CB576" i="1"/>
  <c r="BS576" i="1"/>
  <c r="BJ576" i="1"/>
  <c r="BA576" i="1"/>
  <c r="AR576" i="1"/>
  <c r="AI576" i="1"/>
  <c r="Z576" i="1"/>
  <c r="Q576" i="1"/>
  <c r="E575" i="1"/>
  <c r="E574" i="1"/>
  <c r="CM570" i="1"/>
  <c r="CL570" i="1"/>
  <c r="CK570" i="1"/>
  <c r="CD570" i="1"/>
  <c r="CC570" i="1"/>
  <c r="CB570" i="1"/>
  <c r="BU570" i="1"/>
  <c r="BT570" i="1"/>
  <c r="BS570" i="1"/>
  <c r="BL570" i="1"/>
  <c r="BK570" i="1"/>
  <c r="BJ570" i="1"/>
  <c r="BC570" i="1"/>
  <c r="BB570" i="1"/>
  <c r="BA570" i="1"/>
  <c r="AT570" i="1"/>
  <c r="AS570" i="1"/>
  <c r="AR570" i="1"/>
  <c r="AK570" i="1"/>
  <c r="AJ570" i="1"/>
  <c r="AI570" i="1"/>
  <c r="AB570" i="1"/>
  <c r="AA570" i="1"/>
  <c r="Z570" i="1"/>
  <c r="S570" i="1"/>
  <c r="R570" i="1"/>
  <c r="Q570" i="1"/>
  <c r="K570" i="1"/>
  <c r="J570" i="1"/>
  <c r="I570" i="1"/>
  <c r="H570" i="1"/>
  <c r="F570" i="1"/>
  <c r="CR569" i="1"/>
  <c r="CQ569" i="1"/>
  <c r="CP569" i="1"/>
  <c r="CO569" i="1"/>
  <c r="CM569" i="1"/>
  <c r="CI569" i="1"/>
  <c r="CH569" i="1"/>
  <c r="CG569" i="1"/>
  <c r="CF569" i="1"/>
  <c r="CD569" i="1"/>
  <c r="CC569" i="1"/>
  <c r="CB569" i="1"/>
  <c r="BZ569" i="1"/>
  <c r="BY569" i="1"/>
  <c r="BX569" i="1"/>
  <c r="BW569" i="1"/>
  <c r="BU569" i="1"/>
  <c r="BQ569" i="1"/>
  <c r="BP569" i="1"/>
  <c r="BO569" i="1"/>
  <c r="BN569" i="1"/>
  <c r="BL569" i="1"/>
  <c r="BH569" i="1"/>
  <c r="BG569" i="1"/>
  <c r="BF569" i="1"/>
  <c r="BE569" i="1"/>
  <c r="BC569" i="1"/>
  <c r="AY569" i="1"/>
  <c r="AX569" i="1"/>
  <c r="AW569" i="1"/>
  <c r="AV569" i="1"/>
  <c r="AT569" i="1"/>
  <c r="AP569" i="1"/>
  <c r="AO569" i="1"/>
  <c r="AN569" i="1"/>
  <c r="AM569" i="1"/>
  <c r="AK569" i="1"/>
  <c r="AG569" i="1"/>
  <c r="AF569" i="1"/>
  <c r="AE569" i="1"/>
  <c r="AD569" i="1"/>
  <c r="AB569" i="1"/>
  <c r="X569" i="1"/>
  <c r="W569" i="1"/>
  <c r="V569" i="1"/>
  <c r="U569" i="1"/>
  <c r="S569" i="1"/>
  <c r="K569" i="1"/>
  <c r="J569" i="1"/>
  <c r="I569" i="1"/>
  <c r="CR568" i="1"/>
  <c r="CQ568" i="1"/>
  <c r="CP568" i="1"/>
  <c r="CO568" i="1"/>
  <c r="CM568" i="1"/>
  <c r="CI568" i="1"/>
  <c r="CH568" i="1"/>
  <c r="CG568" i="1"/>
  <c r="CF568" i="1"/>
  <c r="CD568" i="1"/>
  <c r="CC568" i="1"/>
  <c r="CB568" i="1"/>
  <c r="BZ568" i="1"/>
  <c r="BY568" i="1"/>
  <c r="BX568" i="1"/>
  <c r="BW568" i="1"/>
  <c r="BU568" i="1"/>
  <c r="BQ568" i="1"/>
  <c r="BP568" i="1"/>
  <c r="BO568" i="1"/>
  <c r="BN568" i="1"/>
  <c r="BL568" i="1"/>
  <c r="BH568" i="1"/>
  <c r="BG568" i="1"/>
  <c r="BF568" i="1"/>
  <c r="BE568" i="1"/>
  <c r="BC568" i="1"/>
  <c r="AY568" i="1"/>
  <c r="AX568" i="1"/>
  <c r="AW568" i="1"/>
  <c r="AV568" i="1"/>
  <c r="AT568" i="1"/>
  <c r="AP568" i="1"/>
  <c r="AO568" i="1"/>
  <c r="AN568" i="1"/>
  <c r="AM568" i="1"/>
  <c r="AK568" i="1"/>
  <c r="AG568" i="1"/>
  <c r="AF568" i="1"/>
  <c r="AE568" i="1"/>
  <c r="AD568" i="1"/>
  <c r="AB568" i="1"/>
  <c r="X568" i="1"/>
  <c r="W568" i="1"/>
  <c r="V568" i="1"/>
  <c r="U568" i="1"/>
  <c r="S568" i="1"/>
  <c r="K568" i="1"/>
  <c r="J568" i="1"/>
  <c r="I568" i="1"/>
  <c r="CR567" i="1"/>
  <c r="CQ567" i="1"/>
  <c r="CP567" i="1"/>
  <c r="CO567" i="1"/>
  <c r="CM567" i="1"/>
  <c r="CI567" i="1"/>
  <c r="CH567" i="1"/>
  <c r="CG567" i="1"/>
  <c r="CF567" i="1"/>
  <c r="CD567" i="1"/>
  <c r="CC567" i="1"/>
  <c r="CB567" i="1"/>
  <c r="BZ567" i="1"/>
  <c r="BY567" i="1"/>
  <c r="BX567" i="1"/>
  <c r="BW567" i="1"/>
  <c r="BU567" i="1"/>
  <c r="BQ567" i="1"/>
  <c r="BP567" i="1"/>
  <c r="BO567" i="1"/>
  <c r="BN567" i="1"/>
  <c r="BL567" i="1"/>
  <c r="BH567" i="1"/>
  <c r="BG567" i="1"/>
  <c r="BF567" i="1"/>
  <c r="BE567" i="1"/>
  <c r="BC567" i="1"/>
  <c r="AY567" i="1"/>
  <c r="AX567" i="1"/>
  <c r="AW567" i="1"/>
  <c r="AV567" i="1"/>
  <c r="AT567" i="1"/>
  <c r="AP567" i="1"/>
  <c r="AO567" i="1"/>
  <c r="AN567" i="1"/>
  <c r="AM567" i="1"/>
  <c r="AK567" i="1"/>
  <c r="AG567" i="1"/>
  <c r="AF567" i="1"/>
  <c r="AE567" i="1"/>
  <c r="AD567" i="1"/>
  <c r="AB567" i="1"/>
  <c r="X567" i="1"/>
  <c r="W567" i="1"/>
  <c r="V567" i="1"/>
  <c r="U567" i="1"/>
  <c r="S567" i="1"/>
  <c r="K567" i="1"/>
  <c r="J567" i="1"/>
  <c r="I567" i="1"/>
  <c r="CR566" i="1"/>
  <c r="CQ566" i="1"/>
  <c r="CP566" i="1"/>
  <c r="CO566" i="1"/>
  <c r="CM566" i="1"/>
  <c r="CI566" i="1"/>
  <c r="CH566" i="1"/>
  <c r="CG566" i="1"/>
  <c r="CF566" i="1"/>
  <c r="CD566" i="1"/>
  <c r="CC566" i="1"/>
  <c r="CB566" i="1"/>
  <c r="BZ566" i="1"/>
  <c r="BY566" i="1"/>
  <c r="BX566" i="1"/>
  <c r="BW566" i="1"/>
  <c r="BU566" i="1"/>
  <c r="BQ566" i="1"/>
  <c r="BP566" i="1"/>
  <c r="BO566" i="1"/>
  <c r="BN566" i="1"/>
  <c r="BL566" i="1"/>
  <c r="BH566" i="1"/>
  <c r="BG566" i="1"/>
  <c r="BF566" i="1"/>
  <c r="BE566" i="1"/>
  <c r="BC566" i="1"/>
  <c r="AY566" i="1"/>
  <c r="AX566" i="1"/>
  <c r="AW566" i="1"/>
  <c r="AV566" i="1"/>
  <c r="AT566" i="1"/>
  <c r="AP566" i="1"/>
  <c r="AO566" i="1"/>
  <c r="AN566" i="1"/>
  <c r="AM566" i="1"/>
  <c r="AK566" i="1"/>
  <c r="AG566" i="1"/>
  <c r="AF566" i="1"/>
  <c r="AE566" i="1"/>
  <c r="AD566" i="1"/>
  <c r="AB566" i="1"/>
  <c r="X566" i="1"/>
  <c r="W566" i="1"/>
  <c r="V566" i="1"/>
  <c r="U566" i="1"/>
  <c r="S566" i="1"/>
  <c r="K566" i="1"/>
  <c r="J566" i="1"/>
  <c r="I566" i="1"/>
  <c r="CR565" i="1"/>
  <c r="CQ565" i="1"/>
  <c r="CP565" i="1"/>
  <c r="CO565" i="1"/>
  <c r="CM565" i="1"/>
  <c r="CI565" i="1"/>
  <c r="CH565" i="1"/>
  <c r="CG565" i="1"/>
  <c r="CF565" i="1"/>
  <c r="CD565" i="1"/>
  <c r="CC565" i="1"/>
  <c r="CB565" i="1"/>
  <c r="BZ565" i="1"/>
  <c r="BY565" i="1"/>
  <c r="BX565" i="1"/>
  <c r="BW565" i="1"/>
  <c r="BU565" i="1"/>
  <c r="BQ565" i="1"/>
  <c r="BP565" i="1"/>
  <c r="BO565" i="1"/>
  <c r="BN565" i="1"/>
  <c r="BL565" i="1"/>
  <c r="BH565" i="1"/>
  <c r="BG565" i="1"/>
  <c r="BF565" i="1"/>
  <c r="BE565" i="1"/>
  <c r="BC565" i="1"/>
  <c r="AY565" i="1"/>
  <c r="AX565" i="1"/>
  <c r="AW565" i="1"/>
  <c r="AV565" i="1"/>
  <c r="AT565" i="1"/>
  <c r="AP565" i="1"/>
  <c r="AO565" i="1"/>
  <c r="AN565" i="1"/>
  <c r="AM565" i="1"/>
  <c r="AK565" i="1"/>
  <c r="AG565" i="1"/>
  <c r="AF565" i="1"/>
  <c r="AE565" i="1"/>
  <c r="AD565" i="1"/>
  <c r="AB565" i="1"/>
  <c r="X565" i="1"/>
  <c r="W565" i="1"/>
  <c r="V565" i="1"/>
  <c r="U565" i="1"/>
  <c r="S565" i="1"/>
  <c r="K565" i="1"/>
  <c r="J565" i="1"/>
  <c r="I565" i="1"/>
  <c r="CR564" i="1"/>
  <c r="CQ564" i="1"/>
  <c r="CP564" i="1"/>
  <c r="CO564" i="1"/>
  <c r="CM564" i="1"/>
  <c r="CI564" i="1"/>
  <c r="CH564" i="1"/>
  <c r="CG564" i="1"/>
  <c r="CF564" i="1"/>
  <c r="CD564" i="1"/>
  <c r="CC564" i="1"/>
  <c r="CB564" i="1"/>
  <c r="BZ564" i="1"/>
  <c r="BY564" i="1"/>
  <c r="BX564" i="1"/>
  <c r="BW564" i="1"/>
  <c r="BU564" i="1"/>
  <c r="BQ564" i="1"/>
  <c r="BP564" i="1"/>
  <c r="BO564" i="1"/>
  <c r="BN564" i="1"/>
  <c r="BL564" i="1"/>
  <c r="BH564" i="1"/>
  <c r="BG564" i="1"/>
  <c r="BF564" i="1"/>
  <c r="BE564" i="1"/>
  <c r="BC564" i="1"/>
  <c r="AY564" i="1"/>
  <c r="AX564" i="1"/>
  <c r="AW564" i="1"/>
  <c r="AV564" i="1"/>
  <c r="AT564" i="1"/>
  <c r="AP564" i="1"/>
  <c r="AO564" i="1"/>
  <c r="AN564" i="1"/>
  <c r="AM564" i="1"/>
  <c r="AK564" i="1"/>
  <c r="AG564" i="1"/>
  <c r="AF564" i="1"/>
  <c r="AE564" i="1"/>
  <c r="AD564" i="1"/>
  <c r="AB564" i="1"/>
  <c r="X564" i="1"/>
  <c r="W564" i="1"/>
  <c r="V564" i="1"/>
  <c r="U564" i="1"/>
  <c r="S564" i="1"/>
  <c r="K564" i="1"/>
  <c r="J564" i="1"/>
  <c r="I564" i="1"/>
  <c r="CR563" i="1"/>
  <c r="CQ563" i="1"/>
  <c r="CP563" i="1"/>
  <c r="CO563" i="1"/>
  <c r="CM563" i="1"/>
  <c r="CI563" i="1"/>
  <c r="CH563" i="1"/>
  <c r="CG563" i="1"/>
  <c r="CF563" i="1"/>
  <c r="CD563" i="1"/>
  <c r="CC563" i="1"/>
  <c r="CB563" i="1"/>
  <c r="BZ563" i="1"/>
  <c r="BY563" i="1"/>
  <c r="BX563" i="1"/>
  <c r="BW563" i="1"/>
  <c r="BU563" i="1"/>
  <c r="BQ563" i="1"/>
  <c r="BP563" i="1"/>
  <c r="BO563" i="1"/>
  <c r="BN563" i="1"/>
  <c r="BL563" i="1"/>
  <c r="BH563" i="1"/>
  <c r="BG563" i="1"/>
  <c r="BF563" i="1"/>
  <c r="BE563" i="1"/>
  <c r="BC563" i="1"/>
  <c r="AY563" i="1"/>
  <c r="AX563" i="1"/>
  <c r="AW563" i="1"/>
  <c r="AV563" i="1"/>
  <c r="AT563" i="1"/>
  <c r="AP563" i="1"/>
  <c r="AO563" i="1"/>
  <c r="AN563" i="1"/>
  <c r="AM563" i="1"/>
  <c r="AK563" i="1"/>
  <c r="AG563" i="1"/>
  <c r="AF563" i="1"/>
  <c r="AE563" i="1"/>
  <c r="AD563" i="1"/>
  <c r="AB563" i="1"/>
  <c r="X563" i="1"/>
  <c r="W563" i="1"/>
  <c r="V563" i="1"/>
  <c r="U563" i="1"/>
  <c r="S563" i="1"/>
  <c r="K563" i="1"/>
  <c r="J563" i="1"/>
  <c r="I563" i="1"/>
  <c r="CR562" i="1"/>
  <c r="CQ562" i="1"/>
  <c r="CP562" i="1"/>
  <c r="CO562" i="1"/>
  <c r="CM562" i="1"/>
  <c r="CI562" i="1"/>
  <c r="CH562" i="1"/>
  <c r="CG562" i="1"/>
  <c r="CF562" i="1"/>
  <c r="CD562" i="1"/>
  <c r="CC562" i="1"/>
  <c r="CB562" i="1"/>
  <c r="BZ562" i="1"/>
  <c r="BY562" i="1"/>
  <c r="BX562" i="1"/>
  <c r="BW562" i="1"/>
  <c r="BU562" i="1"/>
  <c r="BQ562" i="1"/>
  <c r="BP562" i="1"/>
  <c r="BO562" i="1"/>
  <c r="BN562" i="1"/>
  <c r="BL562" i="1"/>
  <c r="BH562" i="1"/>
  <c r="BG562" i="1"/>
  <c r="BF562" i="1"/>
  <c r="BE562" i="1"/>
  <c r="BC562" i="1"/>
  <c r="AY562" i="1"/>
  <c r="AX562" i="1"/>
  <c r="AW562" i="1"/>
  <c r="AV562" i="1"/>
  <c r="AT562" i="1"/>
  <c r="AP562" i="1"/>
  <c r="AO562" i="1"/>
  <c r="AN562" i="1"/>
  <c r="AM562" i="1"/>
  <c r="AK562" i="1"/>
  <c r="AG562" i="1"/>
  <c r="AF562" i="1"/>
  <c r="AE562" i="1"/>
  <c r="AD562" i="1"/>
  <c r="AB562" i="1"/>
  <c r="X562" i="1"/>
  <c r="W562" i="1"/>
  <c r="V562" i="1"/>
  <c r="U562" i="1"/>
  <c r="S562" i="1"/>
  <c r="K562" i="1"/>
  <c r="J562" i="1"/>
  <c r="I562" i="1"/>
  <c r="CR561" i="1"/>
  <c r="CQ561" i="1"/>
  <c r="CP561" i="1"/>
  <c r="CO561" i="1"/>
  <c r="CM561" i="1"/>
  <c r="CI561" i="1"/>
  <c r="CH561" i="1"/>
  <c r="CG561" i="1"/>
  <c r="CF561" i="1"/>
  <c r="CD561" i="1"/>
  <c r="CC561" i="1"/>
  <c r="CB561" i="1"/>
  <c r="BZ561" i="1"/>
  <c r="BY561" i="1"/>
  <c r="BX561" i="1"/>
  <c r="BW561" i="1"/>
  <c r="BU561" i="1"/>
  <c r="BQ561" i="1"/>
  <c r="BP561" i="1"/>
  <c r="BO561" i="1"/>
  <c r="BN561" i="1"/>
  <c r="BL561" i="1"/>
  <c r="BH561" i="1"/>
  <c r="BG561" i="1"/>
  <c r="BF561" i="1"/>
  <c r="BE561" i="1"/>
  <c r="BC561" i="1"/>
  <c r="AY561" i="1"/>
  <c r="AX561" i="1"/>
  <c r="AW561" i="1"/>
  <c r="AV561" i="1"/>
  <c r="AT561" i="1"/>
  <c r="AP561" i="1"/>
  <c r="AO561" i="1"/>
  <c r="AN561" i="1"/>
  <c r="AM561" i="1"/>
  <c r="AK561" i="1"/>
  <c r="AG561" i="1"/>
  <c r="AF561" i="1"/>
  <c r="AE561" i="1"/>
  <c r="AD561" i="1"/>
  <c r="AB561" i="1"/>
  <c r="X561" i="1"/>
  <c r="W561" i="1"/>
  <c r="V561" i="1"/>
  <c r="U561" i="1"/>
  <c r="S561" i="1"/>
  <c r="K561" i="1"/>
  <c r="J561" i="1"/>
  <c r="I561" i="1"/>
  <c r="CR560" i="1"/>
  <c r="CQ560" i="1"/>
  <c r="CP560" i="1"/>
  <c r="CO560" i="1"/>
  <c r="CM560" i="1"/>
  <c r="CI560" i="1"/>
  <c r="CH560" i="1"/>
  <c r="CG560" i="1"/>
  <c r="CF560" i="1"/>
  <c r="CD560" i="1"/>
  <c r="CC560" i="1"/>
  <c r="CB560" i="1"/>
  <c r="BZ560" i="1"/>
  <c r="BY560" i="1"/>
  <c r="BX560" i="1"/>
  <c r="BW560" i="1"/>
  <c r="BU560" i="1"/>
  <c r="BQ560" i="1"/>
  <c r="BP560" i="1"/>
  <c r="BO560" i="1"/>
  <c r="BN560" i="1"/>
  <c r="BL560" i="1"/>
  <c r="BH560" i="1"/>
  <c r="BG560" i="1"/>
  <c r="BF560" i="1"/>
  <c r="BE560" i="1"/>
  <c r="BC560" i="1"/>
  <c r="AY560" i="1"/>
  <c r="AX560" i="1"/>
  <c r="AW560" i="1"/>
  <c r="AV560" i="1"/>
  <c r="AT560" i="1"/>
  <c r="AP560" i="1"/>
  <c r="AO560" i="1"/>
  <c r="AN560" i="1"/>
  <c r="AM560" i="1"/>
  <c r="AK560" i="1"/>
  <c r="AG560" i="1"/>
  <c r="AF560" i="1"/>
  <c r="AE560" i="1"/>
  <c r="AD560" i="1"/>
  <c r="AB560" i="1"/>
  <c r="X560" i="1"/>
  <c r="W560" i="1"/>
  <c r="V560" i="1"/>
  <c r="U560" i="1"/>
  <c r="S560" i="1"/>
  <c r="K560" i="1"/>
  <c r="J560" i="1"/>
  <c r="I560" i="1"/>
  <c r="CR559" i="1"/>
  <c r="CQ559" i="1"/>
  <c r="CP559" i="1"/>
  <c r="CO559" i="1"/>
  <c r="CM559" i="1"/>
  <c r="CI559" i="1"/>
  <c r="CH559" i="1"/>
  <c r="CG559" i="1"/>
  <c r="CF559" i="1"/>
  <c r="CD559" i="1"/>
  <c r="CC559" i="1"/>
  <c r="CB559" i="1"/>
  <c r="BZ559" i="1"/>
  <c r="BY559" i="1"/>
  <c r="BX559" i="1"/>
  <c r="BW559" i="1"/>
  <c r="BU559" i="1"/>
  <c r="BQ559" i="1"/>
  <c r="BP559" i="1"/>
  <c r="BO559" i="1"/>
  <c r="BN559" i="1"/>
  <c r="BL559" i="1"/>
  <c r="BH559" i="1"/>
  <c r="BG559" i="1"/>
  <c r="BF559" i="1"/>
  <c r="BE559" i="1"/>
  <c r="BC559" i="1"/>
  <c r="AY559" i="1"/>
  <c r="AX559" i="1"/>
  <c r="AW559" i="1"/>
  <c r="AV559" i="1"/>
  <c r="AT559" i="1"/>
  <c r="AP559" i="1"/>
  <c r="AO559" i="1"/>
  <c r="AN559" i="1"/>
  <c r="AM559" i="1"/>
  <c r="AK559" i="1"/>
  <c r="AG559" i="1"/>
  <c r="AF559" i="1"/>
  <c r="AE559" i="1"/>
  <c r="AD559" i="1"/>
  <c r="AB559" i="1"/>
  <c r="X559" i="1"/>
  <c r="W559" i="1"/>
  <c r="V559" i="1"/>
  <c r="U559" i="1"/>
  <c r="S559" i="1"/>
  <c r="K559" i="1"/>
  <c r="J559" i="1"/>
  <c r="I559" i="1"/>
  <c r="CR558" i="1"/>
  <c r="CQ558" i="1"/>
  <c r="CP558" i="1"/>
  <c r="CO558" i="1"/>
  <c r="CM558" i="1"/>
  <c r="CI558" i="1"/>
  <c r="CH558" i="1"/>
  <c r="CG558" i="1"/>
  <c r="CF558" i="1"/>
  <c r="CD558" i="1"/>
  <c r="CC558" i="1"/>
  <c r="CB558" i="1"/>
  <c r="BZ558" i="1"/>
  <c r="BY558" i="1"/>
  <c r="BX558" i="1"/>
  <c r="BW558" i="1"/>
  <c r="BU558" i="1"/>
  <c r="BQ558" i="1"/>
  <c r="BP558" i="1"/>
  <c r="BO558" i="1"/>
  <c r="BN558" i="1"/>
  <c r="BL558" i="1"/>
  <c r="BH558" i="1"/>
  <c r="BG558" i="1"/>
  <c r="BF558" i="1"/>
  <c r="BE558" i="1"/>
  <c r="BC558" i="1"/>
  <c r="AY558" i="1"/>
  <c r="AX558" i="1"/>
  <c r="AW558" i="1"/>
  <c r="AV558" i="1"/>
  <c r="AT558" i="1"/>
  <c r="AP558" i="1"/>
  <c r="AO558" i="1"/>
  <c r="AN558" i="1"/>
  <c r="AM558" i="1"/>
  <c r="AK558" i="1"/>
  <c r="AG558" i="1"/>
  <c r="AF558" i="1"/>
  <c r="AE558" i="1"/>
  <c r="AD558" i="1"/>
  <c r="AB558" i="1"/>
  <c r="X558" i="1"/>
  <c r="W558" i="1"/>
  <c r="V558" i="1"/>
  <c r="U558" i="1"/>
  <c r="S558" i="1"/>
  <c r="K558" i="1"/>
  <c r="J558" i="1"/>
  <c r="I558" i="1"/>
  <c r="CL556" i="1"/>
  <c r="CC556" i="1"/>
  <c r="BT556" i="1"/>
  <c r="BS556" i="1"/>
  <c r="BK556" i="1"/>
  <c r="BJ556" i="1"/>
  <c r="BB556" i="1"/>
  <c r="BA556" i="1"/>
  <c r="AS556" i="1"/>
  <c r="AR556" i="1"/>
  <c r="AJ556" i="1"/>
  <c r="AI556" i="1"/>
  <c r="AA556" i="1"/>
  <c r="Z556" i="1"/>
  <c r="R556" i="1"/>
  <c r="Q556" i="1"/>
  <c r="E556" i="1"/>
  <c r="D556" i="1"/>
  <c r="CM555" i="1"/>
  <c r="CK555" i="1"/>
  <c r="CD555" i="1"/>
  <c r="CB555" i="1"/>
  <c r="BU555" i="1"/>
  <c r="BS555" i="1"/>
  <c r="BL555" i="1"/>
  <c r="BJ555" i="1"/>
  <c r="BC555" i="1"/>
  <c r="BA555" i="1"/>
  <c r="AT555" i="1"/>
  <c r="AR555" i="1"/>
  <c r="AK555" i="1"/>
  <c r="AI555" i="1"/>
  <c r="AB555" i="1"/>
  <c r="Z555" i="1"/>
  <c r="S555" i="1"/>
  <c r="Q555" i="1"/>
  <c r="I555" i="1"/>
  <c r="CK554" i="1"/>
  <c r="CB554" i="1"/>
  <c r="BS554" i="1"/>
  <c r="BJ554" i="1"/>
  <c r="BA554" i="1"/>
  <c r="AR554" i="1"/>
  <c r="AI554" i="1"/>
  <c r="Z554" i="1"/>
  <c r="Q554" i="1"/>
  <c r="E553" i="1"/>
  <c r="E552" i="1"/>
  <c r="CM548" i="1"/>
  <c r="CL548" i="1"/>
  <c r="CK548" i="1"/>
  <c r="CD548" i="1"/>
  <c r="CC548" i="1"/>
  <c r="CB548" i="1"/>
  <c r="BU548" i="1"/>
  <c r="BT548" i="1"/>
  <c r="BS548" i="1"/>
  <c r="BL548" i="1"/>
  <c r="BK548" i="1"/>
  <c r="BJ548" i="1"/>
  <c r="BC548" i="1"/>
  <c r="BB548" i="1"/>
  <c r="BA548" i="1"/>
  <c r="AT548" i="1"/>
  <c r="AS548" i="1"/>
  <c r="AR548" i="1"/>
  <c r="AK548" i="1"/>
  <c r="AJ548" i="1"/>
  <c r="AI548" i="1"/>
  <c r="AB548" i="1"/>
  <c r="AA548" i="1"/>
  <c r="Z548" i="1"/>
  <c r="S548" i="1"/>
  <c r="R548" i="1"/>
  <c r="Q548" i="1"/>
  <c r="K548" i="1"/>
  <c r="J548" i="1"/>
  <c r="I548" i="1"/>
  <c r="H548" i="1"/>
  <c r="F548" i="1"/>
  <c r="CR547" i="1"/>
  <c r="CQ547" i="1"/>
  <c r="CP547" i="1"/>
  <c r="CO547" i="1"/>
  <c r="CM547" i="1"/>
  <c r="CI547" i="1"/>
  <c r="CH547" i="1"/>
  <c r="CG547" i="1"/>
  <c r="CF547" i="1"/>
  <c r="CD547" i="1"/>
  <c r="CC547" i="1"/>
  <c r="CB547" i="1"/>
  <c r="BZ547" i="1"/>
  <c r="BY547" i="1"/>
  <c r="BX547" i="1"/>
  <c r="BW547" i="1"/>
  <c r="BU547" i="1"/>
  <c r="BQ547" i="1"/>
  <c r="BP547" i="1"/>
  <c r="BO547" i="1"/>
  <c r="BN547" i="1"/>
  <c r="BL547" i="1"/>
  <c r="BH547" i="1"/>
  <c r="BG547" i="1"/>
  <c r="BF547" i="1"/>
  <c r="BE547" i="1"/>
  <c r="BC547" i="1"/>
  <c r="AY547" i="1"/>
  <c r="AX547" i="1"/>
  <c r="AW547" i="1"/>
  <c r="AV547" i="1"/>
  <c r="AT547" i="1"/>
  <c r="AP547" i="1"/>
  <c r="AO547" i="1"/>
  <c r="AN547" i="1"/>
  <c r="AM547" i="1"/>
  <c r="AK547" i="1"/>
  <c r="AG547" i="1"/>
  <c r="AF547" i="1"/>
  <c r="AE547" i="1"/>
  <c r="AD547" i="1"/>
  <c r="AB547" i="1"/>
  <c r="X547" i="1"/>
  <c r="W547" i="1"/>
  <c r="V547" i="1"/>
  <c r="U547" i="1"/>
  <c r="S547" i="1"/>
  <c r="K547" i="1"/>
  <c r="J547" i="1"/>
  <c r="I547" i="1"/>
  <c r="CR546" i="1"/>
  <c r="CQ546" i="1"/>
  <c r="CP546" i="1"/>
  <c r="CO546" i="1"/>
  <c r="CM546" i="1"/>
  <c r="CI546" i="1"/>
  <c r="CH546" i="1"/>
  <c r="CG546" i="1"/>
  <c r="CF546" i="1"/>
  <c r="CD546" i="1"/>
  <c r="CC546" i="1"/>
  <c r="CB546" i="1"/>
  <c r="BZ546" i="1"/>
  <c r="BY546" i="1"/>
  <c r="BX546" i="1"/>
  <c r="BW546" i="1"/>
  <c r="BU546" i="1"/>
  <c r="BQ546" i="1"/>
  <c r="BP546" i="1"/>
  <c r="BO546" i="1"/>
  <c r="BN546" i="1"/>
  <c r="BL546" i="1"/>
  <c r="BH546" i="1"/>
  <c r="BG546" i="1"/>
  <c r="BF546" i="1"/>
  <c r="BE546" i="1"/>
  <c r="BC546" i="1"/>
  <c r="AY546" i="1"/>
  <c r="AX546" i="1"/>
  <c r="AW546" i="1"/>
  <c r="AV546" i="1"/>
  <c r="AT546" i="1"/>
  <c r="AP546" i="1"/>
  <c r="AO546" i="1"/>
  <c r="AN546" i="1"/>
  <c r="AM546" i="1"/>
  <c r="AK546" i="1"/>
  <c r="AG546" i="1"/>
  <c r="AF546" i="1"/>
  <c r="AE546" i="1"/>
  <c r="AD546" i="1"/>
  <c r="AB546" i="1"/>
  <c r="X546" i="1"/>
  <c r="W546" i="1"/>
  <c r="V546" i="1"/>
  <c r="U546" i="1"/>
  <c r="S546" i="1"/>
  <c r="K546" i="1"/>
  <c r="J546" i="1"/>
  <c r="I546" i="1"/>
  <c r="CR545" i="1"/>
  <c r="CQ545" i="1"/>
  <c r="CP545" i="1"/>
  <c r="CO545" i="1"/>
  <c r="CM545" i="1"/>
  <c r="CI545" i="1"/>
  <c r="CH545" i="1"/>
  <c r="CG545" i="1"/>
  <c r="CF545" i="1"/>
  <c r="CD545" i="1"/>
  <c r="CC545" i="1"/>
  <c r="CB545" i="1"/>
  <c r="BZ545" i="1"/>
  <c r="BY545" i="1"/>
  <c r="BX545" i="1"/>
  <c r="BW545" i="1"/>
  <c r="BU545" i="1"/>
  <c r="BQ545" i="1"/>
  <c r="BP545" i="1"/>
  <c r="BO545" i="1"/>
  <c r="BN545" i="1"/>
  <c r="BL545" i="1"/>
  <c r="BH545" i="1"/>
  <c r="BG545" i="1"/>
  <c r="BF545" i="1"/>
  <c r="BE545" i="1"/>
  <c r="BC545" i="1"/>
  <c r="AY545" i="1"/>
  <c r="AX545" i="1"/>
  <c r="AW545" i="1"/>
  <c r="AV545" i="1"/>
  <c r="AT545" i="1"/>
  <c r="AP545" i="1"/>
  <c r="AO545" i="1"/>
  <c r="AN545" i="1"/>
  <c r="AM545" i="1"/>
  <c r="AK545" i="1"/>
  <c r="AG545" i="1"/>
  <c r="AF545" i="1"/>
  <c r="AE545" i="1"/>
  <c r="AD545" i="1"/>
  <c r="AB545" i="1"/>
  <c r="X545" i="1"/>
  <c r="W545" i="1"/>
  <c r="V545" i="1"/>
  <c r="U545" i="1"/>
  <c r="S545" i="1"/>
  <c r="K545" i="1"/>
  <c r="J545" i="1"/>
  <c r="I545" i="1"/>
  <c r="CR544" i="1"/>
  <c r="CQ544" i="1"/>
  <c r="CP544" i="1"/>
  <c r="CO544" i="1"/>
  <c r="CM544" i="1"/>
  <c r="CI544" i="1"/>
  <c r="CH544" i="1"/>
  <c r="CG544" i="1"/>
  <c r="CF544" i="1"/>
  <c r="CD544" i="1"/>
  <c r="CC544" i="1"/>
  <c r="CB544" i="1"/>
  <c r="BZ544" i="1"/>
  <c r="BY544" i="1"/>
  <c r="BX544" i="1"/>
  <c r="BW544" i="1"/>
  <c r="BU544" i="1"/>
  <c r="BQ544" i="1"/>
  <c r="BP544" i="1"/>
  <c r="BO544" i="1"/>
  <c r="BN544" i="1"/>
  <c r="BL544" i="1"/>
  <c r="BH544" i="1"/>
  <c r="BG544" i="1"/>
  <c r="BF544" i="1"/>
  <c r="BE544" i="1"/>
  <c r="BC544" i="1"/>
  <c r="AY544" i="1"/>
  <c r="AX544" i="1"/>
  <c r="AW544" i="1"/>
  <c r="AV544" i="1"/>
  <c r="AT544" i="1"/>
  <c r="AP544" i="1"/>
  <c r="AO544" i="1"/>
  <c r="AN544" i="1"/>
  <c r="AM544" i="1"/>
  <c r="AK544" i="1"/>
  <c r="AG544" i="1"/>
  <c r="AF544" i="1"/>
  <c r="AE544" i="1"/>
  <c r="AD544" i="1"/>
  <c r="AB544" i="1"/>
  <c r="X544" i="1"/>
  <c r="W544" i="1"/>
  <c r="V544" i="1"/>
  <c r="U544" i="1"/>
  <c r="S544" i="1"/>
  <c r="K544" i="1"/>
  <c r="J544" i="1"/>
  <c r="I544" i="1"/>
  <c r="CR543" i="1"/>
  <c r="CQ543" i="1"/>
  <c r="CP543" i="1"/>
  <c r="CO543" i="1"/>
  <c r="CM543" i="1"/>
  <c r="CI543" i="1"/>
  <c r="CH543" i="1"/>
  <c r="CG543" i="1"/>
  <c r="CF543" i="1"/>
  <c r="CD543" i="1"/>
  <c r="CC543" i="1"/>
  <c r="CB543" i="1"/>
  <c r="BZ543" i="1"/>
  <c r="BY543" i="1"/>
  <c r="BX543" i="1"/>
  <c r="BW543" i="1"/>
  <c r="BU543" i="1"/>
  <c r="BQ543" i="1"/>
  <c r="BP543" i="1"/>
  <c r="BO543" i="1"/>
  <c r="BN543" i="1"/>
  <c r="BL543" i="1"/>
  <c r="BH543" i="1"/>
  <c r="BG543" i="1"/>
  <c r="BF543" i="1"/>
  <c r="BE543" i="1"/>
  <c r="BC543" i="1"/>
  <c r="AY543" i="1"/>
  <c r="AX543" i="1"/>
  <c r="AW543" i="1"/>
  <c r="AV543" i="1"/>
  <c r="AT543" i="1"/>
  <c r="AP543" i="1"/>
  <c r="AO543" i="1"/>
  <c r="AN543" i="1"/>
  <c r="AM543" i="1"/>
  <c r="AK543" i="1"/>
  <c r="AG543" i="1"/>
  <c r="AF543" i="1"/>
  <c r="AE543" i="1"/>
  <c r="AD543" i="1"/>
  <c r="AB543" i="1"/>
  <c r="X543" i="1"/>
  <c r="W543" i="1"/>
  <c r="V543" i="1"/>
  <c r="U543" i="1"/>
  <c r="S543" i="1"/>
  <c r="K543" i="1"/>
  <c r="J543" i="1"/>
  <c r="I543" i="1"/>
  <c r="CR542" i="1"/>
  <c r="CQ542" i="1"/>
  <c r="CP542" i="1"/>
  <c r="CO542" i="1"/>
  <c r="CM542" i="1"/>
  <c r="CI542" i="1"/>
  <c r="CH542" i="1"/>
  <c r="CG542" i="1"/>
  <c r="CF542" i="1"/>
  <c r="CD542" i="1"/>
  <c r="CC542" i="1"/>
  <c r="CB542" i="1"/>
  <c r="BZ542" i="1"/>
  <c r="BY542" i="1"/>
  <c r="BX542" i="1"/>
  <c r="BW542" i="1"/>
  <c r="BU542" i="1"/>
  <c r="BQ542" i="1"/>
  <c r="BP542" i="1"/>
  <c r="BO542" i="1"/>
  <c r="BN542" i="1"/>
  <c r="BL542" i="1"/>
  <c r="BH542" i="1"/>
  <c r="BG542" i="1"/>
  <c r="BF542" i="1"/>
  <c r="BE542" i="1"/>
  <c r="BC542" i="1"/>
  <c r="AY542" i="1"/>
  <c r="AX542" i="1"/>
  <c r="AW542" i="1"/>
  <c r="AV542" i="1"/>
  <c r="AT542" i="1"/>
  <c r="AP542" i="1"/>
  <c r="AO542" i="1"/>
  <c r="AN542" i="1"/>
  <c r="AM542" i="1"/>
  <c r="AK542" i="1"/>
  <c r="AG542" i="1"/>
  <c r="AF542" i="1"/>
  <c r="AE542" i="1"/>
  <c r="AD542" i="1"/>
  <c r="AB542" i="1"/>
  <c r="X542" i="1"/>
  <c r="W542" i="1"/>
  <c r="V542" i="1"/>
  <c r="U542" i="1"/>
  <c r="S542" i="1"/>
  <c r="K542" i="1"/>
  <c r="J542" i="1"/>
  <c r="I542" i="1"/>
  <c r="CR541" i="1"/>
  <c r="CQ541" i="1"/>
  <c r="CP541" i="1"/>
  <c r="CO541" i="1"/>
  <c r="CM541" i="1"/>
  <c r="CI541" i="1"/>
  <c r="CH541" i="1"/>
  <c r="CG541" i="1"/>
  <c r="CF541" i="1"/>
  <c r="CD541" i="1"/>
  <c r="CC541" i="1"/>
  <c r="CB541" i="1"/>
  <c r="BZ541" i="1"/>
  <c r="BY541" i="1"/>
  <c r="BX541" i="1"/>
  <c r="BW541" i="1"/>
  <c r="BU541" i="1"/>
  <c r="BQ541" i="1"/>
  <c r="BP541" i="1"/>
  <c r="BO541" i="1"/>
  <c r="BN541" i="1"/>
  <c r="BL541" i="1"/>
  <c r="BH541" i="1"/>
  <c r="BG541" i="1"/>
  <c r="BF541" i="1"/>
  <c r="BE541" i="1"/>
  <c r="BC541" i="1"/>
  <c r="AY541" i="1"/>
  <c r="AX541" i="1"/>
  <c r="AW541" i="1"/>
  <c r="AV541" i="1"/>
  <c r="AT541" i="1"/>
  <c r="AP541" i="1"/>
  <c r="AO541" i="1"/>
  <c r="AN541" i="1"/>
  <c r="AM541" i="1"/>
  <c r="AK541" i="1"/>
  <c r="AG541" i="1"/>
  <c r="AF541" i="1"/>
  <c r="AE541" i="1"/>
  <c r="AD541" i="1"/>
  <c r="AB541" i="1"/>
  <c r="X541" i="1"/>
  <c r="W541" i="1"/>
  <c r="V541" i="1"/>
  <c r="U541" i="1"/>
  <c r="S541" i="1"/>
  <c r="K541" i="1"/>
  <c r="J541" i="1"/>
  <c r="I541" i="1"/>
  <c r="CR540" i="1"/>
  <c r="CQ540" i="1"/>
  <c r="CP540" i="1"/>
  <c r="CO540" i="1"/>
  <c r="CM540" i="1"/>
  <c r="CI540" i="1"/>
  <c r="CH540" i="1"/>
  <c r="CG540" i="1"/>
  <c r="CF540" i="1"/>
  <c r="CD540" i="1"/>
  <c r="CC540" i="1"/>
  <c r="CB540" i="1"/>
  <c r="BZ540" i="1"/>
  <c r="BY540" i="1"/>
  <c r="BX540" i="1"/>
  <c r="BW540" i="1"/>
  <c r="BU540" i="1"/>
  <c r="BQ540" i="1"/>
  <c r="BP540" i="1"/>
  <c r="BO540" i="1"/>
  <c r="BN540" i="1"/>
  <c r="BL540" i="1"/>
  <c r="BH540" i="1"/>
  <c r="BG540" i="1"/>
  <c r="BF540" i="1"/>
  <c r="BE540" i="1"/>
  <c r="BC540" i="1"/>
  <c r="AY540" i="1"/>
  <c r="AX540" i="1"/>
  <c r="AW540" i="1"/>
  <c r="AV540" i="1"/>
  <c r="AT540" i="1"/>
  <c r="AP540" i="1"/>
  <c r="AO540" i="1"/>
  <c r="AN540" i="1"/>
  <c r="AM540" i="1"/>
  <c r="AK540" i="1"/>
  <c r="AG540" i="1"/>
  <c r="AF540" i="1"/>
  <c r="AE540" i="1"/>
  <c r="AD540" i="1"/>
  <c r="AB540" i="1"/>
  <c r="X540" i="1"/>
  <c r="W540" i="1"/>
  <c r="V540" i="1"/>
  <c r="U540" i="1"/>
  <c r="S540" i="1"/>
  <c r="K540" i="1"/>
  <c r="J540" i="1"/>
  <c r="I540" i="1"/>
  <c r="CR539" i="1"/>
  <c r="CQ539" i="1"/>
  <c r="CP539" i="1"/>
  <c r="CO539" i="1"/>
  <c r="CM539" i="1"/>
  <c r="CI539" i="1"/>
  <c r="CH539" i="1"/>
  <c r="CG539" i="1"/>
  <c r="CF539" i="1"/>
  <c r="CD539" i="1"/>
  <c r="CC539" i="1"/>
  <c r="CB539" i="1"/>
  <c r="BZ539" i="1"/>
  <c r="BY539" i="1"/>
  <c r="BX539" i="1"/>
  <c r="BW539" i="1"/>
  <c r="BU539" i="1"/>
  <c r="BQ539" i="1"/>
  <c r="BP539" i="1"/>
  <c r="BO539" i="1"/>
  <c r="BN539" i="1"/>
  <c r="BL539" i="1"/>
  <c r="BH539" i="1"/>
  <c r="BG539" i="1"/>
  <c r="BF539" i="1"/>
  <c r="BE539" i="1"/>
  <c r="BC539" i="1"/>
  <c r="AY539" i="1"/>
  <c r="AX539" i="1"/>
  <c r="AW539" i="1"/>
  <c r="AV539" i="1"/>
  <c r="AT539" i="1"/>
  <c r="AP539" i="1"/>
  <c r="AO539" i="1"/>
  <c r="AN539" i="1"/>
  <c r="AM539" i="1"/>
  <c r="AK539" i="1"/>
  <c r="AG539" i="1"/>
  <c r="AF539" i="1"/>
  <c r="AE539" i="1"/>
  <c r="AD539" i="1"/>
  <c r="AB539" i="1"/>
  <c r="X539" i="1"/>
  <c r="W539" i="1"/>
  <c r="V539" i="1"/>
  <c r="U539" i="1"/>
  <c r="S539" i="1"/>
  <c r="K539" i="1"/>
  <c r="J539" i="1"/>
  <c r="I539" i="1"/>
  <c r="CR538" i="1"/>
  <c r="CQ538" i="1"/>
  <c r="CP538" i="1"/>
  <c r="CO538" i="1"/>
  <c r="CM538" i="1"/>
  <c r="CI538" i="1"/>
  <c r="CH538" i="1"/>
  <c r="CG538" i="1"/>
  <c r="CF538" i="1"/>
  <c r="CD538" i="1"/>
  <c r="CC538" i="1"/>
  <c r="CB538" i="1"/>
  <c r="BZ538" i="1"/>
  <c r="BY538" i="1"/>
  <c r="BX538" i="1"/>
  <c r="BW538" i="1"/>
  <c r="BU538" i="1"/>
  <c r="BQ538" i="1"/>
  <c r="BP538" i="1"/>
  <c r="BO538" i="1"/>
  <c r="BN538" i="1"/>
  <c r="BL538" i="1"/>
  <c r="BH538" i="1"/>
  <c r="BG538" i="1"/>
  <c r="BF538" i="1"/>
  <c r="BE538" i="1"/>
  <c r="BC538" i="1"/>
  <c r="AY538" i="1"/>
  <c r="AX538" i="1"/>
  <c r="AW538" i="1"/>
  <c r="AV538" i="1"/>
  <c r="AT538" i="1"/>
  <c r="AP538" i="1"/>
  <c r="AO538" i="1"/>
  <c r="AN538" i="1"/>
  <c r="AM538" i="1"/>
  <c r="AK538" i="1"/>
  <c r="AG538" i="1"/>
  <c r="AF538" i="1"/>
  <c r="AE538" i="1"/>
  <c r="AD538" i="1"/>
  <c r="AB538" i="1"/>
  <c r="X538" i="1"/>
  <c r="W538" i="1"/>
  <c r="V538" i="1"/>
  <c r="U538" i="1"/>
  <c r="S538" i="1"/>
  <c r="K538" i="1"/>
  <c r="J538" i="1"/>
  <c r="I538" i="1"/>
  <c r="CR537" i="1"/>
  <c r="CQ537" i="1"/>
  <c r="CP537" i="1"/>
  <c r="CO537" i="1"/>
  <c r="CM537" i="1"/>
  <c r="CI537" i="1"/>
  <c r="CH537" i="1"/>
  <c r="CG537" i="1"/>
  <c r="CF537" i="1"/>
  <c r="CD537" i="1"/>
  <c r="CC537" i="1"/>
  <c r="CB537" i="1"/>
  <c r="BZ537" i="1"/>
  <c r="BY537" i="1"/>
  <c r="BX537" i="1"/>
  <c r="BW537" i="1"/>
  <c r="BU537" i="1"/>
  <c r="BQ537" i="1"/>
  <c r="BP537" i="1"/>
  <c r="BO537" i="1"/>
  <c r="BN537" i="1"/>
  <c r="BL537" i="1"/>
  <c r="BH537" i="1"/>
  <c r="BG537" i="1"/>
  <c r="BF537" i="1"/>
  <c r="BE537" i="1"/>
  <c r="BC537" i="1"/>
  <c r="AY537" i="1"/>
  <c r="AX537" i="1"/>
  <c r="AW537" i="1"/>
  <c r="AV537" i="1"/>
  <c r="AT537" i="1"/>
  <c r="AP537" i="1"/>
  <c r="AO537" i="1"/>
  <c r="AN537" i="1"/>
  <c r="AM537" i="1"/>
  <c r="AK537" i="1"/>
  <c r="AG537" i="1"/>
  <c r="AF537" i="1"/>
  <c r="AE537" i="1"/>
  <c r="AD537" i="1"/>
  <c r="AB537" i="1"/>
  <c r="X537" i="1"/>
  <c r="W537" i="1"/>
  <c r="V537" i="1"/>
  <c r="U537" i="1"/>
  <c r="S537" i="1"/>
  <c r="K537" i="1"/>
  <c r="J537" i="1"/>
  <c r="I537" i="1"/>
  <c r="CR536" i="1"/>
  <c r="CQ536" i="1"/>
  <c r="CP536" i="1"/>
  <c r="CO536" i="1"/>
  <c r="CM536" i="1"/>
  <c r="CI536" i="1"/>
  <c r="CH536" i="1"/>
  <c r="CG536" i="1"/>
  <c r="CF536" i="1"/>
  <c r="CD536" i="1"/>
  <c r="CC536" i="1"/>
  <c r="CB536" i="1"/>
  <c r="BZ536" i="1"/>
  <c r="BY536" i="1"/>
  <c r="BX536" i="1"/>
  <c r="BW536" i="1"/>
  <c r="BU536" i="1"/>
  <c r="BQ536" i="1"/>
  <c r="BP536" i="1"/>
  <c r="BO536" i="1"/>
  <c r="BN536" i="1"/>
  <c r="BL536" i="1"/>
  <c r="BH536" i="1"/>
  <c r="BG536" i="1"/>
  <c r="BF536" i="1"/>
  <c r="BE536" i="1"/>
  <c r="BC536" i="1"/>
  <c r="AY536" i="1"/>
  <c r="AX536" i="1"/>
  <c r="AW536" i="1"/>
  <c r="AV536" i="1"/>
  <c r="AT536" i="1"/>
  <c r="AP536" i="1"/>
  <c r="AO536" i="1"/>
  <c r="AN536" i="1"/>
  <c r="AM536" i="1"/>
  <c r="AK536" i="1"/>
  <c r="AG536" i="1"/>
  <c r="AF536" i="1"/>
  <c r="AE536" i="1"/>
  <c r="AD536" i="1"/>
  <c r="AB536" i="1"/>
  <c r="X536" i="1"/>
  <c r="W536" i="1"/>
  <c r="V536" i="1"/>
  <c r="U536" i="1"/>
  <c r="S536" i="1"/>
  <c r="K536" i="1"/>
  <c r="J536" i="1"/>
  <c r="I536" i="1"/>
  <c r="CL534" i="1"/>
  <c r="CC534" i="1"/>
  <c r="BT534" i="1"/>
  <c r="BS534" i="1"/>
  <c r="BK534" i="1"/>
  <c r="BJ534" i="1"/>
  <c r="BB534" i="1"/>
  <c r="BA534" i="1"/>
  <c r="AS534" i="1"/>
  <c r="AR534" i="1"/>
  <c r="AJ534" i="1"/>
  <c r="AI534" i="1"/>
  <c r="AA534" i="1"/>
  <c r="Z534" i="1"/>
  <c r="R534" i="1"/>
  <c r="Q534" i="1"/>
  <c r="E534" i="1"/>
  <c r="D534" i="1"/>
  <c r="CM533" i="1"/>
  <c r="CK533" i="1"/>
  <c r="CD533" i="1"/>
  <c r="CB533" i="1"/>
  <c r="BU533" i="1"/>
  <c r="BS533" i="1"/>
  <c r="BL533" i="1"/>
  <c r="BJ533" i="1"/>
  <c r="BC533" i="1"/>
  <c r="BA533" i="1"/>
  <c r="AT533" i="1"/>
  <c r="AR533" i="1"/>
  <c r="AK533" i="1"/>
  <c r="AI533" i="1"/>
  <c r="AB533" i="1"/>
  <c r="Z533" i="1"/>
  <c r="S533" i="1"/>
  <c r="Q533" i="1"/>
  <c r="I533" i="1"/>
  <c r="CK532" i="1"/>
  <c r="CB532" i="1"/>
  <c r="BS532" i="1"/>
  <c r="BJ532" i="1"/>
  <c r="BA532" i="1"/>
  <c r="AR532" i="1"/>
  <c r="AI532" i="1"/>
  <c r="Z532" i="1"/>
  <c r="Q532" i="1"/>
  <c r="E531" i="1"/>
  <c r="E530" i="1"/>
  <c r="CM526" i="1"/>
  <c r="CL526" i="1"/>
  <c r="CK526" i="1"/>
  <c r="CD526" i="1"/>
  <c r="CC526" i="1"/>
  <c r="CB526" i="1"/>
  <c r="BU526" i="1"/>
  <c r="BT526" i="1"/>
  <c r="BS526" i="1"/>
  <c r="BL526" i="1"/>
  <c r="BK526" i="1"/>
  <c r="BJ526" i="1"/>
  <c r="BC526" i="1"/>
  <c r="BB526" i="1"/>
  <c r="BA526" i="1"/>
  <c r="AT526" i="1"/>
  <c r="AS526" i="1"/>
  <c r="AR526" i="1"/>
  <c r="AK526" i="1"/>
  <c r="AJ526" i="1"/>
  <c r="AI526" i="1"/>
  <c r="AB526" i="1"/>
  <c r="AA526" i="1"/>
  <c r="Z526" i="1"/>
  <c r="S526" i="1"/>
  <c r="R526" i="1"/>
  <c r="Q526" i="1"/>
  <c r="K526" i="1"/>
  <c r="J526" i="1"/>
  <c r="I526" i="1"/>
  <c r="H526" i="1"/>
  <c r="F526" i="1"/>
  <c r="CR525" i="1"/>
  <c r="CQ525" i="1"/>
  <c r="CP525" i="1"/>
  <c r="CO525" i="1"/>
  <c r="CM525" i="1"/>
  <c r="CI525" i="1"/>
  <c r="CH525" i="1"/>
  <c r="CG525" i="1"/>
  <c r="CF525" i="1"/>
  <c r="CD525" i="1"/>
  <c r="CC525" i="1"/>
  <c r="CB525" i="1"/>
  <c r="BZ525" i="1"/>
  <c r="BY525" i="1"/>
  <c r="BX525" i="1"/>
  <c r="BW525" i="1"/>
  <c r="BU525" i="1"/>
  <c r="BQ525" i="1"/>
  <c r="BP525" i="1"/>
  <c r="BO525" i="1"/>
  <c r="BN525" i="1"/>
  <c r="BL525" i="1"/>
  <c r="BH525" i="1"/>
  <c r="BG525" i="1"/>
  <c r="BF525" i="1"/>
  <c r="BE525" i="1"/>
  <c r="BC525" i="1"/>
  <c r="AY525" i="1"/>
  <c r="AX525" i="1"/>
  <c r="AW525" i="1"/>
  <c r="AV525" i="1"/>
  <c r="AT525" i="1"/>
  <c r="AP525" i="1"/>
  <c r="AO525" i="1"/>
  <c r="AN525" i="1"/>
  <c r="AM525" i="1"/>
  <c r="AK525" i="1"/>
  <c r="AG525" i="1"/>
  <c r="AF525" i="1"/>
  <c r="AE525" i="1"/>
  <c r="AD525" i="1"/>
  <c r="AB525" i="1"/>
  <c r="X525" i="1"/>
  <c r="W525" i="1"/>
  <c r="V525" i="1"/>
  <c r="U525" i="1"/>
  <c r="S525" i="1"/>
  <c r="K525" i="1"/>
  <c r="J525" i="1"/>
  <c r="I525" i="1"/>
  <c r="CR524" i="1"/>
  <c r="CQ524" i="1"/>
  <c r="CP524" i="1"/>
  <c r="CO524" i="1"/>
  <c r="CM524" i="1"/>
  <c r="CI524" i="1"/>
  <c r="CH524" i="1"/>
  <c r="CG524" i="1"/>
  <c r="CF524" i="1"/>
  <c r="CD524" i="1"/>
  <c r="CC524" i="1"/>
  <c r="CB524" i="1"/>
  <c r="BZ524" i="1"/>
  <c r="BY524" i="1"/>
  <c r="BX524" i="1"/>
  <c r="BW524" i="1"/>
  <c r="BU524" i="1"/>
  <c r="BQ524" i="1"/>
  <c r="BP524" i="1"/>
  <c r="BO524" i="1"/>
  <c r="BN524" i="1"/>
  <c r="BL524" i="1"/>
  <c r="BH524" i="1"/>
  <c r="BG524" i="1"/>
  <c r="BF524" i="1"/>
  <c r="BE524" i="1"/>
  <c r="BC524" i="1"/>
  <c r="AY524" i="1"/>
  <c r="AX524" i="1"/>
  <c r="AW524" i="1"/>
  <c r="AV524" i="1"/>
  <c r="AT524" i="1"/>
  <c r="AP524" i="1"/>
  <c r="AO524" i="1"/>
  <c r="AN524" i="1"/>
  <c r="AM524" i="1"/>
  <c r="AK524" i="1"/>
  <c r="AG524" i="1"/>
  <c r="AF524" i="1"/>
  <c r="AE524" i="1"/>
  <c r="AD524" i="1"/>
  <c r="AB524" i="1"/>
  <c r="X524" i="1"/>
  <c r="W524" i="1"/>
  <c r="V524" i="1"/>
  <c r="U524" i="1"/>
  <c r="S524" i="1"/>
  <c r="K524" i="1"/>
  <c r="J524" i="1"/>
  <c r="I524" i="1"/>
  <c r="CR523" i="1"/>
  <c r="CQ523" i="1"/>
  <c r="CP523" i="1"/>
  <c r="CO523" i="1"/>
  <c r="CM523" i="1"/>
  <c r="CI523" i="1"/>
  <c r="CH523" i="1"/>
  <c r="CG523" i="1"/>
  <c r="CF523" i="1"/>
  <c r="CD523" i="1"/>
  <c r="CC523" i="1"/>
  <c r="CB523" i="1"/>
  <c r="BZ523" i="1"/>
  <c r="BY523" i="1"/>
  <c r="BX523" i="1"/>
  <c r="BW523" i="1"/>
  <c r="BU523" i="1"/>
  <c r="BQ523" i="1"/>
  <c r="BP523" i="1"/>
  <c r="BO523" i="1"/>
  <c r="BN523" i="1"/>
  <c r="BL523" i="1"/>
  <c r="BH523" i="1"/>
  <c r="BG523" i="1"/>
  <c r="BF523" i="1"/>
  <c r="BE523" i="1"/>
  <c r="BC523" i="1"/>
  <c r="AY523" i="1"/>
  <c r="AX523" i="1"/>
  <c r="AW523" i="1"/>
  <c r="AV523" i="1"/>
  <c r="AT523" i="1"/>
  <c r="AP523" i="1"/>
  <c r="AO523" i="1"/>
  <c r="AN523" i="1"/>
  <c r="AM523" i="1"/>
  <c r="AK523" i="1"/>
  <c r="AG523" i="1"/>
  <c r="AF523" i="1"/>
  <c r="AE523" i="1"/>
  <c r="AD523" i="1"/>
  <c r="AB523" i="1"/>
  <c r="X523" i="1"/>
  <c r="W523" i="1"/>
  <c r="V523" i="1"/>
  <c r="U523" i="1"/>
  <c r="S523" i="1"/>
  <c r="K523" i="1"/>
  <c r="J523" i="1"/>
  <c r="I523" i="1"/>
  <c r="CR522" i="1"/>
  <c r="CQ522" i="1"/>
  <c r="CP522" i="1"/>
  <c r="CO522" i="1"/>
  <c r="CM522" i="1"/>
  <c r="CI522" i="1"/>
  <c r="CH522" i="1"/>
  <c r="CG522" i="1"/>
  <c r="CF522" i="1"/>
  <c r="CD522" i="1"/>
  <c r="CC522" i="1"/>
  <c r="CB522" i="1"/>
  <c r="BZ522" i="1"/>
  <c r="BY522" i="1"/>
  <c r="BX522" i="1"/>
  <c r="BW522" i="1"/>
  <c r="BU522" i="1"/>
  <c r="BQ522" i="1"/>
  <c r="BP522" i="1"/>
  <c r="BO522" i="1"/>
  <c r="BN522" i="1"/>
  <c r="BL522" i="1"/>
  <c r="BH522" i="1"/>
  <c r="BG522" i="1"/>
  <c r="BF522" i="1"/>
  <c r="BE522" i="1"/>
  <c r="BC522" i="1"/>
  <c r="AY522" i="1"/>
  <c r="AX522" i="1"/>
  <c r="AW522" i="1"/>
  <c r="AV522" i="1"/>
  <c r="AT522" i="1"/>
  <c r="AP522" i="1"/>
  <c r="AO522" i="1"/>
  <c r="AN522" i="1"/>
  <c r="AM522" i="1"/>
  <c r="AK522" i="1"/>
  <c r="AG522" i="1"/>
  <c r="AF522" i="1"/>
  <c r="AE522" i="1"/>
  <c r="AD522" i="1"/>
  <c r="AB522" i="1"/>
  <c r="X522" i="1"/>
  <c r="W522" i="1"/>
  <c r="V522" i="1"/>
  <c r="U522" i="1"/>
  <c r="S522" i="1"/>
  <c r="K522" i="1"/>
  <c r="J522" i="1"/>
  <c r="I522" i="1"/>
  <c r="CR521" i="1"/>
  <c r="CQ521" i="1"/>
  <c r="CP521" i="1"/>
  <c r="CO521" i="1"/>
  <c r="CM521" i="1"/>
  <c r="CI521" i="1"/>
  <c r="CH521" i="1"/>
  <c r="CG521" i="1"/>
  <c r="CF521" i="1"/>
  <c r="CD521" i="1"/>
  <c r="CC521" i="1"/>
  <c r="CB521" i="1"/>
  <c r="BZ521" i="1"/>
  <c r="BY521" i="1"/>
  <c r="BX521" i="1"/>
  <c r="BW521" i="1"/>
  <c r="BU521" i="1"/>
  <c r="BQ521" i="1"/>
  <c r="BP521" i="1"/>
  <c r="BO521" i="1"/>
  <c r="BN521" i="1"/>
  <c r="BL521" i="1"/>
  <c r="BH521" i="1"/>
  <c r="BG521" i="1"/>
  <c r="BF521" i="1"/>
  <c r="BE521" i="1"/>
  <c r="BC521" i="1"/>
  <c r="AY521" i="1"/>
  <c r="AX521" i="1"/>
  <c r="AW521" i="1"/>
  <c r="AV521" i="1"/>
  <c r="AT521" i="1"/>
  <c r="AP521" i="1"/>
  <c r="AO521" i="1"/>
  <c r="AN521" i="1"/>
  <c r="AM521" i="1"/>
  <c r="AK521" i="1"/>
  <c r="AG521" i="1"/>
  <c r="AF521" i="1"/>
  <c r="AE521" i="1"/>
  <c r="AD521" i="1"/>
  <c r="AB521" i="1"/>
  <c r="X521" i="1"/>
  <c r="W521" i="1"/>
  <c r="V521" i="1"/>
  <c r="U521" i="1"/>
  <c r="S521" i="1"/>
  <c r="K521" i="1"/>
  <c r="J521" i="1"/>
  <c r="I521" i="1"/>
  <c r="CR520" i="1"/>
  <c r="CQ520" i="1"/>
  <c r="CP520" i="1"/>
  <c r="CO520" i="1"/>
  <c r="CM520" i="1"/>
  <c r="CI520" i="1"/>
  <c r="CH520" i="1"/>
  <c r="CG520" i="1"/>
  <c r="CF520" i="1"/>
  <c r="CD520" i="1"/>
  <c r="CC520" i="1"/>
  <c r="CB520" i="1"/>
  <c r="BZ520" i="1"/>
  <c r="BY520" i="1"/>
  <c r="BX520" i="1"/>
  <c r="BW520" i="1"/>
  <c r="BU520" i="1"/>
  <c r="BQ520" i="1"/>
  <c r="BP520" i="1"/>
  <c r="BO520" i="1"/>
  <c r="BN520" i="1"/>
  <c r="BL520" i="1"/>
  <c r="BH520" i="1"/>
  <c r="BG520" i="1"/>
  <c r="BF520" i="1"/>
  <c r="BE520" i="1"/>
  <c r="BC520" i="1"/>
  <c r="AY520" i="1"/>
  <c r="AX520" i="1"/>
  <c r="AW520" i="1"/>
  <c r="AV520" i="1"/>
  <c r="AT520" i="1"/>
  <c r="AP520" i="1"/>
  <c r="AO520" i="1"/>
  <c r="AN520" i="1"/>
  <c r="AM520" i="1"/>
  <c r="AK520" i="1"/>
  <c r="AG520" i="1"/>
  <c r="AF520" i="1"/>
  <c r="AE520" i="1"/>
  <c r="AD520" i="1"/>
  <c r="AB520" i="1"/>
  <c r="X520" i="1"/>
  <c r="W520" i="1"/>
  <c r="V520" i="1"/>
  <c r="U520" i="1"/>
  <c r="S520" i="1"/>
  <c r="K520" i="1"/>
  <c r="J520" i="1"/>
  <c r="I520" i="1"/>
  <c r="CR519" i="1"/>
  <c r="CQ519" i="1"/>
  <c r="CP519" i="1"/>
  <c r="CO519" i="1"/>
  <c r="CM519" i="1"/>
  <c r="CI519" i="1"/>
  <c r="CH519" i="1"/>
  <c r="CG519" i="1"/>
  <c r="CF519" i="1"/>
  <c r="CD519" i="1"/>
  <c r="CC519" i="1"/>
  <c r="CB519" i="1"/>
  <c r="BZ519" i="1"/>
  <c r="BY519" i="1"/>
  <c r="BX519" i="1"/>
  <c r="BW519" i="1"/>
  <c r="BU519" i="1"/>
  <c r="BQ519" i="1"/>
  <c r="BP519" i="1"/>
  <c r="BO519" i="1"/>
  <c r="BN519" i="1"/>
  <c r="BL519" i="1"/>
  <c r="BH519" i="1"/>
  <c r="BG519" i="1"/>
  <c r="BF519" i="1"/>
  <c r="BE519" i="1"/>
  <c r="BC519" i="1"/>
  <c r="AY519" i="1"/>
  <c r="AX519" i="1"/>
  <c r="AW519" i="1"/>
  <c r="AV519" i="1"/>
  <c r="AT519" i="1"/>
  <c r="AP519" i="1"/>
  <c r="AO519" i="1"/>
  <c r="AN519" i="1"/>
  <c r="AM519" i="1"/>
  <c r="AK519" i="1"/>
  <c r="AG519" i="1"/>
  <c r="AF519" i="1"/>
  <c r="AE519" i="1"/>
  <c r="AD519" i="1"/>
  <c r="AB519" i="1"/>
  <c r="X519" i="1"/>
  <c r="W519" i="1"/>
  <c r="V519" i="1"/>
  <c r="U519" i="1"/>
  <c r="S519" i="1"/>
  <c r="K519" i="1"/>
  <c r="J519" i="1"/>
  <c r="I519" i="1"/>
  <c r="CR518" i="1"/>
  <c r="CQ518" i="1"/>
  <c r="CP518" i="1"/>
  <c r="CO518" i="1"/>
  <c r="CM518" i="1"/>
  <c r="CI518" i="1"/>
  <c r="CH518" i="1"/>
  <c r="CG518" i="1"/>
  <c r="CF518" i="1"/>
  <c r="CD518" i="1"/>
  <c r="CC518" i="1"/>
  <c r="CB518" i="1"/>
  <c r="BZ518" i="1"/>
  <c r="BY518" i="1"/>
  <c r="BX518" i="1"/>
  <c r="BW518" i="1"/>
  <c r="BU518" i="1"/>
  <c r="BQ518" i="1"/>
  <c r="BP518" i="1"/>
  <c r="BO518" i="1"/>
  <c r="BN518" i="1"/>
  <c r="BL518" i="1"/>
  <c r="BH518" i="1"/>
  <c r="BG518" i="1"/>
  <c r="BF518" i="1"/>
  <c r="BE518" i="1"/>
  <c r="BC518" i="1"/>
  <c r="AY518" i="1"/>
  <c r="AX518" i="1"/>
  <c r="AW518" i="1"/>
  <c r="AV518" i="1"/>
  <c r="AT518" i="1"/>
  <c r="AP518" i="1"/>
  <c r="AO518" i="1"/>
  <c r="AN518" i="1"/>
  <c r="AM518" i="1"/>
  <c r="AK518" i="1"/>
  <c r="AG518" i="1"/>
  <c r="AF518" i="1"/>
  <c r="AE518" i="1"/>
  <c r="AD518" i="1"/>
  <c r="AB518" i="1"/>
  <c r="X518" i="1"/>
  <c r="W518" i="1"/>
  <c r="V518" i="1"/>
  <c r="U518" i="1"/>
  <c r="S518" i="1"/>
  <c r="K518" i="1"/>
  <c r="J518" i="1"/>
  <c r="I518" i="1"/>
  <c r="CR517" i="1"/>
  <c r="CQ517" i="1"/>
  <c r="CP517" i="1"/>
  <c r="CO517" i="1"/>
  <c r="CM517" i="1"/>
  <c r="CI517" i="1"/>
  <c r="CH517" i="1"/>
  <c r="CG517" i="1"/>
  <c r="CF517" i="1"/>
  <c r="CD517" i="1"/>
  <c r="CC517" i="1"/>
  <c r="CB517" i="1"/>
  <c r="BZ517" i="1"/>
  <c r="BY517" i="1"/>
  <c r="BX517" i="1"/>
  <c r="BW517" i="1"/>
  <c r="BU517" i="1"/>
  <c r="BQ517" i="1"/>
  <c r="BP517" i="1"/>
  <c r="BO517" i="1"/>
  <c r="BN517" i="1"/>
  <c r="BL517" i="1"/>
  <c r="BH517" i="1"/>
  <c r="BG517" i="1"/>
  <c r="BF517" i="1"/>
  <c r="BE517" i="1"/>
  <c r="BC517" i="1"/>
  <c r="AY517" i="1"/>
  <c r="AX517" i="1"/>
  <c r="AW517" i="1"/>
  <c r="AV517" i="1"/>
  <c r="AT517" i="1"/>
  <c r="AP517" i="1"/>
  <c r="AO517" i="1"/>
  <c r="AN517" i="1"/>
  <c r="AM517" i="1"/>
  <c r="AK517" i="1"/>
  <c r="AG517" i="1"/>
  <c r="AF517" i="1"/>
  <c r="AE517" i="1"/>
  <c r="AD517" i="1"/>
  <c r="AB517" i="1"/>
  <c r="X517" i="1"/>
  <c r="W517" i="1"/>
  <c r="V517" i="1"/>
  <c r="U517" i="1"/>
  <c r="S517" i="1"/>
  <c r="K517" i="1"/>
  <c r="J517" i="1"/>
  <c r="I517" i="1"/>
  <c r="CR516" i="1"/>
  <c r="CQ516" i="1"/>
  <c r="CP516" i="1"/>
  <c r="CO516" i="1"/>
  <c r="CM516" i="1"/>
  <c r="CI516" i="1"/>
  <c r="CH516" i="1"/>
  <c r="CG516" i="1"/>
  <c r="CF516" i="1"/>
  <c r="CD516" i="1"/>
  <c r="CC516" i="1"/>
  <c r="CB516" i="1"/>
  <c r="BZ516" i="1"/>
  <c r="BY516" i="1"/>
  <c r="BX516" i="1"/>
  <c r="BW516" i="1"/>
  <c r="BU516" i="1"/>
  <c r="BQ516" i="1"/>
  <c r="BP516" i="1"/>
  <c r="BO516" i="1"/>
  <c r="BN516" i="1"/>
  <c r="BL516" i="1"/>
  <c r="BH516" i="1"/>
  <c r="BG516" i="1"/>
  <c r="BF516" i="1"/>
  <c r="BE516" i="1"/>
  <c r="BC516" i="1"/>
  <c r="AY516" i="1"/>
  <c r="AX516" i="1"/>
  <c r="AW516" i="1"/>
  <c r="AV516" i="1"/>
  <c r="AT516" i="1"/>
  <c r="AP516" i="1"/>
  <c r="AO516" i="1"/>
  <c r="AN516" i="1"/>
  <c r="AM516" i="1"/>
  <c r="AK516" i="1"/>
  <c r="AG516" i="1"/>
  <c r="AF516" i="1"/>
  <c r="AE516" i="1"/>
  <c r="AD516" i="1"/>
  <c r="AB516" i="1"/>
  <c r="X516" i="1"/>
  <c r="W516" i="1"/>
  <c r="V516" i="1"/>
  <c r="U516" i="1"/>
  <c r="S516" i="1"/>
  <c r="K516" i="1"/>
  <c r="J516" i="1"/>
  <c r="I516" i="1"/>
  <c r="CR515" i="1"/>
  <c r="CQ515" i="1"/>
  <c r="CP515" i="1"/>
  <c r="CO515" i="1"/>
  <c r="CM515" i="1"/>
  <c r="CI515" i="1"/>
  <c r="CH515" i="1"/>
  <c r="CG515" i="1"/>
  <c r="CF515" i="1"/>
  <c r="CD515" i="1"/>
  <c r="CC515" i="1"/>
  <c r="CB515" i="1"/>
  <c r="BZ515" i="1"/>
  <c r="BY515" i="1"/>
  <c r="BX515" i="1"/>
  <c r="BW515" i="1"/>
  <c r="BU515" i="1"/>
  <c r="BQ515" i="1"/>
  <c r="BP515" i="1"/>
  <c r="BO515" i="1"/>
  <c r="BN515" i="1"/>
  <c r="BL515" i="1"/>
  <c r="BH515" i="1"/>
  <c r="BG515" i="1"/>
  <c r="BF515" i="1"/>
  <c r="BE515" i="1"/>
  <c r="BC515" i="1"/>
  <c r="AY515" i="1"/>
  <c r="AX515" i="1"/>
  <c r="AW515" i="1"/>
  <c r="AV515" i="1"/>
  <c r="AT515" i="1"/>
  <c r="AP515" i="1"/>
  <c r="AO515" i="1"/>
  <c r="AN515" i="1"/>
  <c r="AM515" i="1"/>
  <c r="AK515" i="1"/>
  <c r="AG515" i="1"/>
  <c r="AF515" i="1"/>
  <c r="AE515" i="1"/>
  <c r="AD515" i="1"/>
  <c r="AB515" i="1"/>
  <c r="X515" i="1"/>
  <c r="W515" i="1"/>
  <c r="V515" i="1"/>
  <c r="U515" i="1"/>
  <c r="S515" i="1"/>
  <c r="K515" i="1"/>
  <c r="J515" i="1"/>
  <c r="I515" i="1"/>
  <c r="CR514" i="1"/>
  <c r="CQ514" i="1"/>
  <c r="CP514" i="1"/>
  <c r="CO514" i="1"/>
  <c r="CM514" i="1"/>
  <c r="CI514" i="1"/>
  <c r="CH514" i="1"/>
  <c r="CG514" i="1"/>
  <c r="CF514" i="1"/>
  <c r="CD514" i="1"/>
  <c r="CC514" i="1"/>
  <c r="CB514" i="1"/>
  <c r="BZ514" i="1"/>
  <c r="BY514" i="1"/>
  <c r="BX514" i="1"/>
  <c r="BW514" i="1"/>
  <c r="BU514" i="1"/>
  <c r="BQ514" i="1"/>
  <c r="BP514" i="1"/>
  <c r="BO514" i="1"/>
  <c r="BN514" i="1"/>
  <c r="BL514" i="1"/>
  <c r="BH514" i="1"/>
  <c r="BG514" i="1"/>
  <c r="BF514" i="1"/>
  <c r="BE514" i="1"/>
  <c r="BC514" i="1"/>
  <c r="AY514" i="1"/>
  <c r="AX514" i="1"/>
  <c r="AW514" i="1"/>
  <c r="AV514" i="1"/>
  <c r="AT514" i="1"/>
  <c r="AP514" i="1"/>
  <c r="AO514" i="1"/>
  <c r="AN514" i="1"/>
  <c r="AM514" i="1"/>
  <c r="AK514" i="1"/>
  <c r="AG514" i="1"/>
  <c r="AF514" i="1"/>
  <c r="AE514" i="1"/>
  <c r="AD514" i="1"/>
  <c r="AB514" i="1"/>
  <c r="X514" i="1"/>
  <c r="W514" i="1"/>
  <c r="V514" i="1"/>
  <c r="U514" i="1"/>
  <c r="S514" i="1"/>
  <c r="K514" i="1"/>
  <c r="J514" i="1"/>
  <c r="I514" i="1"/>
  <c r="CL512" i="1"/>
  <c r="CC512" i="1"/>
  <c r="BT512" i="1"/>
  <c r="BS512" i="1"/>
  <c r="BK512" i="1"/>
  <c r="BJ512" i="1"/>
  <c r="BB512" i="1"/>
  <c r="BA512" i="1"/>
  <c r="AS512" i="1"/>
  <c r="AR512" i="1"/>
  <c r="AJ512" i="1"/>
  <c r="AI512" i="1"/>
  <c r="AA512" i="1"/>
  <c r="Z512" i="1"/>
  <c r="R512" i="1"/>
  <c r="Q512" i="1"/>
  <c r="E512" i="1"/>
  <c r="D512" i="1"/>
  <c r="CM511" i="1"/>
  <c r="CK511" i="1"/>
  <c r="CD511" i="1"/>
  <c r="CB511" i="1"/>
  <c r="BU511" i="1"/>
  <c r="BS511" i="1"/>
  <c r="BL511" i="1"/>
  <c r="BJ511" i="1"/>
  <c r="BC511" i="1"/>
  <c r="BA511" i="1"/>
  <c r="AT511" i="1"/>
  <c r="AR511" i="1"/>
  <c r="AK511" i="1"/>
  <c r="AI511" i="1"/>
  <c r="AB511" i="1"/>
  <c r="Z511" i="1"/>
  <c r="S511" i="1"/>
  <c r="Q511" i="1"/>
  <c r="I511" i="1"/>
  <c r="CK510" i="1"/>
  <c r="CB510" i="1"/>
  <c r="BS510" i="1"/>
  <c r="BJ510" i="1"/>
  <c r="BA510" i="1"/>
  <c r="AR510" i="1"/>
  <c r="AI510" i="1"/>
  <c r="Z510" i="1"/>
  <c r="Q510" i="1"/>
  <c r="E509" i="1"/>
  <c r="E508" i="1"/>
  <c r="CM504" i="1"/>
  <c r="CL504" i="1"/>
  <c r="CK504" i="1"/>
  <c r="CD504" i="1"/>
  <c r="CC504" i="1"/>
  <c r="CB504" i="1"/>
  <c r="BU504" i="1"/>
  <c r="BT504" i="1"/>
  <c r="BS504" i="1"/>
  <c r="BL504" i="1"/>
  <c r="BK504" i="1"/>
  <c r="BJ504" i="1"/>
  <c r="BC504" i="1"/>
  <c r="BB504" i="1"/>
  <c r="BA504" i="1"/>
  <c r="AT504" i="1"/>
  <c r="AS504" i="1"/>
  <c r="AR504" i="1"/>
  <c r="AK504" i="1"/>
  <c r="AJ504" i="1"/>
  <c r="AI504" i="1"/>
  <c r="AB504" i="1"/>
  <c r="AA504" i="1"/>
  <c r="Z504" i="1"/>
  <c r="S504" i="1"/>
  <c r="R504" i="1"/>
  <c r="Q504" i="1"/>
  <c r="K504" i="1"/>
  <c r="J504" i="1"/>
  <c r="I504" i="1"/>
  <c r="H504" i="1"/>
  <c r="F504" i="1"/>
  <c r="CR503" i="1"/>
  <c r="CQ503" i="1"/>
  <c r="CP503" i="1"/>
  <c r="CO503" i="1"/>
  <c r="CM503" i="1"/>
  <c r="CI503" i="1"/>
  <c r="CH503" i="1"/>
  <c r="CG503" i="1"/>
  <c r="CF503" i="1"/>
  <c r="CD503" i="1"/>
  <c r="CC503" i="1"/>
  <c r="CB503" i="1"/>
  <c r="BZ503" i="1"/>
  <c r="BY503" i="1"/>
  <c r="BX503" i="1"/>
  <c r="BW503" i="1"/>
  <c r="BU503" i="1"/>
  <c r="BQ503" i="1"/>
  <c r="BP503" i="1"/>
  <c r="BO503" i="1"/>
  <c r="BN503" i="1"/>
  <c r="BL503" i="1"/>
  <c r="BH503" i="1"/>
  <c r="BG503" i="1"/>
  <c r="BF503" i="1"/>
  <c r="BE503" i="1"/>
  <c r="BC503" i="1"/>
  <c r="AY503" i="1"/>
  <c r="AX503" i="1"/>
  <c r="AW503" i="1"/>
  <c r="AV503" i="1"/>
  <c r="AT503" i="1"/>
  <c r="AP503" i="1"/>
  <c r="AO503" i="1"/>
  <c r="AN503" i="1"/>
  <c r="AM503" i="1"/>
  <c r="AK503" i="1"/>
  <c r="AG503" i="1"/>
  <c r="AF503" i="1"/>
  <c r="AE503" i="1"/>
  <c r="AD503" i="1"/>
  <c r="AB503" i="1"/>
  <c r="X503" i="1"/>
  <c r="W503" i="1"/>
  <c r="V503" i="1"/>
  <c r="U503" i="1"/>
  <c r="S503" i="1"/>
  <c r="K503" i="1"/>
  <c r="J503" i="1"/>
  <c r="I503" i="1"/>
  <c r="CR502" i="1"/>
  <c r="CQ502" i="1"/>
  <c r="CP502" i="1"/>
  <c r="CO502" i="1"/>
  <c r="CM502" i="1"/>
  <c r="CI502" i="1"/>
  <c r="CH502" i="1"/>
  <c r="CG502" i="1"/>
  <c r="CF502" i="1"/>
  <c r="CD502" i="1"/>
  <c r="CC502" i="1"/>
  <c r="CB502" i="1"/>
  <c r="BZ502" i="1"/>
  <c r="BY502" i="1"/>
  <c r="BX502" i="1"/>
  <c r="BW502" i="1"/>
  <c r="BU502" i="1"/>
  <c r="BQ502" i="1"/>
  <c r="BP502" i="1"/>
  <c r="BO502" i="1"/>
  <c r="BN502" i="1"/>
  <c r="BL502" i="1"/>
  <c r="BH502" i="1"/>
  <c r="BG502" i="1"/>
  <c r="BF502" i="1"/>
  <c r="BE502" i="1"/>
  <c r="BC502" i="1"/>
  <c r="AY502" i="1"/>
  <c r="AX502" i="1"/>
  <c r="AW502" i="1"/>
  <c r="AV502" i="1"/>
  <c r="AT502" i="1"/>
  <c r="AP502" i="1"/>
  <c r="AO502" i="1"/>
  <c r="AN502" i="1"/>
  <c r="AM502" i="1"/>
  <c r="AK502" i="1"/>
  <c r="AG502" i="1"/>
  <c r="AF502" i="1"/>
  <c r="AE502" i="1"/>
  <c r="AD502" i="1"/>
  <c r="AB502" i="1"/>
  <c r="X502" i="1"/>
  <c r="W502" i="1"/>
  <c r="V502" i="1"/>
  <c r="U502" i="1"/>
  <c r="S502" i="1"/>
  <c r="K502" i="1"/>
  <c r="J502" i="1"/>
  <c r="I502" i="1"/>
  <c r="CR501" i="1"/>
  <c r="CQ501" i="1"/>
  <c r="CP501" i="1"/>
  <c r="CO501" i="1"/>
  <c r="CM501" i="1"/>
  <c r="CI501" i="1"/>
  <c r="CH501" i="1"/>
  <c r="CG501" i="1"/>
  <c r="CF501" i="1"/>
  <c r="CD501" i="1"/>
  <c r="CC501" i="1"/>
  <c r="CB501" i="1"/>
  <c r="BZ501" i="1"/>
  <c r="BY501" i="1"/>
  <c r="BX501" i="1"/>
  <c r="BW501" i="1"/>
  <c r="BU501" i="1"/>
  <c r="BQ501" i="1"/>
  <c r="BP501" i="1"/>
  <c r="BO501" i="1"/>
  <c r="BN501" i="1"/>
  <c r="BL501" i="1"/>
  <c r="BH501" i="1"/>
  <c r="BG501" i="1"/>
  <c r="BF501" i="1"/>
  <c r="BE501" i="1"/>
  <c r="BC501" i="1"/>
  <c r="AY501" i="1"/>
  <c r="AX501" i="1"/>
  <c r="AW501" i="1"/>
  <c r="AV501" i="1"/>
  <c r="AT501" i="1"/>
  <c r="AP501" i="1"/>
  <c r="AO501" i="1"/>
  <c r="AN501" i="1"/>
  <c r="AM501" i="1"/>
  <c r="AK501" i="1"/>
  <c r="AG501" i="1"/>
  <c r="AF501" i="1"/>
  <c r="AE501" i="1"/>
  <c r="AD501" i="1"/>
  <c r="AB501" i="1"/>
  <c r="X501" i="1"/>
  <c r="W501" i="1"/>
  <c r="V501" i="1"/>
  <c r="U501" i="1"/>
  <c r="S501" i="1"/>
  <c r="K501" i="1"/>
  <c r="J501" i="1"/>
  <c r="I501" i="1"/>
  <c r="CR500" i="1"/>
  <c r="CQ500" i="1"/>
  <c r="CP500" i="1"/>
  <c r="CO500" i="1"/>
  <c r="CM500" i="1"/>
  <c r="CI500" i="1"/>
  <c r="CH500" i="1"/>
  <c r="CG500" i="1"/>
  <c r="CF500" i="1"/>
  <c r="CD500" i="1"/>
  <c r="CC500" i="1"/>
  <c r="CB500" i="1"/>
  <c r="BZ500" i="1"/>
  <c r="BY500" i="1"/>
  <c r="BX500" i="1"/>
  <c r="BW500" i="1"/>
  <c r="BU500" i="1"/>
  <c r="BQ500" i="1"/>
  <c r="BP500" i="1"/>
  <c r="BO500" i="1"/>
  <c r="BN500" i="1"/>
  <c r="BL500" i="1"/>
  <c r="BH500" i="1"/>
  <c r="BG500" i="1"/>
  <c r="BF500" i="1"/>
  <c r="BE500" i="1"/>
  <c r="BC500" i="1"/>
  <c r="AY500" i="1"/>
  <c r="AX500" i="1"/>
  <c r="AW500" i="1"/>
  <c r="AV500" i="1"/>
  <c r="AT500" i="1"/>
  <c r="AP500" i="1"/>
  <c r="AO500" i="1"/>
  <c r="AN500" i="1"/>
  <c r="AM500" i="1"/>
  <c r="AK500" i="1"/>
  <c r="AG500" i="1"/>
  <c r="AF500" i="1"/>
  <c r="AE500" i="1"/>
  <c r="AD500" i="1"/>
  <c r="AB500" i="1"/>
  <c r="X500" i="1"/>
  <c r="W500" i="1"/>
  <c r="V500" i="1"/>
  <c r="U500" i="1"/>
  <c r="S500" i="1"/>
  <c r="K500" i="1"/>
  <c r="J500" i="1"/>
  <c r="I500" i="1"/>
  <c r="CR499" i="1"/>
  <c r="CQ499" i="1"/>
  <c r="CP499" i="1"/>
  <c r="CO499" i="1"/>
  <c r="CM499" i="1"/>
  <c r="CI499" i="1"/>
  <c r="CH499" i="1"/>
  <c r="CG499" i="1"/>
  <c r="CF499" i="1"/>
  <c r="CD499" i="1"/>
  <c r="CC499" i="1"/>
  <c r="CB499" i="1"/>
  <c r="BZ499" i="1"/>
  <c r="BY499" i="1"/>
  <c r="BX499" i="1"/>
  <c r="BW499" i="1"/>
  <c r="BU499" i="1"/>
  <c r="BQ499" i="1"/>
  <c r="BP499" i="1"/>
  <c r="BO499" i="1"/>
  <c r="BN499" i="1"/>
  <c r="BL499" i="1"/>
  <c r="BH499" i="1"/>
  <c r="BG499" i="1"/>
  <c r="BF499" i="1"/>
  <c r="BE499" i="1"/>
  <c r="BC499" i="1"/>
  <c r="AY499" i="1"/>
  <c r="AX499" i="1"/>
  <c r="AW499" i="1"/>
  <c r="AV499" i="1"/>
  <c r="AT499" i="1"/>
  <c r="AP499" i="1"/>
  <c r="AO499" i="1"/>
  <c r="AN499" i="1"/>
  <c r="AM499" i="1"/>
  <c r="AK499" i="1"/>
  <c r="AG499" i="1"/>
  <c r="AF499" i="1"/>
  <c r="AE499" i="1"/>
  <c r="AD499" i="1"/>
  <c r="AB499" i="1"/>
  <c r="X499" i="1"/>
  <c r="W499" i="1"/>
  <c r="V499" i="1"/>
  <c r="U499" i="1"/>
  <c r="S499" i="1"/>
  <c r="K499" i="1"/>
  <c r="J499" i="1"/>
  <c r="I499" i="1"/>
  <c r="CR498" i="1"/>
  <c r="CQ498" i="1"/>
  <c r="CP498" i="1"/>
  <c r="CO498" i="1"/>
  <c r="CM498" i="1"/>
  <c r="CI498" i="1"/>
  <c r="CH498" i="1"/>
  <c r="CG498" i="1"/>
  <c r="CF498" i="1"/>
  <c r="CD498" i="1"/>
  <c r="CC498" i="1"/>
  <c r="CB498" i="1"/>
  <c r="BZ498" i="1"/>
  <c r="BY498" i="1"/>
  <c r="BX498" i="1"/>
  <c r="BW498" i="1"/>
  <c r="BU498" i="1"/>
  <c r="BQ498" i="1"/>
  <c r="BP498" i="1"/>
  <c r="BO498" i="1"/>
  <c r="BN498" i="1"/>
  <c r="BL498" i="1"/>
  <c r="BH498" i="1"/>
  <c r="BG498" i="1"/>
  <c r="BF498" i="1"/>
  <c r="BE498" i="1"/>
  <c r="BC498" i="1"/>
  <c r="AY498" i="1"/>
  <c r="AX498" i="1"/>
  <c r="AW498" i="1"/>
  <c r="AV498" i="1"/>
  <c r="AT498" i="1"/>
  <c r="AP498" i="1"/>
  <c r="AO498" i="1"/>
  <c r="AN498" i="1"/>
  <c r="AM498" i="1"/>
  <c r="AK498" i="1"/>
  <c r="AG498" i="1"/>
  <c r="AF498" i="1"/>
  <c r="AE498" i="1"/>
  <c r="AD498" i="1"/>
  <c r="AB498" i="1"/>
  <c r="X498" i="1"/>
  <c r="W498" i="1"/>
  <c r="V498" i="1"/>
  <c r="U498" i="1"/>
  <c r="S498" i="1"/>
  <c r="K498" i="1"/>
  <c r="J498" i="1"/>
  <c r="I498" i="1"/>
  <c r="CR497" i="1"/>
  <c r="CQ497" i="1"/>
  <c r="CP497" i="1"/>
  <c r="CO497" i="1"/>
  <c r="CM497" i="1"/>
  <c r="CI497" i="1"/>
  <c r="CH497" i="1"/>
  <c r="CG497" i="1"/>
  <c r="CF497" i="1"/>
  <c r="CD497" i="1"/>
  <c r="CC497" i="1"/>
  <c r="CB497" i="1"/>
  <c r="BZ497" i="1"/>
  <c r="BY497" i="1"/>
  <c r="BX497" i="1"/>
  <c r="BW497" i="1"/>
  <c r="BU497" i="1"/>
  <c r="BQ497" i="1"/>
  <c r="BP497" i="1"/>
  <c r="BO497" i="1"/>
  <c r="BN497" i="1"/>
  <c r="BL497" i="1"/>
  <c r="BH497" i="1"/>
  <c r="BG497" i="1"/>
  <c r="BF497" i="1"/>
  <c r="BE497" i="1"/>
  <c r="BC497" i="1"/>
  <c r="AY497" i="1"/>
  <c r="AX497" i="1"/>
  <c r="AW497" i="1"/>
  <c r="AV497" i="1"/>
  <c r="AT497" i="1"/>
  <c r="AP497" i="1"/>
  <c r="AO497" i="1"/>
  <c r="AN497" i="1"/>
  <c r="AM497" i="1"/>
  <c r="AK497" i="1"/>
  <c r="AG497" i="1"/>
  <c r="AF497" i="1"/>
  <c r="AE497" i="1"/>
  <c r="AD497" i="1"/>
  <c r="AB497" i="1"/>
  <c r="X497" i="1"/>
  <c r="W497" i="1"/>
  <c r="V497" i="1"/>
  <c r="U497" i="1"/>
  <c r="S497" i="1"/>
  <c r="K497" i="1"/>
  <c r="J497" i="1"/>
  <c r="I497" i="1"/>
  <c r="CR496" i="1"/>
  <c r="CQ496" i="1"/>
  <c r="CP496" i="1"/>
  <c r="CO496" i="1"/>
  <c r="CM496" i="1"/>
  <c r="CI496" i="1"/>
  <c r="CH496" i="1"/>
  <c r="CG496" i="1"/>
  <c r="CF496" i="1"/>
  <c r="CD496" i="1"/>
  <c r="CC496" i="1"/>
  <c r="CB496" i="1"/>
  <c r="BZ496" i="1"/>
  <c r="BY496" i="1"/>
  <c r="BX496" i="1"/>
  <c r="BW496" i="1"/>
  <c r="BU496" i="1"/>
  <c r="BQ496" i="1"/>
  <c r="BP496" i="1"/>
  <c r="BO496" i="1"/>
  <c r="BN496" i="1"/>
  <c r="BL496" i="1"/>
  <c r="BH496" i="1"/>
  <c r="BG496" i="1"/>
  <c r="BF496" i="1"/>
  <c r="BE496" i="1"/>
  <c r="BC496" i="1"/>
  <c r="AY496" i="1"/>
  <c r="AX496" i="1"/>
  <c r="AW496" i="1"/>
  <c r="AV496" i="1"/>
  <c r="AT496" i="1"/>
  <c r="AP496" i="1"/>
  <c r="AO496" i="1"/>
  <c r="AN496" i="1"/>
  <c r="AM496" i="1"/>
  <c r="AK496" i="1"/>
  <c r="AG496" i="1"/>
  <c r="AF496" i="1"/>
  <c r="AE496" i="1"/>
  <c r="AD496" i="1"/>
  <c r="AB496" i="1"/>
  <c r="X496" i="1"/>
  <c r="W496" i="1"/>
  <c r="V496" i="1"/>
  <c r="U496" i="1"/>
  <c r="S496" i="1"/>
  <c r="K496" i="1"/>
  <c r="J496" i="1"/>
  <c r="I496" i="1"/>
  <c r="CR495" i="1"/>
  <c r="CQ495" i="1"/>
  <c r="CP495" i="1"/>
  <c r="CO495" i="1"/>
  <c r="CM495" i="1"/>
  <c r="CI495" i="1"/>
  <c r="CH495" i="1"/>
  <c r="CG495" i="1"/>
  <c r="CF495" i="1"/>
  <c r="CD495" i="1"/>
  <c r="CC495" i="1"/>
  <c r="CB495" i="1"/>
  <c r="BZ495" i="1"/>
  <c r="BY495" i="1"/>
  <c r="BX495" i="1"/>
  <c r="BW495" i="1"/>
  <c r="BU495" i="1"/>
  <c r="BQ495" i="1"/>
  <c r="BP495" i="1"/>
  <c r="BO495" i="1"/>
  <c r="BN495" i="1"/>
  <c r="BL495" i="1"/>
  <c r="BH495" i="1"/>
  <c r="BG495" i="1"/>
  <c r="BF495" i="1"/>
  <c r="BE495" i="1"/>
  <c r="BC495" i="1"/>
  <c r="AY495" i="1"/>
  <c r="AX495" i="1"/>
  <c r="AW495" i="1"/>
  <c r="AV495" i="1"/>
  <c r="AT495" i="1"/>
  <c r="AP495" i="1"/>
  <c r="AO495" i="1"/>
  <c r="AN495" i="1"/>
  <c r="AM495" i="1"/>
  <c r="AK495" i="1"/>
  <c r="AG495" i="1"/>
  <c r="AF495" i="1"/>
  <c r="AE495" i="1"/>
  <c r="AD495" i="1"/>
  <c r="AB495" i="1"/>
  <c r="X495" i="1"/>
  <c r="W495" i="1"/>
  <c r="V495" i="1"/>
  <c r="U495" i="1"/>
  <c r="S495" i="1"/>
  <c r="K495" i="1"/>
  <c r="J495" i="1"/>
  <c r="I495" i="1"/>
  <c r="CR494" i="1"/>
  <c r="CQ494" i="1"/>
  <c r="CP494" i="1"/>
  <c r="CO494" i="1"/>
  <c r="CM494" i="1"/>
  <c r="CI494" i="1"/>
  <c r="CH494" i="1"/>
  <c r="CG494" i="1"/>
  <c r="CF494" i="1"/>
  <c r="CD494" i="1"/>
  <c r="CC494" i="1"/>
  <c r="CB494" i="1"/>
  <c r="BZ494" i="1"/>
  <c r="BY494" i="1"/>
  <c r="BX494" i="1"/>
  <c r="BW494" i="1"/>
  <c r="BU494" i="1"/>
  <c r="BQ494" i="1"/>
  <c r="BP494" i="1"/>
  <c r="BO494" i="1"/>
  <c r="BN494" i="1"/>
  <c r="BL494" i="1"/>
  <c r="BH494" i="1"/>
  <c r="BG494" i="1"/>
  <c r="BF494" i="1"/>
  <c r="BE494" i="1"/>
  <c r="BC494" i="1"/>
  <c r="AY494" i="1"/>
  <c r="AX494" i="1"/>
  <c r="AW494" i="1"/>
  <c r="AV494" i="1"/>
  <c r="AT494" i="1"/>
  <c r="AP494" i="1"/>
  <c r="AO494" i="1"/>
  <c r="AN494" i="1"/>
  <c r="AM494" i="1"/>
  <c r="AK494" i="1"/>
  <c r="AG494" i="1"/>
  <c r="AF494" i="1"/>
  <c r="AE494" i="1"/>
  <c r="AD494" i="1"/>
  <c r="AB494" i="1"/>
  <c r="X494" i="1"/>
  <c r="W494" i="1"/>
  <c r="V494" i="1"/>
  <c r="U494" i="1"/>
  <c r="S494" i="1"/>
  <c r="K494" i="1"/>
  <c r="J494" i="1"/>
  <c r="I494" i="1"/>
  <c r="CR493" i="1"/>
  <c r="CQ493" i="1"/>
  <c r="CP493" i="1"/>
  <c r="CO493" i="1"/>
  <c r="CM493" i="1"/>
  <c r="CI493" i="1"/>
  <c r="CH493" i="1"/>
  <c r="CG493" i="1"/>
  <c r="CF493" i="1"/>
  <c r="CD493" i="1"/>
  <c r="CC493" i="1"/>
  <c r="CB493" i="1"/>
  <c r="BZ493" i="1"/>
  <c r="BY493" i="1"/>
  <c r="BX493" i="1"/>
  <c r="BW493" i="1"/>
  <c r="BU493" i="1"/>
  <c r="BQ493" i="1"/>
  <c r="BP493" i="1"/>
  <c r="BO493" i="1"/>
  <c r="BN493" i="1"/>
  <c r="BL493" i="1"/>
  <c r="BH493" i="1"/>
  <c r="BG493" i="1"/>
  <c r="BF493" i="1"/>
  <c r="BE493" i="1"/>
  <c r="BC493" i="1"/>
  <c r="AY493" i="1"/>
  <c r="AX493" i="1"/>
  <c r="AW493" i="1"/>
  <c r="AV493" i="1"/>
  <c r="AT493" i="1"/>
  <c r="AP493" i="1"/>
  <c r="AO493" i="1"/>
  <c r="AN493" i="1"/>
  <c r="AM493" i="1"/>
  <c r="AK493" i="1"/>
  <c r="AG493" i="1"/>
  <c r="AF493" i="1"/>
  <c r="AE493" i="1"/>
  <c r="AD493" i="1"/>
  <c r="AB493" i="1"/>
  <c r="X493" i="1"/>
  <c r="W493" i="1"/>
  <c r="V493" i="1"/>
  <c r="U493" i="1"/>
  <c r="S493" i="1"/>
  <c r="K493" i="1"/>
  <c r="J493" i="1"/>
  <c r="I493" i="1"/>
  <c r="CR492" i="1"/>
  <c r="CQ492" i="1"/>
  <c r="CP492" i="1"/>
  <c r="CO492" i="1"/>
  <c r="CM492" i="1"/>
  <c r="CI492" i="1"/>
  <c r="CH492" i="1"/>
  <c r="CG492" i="1"/>
  <c r="CF492" i="1"/>
  <c r="CD492" i="1"/>
  <c r="CC492" i="1"/>
  <c r="CB492" i="1"/>
  <c r="BZ492" i="1"/>
  <c r="BY492" i="1"/>
  <c r="BX492" i="1"/>
  <c r="BW492" i="1"/>
  <c r="BU492" i="1"/>
  <c r="BQ492" i="1"/>
  <c r="BP492" i="1"/>
  <c r="BO492" i="1"/>
  <c r="BN492" i="1"/>
  <c r="BL492" i="1"/>
  <c r="BH492" i="1"/>
  <c r="BG492" i="1"/>
  <c r="BF492" i="1"/>
  <c r="BE492" i="1"/>
  <c r="BC492" i="1"/>
  <c r="AY492" i="1"/>
  <c r="AX492" i="1"/>
  <c r="AW492" i="1"/>
  <c r="AV492" i="1"/>
  <c r="AT492" i="1"/>
  <c r="AP492" i="1"/>
  <c r="AO492" i="1"/>
  <c r="AN492" i="1"/>
  <c r="AM492" i="1"/>
  <c r="AK492" i="1"/>
  <c r="AG492" i="1"/>
  <c r="AF492" i="1"/>
  <c r="AE492" i="1"/>
  <c r="AD492" i="1"/>
  <c r="AB492" i="1"/>
  <c r="X492" i="1"/>
  <c r="W492" i="1"/>
  <c r="V492" i="1"/>
  <c r="U492" i="1"/>
  <c r="S492" i="1"/>
  <c r="K492" i="1"/>
  <c r="J492" i="1"/>
  <c r="I492" i="1"/>
  <c r="CL490" i="1"/>
  <c r="CC490" i="1"/>
  <c r="BT490" i="1"/>
  <c r="BS490" i="1"/>
  <c r="BK490" i="1"/>
  <c r="BJ490" i="1"/>
  <c r="BB490" i="1"/>
  <c r="BA490" i="1"/>
  <c r="AS490" i="1"/>
  <c r="AR490" i="1"/>
  <c r="AJ490" i="1"/>
  <c r="AI490" i="1"/>
  <c r="AA490" i="1"/>
  <c r="Z490" i="1"/>
  <c r="R490" i="1"/>
  <c r="Q490" i="1"/>
  <c r="E490" i="1"/>
  <c r="D490" i="1"/>
  <c r="CM489" i="1"/>
  <c r="CK489" i="1"/>
  <c r="CD489" i="1"/>
  <c r="CB489" i="1"/>
  <c r="BU489" i="1"/>
  <c r="BS489" i="1"/>
  <c r="BL489" i="1"/>
  <c r="BJ489" i="1"/>
  <c r="BC489" i="1"/>
  <c r="BA489" i="1"/>
  <c r="AT489" i="1"/>
  <c r="AR489" i="1"/>
  <c r="AK489" i="1"/>
  <c r="AI489" i="1"/>
  <c r="AB489" i="1"/>
  <c r="Z489" i="1"/>
  <c r="S489" i="1"/>
  <c r="Q489" i="1"/>
  <c r="I489" i="1"/>
  <c r="E489" i="1"/>
  <c r="CK488" i="1"/>
  <c r="CB488" i="1"/>
  <c r="BS488" i="1"/>
  <c r="BJ488" i="1"/>
  <c r="BA488" i="1"/>
  <c r="AR488" i="1"/>
  <c r="AI488" i="1"/>
  <c r="Z488" i="1"/>
  <c r="Q488" i="1"/>
  <c r="E487" i="1"/>
  <c r="E486" i="1"/>
  <c r="CM482" i="1"/>
  <c r="CL482" i="1"/>
  <c r="CK482" i="1"/>
  <c r="CD482" i="1"/>
  <c r="CC482" i="1"/>
  <c r="CB482" i="1"/>
  <c r="BU482" i="1"/>
  <c r="BT482" i="1"/>
  <c r="BS482" i="1"/>
  <c r="BL482" i="1"/>
  <c r="BK482" i="1"/>
  <c r="BJ482" i="1"/>
  <c r="BC482" i="1"/>
  <c r="BB482" i="1"/>
  <c r="BA482" i="1"/>
  <c r="AT482" i="1"/>
  <c r="AS482" i="1"/>
  <c r="AR482" i="1"/>
  <c r="AK482" i="1"/>
  <c r="AJ482" i="1"/>
  <c r="AI482" i="1"/>
  <c r="AB482" i="1"/>
  <c r="AA482" i="1"/>
  <c r="Z482" i="1"/>
  <c r="S482" i="1"/>
  <c r="R482" i="1"/>
  <c r="Q482" i="1"/>
  <c r="K482" i="1"/>
  <c r="J482" i="1"/>
  <c r="I482" i="1"/>
  <c r="H482" i="1"/>
  <c r="F482" i="1"/>
  <c r="CR481" i="1"/>
  <c r="CQ481" i="1"/>
  <c r="CP481" i="1"/>
  <c r="CO481" i="1"/>
  <c r="CM481" i="1"/>
  <c r="CI481" i="1"/>
  <c r="CH481" i="1"/>
  <c r="CG481" i="1"/>
  <c r="CF481" i="1"/>
  <c r="CD481" i="1"/>
  <c r="CC481" i="1"/>
  <c r="CB481" i="1"/>
  <c r="BZ481" i="1"/>
  <c r="BY481" i="1"/>
  <c r="BX481" i="1"/>
  <c r="BW481" i="1"/>
  <c r="BU481" i="1"/>
  <c r="BQ481" i="1"/>
  <c r="BP481" i="1"/>
  <c r="BO481" i="1"/>
  <c r="BN481" i="1"/>
  <c r="BL481" i="1"/>
  <c r="BH481" i="1"/>
  <c r="BG481" i="1"/>
  <c r="BF481" i="1"/>
  <c r="BE481" i="1"/>
  <c r="BC481" i="1"/>
  <c r="AY481" i="1"/>
  <c r="AX481" i="1"/>
  <c r="AW481" i="1"/>
  <c r="AV481" i="1"/>
  <c r="AT481" i="1"/>
  <c r="AP481" i="1"/>
  <c r="AO481" i="1"/>
  <c r="AN481" i="1"/>
  <c r="AM481" i="1"/>
  <c r="AK481" i="1"/>
  <c r="AG481" i="1"/>
  <c r="AF481" i="1"/>
  <c r="AE481" i="1"/>
  <c r="AD481" i="1"/>
  <c r="AB481" i="1"/>
  <c r="X481" i="1"/>
  <c r="W481" i="1"/>
  <c r="V481" i="1"/>
  <c r="U481" i="1"/>
  <c r="S481" i="1"/>
  <c r="K481" i="1"/>
  <c r="J481" i="1"/>
  <c r="I481" i="1"/>
  <c r="CR480" i="1"/>
  <c r="CQ480" i="1"/>
  <c r="CP480" i="1"/>
  <c r="CO480" i="1"/>
  <c r="CM480" i="1"/>
  <c r="CI480" i="1"/>
  <c r="CH480" i="1"/>
  <c r="CG480" i="1"/>
  <c r="CF480" i="1"/>
  <c r="CD480" i="1"/>
  <c r="CC480" i="1"/>
  <c r="CB480" i="1"/>
  <c r="BZ480" i="1"/>
  <c r="BY480" i="1"/>
  <c r="BX480" i="1"/>
  <c r="BW480" i="1"/>
  <c r="BU480" i="1"/>
  <c r="BQ480" i="1"/>
  <c r="BP480" i="1"/>
  <c r="BO480" i="1"/>
  <c r="BN480" i="1"/>
  <c r="BL480" i="1"/>
  <c r="BH480" i="1"/>
  <c r="BG480" i="1"/>
  <c r="BF480" i="1"/>
  <c r="BE480" i="1"/>
  <c r="BC480" i="1"/>
  <c r="AY480" i="1"/>
  <c r="AX480" i="1"/>
  <c r="AW480" i="1"/>
  <c r="AV480" i="1"/>
  <c r="AT480" i="1"/>
  <c r="AP480" i="1"/>
  <c r="AO480" i="1"/>
  <c r="AN480" i="1"/>
  <c r="AM480" i="1"/>
  <c r="AK480" i="1"/>
  <c r="AG480" i="1"/>
  <c r="AF480" i="1"/>
  <c r="AE480" i="1"/>
  <c r="AD480" i="1"/>
  <c r="AB480" i="1"/>
  <c r="X480" i="1"/>
  <c r="W480" i="1"/>
  <c r="V480" i="1"/>
  <c r="U480" i="1"/>
  <c r="S480" i="1"/>
  <c r="K480" i="1"/>
  <c r="J480" i="1"/>
  <c r="I480" i="1"/>
  <c r="CR479" i="1"/>
  <c r="CQ479" i="1"/>
  <c r="CP479" i="1"/>
  <c r="CO479" i="1"/>
  <c r="CM479" i="1"/>
  <c r="CI479" i="1"/>
  <c r="CH479" i="1"/>
  <c r="CG479" i="1"/>
  <c r="CF479" i="1"/>
  <c r="CD479" i="1"/>
  <c r="CC479" i="1"/>
  <c r="CB479" i="1"/>
  <c r="BZ479" i="1"/>
  <c r="BY479" i="1"/>
  <c r="BX479" i="1"/>
  <c r="BW479" i="1"/>
  <c r="BU479" i="1"/>
  <c r="BQ479" i="1"/>
  <c r="BP479" i="1"/>
  <c r="BO479" i="1"/>
  <c r="BN479" i="1"/>
  <c r="BL479" i="1"/>
  <c r="BH479" i="1"/>
  <c r="BG479" i="1"/>
  <c r="BF479" i="1"/>
  <c r="BE479" i="1"/>
  <c r="BC479" i="1"/>
  <c r="AY479" i="1"/>
  <c r="AX479" i="1"/>
  <c r="AW479" i="1"/>
  <c r="AV479" i="1"/>
  <c r="AT479" i="1"/>
  <c r="AP479" i="1"/>
  <c r="AO479" i="1"/>
  <c r="AN479" i="1"/>
  <c r="AM479" i="1"/>
  <c r="AK479" i="1"/>
  <c r="AG479" i="1"/>
  <c r="AF479" i="1"/>
  <c r="AE479" i="1"/>
  <c r="AD479" i="1"/>
  <c r="AB479" i="1"/>
  <c r="X479" i="1"/>
  <c r="W479" i="1"/>
  <c r="V479" i="1"/>
  <c r="U479" i="1"/>
  <c r="S479" i="1"/>
  <c r="K479" i="1"/>
  <c r="J479" i="1"/>
  <c r="I479" i="1"/>
  <c r="CR478" i="1"/>
  <c r="CQ478" i="1"/>
  <c r="CP478" i="1"/>
  <c r="CO478" i="1"/>
  <c r="CM478" i="1"/>
  <c r="CI478" i="1"/>
  <c r="CH478" i="1"/>
  <c r="CG478" i="1"/>
  <c r="CF478" i="1"/>
  <c r="CD478" i="1"/>
  <c r="CC478" i="1"/>
  <c r="CB478" i="1"/>
  <c r="BZ478" i="1"/>
  <c r="BY478" i="1"/>
  <c r="BX478" i="1"/>
  <c r="BW478" i="1"/>
  <c r="BU478" i="1"/>
  <c r="BQ478" i="1"/>
  <c r="BP478" i="1"/>
  <c r="BO478" i="1"/>
  <c r="BN478" i="1"/>
  <c r="BL478" i="1"/>
  <c r="BH478" i="1"/>
  <c r="BG478" i="1"/>
  <c r="BF478" i="1"/>
  <c r="BE478" i="1"/>
  <c r="BC478" i="1"/>
  <c r="AY478" i="1"/>
  <c r="AX478" i="1"/>
  <c r="AW478" i="1"/>
  <c r="AV478" i="1"/>
  <c r="AT478" i="1"/>
  <c r="AP478" i="1"/>
  <c r="AO478" i="1"/>
  <c r="AN478" i="1"/>
  <c r="AM478" i="1"/>
  <c r="AK478" i="1"/>
  <c r="AG478" i="1"/>
  <c r="AF478" i="1"/>
  <c r="AE478" i="1"/>
  <c r="AD478" i="1"/>
  <c r="AB478" i="1"/>
  <c r="X478" i="1"/>
  <c r="W478" i="1"/>
  <c r="V478" i="1"/>
  <c r="U478" i="1"/>
  <c r="S478" i="1"/>
  <c r="K478" i="1"/>
  <c r="J478" i="1"/>
  <c r="I478" i="1"/>
  <c r="CR477" i="1"/>
  <c r="CQ477" i="1"/>
  <c r="CP477" i="1"/>
  <c r="CO477" i="1"/>
  <c r="CM477" i="1"/>
  <c r="CI477" i="1"/>
  <c r="CH477" i="1"/>
  <c r="CG477" i="1"/>
  <c r="CF477" i="1"/>
  <c r="CD477" i="1"/>
  <c r="CC477" i="1"/>
  <c r="CB477" i="1"/>
  <c r="BZ477" i="1"/>
  <c r="BY477" i="1"/>
  <c r="BX477" i="1"/>
  <c r="BW477" i="1"/>
  <c r="BU477" i="1"/>
  <c r="BQ477" i="1"/>
  <c r="BP477" i="1"/>
  <c r="BO477" i="1"/>
  <c r="BN477" i="1"/>
  <c r="BL477" i="1"/>
  <c r="BH477" i="1"/>
  <c r="BG477" i="1"/>
  <c r="BF477" i="1"/>
  <c r="BE477" i="1"/>
  <c r="BC477" i="1"/>
  <c r="AY477" i="1"/>
  <c r="AX477" i="1"/>
  <c r="AW477" i="1"/>
  <c r="AV477" i="1"/>
  <c r="AT477" i="1"/>
  <c r="AP477" i="1"/>
  <c r="AO477" i="1"/>
  <c r="AN477" i="1"/>
  <c r="AM477" i="1"/>
  <c r="AK477" i="1"/>
  <c r="AG477" i="1"/>
  <c r="AF477" i="1"/>
  <c r="AE477" i="1"/>
  <c r="AD477" i="1"/>
  <c r="AB477" i="1"/>
  <c r="X477" i="1"/>
  <c r="W477" i="1"/>
  <c r="V477" i="1"/>
  <c r="U477" i="1"/>
  <c r="S477" i="1"/>
  <c r="K477" i="1"/>
  <c r="J477" i="1"/>
  <c r="I477" i="1"/>
  <c r="CR476" i="1"/>
  <c r="CQ476" i="1"/>
  <c r="CP476" i="1"/>
  <c r="CO476" i="1"/>
  <c r="CM476" i="1"/>
  <c r="CI476" i="1"/>
  <c r="CH476" i="1"/>
  <c r="CG476" i="1"/>
  <c r="CF476" i="1"/>
  <c r="CD476" i="1"/>
  <c r="CC476" i="1"/>
  <c r="CB476" i="1"/>
  <c r="BZ476" i="1"/>
  <c r="BY476" i="1"/>
  <c r="BX476" i="1"/>
  <c r="BW476" i="1"/>
  <c r="BU476" i="1"/>
  <c r="BQ476" i="1"/>
  <c r="BP476" i="1"/>
  <c r="BO476" i="1"/>
  <c r="BN476" i="1"/>
  <c r="BL476" i="1"/>
  <c r="BH476" i="1"/>
  <c r="BG476" i="1"/>
  <c r="BF476" i="1"/>
  <c r="BE476" i="1"/>
  <c r="BC476" i="1"/>
  <c r="AY476" i="1"/>
  <c r="AX476" i="1"/>
  <c r="AW476" i="1"/>
  <c r="AV476" i="1"/>
  <c r="AT476" i="1"/>
  <c r="AP476" i="1"/>
  <c r="AO476" i="1"/>
  <c r="AN476" i="1"/>
  <c r="AM476" i="1"/>
  <c r="AK476" i="1"/>
  <c r="AG476" i="1"/>
  <c r="AF476" i="1"/>
  <c r="AE476" i="1"/>
  <c r="AD476" i="1"/>
  <c r="AB476" i="1"/>
  <c r="X476" i="1"/>
  <c r="W476" i="1"/>
  <c r="V476" i="1"/>
  <c r="U476" i="1"/>
  <c r="S476" i="1"/>
  <c r="K476" i="1"/>
  <c r="J476" i="1"/>
  <c r="I476" i="1"/>
  <c r="CR475" i="1"/>
  <c r="CQ475" i="1"/>
  <c r="CP475" i="1"/>
  <c r="CO475" i="1"/>
  <c r="CM475" i="1"/>
  <c r="CI475" i="1"/>
  <c r="CH475" i="1"/>
  <c r="CG475" i="1"/>
  <c r="CF475" i="1"/>
  <c r="CD475" i="1"/>
  <c r="CC475" i="1"/>
  <c r="CB475" i="1"/>
  <c r="BZ475" i="1"/>
  <c r="BY475" i="1"/>
  <c r="BX475" i="1"/>
  <c r="BW475" i="1"/>
  <c r="BU475" i="1"/>
  <c r="BQ475" i="1"/>
  <c r="BP475" i="1"/>
  <c r="BO475" i="1"/>
  <c r="BN475" i="1"/>
  <c r="BL475" i="1"/>
  <c r="BH475" i="1"/>
  <c r="BG475" i="1"/>
  <c r="BF475" i="1"/>
  <c r="BE475" i="1"/>
  <c r="BC475" i="1"/>
  <c r="AY475" i="1"/>
  <c r="AX475" i="1"/>
  <c r="AW475" i="1"/>
  <c r="AV475" i="1"/>
  <c r="AT475" i="1"/>
  <c r="AP475" i="1"/>
  <c r="AO475" i="1"/>
  <c r="AN475" i="1"/>
  <c r="AM475" i="1"/>
  <c r="AK475" i="1"/>
  <c r="AG475" i="1"/>
  <c r="AF475" i="1"/>
  <c r="AE475" i="1"/>
  <c r="AD475" i="1"/>
  <c r="AB475" i="1"/>
  <c r="X475" i="1"/>
  <c r="W475" i="1"/>
  <c r="V475" i="1"/>
  <c r="U475" i="1"/>
  <c r="S475" i="1"/>
  <c r="K475" i="1"/>
  <c r="J475" i="1"/>
  <c r="I475" i="1"/>
  <c r="CR474" i="1"/>
  <c r="CQ474" i="1"/>
  <c r="CP474" i="1"/>
  <c r="CO474" i="1"/>
  <c r="CM474" i="1"/>
  <c r="CI474" i="1"/>
  <c r="CH474" i="1"/>
  <c r="CG474" i="1"/>
  <c r="CF474" i="1"/>
  <c r="CD474" i="1"/>
  <c r="CC474" i="1"/>
  <c r="CB474" i="1"/>
  <c r="BZ474" i="1"/>
  <c r="BY474" i="1"/>
  <c r="BX474" i="1"/>
  <c r="BW474" i="1"/>
  <c r="BU474" i="1"/>
  <c r="BQ474" i="1"/>
  <c r="BP474" i="1"/>
  <c r="BO474" i="1"/>
  <c r="BN474" i="1"/>
  <c r="BL474" i="1"/>
  <c r="BH474" i="1"/>
  <c r="BG474" i="1"/>
  <c r="BF474" i="1"/>
  <c r="BE474" i="1"/>
  <c r="BC474" i="1"/>
  <c r="AY474" i="1"/>
  <c r="AX474" i="1"/>
  <c r="AW474" i="1"/>
  <c r="AV474" i="1"/>
  <c r="AT474" i="1"/>
  <c r="AP474" i="1"/>
  <c r="AO474" i="1"/>
  <c r="AN474" i="1"/>
  <c r="AM474" i="1"/>
  <c r="AK474" i="1"/>
  <c r="AG474" i="1"/>
  <c r="AF474" i="1"/>
  <c r="AE474" i="1"/>
  <c r="AD474" i="1"/>
  <c r="AB474" i="1"/>
  <c r="X474" i="1"/>
  <c r="W474" i="1"/>
  <c r="V474" i="1"/>
  <c r="U474" i="1"/>
  <c r="S474" i="1"/>
  <c r="K474" i="1"/>
  <c r="J474" i="1"/>
  <c r="I474" i="1"/>
  <c r="CR473" i="1"/>
  <c r="CQ473" i="1"/>
  <c r="CP473" i="1"/>
  <c r="CO473" i="1"/>
  <c r="CM473" i="1"/>
  <c r="CI473" i="1"/>
  <c r="CH473" i="1"/>
  <c r="CG473" i="1"/>
  <c r="CF473" i="1"/>
  <c r="CD473" i="1"/>
  <c r="CC473" i="1"/>
  <c r="CB473" i="1"/>
  <c r="BZ473" i="1"/>
  <c r="BY473" i="1"/>
  <c r="BX473" i="1"/>
  <c r="BW473" i="1"/>
  <c r="BU473" i="1"/>
  <c r="BQ473" i="1"/>
  <c r="BP473" i="1"/>
  <c r="BO473" i="1"/>
  <c r="BN473" i="1"/>
  <c r="BL473" i="1"/>
  <c r="BH473" i="1"/>
  <c r="BG473" i="1"/>
  <c r="BF473" i="1"/>
  <c r="BE473" i="1"/>
  <c r="BC473" i="1"/>
  <c r="AY473" i="1"/>
  <c r="AX473" i="1"/>
  <c r="AW473" i="1"/>
  <c r="AV473" i="1"/>
  <c r="AT473" i="1"/>
  <c r="AP473" i="1"/>
  <c r="AO473" i="1"/>
  <c r="AN473" i="1"/>
  <c r="AM473" i="1"/>
  <c r="AK473" i="1"/>
  <c r="AG473" i="1"/>
  <c r="AF473" i="1"/>
  <c r="AE473" i="1"/>
  <c r="AD473" i="1"/>
  <c r="AB473" i="1"/>
  <c r="X473" i="1"/>
  <c r="W473" i="1"/>
  <c r="V473" i="1"/>
  <c r="U473" i="1"/>
  <c r="S473" i="1"/>
  <c r="K473" i="1"/>
  <c r="J473" i="1"/>
  <c r="I473" i="1"/>
  <c r="CR472" i="1"/>
  <c r="CQ472" i="1"/>
  <c r="CP472" i="1"/>
  <c r="CO472" i="1"/>
  <c r="CM472" i="1"/>
  <c r="CI472" i="1"/>
  <c r="CH472" i="1"/>
  <c r="CG472" i="1"/>
  <c r="CF472" i="1"/>
  <c r="CD472" i="1"/>
  <c r="CC472" i="1"/>
  <c r="CB472" i="1"/>
  <c r="BZ472" i="1"/>
  <c r="BY472" i="1"/>
  <c r="BX472" i="1"/>
  <c r="BW472" i="1"/>
  <c r="BU472" i="1"/>
  <c r="BQ472" i="1"/>
  <c r="BP472" i="1"/>
  <c r="BO472" i="1"/>
  <c r="BN472" i="1"/>
  <c r="BL472" i="1"/>
  <c r="BH472" i="1"/>
  <c r="BG472" i="1"/>
  <c r="BF472" i="1"/>
  <c r="BE472" i="1"/>
  <c r="BC472" i="1"/>
  <c r="AY472" i="1"/>
  <c r="AX472" i="1"/>
  <c r="AW472" i="1"/>
  <c r="AV472" i="1"/>
  <c r="AT472" i="1"/>
  <c r="AP472" i="1"/>
  <c r="AO472" i="1"/>
  <c r="AN472" i="1"/>
  <c r="AM472" i="1"/>
  <c r="AK472" i="1"/>
  <c r="AG472" i="1"/>
  <c r="AF472" i="1"/>
  <c r="AE472" i="1"/>
  <c r="AD472" i="1"/>
  <c r="AB472" i="1"/>
  <c r="X472" i="1"/>
  <c r="W472" i="1"/>
  <c r="V472" i="1"/>
  <c r="U472" i="1"/>
  <c r="S472" i="1"/>
  <c r="K472" i="1"/>
  <c r="J472" i="1"/>
  <c r="I472" i="1"/>
  <c r="CR471" i="1"/>
  <c r="CQ471" i="1"/>
  <c r="CP471" i="1"/>
  <c r="CO471" i="1"/>
  <c r="CM471" i="1"/>
  <c r="CI471" i="1"/>
  <c r="CH471" i="1"/>
  <c r="CG471" i="1"/>
  <c r="CF471" i="1"/>
  <c r="CD471" i="1"/>
  <c r="CC471" i="1"/>
  <c r="CB471" i="1"/>
  <c r="BZ471" i="1"/>
  <c r="BY471" i="1"/>
  <c r="BX471" i="1"/>
  <c r="BW471" i="1"/>
  <c r="BU471" i="1"/>
  <c r="BQ471" i="1"/>
  <c r="BP471" i="1"/>
  <c r="BO471" i="1"/>
  <c r="BN471" i="1"/>
  <c r="BL471" i="1"/>
  <c r="BH471" i="1"/>
  <c r="BG471" i="1"/>
  <c r="BF471" i="1"/>
  <c r="BE471" i="1"/>
  <c r="BC471" i="1"/>
  <c r="AY471" i="1"/>
  <c r="AX471" i="1"/>
  <c r="AW471" i="1"/>
  <c r="AV471" i="1"/>
  <c r="AT471" i="1"/>
  <c r="AP471" i="1"/>
  <c r="AO471" i="1"/>
  <c r="AN471" i="1"/>
  <c r="AM471" i="1"/>
  <c r="AK471" i="1"/>
  <c r="AG471" i="1"/>
  <c r="AF471" i="1"/>
  <c r="AE471" i="1"/>
  <c r="AD471" i="1"/>
  <c r="AB471" i="1"/>
  <c r="X471" i="1"/>
  <c r="W471" i="1"/>
  <c r="V471" i="1"/>
  <c r="U471" i="1"/>
  <c r="S471" i="1"/>
  <c r="K471" i="1"/>
  <c r="J471" i="1"/>
  <c r="I471" i="1"/>
  <c r="CR470" i="1"/>
  <c r="CQ470" i="1"/>
  <c r="CP470" i="1"/>
  <c r="CO470" i="1"/>
  <c r="CM470" i="1"/>
  <c r="CI470" i="1"/>
  <c r="CH470" i="1"/>
  <c r="CG470" i="1"/>
  <c r="CF470" i="1"/>
  <c r="CD470" i="1"/>
  <c r="CC470" i="1"/>
  <c r="CB470" i="1"/>
  <c r="BZ470" i="1"/>
  <c r="BY470" i="1"/>
  <c r="BX470" i="1"/>
  <c r="BW470" i="1"/>
  <c r="BU470" i="1"/>
  <c r="BQ470" i="1"/>
  <c r="BP470" i="1"/>
  <c r="BO470" i="1"/>
  <c r="BN470" i="1"/>
  <c r="BL470" i="1"/>
  <c r="BH470" i="1"/>
  <c r="BG470" i="1"/>
  <c r="BF470" i="1"/>
  <c r="BE470" i="1"/>
  <c r="BC470" i="1"/>
  <c r="AY470" i="1"/>
  <c r="AX470" i="1"/>
  <c r="AW470" i="1"/>
  <c r="AV470" i="1"/>
  <c r="AT470" i="1"/>
  <c r="AP470" i="1"/>
  <c r="AO470" i="1"/>
  <c r="AN470" i="1"/>
  <c r="AM470" i="1"/>
  <c r="AK470" i="1"/>
  <c r="AG470" i="1"/>
  <c r="AF470" i="1"/>
  <c r="AE470" i="1"/>
  <c r="AD470" i="1"/>
  <c r="AB470" i="1"/>
  <c r="X470" i="1"/>
  <c r="W470" i="1"/>
  <c r="V470" i="1"/>
  <c r="U470" i="1"/>
  <c r="S470" i="1"/>
  <c r="K470" i="1"/>
  <c r="J470" i="1"/>
  <c r="I470" i="1"/>
  <c r="CL468" i="1"/>
  <c r="CC468" i="1"/>
  <c r="BT468" i="1"/>
  <c r="BS468" i="1"/>
  <c r="BK468" i="1"/>
  <c r="BJ468" i="1"/>
  <c r="BB468" i="1"/>
  <c r="BA468" i="1"/>
  <c r="AS468" i="1"/>
  <c r="AR468" i="1"/>
  <c r="AJ468" i="1"/>
  <c r="AI468" i="1"/>
  <c r="AA468" i="1"/>
  <c r="Z468" i="1"/>
  <c r="R468" i="1"/>
  <c r="Q468" i="1"/>
  <c r="E468" i="1"/>
  <c r="D468" i="1"/>
  <c r="CM467" i="1"/>
  <c r="CK467" i="1"/>
  <c r="CD467" i="1"/>
  <c r="CB467" i="1"/>
  <c r="BU467" i="1"/>
  <c r="BS467" i="1"/>
  <c r="BL467" i="1"/>
  <c r="BJ467" i="1"/>
  <c r="BC467" i="1"/>
  <c r="BA467" i="1"/>
  <c r="AT467" i="1"/>
  <c r="AR467" i="1"/>
  <c r="AK467" i="1"/>
  <c r="AI467" i="1"/>
  <c r="AB467" i="1"/>
  <c r="Z467" i="1"/>
  <c r="S467" i="1"/>
  <c r="Q467" i="1"/>
  <c r="I467" i="1"/>
  <c r="E467" i="1"/>
  <c r="CK466" i="1"/>
  <c r="CB466" i="1"/>
  <c r="BS466" i="1"/>
  <c r="BJ466" i="1"/>
  <c r="BA466" i="1"/>
  <c r="AR466" i="1"/>
  <c r="AI466" i="1"/>
  <c r="Z466" i="1"/>
  <c r="Q466" i="1"/>
  <c r="E465" i="1"/>
  <c r="E464" i="1"/>
  <c r="CM460" i="1"/>
  <c r="CL460" i="1"/>
  <c r="CK460" i="1"/>
  <c r="CD460" i="1"/>
  <c r="CC460" i="1"/>
  <c r="CB460" i="1"/>
  <c r="BU460" i="1"/>
  <c r="BT460" i="1"/>
  <c r="BS460" i="1"/>
  <c r="BL460" i="1"/>
  <c r="BK460" i="1"/>
  <c r="BJ460" i="1"/>
  <c r="BC460" i="1"/>
  <c r="BB460" i="1"/>
  <c r="BA460" i="1"/>
  <c r="AT460" i="1"/>
  <c r="AS460" i="1"/>
  <c r="AR460" i="1"/>
  <c r="AK460" i="1"/>
  <c r="AJ460" i="1"/>
  <c r="AI460" i="1"/>
  <c r="AB460" i="1"/>
  <c r="AA460" i="1"/>
  <c r="Z460" i="1"/>
  <c r="S460" i="1"/>
  <c r="R460" i="1"/>
  <c r="Q460" i="1"/>
  <c r="K460" i="1"/>
  <c r="J460" i="1"/>
  <c r="I460" i="1"/>
  <c r="H460" i="1"/>
  <c r="F460" i="1"/>
  <c r="CR459" i="1"/>
  <c r="CQ459" i="1"/>
  <c r="CP459" i="1"/>
  <c r="CO459" i="1"/>
  <c r="CM459" i="1"/>
  <c r="CI459" i="1"/>
  <c r="CH459" i="1"/>
  <c r="CG459" i="1"/>
  <c r="CF459" i="1"/>
  <c r="CD459" i="1"/>
  <c r="CC459" i="1"/>
  <c r="CB459" i="1"/>
  <c r="BZ459" i="1"/>
  <c r="BY459" i="1"/>
  <c r="BX459" i="1"/>
  <c r="BW459" i="1"/>
  <c r="BU459" i="1"/>
  <c r="BQ459" i="1"/>
  <c r="BP459" i="1"/>
  <c r="BO459" i="1"/>
  <c r="BN459" i="1"/>
  <c r="BL459" i="1"/>
  <c r="BH459" i="1"/>
  <c r="BG459" i="1"/>
  <c r="BF459" i="1"/>
  <c r="BE459" i="1"/>
  <c r="BC459" i="1"/>
  <c r="AY459" i="1"/>
  <c r="AX459" i="1"/>
  <c r="AW459" i="1"/>
  <c r="AV459" i="1"/>
  <c r="AT459" i="1"/>
  <c r="AP459" i="1"/>
  <c r="AO459" i="1"/>
  <c r="AN459" i="1"/>
  <c r="AM459" i="1"/>
  <c r="AK459" i="1"/>
  <c r="AG459" i="1"/>
  <c r="AF459" i="1"/>
  <c r="AE459" i="1"/>
  <c r="AD459" i="1"/>
  <c r="AB459" i="1"/>
  <c r="X459" i="1"/>
  <c r="W459" i="1"/>
  <c r="V459" i="1"/>
  <c r="U459" i="1"/>
  <c r="S459" i="1"/>
  <c r="K459" i="1"/>
  <c r="J459" i="1"/>
  <c r="I459" i="1"/>
  <c r="CR458" i="1"/>
  <c r="CQ458" i="1"/>
  <c r="CP458" i="1"/>
  <c r="CO458" i="1"/>
  <c r="CM458" i="1"/>
  <c r="CI458" i="1"/>
  <c r="CH458" i="1"/>
  <c r="CG458" i="1"/>
  <c r="CF458" i="1"/>
  <c r="CD458" i="1"/>
  <c r="CC458" i="1"/>
  <c r="CB458" i="1"/>
  <c r="BZ458" i="1"/>
  <c r="BY458" i="1"/>
  <c r="BX458" i="1"/>
  <c r="BW458" i="1"/>
  <c r="BU458" i="1"/>
  <c r="BQ458" i="1"/>
  <c r="BP458" i="1"/>
  <c r="BO458" i="1"/>
  <c r="BN458" i="1"/>
  <c r="BL458" i="1"/>
  <c r="BH458" i="1"/>
  <c r="BG458" i="1"/>
  <c r="BF458" i="1"/>
  <c r="BE458" i="1"/>
  <c r="BC458" i="1"/>
  <c r="AY458" i="1"/>
  <c r="AX458" i="1"/>
  <c r="AW458" i="1"/>
  <c r="AV458" i="1"/>
  <c r="AT458" i="1"/>
  <c r="AP458" i="1"/>
  <c r="AO458" i="1"/>
  <c r="AN458" i="1"/>
  <c r="AM458" i="1"/>
  <c r="AK458" i="1"/>
  <c r="AG458" i="1"/>
  <c r="AF458" i="1"/>
  <c r="AE458" i="1"/>
  <c r="AD458" i="1"/>
  <c r="AB458" i="1"/>
  <c r="X458" i="1"/>
  <c r="W458" i="1"/>
  <c r="V458" i="1"/>
  <c r="U458" i="1"/>
  <c r="S458" i="1"/>
  <c r="K458" i="1"/>
  <c r="J458" i="1"/>
  <c r="I458" i="1"/>
  <c r="CR457" i="1"/>
  <c r="CQ457" i="1"/>
  <c r="CP457" i="1"/>
  <c r="CO457" i="1"/>
  <c r="CM457" i="1"/>
  <c r="CI457" i="1"/>
  <c r="CH457" i="1"/>
  <c r="CG457" i="1"/>
  <c r="CF457" i="1"/>
  <c r="CD457" i="1"/>
  <c r="CC457" i="1"/>
  <c r="CB457" i="1"/>
  <c r="BZ457" i="1"/>
  <c r="BY457" i="1"/>
  <c r="BX457" i="1"/>
  <c r="BW457" i="1"/>
  <c r="BU457" i="1"/>
  <c r="BQ457" i="1"/>
  <c r="BP457" i="1"/>
  <c r="BO457" i="1"/>
  <c r="BN457" i="1"/>
  <c r="BL457" i="1"/>
  <c r="BH457" i="1"/>
  <c r="BG457" i="1"/>
  <c r="BF457" i="1"/>
  <c r="BE457" i="1"/>
  <c r="BC457" i="1"/>
  <c r="AY457" i="1"/>
  <c r="AX457" i="1"/>
  <c r="AW457" i="1"/>
  <c r="AV457" i="1"/>
  <c r="AT457" i="1"/>
  <c r="AP457" i="1"/>
  <c r="AO457" i="1"/>
  <c r="AN457" i="1"/>
  <c r="AM457" i="1"/>
  <c r="AK457" i="1"/>
  <c r="AG457" i="1"/>
  <c r="AF457" i="1"/>
  <c r="AE457" i="1"/>
  <c r="AD457" i="1"/>
  <c r="AB457" i="1"/>
  <c r="X457" i="1"/>
  <c r="W457" i="1"/>
  <c r="V457" i="1"/>
  <c r="U457" i="1"/>
  <c r="S457" i="1"/>
  <c r="K457" i="1"/>
  <c r="J457" i="1"/>
  <c r="I457" i="1"/>
  <c r="CR456" i="1"/>
  <c r="CQ456" i="1"/>
  <c r="CP456" i="1"/>
  <c r="CO456" i="1"/>
  <c r="CM456" i="1"/>
  <c r="CI456" i="1"/>
  <c r="CH456" i="1"/>
  <c r="CG456" i="1"/>
  <c r="CF456" i="1"/>
  <c r="CD456" i="1"/>
  <c r="CC456" i="1"/>
  <c r="CB456" i="1"/>
  <c r="BZ456" i="1"/>
  <c r="BY456" i="1"/>
  <c r="BX456" i="1"/>
  <c r="BW456" i="1"/>
  <c r="BU456" i="1"/>
  <c r="BQ456" i="1"/>
  <c r="BP456" i="1"/>
  <c r="BO456" i="1"/>
  <c r="BN456" i="1"/>
  <c r="BL456" i="1"/>
  <c r="BH456" i="1"/>
  <c r="BG456" i="1"/>
  <c r="BF456" i="1"/>
  <c r="BE456" i="1"/>
  <c r="BC456" i="1"/>
  <c r="AY456" i="1"/>
  <c r="AX456" i="1"/>
  <c r="AW456" i="1"/>
  <c r="AV456" i="1"/>
  <c r="AT456" i="1"/>
  <c r="AP456" i="1"/>
  <c r="AO456" i="1"/>
  <c r="AN456" i="1"/>
  <c r="AM456" i="1"/>
  <c r="AK456" i="1"/>
  <c r="AG456" i="1"/>
  <c r="AF456" i="1"/>
  <c r="AE456" i="1"/>
  <c r="AD456" i="1"/>
  <c r="AB456" i="1"/>
  <c r="X456" i="1"/>
  <c r="W456" i="1"/>
  <c r="V456" i="1"/>
  <c r="U456" i="1"/>
  <c r="S456" i="1"/>
  <c r="K456" i="1"/>
  <c r="J456" i="1"/>
  <c r="I456" i="1"/>
  <c r="CR455" i="1"/>
  <c r="CQ455" i="1"/>
  <c r="CP455" i="1"/>
  <c r="CO455" i="1"/>
  <c r="CM455" i="1"/>
  <c r="CI455" i="1"/>
  <c r="CH455" i="1"/>
  <c r="CG455" i="1"/>
  <c r="CF455" i="1"/>
  <c r="CD455" i="1"/>
  <c r="CC455" i="1"/>
  <c r="CB455" i="1"/>
  <c r="BZ455" i="1"/>
  <c r="BY455" i="1"/>
  <c r="BX455" i="1"/>
  <c r="BW455" i="1"/>
  <c r="BU455" i="1"/>
  <c r="BQ455" i="1"/>
  <c r="BP455" i="1"/>
  <c r="BO455" i="1"/>
  <c r="BN455" i="1"/>
  <c r="BL455" i="1"/>
  <c r="BH455" i="1"/>
  <c r="BG455" i="1"/>
  <c r="BF455" i="1"/>
  <c r="BE455" i="1"/>
  <c r="BC455" i="1"/>
  <c r="AY455" i="1"/>
  <c r="AX455" i="1"/>
  <c r="AW455" i="1"/>
  <c r="AV455" i="1"/>
  <c r="AT455" i="1"/>
  <c r="AP455" i="1"/>
  <c r="AO455" i="1"/>
  <c r="AN455" i="1"/>
  <c r="AM455" i="1"/>
  <c r="AK455" i="1"/>
  <c r="AG455" i="1"/>
  <c r="AF455" i="1"/>
  <c r="AE455" i="1"/>
  <c r="AD455" i="1"/>
  <c r="AB455" i="1"/>
  <c r="X455" i="1"/>
  <c r="W455" i="1"/>
  <c r="V455" i="1"/>
  <c r="U455" i="1"/>
  <c r="S455" i="1"/>
  <c r="K455" i="1"/>
  <c r="J455" i="1"/>
  <c r="I455" i="1"/>
  <c r="CR454" i="1"/>
  <c r="CQ454" i="1"/>
  <c r="CP454" i="1"/>
  <c r="CO454" i="1"/>
  <c r="CM454" i="1"/>
  <c r="CI454" i="1"/>
  <c r="CH454" i="1"/>
  <c r="CG454" i="1"/>
  <c r="CF454" i="1"/>
  <c r="CD454" i="1"/>
  <c r="CC454" i="1"/>
  <c r="CB454" i="1"/>
  <c r="BZ454" i="1"/>
  <c r="BY454" i="1"/>
  <c r="BX454" i="1"/>
  <c r="BW454" i="1"/>
  <c r="BU454" i="1"/>
  <c r="BQ454" i="1"/>
  <c r="BP454" i="1"/>
  <c r="BO454" i="1"/>
  <c r="BN454" i="1"/>
  <c r="BL454" i="1"/>
  <c r="BH454" i="1"/>
  <c r="BG454" i="1"/>
  <c r="BF454" i="1"/>
  <c r="BE454" i="1"/>
  <c r="BC454" i="1"/>
  <c r="AY454" i="1"/>
  <c r="AX454" i="1"/>
  <c r="AW454" i="1"/>
  <c r="AV454" i="1"/>
  <c r="AT454" i="1"/>
  <c r="AP454" i="1"/>
  <c r="AO454" i="1"/>
  <c r="AN454" i="1"/>
  <c r="AM454" i="1"/>
  <c r="AK454" i="1"/>
  <c r="AG454" i="1"/>
  <c r="AF454" i="1"/>
  <c r="AE454" i="1"/>
  <c r="AD454" i="1"/>
  <c r="AB454" i="1"/>
  <c r="X454" i="1"/>
  <c r="W454" i="1"/>
  <c r="V454" i="1"/>
  <c r="U454" i="1"/>
  <c r="S454" i="1"/>
  <c r="K454" i="1"/>
  <c r="J454" i="1"/>
  <c r="I454" i="1"/>
  <c r="CR453" i="1"/>
  <c r="CQ453" i="1"/>
  <c r="CP453" i="1"/>
  <c r="CO453" i="1"/>
  <c r="CM453" i="1"/>
  <c r="CI453" i="1"/>
  <c r="CH453" i="1"/>
  <c r="CG453" i="1"/>
  <c r="CF453" i="1"/>
  <c r="CD453" i="1"/>
  <c r="CC453" i="1"/>
  <c r="CB453" i="1"/>
  <c r="BZ453" i="1"/>
  <c r="BY453" i="1"/>
  <c r="BX453" i="1"/>
  <c r="BW453" i="1"/>
  <c r="BU453" i="1"/>
  <c r="BQ453" i="1"/>
  <c r="BP453" i="1"/>
  <c r="BO453" i="1"/>
  <c r="BN453" i="1"/>
  <c r="BL453" i="1"/>
  <c r="BH453" i="1"/>
  <c r="BG453" i="1"/>
  <c r="BF453" i="1"/>
  <c r="BE453" i="1"/>
  <c r="BC453" i="1"/>
  <c r="AY453" i="1"/>
  <c r="AX453" i="1"/>
  <c r="AW453" i="1"/>
  <c r="AV453" i="1"/>
  <c r="AT453" i="1"/>
  <c r="AP453" i="1"/>
  <c r="AO453" i="1"/>
  <c r="AN453" i="1"/>
  <c r="AM453" i="1"/>
  <c r="AK453" i="1"/>
  <c r="AG453" i="1"/>
  <c r="AF453" i="1"/>
  <c r="AE453" i="1"/>
  <c r="AD453" i="1"/>
  <c r="AB453" i="1"/>
  <c r="X453" i="1"/>
  <c r="W453" i="1"/>
  <c r="V453" i="1"/>
  <c r="U453" i="1"/>
  <c r="S453" i="1"/>
  <c r="K453" i="1"/>
  <c r="J453" i="1"/>
  <c r="I453" i="1"/>
  <c r="CR452" i="1"/>
  <c r="CQ452" i="1"/>
  <c r="CP452" i="1"/>
  <c r="CO452" i="1"/>
  <c r="CM452" i="1"/>
  <c r="CI452" i="1"/>
  <c r="CH452" i="1"/>
  <c r="CG452" i="1"/>
  <c r="CF452" i="1"/>
  <c r="CD452" i="1"/>
  <c r="CC452" i="1"/>
  <c r="CB452" i="1"/>
  <c r="BZ452" i="1"/>
  <c r="BY452" i="1"/>
  <c r="BX452" i="1"/>
  <c r="BW452" i="1"/>
  <c r="BU452" i="1"/>
  <c r="BQ452" i="1"/>
  <c r="BP452" i="1"/>
  <c r="BO452" i="1"/>
  <c r="BN452" i="1"/>
  <c r="BL452" i="1"/>
  <c r="BH452" i="1"/>
  <c r="BG452" i="1"/>
  <c r="BF452" i="1"/>
  <c r="BE452" i="1"/>
  <c r="BC452" i="1"/>
  <c r="AY452" i="1"/>
  <c r="AX452" i="1"/>
  <c r="AW452" i="1"/>
  <c r="AV452" i="1"/>
  <c r="AT452" i="1"/>
  <c r="AP452" i="1"/>
  <c r="AO452" i="1"/>
  <c r="AN452" i="1"/>
  <c r="AM452" i="1"/>
  <c r="AK452" i="1"/>
  <c r="AG452" i="1"/>
  <c r="AF452" i="1"/>
  <c r="AE452" i="1"/>
  <c r="AD452" i="1"/>
  <c r="AB452" i="1"/>
  <c r="X452" i="1"/>
  <c r="W452" i="1"/>
  <c r="V452" i="1"/>
  <c r="U452" i="1"/>
  <c r="S452" i="1"/>
  <c r="K452" i="1"/>
  <c r="J452" i="1"/>
  <c r="I452" i="1"/>
  <c r="CR451" i="1"/>
  <c r="CQ451" i="1"/>
  <c r="CP451" i="1"/>
  <c r="CO451" i="1"/>
  <c r="CM451" i="1"/>
  <c r="CI451" i="1"/>
  <c r="CH451" i="1"/>
  <c r="CG451" i="1"/>
  <c r="CF451" i="1"/>
  <c r="CD451" i="1"/>
  <c r="CC451" i="1"/>
  <c r="CB451" i="1"/>
  <c r="BZ451" i="1"/>
  <c r="BY451" i="1"/>
  <c r="BX451" i="1"/>
  <c r="BW451" i="1"/>
  <c r="BU451" i="1"/>
  <c r="BQ451" i="1"/>
  <c r="BP451" i="1"/>
  <c r="BO451" i="1"/>
  <c r="BN451" i="1"/>
  <c r="BL451" i="1"/>
  <c r="BH451" i="1"/>
  <c r="BG451" i="1"/>
  <c r="BF451" i="1"/>
  <c r="BE451" i="1"/>
  <c r="BC451" i="1"/>
  <c r="AY451" i="1"/>
  <c r="AX451" i="1"/>
  <c r="AW451" i="1"/>
  <c r="AV451" i="1"/>
  <c r="AT451" i="1"/>
  <c r="AP451" i="1"/>
  <c r="AO451" i="1"/>
  <c r="AN451" i="1"/>
  <c r="AM451" i="1"/>
  <c r="AK451" i="1"/>
  <c r="AG451" i="1"/>
  <c r="AF451" i="1"/>
  <c r="AE451" i="1"/>
  <c r="AD451" i="1"/>
  <c r="AB451" i="1"/>
  <c r="X451" i="1"/>
  <c r="W451" i="1"/>
  <c r="V451" i="1"/>
  <c r="U451" i="1"/>
  <c r="S451" i="1"/>
  <c r="K451" i="1"/>
  <c r="J451" i="1"/>
  <c r="I451" i="1"/>
  <c r="CR450" i="1"/>
  <c r="CQ450" i="1"/>
  <c r="CP450" i="1"/>
  <c r="CO450" i="1"/>
  <c r="CM450" i="1"/>
  <c r="CI450" i="1"/>
  <c r="CH450" i="1"/>
  <c r="CG450" i="1"/>
  <c r="CF450" i="1"/>
  <c r="CD450" i="1"/>
  <c r="CC450" i="1"/>
  <c r="CB450" i="1"/>
  <c r="BZ450" i="1"/>
  <c r="BY450" i="1"/>
  <c r="BX450" i="1"/>
  <c r="BW450" i="1"/>
  <c r="BU450" i="1"/>
  <c r="BQ450" i="1"/>
  <c r="BP450" i="1"/>
  <c r="BO450" i="1"/>
  <c r="BN450" i="1"/>
  <c r="BL450" i="1"/>
  <c r="BH450" i="1"/>
  <c r="BG450" i="1"/>
  <c r="BF450" i="1"/>
  <c r="BE450" i="1"/>
  <c r="BC450" i="1"/>
  <c r="AY450" i="1"/>
  <c r="AX450" i="1"/>
  <c r="AW450" i="1"/>
  <c r="AV450" i="1"/>
  <c r="AT450" i="1"/>
  <c r="AP450" i="1"/>
  <c r="AO450" i="1"/>
  <c r="AN450" i="1"/>
  <c r="AM450" i="1"/>
  <c r="AK450" i="1"/>
  <c r="AG450" i="1"/>
  <c r="AF450" i="1"/>
  <c r="AE450" i="1"/>
  <c r="AD450" i="1"/>
  <c r="AB450" i="1"/>
  <c r="X450" i="1"/>
  <c r="W450" i="1"/>
  <c r="V450" i="1"/>
  <c r="U450" i="1"/>
  <c r="S450" i="1"/>
  <c r="K450" i="1"/>
  <c r="J450" i="1"/>
  <c r="I450" i="1"/>
  <c r="CR449" i="1"/>
  <c r="CQ449" i="1"/>
  <c r="CP449" i="1"/>
  <c r="CO449" i="1"/>
  <c r="CM449" i="1"/>
  <c r="CI449" i="1"/>
  <c r="CH449" i="1"/>
  <c r="CG449" i="1"/>
  <c r="CF449" i="1"/>
  <c r="CD449" i="1"/>
  <c r="CC449" i="1"/>
  <c r="CB449" i="1"/>
  <c r="BZ449" i="1"/>
  <c r="BY449" i="1"/>
  <c r="BX449" i="1"/>
  <c r="BW449" i="1"/>
  <c r="BU449" i="1"/>
  <c r="BQ449" i="1"/>
  <c r="BP449" i="1"/>
  <c r="BO449" i="1"/>
  <c r="BN449" i="1"/>
  <c r="BL449" i="1"/>
  <c r="BH449" i="1"/>
  <c r="BG449" i="1"/>
  <c r="BF449" i="1"/>
  <c r="BE449" i="1"/>
  <c r="BC449" i="1"/>
  <c r="AY449" i="1"/>
  <c r="AX449" i="1"/>
  <c r="AW449" i="1"/>
  <c r="AV449" i="1"/>
  <c r="AT449" i="1"/>
  <c r="AP449" i="1"/>
  <c r="AO449" i="1"/>
  <c r="AN449" i="1"/>
  <c r="AM449" i="1"/>
  <c r="AK449" i="1"/>
  <c r="AG449" i="1"/>
  <c r="AF449" i="1"/>
  <c r="AE449" i="1"/>
  <c r="AD449" i="1"/>
  <c r="AB449" i="1"/>
  <c r="X449" i="1"/>
  <c r="W449" i="1"/>
  <c r="V449" i="1"/>
  <c r="U449" i="1"/>
  <c r="S449" i="1"/>
  <c r="K449" i="1"/>
  <c r="J449" i="1"/>
  <c r="I449" i="1"/>
  <c r="CR448" i="1"/>
  <c r="CQ448" i="1"/>
  <c r="CP448" i="1"/>
  <c r="CO448" i="1"/>
  <c r="CM448" i="1"/>
  <c r="CI448" i="1"/>
  <c r="CH448" i="1"/>
  <c r="CG448" i="1"/>
  <c r="CF448" i="1"/>
  <c r="CD448" i="1"/>
  <c r="CC448" i="1"/>
  <c r="CB448" i="1"/>
  <c r="BZ448" i="1"/>
  <c r="BY448" i="1"/>
  <c r="BX448" i="1"/>
  <c r="BW448" i="1"/>
  <c r="BU448" i="1"/>
  <c r="BQ448" i="1"/>
  <c r="BP448" i="1"/>
  <c r="BO448" i="1"/>
  <c r="BN448" i="1"/>
  <c r="BL448" i="1"/>
  <c r="BH448" i="1"/>
  <c r="BG448" i="1"/>
  <c r="BF448" i="1"/>
  <c r="BE448" i="1"/>
  <c r="BC448" i="1"/>
  <c r="AY448" i="1"/>
  <c r="AX448" i="1"/>
  <c r="AW448" i="1"/>
  <c r="AV448" i="1"/>
  <c r="AT448" i="1"/>
  <c r="AP448" i="1"/>
  <c r="AO448" i="1"/>
  <c r="AN448" i="1"/>
  <c r="AM448" i="1"/>
  <c r="AK448" i="1"/>
  <c r="AG448" i="1"/>
  <c r="AF448" i="1"/>
  <c r="AE448" i="1"/>
  <c r="AD448" i="1"/>
  <c r="AB448" i="1"/>
  <c r="X448" i="1"/>
  <c r="W448" i="1"/>
  <c r="V448" i="1"/>
  <c r="U448" i="1"/>
  <c r="S448" i="1"/>
  <c r="K448" i="1"/>
  <c r="J448" i="1"/>
  <c r="I448" i="1"/>
  <c r="CL446" i="1"/>
  <c r="CC446" i="1"/>
  <c r="BT446" i="1"/>
  <c r="BS446" i="1"/>
  <c r="BK446" i="1"/>
  <c r="BJ446" i="1"/>
  <c r="BB446" i="1"/>
  <c r="BA446" i="1"/>
  <c r="AS446" i="1"/>
  <c r="AR446" i="1"/>
  <c r="AJ446" i="1"/>
  <c r="AI446" i="1"/>
  <c r="AA446" i="1"/>
  <c r="Z446" i="1"/>
  <c r="R446" i="1"/>
  <c r="Q446" i="1"/>
  <c r="E446" i="1"/>
  <c r="D446" i="1"/>
  <c r="CM445" i="1"/>
  <c r="CK445" i="1"/>
  <c r="CD445" i="1"/>
  <c r="CB445" i="1"/>
  <c r="BU445" i="1"/>
  <c r="BS445" i="1"/>
  <c r="BL445" i="1"/>
  <c r="BJ445" i="1"/>
  <c r="BC445" i="1"/>
  <c r="BA445" i="1"/>
  <c r="AT445" i="1"/>
  <c r="AR445" i="1"/>
  <c r="AK445" i="1"/>
  <c r="AI445" i="1"/>
  <c r="AB445" i="1"/>
  <c r="Z445" i="1"/>
  <c r="S445" i="1"/>
  <c r="Q445" i="1"/>
  <c r="I445" i="1"/>
  <c r="E445" i="1"/>
  <c r="CK444" i="1"/>
  <c r="CB444" i="1"/>
  <c r="BS444" i="1"/>
  <c r="BJ444" i="1"/>
  <c r="BA444" i="1"/>
  <c r="AR444" i="1"/>
  <c r="AI444" i="1"/>
  <c r="Z444" i="1"/>
  <c r="Q444" i="1"/>
  <c r="E443" i="1"/>
  <c r="E442" i="1"/>
  <c r="CM438" i="1"/>
  <c r="CL438" i="1"/>
  <c r="CK438" i="1"/>
  <c r="CD438" i="1"/>
  <c r="CC438" i="1"/>
  <c r="CB438" i="1"/>
  <c r="BU438" i="1"/>
  <c r="BT438" i="1"/>
  <c r="BS438" i="1"/>
  <c r="BL438" i="1"/>
  <c r="BK438" i="1"/>
  <c r="BJ438" i="1"/>
  <c r="BC438" i="1"/>
  <c r="BB438" i="1"/>
  <c r="BA438" i="1"/>
  <c r="AT438" i="1"/>
  <c r="AS438" i="1"/>
  <c r="AR438" i="1"/>
  <c r="AK438" i="1"/>
  <c r="AJ438" i="1"/>
  <c r="AI438" i="1"/>
  <c r="AB438" i="1"/>
  <c r="AA438" i="1"/>
  <c r="Z438" i="1"/>
  <c r="S438" i="1"/>
  <c r="R438" i="1"/>
  <c r="Q438" i="1"/>
  <c r="K438" i="1"/>
  <c r="J438" i="1"/>
  <c r="I438" i="1"/>
  <c r="H438" i="1"/>
  <c r="F438" i="1"/>
  <c r="CR437" i="1"/>
  <c r="CQ437" i="1"/>
  <c r="CP437" i="1"/>
  <c r="CO437" i="1"/>
  <c r="CM437" i="1"/>
  <c r="CI437" i="1"/>
  <c r="CH437" i="1"/>
  <c r="CG437" i="1"/>
  <c r="CF437" i="1"/>
  <c r="CD437" i="1"/>
  <c r="CC437" i="1"/>
  <c r="CB437" i="1"/>
  <c r="BZ437" i="1"/>
  <c r="BY437" i="1"/>
  <c r="BX437" i="1"/>
  <c r="BW437" i="1"/>
  <c r="BU437" i="1"/>
  <c r="BQ437" i="1"/>
  <c r="BP437" i="1"/>
  <c r="BO437" i="1"/>
  <c r="BN437" i="1"/>
  <c r="BL437" i="1"/>
  <c r="BH437" i="1"/>
  <c r="BG437" i="1"/>
  <c r="BF437" i="1"/>
  <c r="BE437" i="1"/>
  <c r="BC437" i="1"/>
  <c r="AY437" i="1"/>
  <c r="AX437" i="1"/>
  <c r="AW437" i="1"/>
  <c r="AV437" i="1"/>
  <c r="AT437" i="1"/>
  <c r="AP437" i="1"/>
  <c r="AO437" i="1"/>
  <c r="AN437" i="1"/>
  <c r="AM437" i="1"/>
  <c r="AK437" i="1"/>
  <c r="AG437" i="1"/>
  <c r="AF437" i="1"/>
  <c r="AE437" i="1"/>
  <c r="AD437" i="1"/>
  <c r="AB437" i="1"/>
  <c r="X437" i="1"/>
  <c r="W437" i="1"/>
  <c r="V437" i="1"/>
  <c r="U437" i="1"/>
  <c r="S437" i="1"/>
  <c r="K437" i="1"/>
  <c r="J437" i="1"/>
  <c r="I437" i="1"/>
  <c r="CR436" i="1"/>
  <c r="CQ436" i="1"/>
  <c r="CP436" i="1"/>
  <c r="CO436" i="1"/>
  <c r="CM436" i="1"/>
  <c r="CI436" i="1"/>
  <c r="CH436" i="1"/>
  <c r="CG436" i="1"/>
  <c r="CF436" i="1"/>
  <c r="CD436" i="1"/>
  <c r="CC436" i="1"/>
  <c r="CB436" i="1"/>
  <c r="BZ436" i="1"/>
  <c r="BY436" i="1"/>
  <c r="BX436" i="1"/>
  <c r="BW436" i="1"/>
  <c r="BU436" i="1"/>
  <c r="BQ436" i="1"/>
  <c r="BP436" i="1"/>
  <c r="BO436" i="1"/>
  <c r="BN436" i="1"/>
  <c r="BL436" i="1"/>
  <c r="BH436" i="1"/>
  <c r="BG436" i="1"/>
  <c r="BF436" i="1"/>
  <c r="BE436" i="1"/>
  <c r="BC436" i="1"/>
  <c r="AY436" i="1"/>
  <c r="AX436" i="1"/>
  <c r="AW436" i="1"/>
  <c r="AV436" i="1"/>
  <c r="AT436" i="1"/>
  <c r="AP436" i="1"/>
  <c r="AO436" i="1"/>
  <c r="AN436" i="1"/>
  <c r="AM436" i="1"/>
  <c r="AK436" i="1"/>
  <c r="AG436" i="1"/>
  <c r="AF436" i="1"/>
  <c r="AE436" i="1"/>
  <c r="AD436" i="1"/>
  <c r="AB436" i="1"/>
  <c r="X436" i="1"/>
  <c r="W436" i="1"/>
  <c r="V436" i="1"/>
  <c r="U436" i="1"/>
  <c r="S436" i="1"/>
  <c r="K436" i="1"/>
  <c r="J436" i="1"/>
  <c r="I436" i="1"/>
  <c r="CR435" i="1"/>
  <c r="CQ435" i="1"/>
  <c r="CP435" i="1"/>
  <c r="CO435" i="1"/>
  <c r="CM435" i="1"/>
  <c r="CI435" i="1"/>
  <c r="CH435" i="1"/>
  <c r="CG435" i="1"/>
  <c r="CF435" i="1"/>
  <c r="CD435" i="1"/>
  <c r="CC435" i="1"/>
  <c r="CB435" i="1"/>
  <c r="BZ435" i="1"/>
  <c r="BY435" i="1"/>
  <c r="BX435" i="1"/>
  <c r="BW435" i="1"/>
  <c r="BU435" i="1"/>
  <c r="BQ435" i="1"/>
  <c r="BP435" i="1"/>
  <c r="BO435" i="1"/>
  <c r="BN435" i="1"/>
  <c r="BL435" i="1"/>
  <c r="BH435" i="1"/>
  <c r="BG435" i="1"/>
  <c r="BF435" i="1"/>
  <c r="BE435" i="1"/>
  <c r="BC435" i="1"/>
  <c r="AY435" i="1"/>
  <c r="AX435" i="1"/>
  <c r="AW435" i="1"/>
  <c r="AV435" i="1"/>
  <c r="AT435" i="1"/>
  <c r="AP435" i="1"/>
  <c r="AO435" i="1"/>
  <c r="AN435" i="1"/>
  <c r="AM435" i="1"/>
  <c r="AK435" i="1"/>
  <c r="AG435" i="1"/>
  <c r="AF435" i="1"/>
  <c r="AE435" i="1"/>
  <c r="AD435" i="1"/>
  <c r="AB435" i="1"/>
  <c r="X435" i="1"/>
  <c r="W435" i="1"/>
  <c r="V435" i="1"/>
  <c r="U435" i="1"/>
  <c r="S435" i="1"/>
  <c r="K435" i="1"/>
  <c r="J435" i="1"/>
  <c r="I435" i="1"/>
  <c r="CR434" i="1"/>
  <c r="CQ434" i="1"/>
  <c r="CP434" i="1"/>
  <c r="CO434" i="1"/>
  <c r="CM434" i="1"/>
  <c r="CI434" i="1"/>
  <c r="CH434" i="1"/>
  <c r="CG434" i="1"/>
  <c r="CF434" i="1"/>
  <c r="CD434" i="1"/>
  <c r="CC434" i="1"/>
  <c r="CB434" i="1"/>
  <c r="BZ434" i="1"/>
  <c r="BY434" i="1"/>
  <c r="BX434" i="1"/>
  <c r="BW434" i="1"/>
  <c r="BU434" i="1"/>
  <c r="BQ434" i="1"/>
  <c r="BP434" i="1"/>
  <c r="BO434" i="1"/>
  <c r="BN434" i="1"/>
  <c r="BL434" i="1"/>
  <c r="BH434" i="1"/>
  <c r="BG434" i="1"/>
  <c r="BF434" i="1"/>
  <c r="BE434" i="1"/>
  <c r="BC434" i="1"/>
  <c r="AY434" i="1"/>
  <c r="AX434" i="1"/>
  <c r="AW434" i="1"/>
  <c r="AV434" i="1"/>
  <c r="AT434" i="1"/>
  <c r="AP434" i="1"/>
  <c r="AO434" i="1"/>
  <c r="AN434" i="1"/>
  <c r="AM434" i="1"/>
  <c r="AK434" i="1"/>
  <c r="AG434" i="1"/>
  <c r="AF434" i="1"/>
  <c r="AE434" i="1"/>
  <c r="AD434" i="1"/>
  <c r="AB434" i="1"/>
  <c r="X434" i="1"/>
  <c r="W434" i="1"/>
  <c r="V434" i="1"/>
  <c r="U434" i="1"/>
  <c r="S434" i="1"/>
  <c r="K434" i="1"/>
  <c r="J434" i="1"/>
  <c r="I434" i="1"/>
  <c r="CR433" i="1"/>
  <c r="CQ433" i="1"/>
  <c r="CP433" i="1"/>
  <c r="CO433" i="1"/>
  <c r="CM433" i="1"/>
  <c r="CI433" i="1"/>
  <c r="CH433" i="1"/>
  <c r="CG433" i="1"/>
  <c r="CF433" i="1"/>
  <c r="CD433" i="1"/>
  <c r="CC433" i="1"/>
  <c r="CB433" i="1"/>
  <c r="BZ433" i="1"/>
  <c r="BY433" i="1"/>
  <c r="BX433" i="1"/>
  <c r="BW433" i="1"/>
  <c r="BU433" i="1"/>
  <c r="BQ433" i="1"/>
  <c r="BP433" i="1"/>
  <c r="BO433" i="1"/>
  <c r="BN433" i="1"/>
  <c r="BL433" i="1"/>
  <c r="BH433" i="1"/>
  <c r="BG433" i="1"/>
  <c r="BF433" i="1"/>
  <c r="BE433" i="1"/>
  <c r="BC433" i="1"/>
  <c r="AY433" i="1"/>
  <c r="AX433" i="1"/>
  <c r="AW433" i="1"/>
  <c r="AV433" i="1"/>
  <c r="AT433" i="1"/>
  <c r="AP433" i="1"/>
  <c r="AO433" i="1"/>
  <c r="AN433" i="1"/>
  <c r="AM433" i="1"/>
  <c r="AK433" i="1"/>
  <c r="AG433" i="1"/>
  <c r="AF433" i="1"/>
  <c r="AE433" i="1"/>
  <c r="AD433" i="1"/>
  <c r="AB433" i="1"/>
  <c r="X433" i="1"/>
  <c r="W433" i="1"/>
  <c r="V433" i="1"/>
  <c r="U433" i="1"/>
  <c r="S433" i="1"/>
  <c r="K433" i="1"/>
  <c r="J433" i="1"/>
  <c r="I433" i="1"/>
  <c r="CR432" i="1"/>
  <c r="CQ432" i="1"/>
  <c r="CP432" i="1"/>
  <c r="CO432" i="1"/>
  <c r="CM432" i="1"/>
  <c r="CI432" i="1"/>
  <c r="CH432" i="1"/>
  <c r="CG432" i="1"/>
  <c r="CF432" i="1"/>
  <c r="CD432" i="1"/>
  <c r="CC432" i="1"/>
  <c r="CB432" i="1"/>
  <c r="BZ432" i="1"/>
  <c r="BY432" i="1"/>
  <c r="BX432" i="1"/>
  <c r="BW432" i="1"/>
  <c r="BU432" i="1"/>
  <c r="BQ432" i="1"/>
  <c r="BP432" i="1"/>
  <c r="BO432" i="1"/>
  <c r="BN432" i="1"/>
  <c r="BL432" i="1"/>
  <c r="BH432" i="1"/>
  <c r="BG432" i="1"/>
  <c r="BF432" i="1"/>
  <c r="BE432" i="1"/>
  <c r="BC432" i="1"/>
  <c r="AY432" i="1"/>
  <c r="AX432" i="1"/>
  <c r="AW432" i="1"/>
  <c r="AV432" i="1"/>
  <c r="AT432" i="1"/>
  <c r="AP432" i="1"/>
  <c r="AO432" i="1"/>
  <c r="AN432" i="1"/>
  <c r="AM432" i="1"/>
  <c r="AK432" i="1"/>
  <c r="AG432" i="1"/>
  <c r="AF432" i="1"/>
  <c r="AE432" i="1"/>
  <c r="AD432" i="1"/>
  <c r="AB432" i="1"/>
  <c r="X432" i="1"/>
  <c r="W432" i="1"/>
  <c r="V432" i="1"/>
  <c r="U432" i="1"/>
  <c r="S432" i="1"/>
  <c r="K432" i="1"/>
  <c r="J432" i="1"/>
  <c r="I432" i="1"/>
  <c r="CR431" i="1"/>
  <c r="CQ431" i="1"/>
  <c r="CP431" i="1"/>
  <c r="CO431" i="1"/>
  <c r="CM431" i="1"/>
  <c r="CI431" i="1"/>
  <c r="CH431" i="1"/>
  <c r="CG431" i="1"/>
  <c r="CF431" i="1"/>
  <c r="CD431" i="1"/>
  <c r="CC431" i="1"/>
  <c r="CB431" i="1"/>
  <c r="BZ431" i="1"/>
  <c r="BY431" i="1"/>
  <c r="BX431" i="1"/>
  <c r="BW431" i="1"/>
  <c r="BU431" i="1"/>
  <c r="BQ431" i="1"/>
  <c r="BP431" i="1"/>
  <c r="BO431" i="1"/>
  <c r="BN431" i="1"/>
  <c r="BL431" i="1"/>
  <c r="BH431" i="1"/>
  <c r="BG431" i="1"/>
  <c r="BF431" i="1"/>
  <c r="BE431" i="1"/>
  <c r="BC431" i="1"/>
  <c r="AY431" i="1"/>
  <c r="AX431" i="1"/>
  <c r="AW431" i="1"/>
  <c r="AV431" i="1"/>
  <c r="AT431" i="1"/>
  <c r="AP431" i="1"/>
  <c r="AO431" i="1"/>
  <c r="AN431" i="1"/>
  <c r="AM431" i="1"/>
  <c r="AK431" i="1"/>
  <c r="AG431" i="1"/>
  <c r="AF431" i="1"/>
  <c r="AE431" i="1"/>
  <c r="AD431" i="1"/>
  <c r="AB431" i="1"/>
  <c r="X431" i="1"/>
  <c r="W431" i="1"/>
  <c r="V431" i="1"/>
  <c r="U431" i="1"/>
  <c r="S431" i="1"/>
  <c r="K431" i="1"/>
  <c r="J431" i="1"/>
  <c r="I431" i="1"/>
  <c r="CR430" i="1"/>
  <c r="CQ430" i="1"/>
  <c r="CP430" i="1"/>
  <c r="CO430" i="1"/>
  <c r="CM430" i="1"/>
  <c r="CI430" i="1"/>
  <c r="CH430" i="1"/>
  <c r="CG430" i="1"/>
  <c r="CF430" i="1"/>
  <c r="CD430" i="1"/>
  <c r="CC430" i="1"/>
  <c r="CB430" i="1"/>
  <c r="BZ430" i="1"/>
  <c r="BY430" i="1"/>
  <c r="BX430" i="1"/>
  <c r="BW430" i="1"/>
  <c r="BU430" i="1"/>
  <c r="BQ430" i="1"/>
  <c r="BP430" i="1"/>
  <c r="BO430" i="1"/>
  <c r="BN430" i="1"/>
  <c r="BL430" i="1"/>
  <c r="BH430" i="1"/>
  <c r="BG430" i="1"/>
  <c r="BF430" i="1"/>
  <c r="BE430" i="1"/>
  <c r="BC430" i="1"/>
  <c r="AY430" i="1"/>
  <c r="AX430" i="1"/>
  <c r="AW430" i="1"/>
  <c r="AV430" i="1"/>
  <c r="AT430" i="1"/>
  <c r="AP430" i="1"/>
  <c r="AO430" i="1"/>
  <c r="AN430" i="1"/>
  <c r="AM430" i="1"/>
  <c r="AK430" i="1"/>
  <c r="AG430" i="1"/>
  <c r="AF430" i="1"/>
  <c r="AE430" i="1"/>
  <c r="AD430" i="1"/>
  <c r="AB430" i="1"/>
  <c r="X430" i="1"/>
  <c r="W430" i="1"/>
  <c r="V430" i="1"/>
  <c r="U430" i="1"/>
  <c r="S430" i="1"/>
  <c r="K430" i="1"/>
  <c r="J430" i="1"/>
  <c r="I430" i="1"/>
  <c r="CR429" i="1"/>
  <c r="CQ429" i="1"/>
  <c r="CP429" i="1"/>
  <c r="CO429" i="1"/>
  <c r="CM429" i="1"/>
  <c r="CI429" i="1"/>
  <c r="CH429" i="1"/>
  <c r="CG429" i="1"/>
  <c r="CF429" i="1"/>
  <c r="CD429" i="1"/>
  <c r="CC429" i="1"/>
  <c r="CB429" i="1"/>
  <c r="BZ429" i="1"/>
  <c r="BY429" i="1"/>
  <c r="BX429" i="1"/>
  <c r="BW429" i="1"/>
  <c r="BU429" i="1"/>
  <c r="BQ429" i="1"/>
  <c r="BP429" i="1"/>
  <c r="BO429" i="1"/>
  <c r="BN429" i="1"/>
  <c r="BL429" i="1"/>
  <c r="BH429" i="1"/>
  <c r="BG429" i="1"/>
  <c r="BF429" i="1"/>
  <c r="BE429" i="1"/>
  <c r="BC429" i="1"/>
  <c r="AY429" i="1"/>
  <c r="AX429" i="1"/>
  <c r="AW429" i="1"/>
  <c r="AV429" i="1"/>
  <c r="AT429" i="1"/>
  <c r="AP429" i="1"/>
  <c r="AO429" i="1"/>
  <c r="AN429" i="1"/>
  <c r="AM429" i="1"/>
  <c r="AK429" i="1"/>
  <c r="AG429" i="1"/>
  <c r="AF429" i="1"/>
  <c r="AE429" i="1"/>
  <c r="AD429" i="1"/>
  <c r="AB429" i="1"/>
  <c r="X429" i="1"/>
  <c r="W429" i="1"/>
  <c r="V429" i="1"/>
  <c r="U429" i="1"/>
  <c r="S429" i="1"/>
  <c r="K429" i="1"/>
  <c r="J429" i="1"/>
  <c r="I429" i="1"/>
  <c r="CR428" i="1"/>
  <c r="CQ428" i="1"/>
  <c r="CP428" i="1"/>
  <c r="CO428" i="1"/>
  <c r="CM428" i="1"/>
  <c r="CI428" i="1"/>
  <c r="CH428" i="1"/>
  <c r="CG428" i="1"/>
  <c r="CF428" i="1"/>
  <c r="CD428" i="1"/>
  <c r="CC428" i="1"/>
  <c r="CB428" i="1"/>
  <c r="BZ428" i="1"/>
  <c r="BY428" i="1"/>
  <c r="BX428" i="1"/>
  <c r="BW428" i="1"/>
  <c r="BU428" i="1"/>
  <c r="BQ428" i="1"/>
  <c r="BP428" i="1"/>
  <c r="BO428" i="1"/>
  <c r="BN428" i="1"/>
  <c r="BL428" i="1"/>
  <c r="BH428" i="1"/>
  <c r="BG428" i="1"/>
  <c r="BF428" i="1"/>
  <c r="BE428" i="1"/>
  <c r="BC428" i="1"/>
  <c r="AY428" i="1"/>
  <c r="AX428" i="1"/>
  <c r="AW428" i="1"/>
  <c r="AV428" i="1"/>
  <c r="AT428" i="1"/>
  <c r="AP428" i="1"/>
  <c r="AO428" i="1"/>
  <c r="AN428" i="1"/>
  <c r="AM428" i="1"/>
  <c r="AK428" i="1"/>
  <c r="AG428" i="1"/>
  <c r="AF428" i="1"/>
  <c r="AE428" i="1"/>
  <c r="AD428" i="1"/>
  <c r="AB428" i="1"/>
  <c r="X428" i="1"/>
  <c r="W428" i="1"/>
  <c r="V428" i="1"/>
  <c r="U428" i="1"/>
  <c r="S428" i="1"/>
  <c r="K428" i="1"/>
  <c r="J428" i="1"/>
  <c r="I428" i="1"/>
  <c r="CR427" i="1"/>
  <c r="CQ427" i="1"/>
  <c r="CP427" i="1"/>
  <c r="CO427" i="1"/>
  <c r="CM427" i="1"/>
  <c r="CI427" i="1"/>
  <c r="CH427" i="1"/>
  <c r="CG427" i="1"/>
  <c r="CF427" i="1"/>
  <c r="CD427" i="1"/>
  <c r="CC427" i="1"/>
  <c r="CB427" i="1"/>
  <c r="BZ427" i="1"/>
  <c r="BY427" i="1"/>
  <c r="BX427" i="1"/>
  <c r="BW427" i="1"/>
  <c r="BU427" i="1"/>
  <c r="BQ427" i="1"/>
  <c r="BP427" i="1"/>
  <c r="BO427" i="1"/>
  <c r="BN427" i="1"/>
  <c r="BL427" i="1"/>
  <c r="BH427" i="1"/>
  <c r="BG427" i="1"/>
  <c r="BF427" i="1"/>
  <c r="BE427" i="1"/>
  <c r="BC427" i="1"/>
  <c r="AY427" i="1"/>
  <c r="AX427" i="1"/>
  <c r="AW427" i="1"/>
  <c r="AV427" i="1"/>
  <c r="AT427" i="1"/>
  <c r="AP427" i="1"/>
  <c r="AO427" i="1"/>
  <c r="AN427" i="1"/>
  <c r="AM427" i="1"/>
  <c r="AK427" i="1"/>
  <c r="AG427" i="1"/>
  <c r="AF427" i="1"/>
  <c r="AE427" i="1"/>
  <c r="AD427" i="1"/>
  <c r="AB427" i="1"/>
  <c r="X427" i="1"/>
  <c r="W427" i="1"/>
  <c r="V427" i="1"/>
  <c r="U427" i="1"/>
  <c r="S427" i="1"/>
  <c r="K427" i="1"/>
  <c r="J427" i="1"/>
  <c r="I427" i="1"/>
  <c r="CR426" i="1"/>
  <c r="CQ426" i="1"/>
  <c r="CP426" i="1"/>
  <c r="CO426" i="1"/>
  <c r="CM426" i="1"/>
  <c r="CI426" i="1"/>
  <c r="CH426" i="1"/>
  <c r="CG426" i="1"/>
  <c r="CF426" i="1"/>
  <c r="CD426" i="1"/>
  <c r="CC426" i="1"/>
  <c r="CB426" i="1"/>
  <c r="BZ426" i="1"/>
  <c r="BY426" i="1"/>
  <c r="BX426" i="1"/>
  <c r="BW426" i="1"/>
  <c r="BU426" i="1"/>
  <c r="BQ426" i="1"/>
  <c r="BP426" i="1"/>
  <c r="BO426" i="1"/>
  <c r="BN426" i="1"/>
  <c r="BL426" i="1"/>
  <c r="BH426" i="1"/>
  <c r="BG426" i="1"/>
  <c r="BF426" i="1"/>
  <c r="BE426" i="1"/>
  <c r="BC426" i="1"/>
  <c r="AY426" i="1"/>
  <c r="AX426" i="1"/>
  <c r="AW426" i="1"/>
  <c r="AV426" i="1"/>
  <c r="AT426" i="1"/>
  <c r="AP426" i="1"/>
  <c r="AO426" i="1"/>
  <c r="AN426" i="1"/>
  <c r="AM426" i="1"/>
  <c r="AK426" i="1"/>
  <c r="AG426" i="1"/>
  <c r="AF426" i="1"/>
  <c r="AE426" i="1"/>
  <c r="AD426" i="1"/>
  <c r="AB426" i="1"/>
  <c r="X426" i="1"/>
  <c r="W426" i="1"/>
  <c r="V426" i="1"/>
  <c r="U426" i="1"/>
  <c r="S426" i="1"/>
  <c r="K426" i="1"/>
  <c r="J426" i="1"/>
  <c r="I426" i="1"/>
  <c r="CL424" i="1"/>
  <c r="CC424" i="1"/>
  <c r="BT424" i="1"/>
  <c r="BS424" i="1"/>
  <c r="BK424" i="1"/>
  <c r="BJ424" i="1"/>
  <c r="BB424" i="1"/>
  <c r="BA424" i="1"/>
  <c r="AS424" i="1"/>
  <c r="AR424" i="1"/>
  <c r="AJ424" i="1"/>
  <c r="AI424" i="1"/>
  <c r="AA424" i="1"/>
  <c r="Z424" i="1"/>
  <c r="R424" i="1"/>
  <c r="Q424" i="1"/>
  <c r="E424" i="1"/>
  <c r="D424" i="1"/>
  <c r="CM423" i="1"/>
  <c r="CK423" i="1"/>
  <c r="CD423" i="1"/>
  <c r="CB423" i="1"/>
  <c r="BU423" i="1"/>
  <c r="BS423" i="1"/>
  <c r="BL423" i="1"/>
  <c r="BJ423" i="1"/>
  <c r="BC423" i="1"/>
  <c r="BA423" i="1"/>
  <c r="AT423" i="1"/>
  <c r="AR423" i="1"/>
  <c r="AK423" i="1"/>
  <c r="AI423" i="1"/>
  <c r="AB423" i="1"/>
  <c r="Z423" i="1"/>
  <c r="S423" i="1"/>
  <c r="Q423" i="1"/>
  <c r="I423" i="1"/>
  <c r="E423" i="1"/>
  <c r="CK422" i="1"/>
  <c r="CB422" i="1"/>
  <c r="BS422" i="1"/>
  <c r="BJ422" i="1"/>
  <c r="BA422" i="1"/>
  <c r="AR422" i="1"/>
  <c r="AI422" i="1"/>
  <c r="Z422" i="1"/>
  <c r="Q422" i="1"/>
  <c r="E421" i="1"/>
  <c r="E420" i="1"/>
  <c r="CM416" i="1"/>
  <c r="CL416" i="1"/>
  <c r="CK416" i="1"/>
  <c r="CD416" i="1"/>
  <c r="CC416" i="1"/>
  <c r="CB416" i="1"/>
  <c r="BU416" i="1"/>
  <c r="BT416" i="1"/>
  <c r="BS416" i="1"/>
  <c r="BL416" i="1"/>
  <c r="BK416" i="1"/>
  <c r="BJ416" i="1"/>
  <c r="BC416" i="1"/>
  <c r="BB416" i="1"/>
  <c r="BA416" i="1"/>
  <c r="AT416" i="1"/>
  <c r="AS416" i="1"/>
  <c r="AR416" i="1"/>
  <c r="AK416" i="1"/>
  <c r="AJ416" i="1"/>
  <c r="AI416" i="1"/>
  <c r="AB416" i="1"/>
  <c r="AA416" i="1"/>
  <c r="Z416" i="1"/>
  <c r="S416" i="1"/>
  <c r="R416" i="1"/>
  <c r="Q416" i="1"/>
  <c r="K416" i="1"/>
  <c r="J416" i="1"/>
  <c r="I416" i="1"/>
  <c r="H416" i="1"/>
  <c r="F416" i="1"/>
  <c r="CR415" i="1"/>
  <c r="CQ415" i="1"/>
  <c r="CP415" i="1"/>
  <c r="CO415" i="1"/>
  <c r="CM415" i="1"/>
  <c r="CI415" i="1"/>
  <c r="CH415" i="1"/>
  <c r="CG415" i="1"/>
  <c r="CF415" i="1"/>
  <c r="CD415" i="1"/>
  <c r="CC415" i="1"/>
  <c r="CB415" i="1"/>
  <c r="BZ415" i="1"/>
  <c r="BY415" i="1"/>
  <c r="BX415" i="1"/>
  <c r="BW415" i="1"/>
  <c r="BU415" i="1"/>
  <c r="BQ415" i="1"/>
  <c r="BP415" i="1"/>
  <c r="BO415" i="1"/>
  <c r="BN415" i="1"/>
  <c r="BL415" i="1"/>
  <c r="BH415" i="1"/>
  <c r="BG415" i="1"/>
  <c r="BF415" i="1"/>
  <c r="BE415" i="1"/>
  <c r="BC415" i="1"/>
  <c r="AY415" i="1"/>
  <c r="AX415" i="1"/>
  <c r="AW415" i="1"/>
  <c r="AV415" i="1"/>
  <c r="AT415" i="1"/>
  <c r="AP415" i="1"/>
  <c r="AO415" i="1"/>
  <c r="AN415" i="1"/>
  <c r="AM415" i="1"/>
  <c r="AK415" i="1"/>
  <c r="AG415" i="1"/>
  <c r="AF415" i="1"/>
  <c r="AE415" i="1"/>
  <c r="AD415" i="1"/>
  <c r="AB415" i="1"/>
  <c r="X415" i="1"/>
  <c r="W415" i="1"/>
  <c r="V415" i="1"/>
  <c r="U415" i="1"/>
  <c r="S415" i="1"/>
  <c r="K415" i="1"/>
  <c r="J415" i="1"/>
  <c r="I415" i="1"/>
  <c r="CR414" i="1"/>
  <c r="CQ414" i="1"/>
  <c r="CP414" i="1"/>
  <c r="CO414" i="1"/>
  <c r="CM414" i="1"/>
  <c r="CI414" i="1"/>
  <c r="CH414" i="1"/>
  <c r="CG414" i="1"/>
  <c r="CF414" i="1"/>
  <c r="CD414" i="1"/>
  <c r="CC414" i="1"/>
  <c r="CB414" i="1"/>
  <c r="BZ414" i="1"/>
  <c r="BY414" i="1"/>
  <c r="BX414" i="1"/>
  <c r="BW414" i="1"/>
  <c r="BU414" i="1"/>
  <c r="BQ414" i="1"/>
  <c r="BP414" i="1"/>
  <c r="BO414" i="1"/>
  <c r="BN414" i="1"/>
  <c r="BL414" i="1"/>
  <c r="BH414" i="1"/>
  <c r="BG414" i="1"/>
  <c r="BF414" i="1"/>
  <c r="BE414" i="1"/>
  <c r="BC414" i="1"/>
  <c r="AY414" i="1"/>
  <c r="AX414" i="1"/>
  <c r="AW414" i="1"/>
  <c r="AV414" i="1"/>
  <c r="AT414" i="1"/>
  <c r="AP414" i="1"/>
  <c r="AO414" i="1"/>
  <c r="AN414" i="1"/>
  <c r="AM414" i="1"/>
  <c r="AK414" i="1"/>
  <c r="AG414" i="1"/>
  <c r="AF414" i="1"/>
  <c r="AE414" i="1"/>
  <c r="AD414" i="1"/>
  <c r="AB414" i="1"/>
  <c r="X414" i="1"/>
  <c r="W414" i="1"/>
  <c r="V414" i="1"/>
  <c r="U414" i="1"/>
  <c r="S414" i="1"/>
  <c r="K414" i="1"/>
  <c r="J414" i="1"/>
  <c r="I414" i="1"/>
  <c r="CR413" i="1"/>
  <c r="CQ413" i="1"/>
  <c r="CP413" i="1"/>
  <c r="CO413" i="1"/>
  <c r="CM413" i="1"/>
  <c r="CI413" i="1"/>
  <c r="CH413" i="1"/>
  <c r="CG413" i="1"/>
  <c r="CF413" i="1"/>
  <c r="CD413" i="1"/>
  <c r="CC413" i="1"/>
  <c r="CB413" i="1"/>
  <c r="BZ413" i="1"/>
  <c r="BY413" i="1"/>
  <c r="BX413" i="1"/>
  <c r="BW413" i="1"/>
  <c r="BU413" i="1"/>
  <c r="BQ413" i="1"/>
  <c r="BP413" i="1"/>
  <c r="BO413" i="1"/>
  <c r="BN413" i="1"/>
  <c r="BL413" i="1"/>
  <c r="BH413" i="1"/>
  <c r="BG413" i="1"/>
  <c r="BF413" i="1"/>
  <c r="BE413" i="1"/>
  <c r="BC413" i="1"/>
  <c r="AY413" i="1"/>
  <c r="AX413" i="1"/>
  <c r="AW413" i="1"/>
  <c r="AV413" i="1"/>
  <c r="AT413" i="1"/>
  <c r="AP413" i="1"/>
  <c r="AO413" i="1"/>
  <c r="AN413" i="1"/>
  <c r="AM413" i="1"/>
  <c r="AK413" i="1"/>
  <c r="AG413" i="1"/>
  <c r="AF413" i="1"/>
  <c r="AE413" i="1"/>
  <c r="AD413" i="1"/>
  <c r="AB413" i="1"/>
  <c r="X413" i="1"/>
  <c r="W413" i="1"/>
  <c r="V413" i="1"/>
  <c r="U413" i="1"/>
  <c r="S413" i="1"/>
  <c r="K413" i="1"/>
  <c r="J413" i="1"/>
  <c r="I413" i="1"/>
  <c r="CR412" i="1"/>
  <c r="CQ412" i="1"/>
  <c r="CP412" i="1"/>
  <c r="CO412" i="1"/>
  <c r="CM412" i="1"/>
  <c r="CI412" i="1"/>
  <c r="CH412" i="1"/>
  <c r="CG412" i="1"/>
  <c r="CF412" i="1"/>
  <c r="CD412" i="1"/>
  <c r="CC412" i="1"/>
  <c r="CB412" i="1"/>
  <c r="BZ412" i="1"/>
  <c r="BY412" i="1"/>
  <c r="BX412" i="1"/>
  <c r="BW412" i="1"/>
  <c r="BU412" i="1"/>
  <c r="BQ412" i="1"/>
  <c r="BP412" i="1"/>
  <c r="BO412" i="1"/>
  <c r="BN412" i="1"/>
  <c r="BL412" i="1"/>
  <c r="BH412" i="1"/>
  <c r="BG412" i="1"/>
  <c r="BF412" i="1"/>
  <c r="BE412" i="1"/>
  <c r="BC412" i="1"/>
  <c r="AY412" i="1"/>
  <c r="AX412" i="1"/>
  <c r="AW412" i="1"/>
  <c r="AV412" i="1"/>
  <c r="AT412" i="1"/>
  <c r="AP412" i="1"/>
  <c r="AO412" i="1"/>
  <c r="AN412" i="1"/>
  <c r="AM412" i="1"/>
  <c r="AK412" i="1"/>
  <c r="AG412" i="1"/>
  <c r="AF412" i="1"/>
  <c r="AE412" i="1"/>
  <c r="AD412" i="1"/>
  <c r="AB412" i="1"/>
  <c r="X412" i="1"/>
  <c r="W412" i="1"/>
  <c r="V412" i="1"/>
  <c r="U412" i="1"/>
  <c r="S412" i="1"/>
  <c r="K412" i="1"/>
  <c r="J412" i="1"/>
  <c r="I412" i="1"/>
  <c r="CR411" i="1"/>
  <c r="CQ411" i="1"/>
  <c r="CP411" i="1"/>
  <c r="CO411" i="1"/>
  <c r="CM411" i="1"/>
  <c r="CI411" i="1"/>
  <c r="CH411" i="1"/>
  <c r="CG411" i="1"/>
  <c r="CF411" i="1"/>
  <c r="CD411" i="1"/>
  <c r="CC411" i="1"/>
  <c r="CB411" i="1"/>
  <c r="BZ411" i="1"/>
  <c r="BY411" i="1"/>
  <c r="BX411" i="1"/>
  <c r="BW411" i="1"/>
  <c r="BU411" i="1"/>
  <c r="BQ411" i="1"/>
  <c r="BP411" i="1"/>
  <c r="BO411" i="1"/>
  <c r="BN411" i="1"/>
  <c r="BL411" i="1"/>
  <c r="BH411" i="1"/>
  <c r="BG411" i="1"/>
  <c r="BF411" i="1"/>
  <c r="BE411" i="1"/>
  <c r="BC411" i="1"/>
  <c r="AY411" i="1"/>
  <c r="AX411" i="1"/>
  <c r="AW411" i="1"/>
  <c r="AV411" i="1"/>
  <c r="AT411" i="1"/>
  <c r="AP411" i="1"/>
  <c r="AO411" i="1"/>
  <c r="AN411" i="1"/>
  <c r="AM411" i="1"/>
  <c r="AK411" i="1"/>
  <c r="AG411" i="1"/>
  <c r="AF411" i="1"/>
  <c r="AE411" i="1"/>
  <c r="AD411" i="1"/>
  <c r="AB411" i="1"/>
  <c r="X411" i="1"/>
  <c r="W411" i="1"/>
  <c r="V411" i="1"/>
  <c r="U411" i="1"/>
  <c r="S411" i="1"/>
  <c r="K411" i="1"/>
  <c r="J411" i="1"/>
  <c r="I411" i="1"/>
  <c r="CR410" i="1"/>
  <c r="CQ410" i="1"/>
  <c r="CP410" i="1"/>
  <c r="CO410" i="1"/>
  <c r="CM410" i="1"/>
  <c r="CI410" i="1"/>
  <c r="CH410" i="1"/>
  <c r="CG410" i="1"/>
  <c r="CF410" i="1"/>
  <c r="CD410" i="1"/>
  <c r="CC410" i="1"/>
  <c r="CB410" i="1"/>
  <c r="BZ410" i="1"/>
  <c r="BY410" i="1"/>
  <c r="BX410" i="1"/>
  <c r="BW410" i="1"/>
  <c r="BU410" i="1"/>
  <c r="BQ410" i="1"/>
  <c r="BP410" i="1"/>
  <c r="BO410" i="1"/>
  <c r="BN410" i="1"/>
  <c r="BL410" i="1"/>
  <c r="BH410" i="1"/>
  <c r="BG410" i="1"/>
  <c r="BF410" i="1"/>
  <c r="BE410" i="1"/>
  <c r="BC410" i="1"/>
  <c r="AY410" i="1"/>
  <c r="AX410" i="1"/>
  <c r="AW410" i="1"/>
  <c r="AV410" i="1"/>
  <c r="AT410" i="1"/>
  <c r="AP410" i="1"/>
  <c r="AO410" i="1"/>
  <c r="AN410" i="1"/>
  <c r="AM410" i="1"/>
  <c r="AK410" i="1"/>
  <c r="AG410" i="1"/>
  <c r="AF410" i="1"/>
  <c r="AE410" i="1"/>
  <c r="AD410" i="1"/>
  <c r="AB410" i="1"/>
  <c r="X410" i="1"/>
  <c r="W410" i="1"/>
  <c r="V410" i="1"/>
  <c r="U410" i="1"/>
  <c r="S410" i="1"/>
  <c r="K410" i="1"/>
  <c r="J410" i="1"/>
  <c r="I410" i="1"/>
  <c r="CR409" i="1"/>
  <c r="CQ409" i="1"/>
  <c r="CP409" i="1"/>
  <c r="CO409" i="1"/>
  <c r="CM409" i="1"/>
  <c r="CI409" i="1"/>
  <c r="CH409" i="1"/>
  <c r="CG409" i="1"/>
  <c r="CF409" i="1"/>
  <c r="CD409" i="1"/>
  <c r="CC409" i="1"/>
  <c r="CB409" i="1"/>
  <c r="BZ409" i="1"/>
  <c r="BY409" i="1"/>
  <c r="BX409" i="1"/>
  <c r="BW409" i="1"/>
  <c r="BU409" i="1"/>
  <c r="BQ409" i="1"/>
  <c r="BP409" i="1"/>
  <c r="BO409" i="1"/>
  <c r="BN409" i="1"/>
  <c r="BL409" i="1"/>
  <c r="BH409" i="1"/>
  <c r="BG409" i="1"/>
  <c r="BF409" i="1"/>
  <c r="BE409" i="1"/>
  <c r="BC409" i="1"/>
  <c r="AY409" i="1"/>
  <c r="AX409" i="1"/>
  <c r="AW409" i="1"/>
  <c r="AV409" i="1"/>
  <c r="AT409" i="1"/>
  <c r="AP409" i="1"/>
  <c r="AO409" i="1"/>
  <c r="AN409" i="1"/>
  <c r="AM409" i="1"/>
  <c r="AK409" i="1"/>
  <c r="AG409" i="1"/>
  <c r="AF409" i="1"/>
  <c r="AE409" i="1"/>
  <c r="AD409" i="1"/>
  <c r="AB409" i="1"/>
  <c r="X409" i="1"/>
  <c r="W409" i="1"/>
  <c r="V409" i="1"/>
  <c r="U409" i="1"/>
  <c r="S409" i="1"/>
  <c r="K409" i="1"/>
  <c r="J409" i="1"/>
  <c r="I409" i="1"/>
  <c r="CR408" i="1"/>
  <c r="CQ408" i="1"/>
  <c r="CP408" i="1"/>
  <c r="CO408" i="1"/>
  <c r="CM408" i="1"/>
  <c r="CI408" i="1"/>
  <c r="CH408" i="1"/>
  <c r="CG408" i="1"/>
  <c r="CF408" i="1"/>
  <c r="CD408" i="1"/>
  <c r="CC408" i="1"/>
  <c r="CB408" i="1"/>
  <c r="BZ408" i="1"/>
  <c r="BY408" i="1"/>
  <c r="BX408" i="1"/>
  <c r="BW408" i="1"/>
  <c r="BU408" i="1"/>
  <c r="BQ408" i="1"/>
  <c r="BP408" i="1"/>
  <c r="BO408" i="1"/>
  <c r="BN408" i="1"/>
  <c r="BL408" i="1"/>
  <c r="BH408" i="1"/>
  <c r="BG408" i="1"/>
  <c r="BF408" i="1"/>
  <c r="BE408" i="1"/>
  <c r="BC408" i="1"/>
  <c r="AY408" i="1"/>
  <c r="AX408" i="1"/>
  <c r="AW408" i="1"/>
  <c r="AV408" i="1"/>
  <c r="AT408" i="1"/>
  <c r="AP408" i="1"/>
  <c r="AO408" i="1"/>
  <c r="AN408" i="1"/>
  <c r="AM408" i="1"/>
  <c r="AK408" i="1"/>
  <c r="AG408" i="1"/>
  <c r="AF408" i="1"/>
  <c r="AE408" i="1"/>
  <c r="AD408" i="1"/>
  <c r="AB408" i="1"/>
  <c r="X408" i="1"/>
  <c r="W408" i="1"/>
  <c r="V408" i="1"/>
  <c r="U408" i="1"/>
  <c r="S408" i="1"/>
  <c r="K408" i="1"/>
  <c r="J408" i="1"/>
  <c r="I408" i="1"/>
  <c r="CR407" i="1"/>
  <c r="CQ407" i="1"/>
  <c r="CP407" i="1"/>
  <c r="CO407" i="1"/>
  <c r="CM407" i="1"/>
  <c r="CI407" i="1"/>
  <c r="CH407" i="1"/>
  <c r="CG407" i="1"/>
  <c r="CF407" i="1"/>
  <c r="CD407" i="1"/>
  <c r="CC407" i="1"/>
  <c r="CB407" i="1"/>
  <c r="BZ407" i="1"/>
  <c r="BY407" i="1"/>
  <c r="BX407" i="1"/>
  <c r="BW407" i="1"/>
  <c r="BU407" i="1"/>
  <c r="BQ407" i="1"/>
  <c r="BP407" i="1"/>
  <c r="BO407" i="1"/>
  <c r="BN407" i="1"/>
  <c r="BL407" i="1"/>
  <c r="BH407" i="1"/>
  <c r="BG407" i="1"/>
  <c r="BF407" i="1"/>
  <c r="BE407" i="1"/>
  <c r="BC407" i="1"/>
  <c r="AY407" i="1"/>
  <c r="AX407" i="1"/>
  <c r="AW407" i="1"/>
  <c r="AV407" i="1"/>
  <c r="AT407" i="1"/>
  <c r="AP407" i="1"/>
  <c r="AO407" i="1"/>
  <c r="AN407" i="1"/>
  <c r="AM407" i="1"/>
  <c r="AK407" i="1"/>
  <c r="AG407" i="1"/>
  <c r="AF407" i="1"/>
  <c r="AE407" i="1"/>
  <c r="AD407" i="1"/>
  <c r="AB407" i="1"/>
  <c r="X407" i="1"/>
  <c r="W407" i="1"/>
  <c r="V407" i="1"/>
  <c r="U407" i="1"/>
  <c r="S407" i="1"/>
  <c r="K407" i="1"/>
  <c r="J407" i="1"/>
  <c r="I407" i="1"/>
  <c r="CR406" i="1"/>
  <c r="CQ406" i="1"/>
  <c r="CP406" i="1"/>
  <c r="CO406" i="1"/>
  <c r="CM406" i="1"/>
  <c r="CI406" i="1"/>
  <c r="CH406" i="1"/>
  <c r="CG406" i="1"/>
  <c r="CF406" i="1"/>
  <c r="CD406" i="1"/>
  <c r="CC406" i="1"/>
  <c r="CB406" i="1"/>
  <c r="BZ406" i="1"/>
  <c r="BY406" i="1"/>
  <c r="BX406" i="1"/>
  <c r="BW406" i="1"/>
  <c r="BU406" i="1"/>
  <c r="BQ406" i="1"/>
  <c r="BP406" i="1"/>
  <c r="BO406" i="1"/>
  <c r="BN406" i="1"/>
  <c r="BL406" i="1"/>
  <c r="BH406" i="1"/>
  <c r="BG406" i="1"/>
  <c r="BF406" i="1"/>
  <c r="BE406" i="1"/>
  <c r="BC406" i="1"/>
  <c r="AY406" i="1"/>
  <c r="AX406" i="1"/>
  <c r="AW406" i="1"/>
  <c r="AV406" i="1"/>
  <c r="AT406" i="1"/>
  <c r="AP406" i="1"/>
  <c r="AO406" i="1"/>
  <c r="AN406" i="1"/>
  <c r="AM406" i="1"/>
  <c r="AK406" i="1"/>
  <c r="AG406" i="1"/>
  <c r="AF406" i="1"/>
  <c r="AE406" i="1"/>
  <c r="AD406" i="1"/>
  <c r="AB406" i="1"/>
  <c r="X406" i="1"/>
  <c r="W406" i="1"/>
  <c r="V406" i="1"/>
  <c r="U406" i="1"/>
  <c r="S406" i="1"/>
  <c r="K406" i="1"/>
  <c r="J406" i="1"/>
  <c r="I406" i="1"/>
  <c r="CR405" i="1"/>
  <c r="CQ405" i="1"/>
  <c r="CP405" i="1"/>
  <c r="CO405" i="1"/>
  <c r="CM405" i="1"/>
  <c r="CI405" i="1"/>
  <c r="CH405" i="1"/>
  <c r="CG405" i="1"/>
  <c r="CF405" i="1"/>
  <c r="CD405" i="1"/>
  <c r="CC405" i="1"/>
  <c r="CB405" i="1"/>
  <c r="BZ405" i="1"/>
  <c r="BY405" i="1"/>
  <c r="BX405" i="1"/>
  <c r="BW405" i="1"/>
  <c r="BU405" i="1"/>
  <c r="BQ405" i="1"/>
  <c r="BP405" i="1"/>
  <c r="BO405" i="1"/>
  <c r="BN405" i="1"/>
  <c r="BL405" i="1"/>
  <c r="BH405" i="1"/>
  <c r="BG405" i="1"/>
  <c r="BF405" i="1"/>
  <c r="BE405" i="1"/>
  <c r="BC405" i="1"/>
  <c r="AY405" i="1"/>
  <c r="AX405" i="1"/>
  <c r="AW405" i="1"/>
  <c r="AV405" i="1"/>
  <c r="AT405" i="1"/>
  <c r="AP405" i="1"/>
  <c r="AO405" i="1"/>
  <c r="AN405" i="1"/>
  <c r="AM405" i="1"/>
  <c r="AK405" i="1"/>
  <c r="AG405" i="1"/>
  <c r="AF405" i="1"/>
  <c r="AE405" i="1"/>
  <c r="AD405" i="1"/>
  <c r="AB405" i="1"/>
  <c r="X405" i="1"/>
  <c r="W405" i="1"/>
  <c r="V405" i="1"/>
  <c r="U405" i="1"/>
  <c r="S405" i="1"/>
  <c r="K405" i="1"/>
  <c r="J405" i="1"/>
  <c r="I405" i="1"/>
  <c r="CR404" i="1"/>
  <c r="CQ404" i="1"/>
  <c r="CP404" i="1"/>
  <c r="CO404" i="1"/>
  <c r="CM404" i="1"/>
  <c r="CI404" i="1"/>
  <c r="CH404" i="1"/>
  <c r="CG404" i="1"/>
  <c r="CF404" i="1"/>
  <c r="CD404" i="1"/>
  <c r="CC404" i="1"/>
  <c r="CB404" i="1"/>
  <c r="BZ404" i="1"/>
  <c r="BY404" i="1"/>
  <c r="BX404" i="1"/>
  <c r="BW404" i="1"/>
  <c r="BU404" i="1"/>
  <c r="BQ404" i="1"/>
  <c r="BP404" i="1"/>
  <c r="BO404" i="1"/>
  <c r="BN404" i="1"/>
  <c r="BL404" i="1"/>
  <c r="BH404" i="1"/>
  <c r="BG404" i="1"/>
  <c r="BF404" i="1"/>
  <c r="BE404" i="1"/>
  <c r="BC404" i="1"/>
  <c r="AY404" i="1"/>
  <c r="AX404" i="1"/>
  <c r="AW404" i="1"/>
  <c r="AV404" i="1"/>
  <c r="AT404" i="1"/>
  <c r="AP404" i="1"/>
  <c r="AO404" i="1"/>
  <c r="AN404" i="1"/>
  <c r="AM404" i="1"/>
  <c r="AK404" i="1"/>
  <c r="AG404" i="1"/>
  <c r="AF404" i="1"/>
  <c r="AE404" i="1"/>
  <c r="AD404" i="1"/>
  <c r="AB404" i="1"/>
  <c r="X404" i="1"/>
  <c r="W404" i="1"/>
  <c r="V404" i="1"/>
  <c r="U404" i="1"/>
  <c r="S404" i="1"/>
  <c r="K404" i="1"/>
  <c r="J404" i="1"/>
  <c r="I404" i="1"/>
  <c r="CL402" i="1"/>
  <c r="CC402" i="1"/>
  <c r="BT402" i="1"/>
  <c r="BS402" i="1"/>
  <c r="BK402" i="1"/>
  <c r="BJ402" i="1"/>
  <c r="BB402" i="1"/>
  <c r="BA402" i="1"/>
  <c r="AS402" i="1"/>
  <c r="AR402" i="1"/>
  <c r="AJ402" i="1"/>
  <c r="AI402" i="1"/>
  <c r="AA402" i="1"/>
  <c r="Z402" i="1"/>
  <c r="R402" i="1"/>
  <c r="Q402" i="1"/>
  <c r="E402" i="1"/>
  <c r="D402" i="1"/>
  <c r="CM401" i="1"/>
  <c r="CK401" i="1"/>
  <c r="CD401" i="1"/>
  <c r="CB401" i="1"/>
  <c r="BU401" i="1"/>
  <c r="BS401" i="1"/>
  <c r="BL401" i="1"/>
  <c r="BJ401" i="1"/>
  <c r="BC401" i="1"/>
  <c r="BA401" i="1"/>
  <c r="AT401" i="1"/>
  <c r="AR401" i="1"/>
  <c r="AK401" i="1"/>
  <c r="AI401" i="1"/>
  <c r="AB401" i="1"/>
  <c r="Z401" i="1"/>
  <c r="S401" i="1"/>
  <c r="Q401" i="1"/>
  <c r="I401" i="1"/>
  <c r="E401" i="1"/>
  <c r="CK400" i="1"/>
  <c r="CB400" i="1"/>
  <c r="BS400" i="1"/>
  <c r="BJ400" i="1"/>
  <c r="BA400" i="1"/>
  <c r="AR400" i="1"/>
  <c r="AI400" i="1"/>
  <c r="Z400" i="1"/>
  <c r="Q400" i="1"/>
  <c r="E399" i="1"/>
  <c r="E398" i="1"/>
  <c r="CM394" i="1"/>
  <c r="CL394" i="1"/>
  <c r="CK394" i="1"/>
  <c r="CD394" i="1"/>
  <c r="CC394" i="1"/>
  <c r="CB394" i="1"/>
  <c r="BU394" i="1"/>
  <c r="BT394" i="1"/>
  <c r="BS394" i="1"/>
  <c r="BL394" i="1"/>
  <c r="BK394" i="1"/>
  <c r="BJ394" i="1"/>
  <c r="BC394" i="1"/>
  <c r="BB394" i="1"/>
  <c r="BA394" i="1"/>
  <c r="AT394" i="1"/>
  <c r="AS394" i="1"/>
  <c r="AR394" i="1"/>
  <c r="AK394" i="1"/>
  <c r="AJ394" i="1"/>
  <c r="AI394" i="1"/>
  <c r="AB394" i="1"/>
  <c r="AA394" i="1"/>
  <c r="Z394" i="1"/>
  <c r="S394" i="1"/>
  <c r="R394" i="1"/>
  <c r="Q394" i="1"/>
  <c r="K394" i="1"/>
  <c r="J394" i="1"/>
  <c r="I394" i="1"/>
  <c r="H394" i="1"/>
  <c r="F394" i="1"/>
  <c r="CR393" i="1"/>
  <c r="CQ393" i="1"/>
  <c r="CP393" i="1"/>
  <c r="CO393" i="1"/>
  <c r="CM393" i="1"/>
  <c r="CI393" i="1"/>
  <c r="CH393" i="1"/>
  <c r="CG393" i="1"/>
  <c r="CF393" i="1"/>
  <c r="CD393" i="1"/>
  <c r="CC393" i="1"/>
  <c r="CB393" i="1"/>
  <c r="BZ393" i="1"/>
  <c r="BY393" i="1"/>
  <c r="BX393" i="1"/>
  <c r="BW393" i="1"/>
  <c r="BU393" i="1"/>
  <c r="BQ393" i="1"/>
  <c r="BP393" i="1"/>
  <c r="BO393" i="1"/>
  <c r="BN393" i="1"/>
  <c r="BL393" i="1"/>
  <c r="BH393" i="1"/>
  <c r="BG393" i="1"/>
  <c r="BF393" i="1"/>
  <c r="BE393" i="1"/>
  <c r="BC393" i="1"/>
  <c r="AY393" i="1"/>
  <c r="AX393" i="1"/>
  <c r="AW393" i="1"/>
  <c r="AV393" i="1"/>
  <c r="AT393" i="1"/>
  <c r="AP393" i="1"/>
  <c r="AO393" i="1"/>
  <c r="AN393" i="1"/>
  <c r="AM393" i="1"/>
  <c r="AK393" i="1"/>
  <c r="AG393" i="1"/>
  <c r="AF393" i="1"/>
  <c r="AE393" i="1"/>
  <c r="AD393" i="1"/>
  <c r="AB393" i="1"/>
  <c r="X393" i="1"/>
  <c r="W393" i="1"/>
  <c r="V393" i="1"/>
  <c r="U393" i="1"/>
  <c r="S393" i="1"/>
  <c r="K393" i="1"/>
  <c r="J393" i="1"/>
  <c r="I393" i="1"/>
  <c r="CR392" i="1"/>
  <c r="CQ392" i="1"/>
  <c r="CP392" i="1"/>
  <c r="CO392" i="1"/>
  <c r="CM392" i="1"/>
  <c r="CI392" i="1"/>
  <c r="CH392" i="1"/>
  <c r="CG392" i="1"/>
  <c r="CF392" i="1"/>
  <c r="CD392" i="1"/>
  <c r="CC392" i="1"/>
  <c r="CB392" i="1"/>
  <c r="BZ392" i="1"/>
  <c r="BY392" i="1"/>
  <c r="BX392" i="1"/>
  <c r="BW392" i="1"/>
  <c r="BU392" i="1"/>
  <c r="BQ392" i="1"/>
  <c r="BP392" i="1"/>
  <c r="BO392" i="1"/>
  <c r="BN392" i="1"/>
  <c r="BL392" i="1"/>
  <c r="BH392" i="1"/>
  <c r="BG392" i="1"/>
  <c r="BF392" i="1"/>
  <c r="BE392" i="1"/>
  <c r="BC392" i="1"/>
  <c r="AY392" i="1"/>
  <c r="AX392" i="1"/>
  <c r="AW392" i="1"/>
  <c r="AV392" i="1"/>
  <c r="AT392" i="1"/>
  <c r="AP392" i="1"/>
  <c r="AO392" i="1"/>
  <c r="AN392" i="1"/>
  <c r="AM392" i="1"/>
  <c r="AK392" i="1"/>
  <c r="AG392" i="1"/>
  <c r="AF392" i="1"/>
  <c r="AE392" i="1"/>
  <c r="AD392" i="1"/>
  <c r="AB392" i="1"/>
  <c r="X392" i="1"/>
  <c r="W392" i="1"/>
  <c r="V392" i="1"/>
  <c r="U392" i="1"/>
  <c r="S392" i="1"/>
  <c r="K392" i="1"/>
  <c r="J392" i="1"/>
  <c r="I392" i="1"/>
  <c r="CR391" i="1"/>
  <c r="CQ391" i="1"/>
  <c r="CP391" i="1"/>
  <c r="CO391" i="1"/>
  <c r="CM391" i="1"/>
  <c r="CI391" i="1"/>
  <c r="CH391" i="1"/>
  <c r="CG391" i="1"/>
  <c r="CF391" i="1"/>
  <c r="CD391" i="1"/>
  <c r="CC391" i="1"/>
  <c r="CB391" i="1"/>
  <c r="BZ391" i="1"/>
  <c r="BY391" i="1"/>
  <c r="BX391" i="1"/>
  <c r="BW391" i="1"/>
  <c r="BU391" i="1"/>
  <c r="BQ391" i="1"/>
  <c r="BP391" i="1"/>
  <c r="BO391" i="1"/>
  <c r="BN391" i="1"/>
  <c r="BL391" i="1"/>
  <c r="BH391" i="1"/>
  <c r="BG391" i="1"/>
  <c r="BF391" i="1"/>
  <c r="BE391" i="1"/>
  <c r="BC391" i="1"/>
  <c r="AY391" i="1"/>
  <c r="AX391" i="1"/>
  <c r="AW391" i="1"/>
  <c r="AV391" i="1"/>
  <c r="AT391" i="1"/>
  <c r="AP391" i="1"/>
  <c r="AO391" i="1"/>
  <c r="AN391" i="1"/>
  <c r="AM391" i="1"/>
  <c r="AK391" i="1"/>
  <c r="AG391" i="1"/>
  <c r="AF391" i="1"/>
  <c r="AE391" i="1"/>
  <c r="AD391" i="1"/>
  <c r="AB391" i="1"/>
  <c r="X391" i="1"/>
  <c r="W391" i="1"/>
  <c r="V391" i="1"/>
  <c r="U391" i="1"/>
  <c r="S391" i="1"/>
  <c r="K391" i="1"/>
  <c r="J391" i="1"/>
  <c r="I391" i="1"/>
  <c r="CR390" i="1"/>
  <c r="CQ390" i="1"/>
  <c r="CP390" i="1"/>
  <c r="CO390" i="1"/>
  <c r="CM390" i="1"/>
  <c r="CI390" i="1"/>
  <c r="CH390" i="1"/>
  <c r="CG390" i="1"/>
  <c r="CF390" i="1"/>
  <c r="CD390" i="1"/>
  <c r="CC390" i="1"/>
  <c r="CB390" i="1"/>
  <c r="BZ390" i="1"/>
  <c r="BY390" i="1"/>
  <c r="BX390" i="1"/>
  <c r="BW390" i="1"/>
  <c r="BU390" i="1"/>
  <c r="BQ390" i="1"/>
  <c r="BP390" i="1"/>
  <c r="BO390" i="1"/>
  <c r="BN390" i="1"/>
  <c r="BL390" i="1"/>
  <c r="BH390" i="1"/>
  <c r="BG390" i="1"/>
  <c r="BF390" i="1"/>
  <c r="BE390" i="1"/>
  <c r="BC390" i="1"/>
  <c r="AY390" i="1"/>
  <c r="AX390" i="1"/>
  <c r="AW390" i="1"/>
  <c r="AV390" i="1"/>
  <c r="AT390" i="1"/>
  <c r="AP390" i="1"/>
  <c r="AO390" i="1"/>
  <c r="AN390" i="1"/>
  <c r="AM390" i="1"/>
  <c r="AK390" i="1"/>
  <c r="AG390" i="1"/>
  <c r="AF390" i="1"/>
  <c r="AE390" i="1"/>
  <c r="AD390" i="1"/>
  <c r="AB390" i="1"/>
  <c r="X390" i="1"/>
  <c r="W390" i="1"/>
  <c r="V390" i="1"/>
  <c r="U390" i="1"/>
  <c r="S390" i="1"/>
  <c r="K390" i="1"/>
  <c r="J390" i="1"/>
  <c r="I390" i="1"/>
  <c r="CR389" i="1"/>
  <c r="CQ389" i="1"/>
  <c r="CP389" i="1"/>
  <c r="CO389" i="1"/>
  <c r="CM389" i="1"/>
  <c r="CI389" i="1"/>
  <c r="CH389" i="1"/>
  <c r="CG389" i="1"/>
  <c r="CF389" i="1"/>
  <c r="CD389" i="1"/>
  <c r="CC389" i="1"/>
  <c r="CB389" i="1"/>
  <c r="BZ389" i="1"/>
  <c r="BY389" i="1"/>
  <c r="BX389" i="1"/>
  <c r="BW389" i="1"/>
  <c r="BU389" i="1"/>
  <c r="BQ389" i="1"/>
  <c r="BP389" i="1"/>
  <c r="BO389" i="1"/>
  <c r="BN389" i="1"/>
  <c r="BL389" i="1"/>
  <c r="BH389" i="1"/>
  <c r="BG389" i="1"/>
  <c r="BF389" i="1"/>
  <c r="BE389" i="1"/>
  <c r="BC389" i="1"/>
  <c r="AY389" i="1"/>
  <c r="AX389" i="1"/>
  <c r="AW389" i="1"/>
  <c r="AV389" i="1"/>
  <c r="AT389" i="1"/>
  <c r="AP389" i="1"/>
  <c r="AO389" i="1"/>
  <c r="AN389" i="1"/>
  <c r="AM389" i="1"/>
  <c r="AK389" i="1"/>
  <c r="AG389" i="1"/>
  <c r="AF389" i="1"/>
  <c r="AE389" i="1"/>
  <c r="AD389" i="1"/>
  <c r="AB389" i="1"/>
  <c r="X389" i="1"/>
  <c r="W389" i="1"/>
  <c r="V389" i="1"/>
  <c r="U389" i="1"/>
  <c r="S389" i="1"/>
  <c r="K389" i="1"/>
  <c r="J389" i="1"/>
  <c r="I389" i="1"/>
  <c r="CR388" i="1"/>
  <c r="CQ388" i="1"/>
  <c r="CP388" i="1"/>
  <c r="CO388" i="1"/>
  <c r="CM388" i="1"/>
  <c r="CI388" i="1"/>
  <c r="CH388" i="1"/>
  <c r="CG388" i="1"/>
  <c r="CF388" i="1"/>
  <c r="CD388" i="1"/>
  <c r="CC388" i="1"/>
  <c r="CB388" i="1"/>
  <c r="BZ388" i="1"/>
  <c r="BY388" i="1"/>
  <c r="BX388" i="1"/>
  <c r="BW388" i="1"/>
  <c r="BU388" i="1"/>
  <c r="BQ388" i="1"/>
  <c r="BP388" i="1"/>
  <c r="BO388" i="1"/>
  <c r="BN388" i="1"/>
  <c r="BL388" i="1"/>
  <c r="BH388" i="1"/>
  <c r="BG388" i="1"/>
  <c r="BF388" i="1"/>
  <c r="BE388" i="1"/>
  <c r="BC388" i="1"/>
  <c r="AY388" i="1"/>
  <c r="AX388" i="1"/>
  <c r="AW388" i="1"/>
  <c r="AV388" i="1"/>
  <c r="AT388" i="1"/>
  <c r="AP388" i="1"/>
  <c r="AO388" i="1"/>
  <c r="AN388" i="1"/>
  <c r="AM388" i="1"/>
  <c r="AK388" i="1"/>
  <c r="AG388" i="1"/>
  <c r="AF388" i="1"/>
  <c r="AE388" i="1"/>
  <c r="AD388" i="1"/>
  <c r="AB388" i="1"/>
  <c r="X388" i="1"/>
  <c r="W388" i="1"/>
  <c r="V388" i="1"/>
  <c r="U388" i="1"/>
  <c r="S388" i="1"/>
  <c r="K388" i="1"/>
  <c r="J388" i="1"/>
  <c r="I388" i="1"/>
  <c r="CR387" i="1"/>
  <c r="CQ387" i="1"/>
  <c r="CP387" i="1"/>
  <c r="CO387" i="1"/>
  <c r="CM387" i="1"/>
  <c r="CI387" i="1"/>
  <c r="CH387" i="1"/>
  <c r="CG387" i="1"/>
  <c r="CF387" i="1"/>
  <c r="CD387" i="1"/>
  <c r="CC387" i="1"/>
  <c r="CB387" i="1"/>
  <c r="BZ387" i="1"/>
  <c r="BY387" i="1"/>
  <c r="BX387" i="1"/>
  <c r="BW387" i="1"/>
  <c r="BU387" i="1"/>
  <c r="BQ387" i="1"/>
  <c r="BP387" i="1"/>
  <c r="BO387" i="1"/>
  <c r="BN387" i="1"/>
  <c r="BL387" i="1"/>
  <c r="BH387" i="1"/>
  <c r="BG387" i="1"/>
  <c r="BF387" i="1"/>
  <c r="BE387" i="1"/>
  <c r="BC387" i="1"/>
  <c r="AY387" i="1"/>
  <c r="AX387" i="1"/>
  <c r="AW387" i="1"/>
  <c r="AV387" i="1"/>
  <c r="AT387" i="1"/>
  <c r="AP387" i="1"/>
  <c r="AO387" i="1"/>
  <c r="AN387" i="1"/>
  <c r="AM387" i="1"/>
  <c r="AK387" i="1"/>
  <c r="AG387" i="1"/>
  <c r="AF387" i="1"/>
  <c r="AE387" i="1"/>
  <c r="AD387" i="1"/>
  <c r="AB387" i="1"/>
  <c r="X387" i="1"/>
  <c r="W387" i="1"/>
  <c r="V387" i="1"/>
  <c r="U387" i="1"/>
  <c r="S387" i="1"/>
  <c r="K387" i="1"/>
  <c r="J387" i="1"/>
  <c r="I387" i="1"/>
  <c r="CR386" i="1"/>
  <c r="CQ386" i="1"/>
  <c r="CP386" i="1"/>
  <c r="CO386" i="1"/>
  <c r="CM386" i="1"/>
  <c r="CI386" i="1"/>
  <c r="CH386" i="1"/>
  <c r="CG386" i="1"/>
  <c r="CF386" i="1"/>
  <c r="CD386" i="1"/>
  <c r="CC386" i="1"/>
  <c r="CB386" i="1"/>
  <c r="BZ386" i="1"/>
  <c r="BY386" i="1"/>
  <c r="BX386" i="1"/>
  <c r="BW386" i="1"/>
  <c r="BU386" i="1"/>
  <c r="BQ386" i="1"/>
  <c r="BP386" i="1"/>
  <c r="BO386" i="1"/>
  <c r="BN386" i="1"/>
  <c r="BL386" i="1"/>
  <c r="BH386" i="1"/>
  <c r="BG386" i="1"/>
  <c r="BF386" i="1"/>
  <c r="BE386" i="1"/>
  <c r="BC386" i="1"/>
  <c r="AY386" i="1"/>
  <c r="AX386" i="1"/>
  <c r="AW386" i="1"/>
  <c r="AV386" i="1"/>
  <c r="AT386" i="1"/>
  <c r="AP386" i="1"/>
  <c r="AO386" i="1"/>
  <c r="AN386" i="1"/>
  <c r="AM386" i="1"/>
  <c r="AK386" i="1"/>
  <c r="AG386" i="1"/>
  <c r="AF386" i="1"/>
  <c r="AE386" i="1"/>
  <c r="AD386" i="1"/>
  <c r="AB386" i="1"/>
  <c r="X386" i="1"/>
  <c r="W386" i="1"/>
  <c r="V386" i="1"/>
  <c r="U386" i="1"/>
  <c r="S386" i="1"/>
  <c r="K386" i="1"/>
  <c r="J386" i="1"/>
  <c r="I386" i="1"/>
  <c r="CR385" i="1"/>
  <c r="CQ385" i="1"/>
  <c r="CP385" i="1"/>
  <c r="CO385" i="1"/>
  <c r="CM385" i="1"/>
  <c r="CI385" i="1"/>
  <c r="CH385" i="1"/>
  <c r="CG385" i="1"/>
  <c r="CF385" i="1"/>
  <c r="CD385" i="1"/>
  <c r="CC385" i="1"/>
  <c r="CB385" i="1"/>
  <c r="BZ385" i="1"/>
  <c r="BY385" i="1"/>
  <c r="BX385" i="1"/>
  <c r="BW385" i="1"/>
  <c r="BU385" i="1"/>
  <c r="BQ385" i="1"/>
  <c r="BP385" i="1"/>
  <c r="BO385" i="1"/>
  <c r="BN385" i="1"/>
  <c r="BL385" i="1"/>
  <c r="BH385" i="1"/>
  <c r="BG385" i="1"/>
  <c r="BF385" i="1"/>
  <c r="BE385" i="1"/>
  <c r="BC385" i="1"/>
  <c r="AY385" i="1"/>
  <c r="AX385" i="1"/>
  <c r="AW385" i="1"/>
  <c r="AV385" i="1"/>
  <c r="AT385" i="1"/>
  <c r="AP385" i="1"/>
  <c r="AO385" i="1"/>
  <c r="AN385" i="1"/>
  <c r="AM385" i="1"/>
  <c r="AK385" i="1"/>
  <c r="AG385" i="1"/>
  <c r="AF385" i="1"/>
  <c r="AE385" i="1"/>
  <c r="AD385" i="1"/>
  <c r="AB385" i="1"/>
  <c r="X385" i="1"/>
  <c r="W385" i="1"/>
  <c r="V385" i="1"/>
  <c r="U385" i="1"/>
  <c r="S385" i="1"/>
  <c r="K385" i="1"/>
  <c r="J385" i="1"/>
  <c r="I385" i="1"/>
  <c r="CR384" i="1"/>
  <c r="CQ384" i="1"/>
  <c r="CP384" i="1"/>
  <c r="CO384" i="1"/>
  <c r="CM384" i="1"/>
  <c r="CI384" i="1"/>
  <c r="CH384" i="1"/>
  <c r="CG384" i="1"/>
  <c r="CF384" i="1"/>
  <c r="CD384" i="1"/>
  <c r="CC384" i="1"/>
  <c r="CB384" i="1"/>
  <c r="BZ384" i="1"/>
  <c r="BY384" i="1"/>
  <c r="BX384" i="1"/>
  <c r="BW384" i="1"/>
  <c r="BU384" i="1"/>
  <c r="BQ384" i="1"/>
  <c r="BP384" i="1"/>
  <c r="BO384" i="1"/>
  <c r="BN384" i="1"/>
  <c r="BL384" i="1"/>
  <c r="BH384" i="1"/>
  <c r="BG384" i="1"/>
  <c r="BF384" i="1"/>
  <c r="BE384" i="1"/>
  <c r="BC384" i="1"/>
  <c r="AY384" i="1"/>
  <c r="AX384" i="1"/>
  <c r="AW384" i="1"/>
  <c r="AV384" i="1"/>
  <c r="AT384" i="1"/>
  <c r="AP384" i="1"/>
  <c r="AO384" i="1"/>
  <c r="AN384" i="1"/>
  <c r="AM384" i="1"/>
  <c r="AK384" i="1"/>
  <c r="AG384" i="1"/>
  <c r="AF384" i="1"/>
  <c r="AE384" i="1"/>
  <c r="AD384" i="1"/>
  <c r="AB384" i="1"/>
  <c r="X384" i="1"/>
  <c r="W384" i="1"/>
  <c r="V384" i="1"/>
  <c r="U384" i="1"/>
  <c r="S384" i="1"/>
  <c r="K384" i="1"/>
  <c r="J384" i="1"/>
  <c r="I384" i="1"/>
  <c r="CR383" i="1"/>
  <c r="CQ383" i="1"/>
  <c r="CP383" i="1"/>
  <c r="CO383" i="1"/>
  <c r="CM383" i="1"/>
  <c r="CI383" i="1"/>
  <c r="CH383" i="1"/>
  <c r="CG383" i="1"/>
  <c r="CF383" i="1"/>
  <c r="CD383" i="1"/>
  <c r="CC383" i="1"/>
  <c r="CB383" i="1"/>
  <c r="BZ383" i="1"/>
  <c r="BY383" i="1"/>
  <c r="BX383" i="1"/>
  <c r="BW383" i="1"/>
  <c r="BU383" i="1"/>
  <c r="BQ383" i="1"/>
  <c r="BP383" i="1"/>
  <c r="BO383" i="1"/>
  <c r="BN383" i="1"/>
  <c r="BL383" i="1"/>
  <c r="BH383" i="1"/>
  <c r="BG383" i="1"/>
  <c r="BF383" i="1"/>
  <c r="BE383" i="1"/>
  <c r="BC383" i="1"/>
  <c r="AY383" i="1"/>
  <c r="AX383" i="1"/>
  <c r="AW383" i="1"/>
  <c r="AV383" i="1"/>
  <c r="AT383" i="1"/>
  <c r="AP383" i="1"/>
  <c r="AO383" i="1"/>
  <c r="AN383" i="1"/>
  <c r="AM383" i="1"/>
  <c r="AK383" i="1"/>
  <c r="AG383" i="1"/>
  <c r="AF383" i="1"/>
  <c r="AE383" i="1"/>
  <c r="AD383" i="1"/>
  <c r="AB383" i="1"/>
  <c r="X383" i="1"/>
  <c r="W383" i="1"/>
  <c r="V383" i="1"/>
  <c r="U383" i="1"/>
  <c r="S383" i="1"/>
  <c r="K383" i="1"/>
  <c r="J383" i="1"/>
  <c r="I383" i="1"/>
  <c r="CR382" i="1"/>
  <c r="CQ382" i="1"/>
  <c r="CP382" i="1"/>
  <c r="CO382" i="1"/>
  <c r="CM382" i="1"/>
  <c r="CI382" i="1"/>
  <c r="CH382" i="1"/>
  <c r="CG382" i="1"/>
  <c r="CF382" i="1"/>
  <c r="CD382" i="1"/>
  <c r="CC382" i="1"/>
  <c r="CB382" i="1"/>
  <c r="BZ382" i="1"/>
  <c r="BY382" i="1"/>
  <c r="BX382" i="1"/>
  <c r="BW382" i="1"/>
  <c r="BU382" i="1"/>
  <c r="BQ382" i="1"/>
  <c r="BP382" i="1"/>
  <c r="BO382" i="1"/>
  <c r="BN382" i="1"/>
  <c r="BL382" i="1"/>
  <c r="BH382" i="1"/>
  <c r="BG382" i="1"/>
  <c r="BF382" i="1"/>
  <c r="BE382" i="1"/>
  <c r="BC382" i="1"/>
  <c r="AY382" i="1"/>
  <c r="AX382" i="1"/>
  <c r="AW382" i="1"/>
  <c r="AV382" i="1"/>
  <c r="AT382" i="1"/>
  <c r="AP382" i="1"/>
  <c r="AO382" i="1"/>
  <c r="AN382" i="1"/>
  <c r="AM382" i="1"/>
  <c r="AK382" i="1"/>
  <c r="AG382" i="1"/>
  <c r="AF382" i="1"/>
  <c r="AE382" i="1"/>
  <c r="AD382" i="1"/>
  <c r="AB382" i="1"/>
  <c r="X382" i="1"/>
  <c r="W382" i="1"/>
  <c r="V382" i="1"/>
  <c r="U382" i="1"/>
  <c r="S382" i="1"/>
  <c r="K382" i="1"/>
  <c r="J382" i="1"/>
  <c r="I382" i="1"/>
  <c r="CL380" i="1"/>
  <c r="CC380" i="1"/>
  <c r="BT380" i="1"/>
  <c r="BS380" i="1"/>
  <c r="BK380" i="1"/>
  <c r="BJ380" i="1"/>
  <c r="BB380" i="1"/>
  <c r="BA380" i="1"/>
  <c r="AS380" i="1"/>
  <c r="AR380" i="1"/>
  <c r="AJ380" i="1"/>
  <c r="AI380" i="1"/>
  <c r="AA380" i="1"/>
  <c r="Z380" i="1"/>
  <c r="R380" i="1"/>
  <c r="Q380" i="1"/>
  <c r="E380" i="1"/>
  <c r="D380" i="1"/>
  <c r="CM379" i="1"/>
  <c r="CK379" i="1"/>
  <c r="CD379" i="1"/>
  <c r="CB379" i="1"/>
  <c r="BU379" i="1"/>
  <c r="BS379" i="1"/>
  <c r="BL379" i="1"/>
  <c r="BJ379" i="1"/>
  <c r="BC379" i="1"/>
  <c r="BA379" i="1"/>
  <c r="AT379" i="1"/>
  <c r="AR379" i="1"/>
  <c r="AK379" i="1"/>
  <c r="AI379" i="1"/>
  <c r="AB379" i="1"/>
  <c r="Z379" i="1"/>
  <c r="S379" i="1"/>
  <c r="Q379" i="1"/>
  <c r="I379" i="1"/>
  <c r="E379" i="1"/>
  <c r="CK378" i="1"/>
  <c r="CB378" i="1"/>
  <c r="BS378" i="1"/>
  <c r="BJ378" i="1"/>
  <c r="BA378" i="1"/>
  <c r="AR378" i="1"/>
  <c r="AI378" i="1"/>
  <c r="Z378" i="1"/>
  <c r="Q378" i="1"/>
  <c r="E377" i="1"/>
  <c r="E376" i="1"/>
  <c r="CM372" i="1"/>
  <c r="CL372" i="1"/>
  <c r="CK372" i="1"/>
  <c r="CD372" i="1"/>
  <c r="CC372" i="1"/>
  <c r="CB372" i="1"/>
  <c r="BU372" i="1"/>
  <c r="BT372" i="1"/>
  <c r="BS372" i="1"/>
  <c r="BL372" i="1"/>
  <c r="BK372" i="1"/>
  <c r="BJ372" i="1"/>
  <c r="BC372" i="1"/>
  <c r="BB372" i="1"/>
  <c r="BA372" i="1"/>
  <c r="AT372" i="1"/>
  <c r="AS372" i="1"/>
  <c r="AR372" i="1"/>
  <c r="AK372" i="1"/>
  <c r="AJ372" i="1"/>
  <c r="AI372" i="1"/>
  <c r="AB372" i="1"/>
  <c r="AA372" i="1"/>
  <c r="Z372" i="1"/>
  <c r="S372" i="1"/>
  <c r="R372" i="1"/>
  <c r="Q372" i="1"/>
  <c r="K372" i="1"/>
  <c r="J372" i="1"/>
  <c r="I372" i="1"/>
  <c r="H372" i="1"/>
  <c r="F372" i="1"/>
  <c r="CR371" i="1"/>
  <c r="CQ371" i="1"/>
  <c r="CP371" i="1"/>
  <c r="CO371" i="1"/>
  <c r="CM371" i="1"/>
  <c r="CI371" i="1"/>
  <c r="CH371" i="1"/>
  <c r="CG371" i="1"/>
  <c r="CF371" i="1"/>
  <c r="CD371" i="1"/>
  <c r="CC371" i="1"/>
  <c r="CB371" i="1"/>
  <c r="BZ371" i="1"/>
  <c r="BY371" i="1"/>
  <c r="BX371" i="1"/>
  <c r="BW371" i="1"/>
  <c r="BU371" i="1"/>
  <c r="BQ371" i="1"/>
  <c r="BP371" i="1"/>
  <c r="BO371" i="1"/>
  <c r="BN371" i="1"/>
  <c r="BL371" i="1"/>
  <c r="BH371" i="1"/>
  <c r="BG371" i="1"/>
  <c r="BF371" i="1"/>
  <c r="BE371" i="1"/>
  <c r="BC371" i="1"/>
  <c r="AY371" i="1"/>
  <c r="AX371" i="1"/>
  <c r="AW371" i="1"/>
  <c r="AV371" i="1"/>
  <c r="AT371" i="1"/>
  <c r="AP371" i="1"/>
  <c r="AO371" i="1"/>
  <c r="AN371" i="1"/>
  <c r="AM371" i="1"/>
  <c r="AK371" i="1"/>
  <c r="AG371" i="1"/>
  <c r="AF371" i="1"/>
  <c r="AE371" i="1"/>
  <c r="AD371" i="1"/>
  <c r="AB371" i="1"/>
  <c r="X371" i="1"/>
  <c r="W371" i="1"/>
  <c r="V371" i="1"/>
  <c r="U371" i="1"/>
  <c r="S371" i="1"/>
  <c r="K371" i="1"/>
  <c r="J371" i="1"/>
  <c r="I371" i="1"/>
  <c r="CR370" i="1"/>
  <c r="CQ370" i="1"/>
  <c r="CP370" i="1"/>
  <c r="CO370" i="1"/>
  <c r="CM370" i="1"/>
  <c r="CI370" i="1"/>
  <c r="CH370" i="1"/>
  <c r="CG370" i="1"/>
  <c r="CF370" i="1"/>
  <c r="CD370" i="1"/>
  <c r="CC370" i="1"/>
  <c r="CB370" i="1"/>
  <c r="BZ370" i="1"/>
  <c r="BY370" i="1"/>
  <c r="BX370" i="1"/>
  <c r="BW370" i="1"/>
  <c r="BU370" i="1"/>
  <c r="BQ370" i="1"/>
  <c r="BP370" i="1"/>
  <c r="BO370" i="1"/>
  <c r="BN370" i="1"/>
  <c r="BL370" i="1"/>
  <c r="BH370" i="1"/>
  <c r="BG370" i="1"/>
  <c r="BF370" i="1"/>
  <c r="BE370" i="1"/>
  <c r="BC370" i="1"/>
  <c r="AY370" i="1"/>
  <c r="AX370" i="1"/>
  <c r="AW370" i="1"/>
  <c r="AV370" i="1"/>
  <c r="AT370" i="1"/>
  <c r="AP370" i="1"/>
  <c r="AO370" i="1"/>
  <c r="AN370" i="1"/>
  <c r="AM370" i="1"/>
  <c r="AK370" i="1"/>
  <c r="AG370" i="1"/>
  <c r="AF370" i="1"/>
  <c r="AE370" i="1"/>
  <c r="AD370" i="1"/>
  <c r="AB370" i="1"/>
  <c r="X370" i="1"/>
  <c r="W370" i="1"/>
  <c r="V370" i="1"/>
  <c r="U370" i="1"/>
  <c r="S370" i="1"/>
  <c r="K370" i="1"/>
  <c r="J370" i="1"/>
  <c r="I370" i="1"/>
  <c r="CR369" i="1"/>
  <c r="CQ369" i="1"/>
  <c r="CP369" i="1"/>
  <c r="CO369" i="1"/>
  <c r="CM369" i="1"/>
  <c r="CI369" i="1"/>
  <c r="CH369" i="1"/>
  <c r="CG369" i="1"/>
  <c r="CF369" i="1"/>
  <c r="CD369" i="1"/>
  <c r="CC369" i="1"/>
  <c r="CB369" i="1"/>
  <c r="BZ369" i="1"/>
  <c r="BY369" i="1"/>
  <c r="BX369" i="1"/>
  <c r="BW369" i="1"/>
  <c r="BU369" i="1"/>
  <c r="BQ369" i="1"/>
  <c r="BP369" i="1"/>
  <c r="BO369" i="1"/>
  <c r="BN369" i="1"/>
  <c r="BL369" i="1"/>
  <c r="BH369" i="1"/>
  <c r="BG369" i="1"/>
  <c r="BF369" i="1"/>
  <c r="BE369" i="1"/>
  <c r="BC369" i="1"/>
  <c r="AY369" i="1"/>
  <c r="AX369" i="1"/>
  <c r="AW369" i="1"/>
  <c r="AV369" i="1"/>
  <c r="AT369" i="1"/>
  <c r="AP369" i="1"/>
  <c r="AO369" i="1"/>
  <c r="AN369" i="1"/>
  <c r="AM369" i="1"/>
  <c r="AK369" i="1"/>
  <c r="AG369" i="1"/>
  <c r="AF369" i="1"/>
  <c r="AE369" i="1"/>
  <c r="AD369" i="1"/>
  <c r="AB369" i="1"/>
  <c r="X369" i="1"/>
  <c r="W369" i="1"/>
  <c r="V369" i="1"/>
  <c r="U369" i="1"/>
  <c r="S369" i="1"/>
  <c r="K369" i="1"/>
  <c r="J369" i="1"/>
  <c r="I369" i="1"/>
  <c r="CR368" i="1"/>
  <c r="CQ368" i="1"/>
  <c r="CP368" i="1"/>
  <c r="CO368" i="1"/>
  <c r="CM368" i="1"/>
  <c r="CI368" i="1"/>
  <c r="CH368" i="1"/>
  <c r="CG368" i="1"/>
  <c r="CF368" i="1"/>
  <c r="CD368" i="1"/>
  <c r="CC368" i="1"/>
  <c r="CB368" i="1"/>
  <c r="BZ368" i="1"/>
  <c r="BY368" i="1"/>
  <c r="BX368" i="1"/>
  <c r="BW368" i="1"/>
  <c r="BU368" i="1"/>
  <c r="BQ368" i="1"/>
  <c r="BP368" i="1"/>
  <c r="BO368" i="1"/>
  <c r="BN368" i="1"/>
  <c r="BL368" i="1"/>
  <c r="BH368" i="1"/>
  <c r="BG368" i="1"/>
  <c r="BF368" i="1"/>
  <c r="BE368" i="1"/>
  <c r="BC368" i="1"/>
  <c r="AY368" i="1"/>
  <c r="AX368" i="1"/>
  <c r="AW368" i="1"/>
  <c r="AV368" i="1"/>
  <c r="AT368" i="1"/>
  <c r="AP368" i="1"/>
  <c r="AO368" i="1"/>
  <c r="AN368" i="1"/>
  <c r="AM368" i="1"/>
  <c r="AK368" i="1"/>
  <c r="AG368" i="1"/>
  <c r="AF368" i="1"/>
  <c r="AE368" i="1"/>
  <c r="AD368" i="1"/>
  <c r="AB368" i="1"/>
  <c r="X368" i="1"/>
  <c r="W368" i="1"/>
  <c r="V368" i="1"/>
  <c r="U368" i="1"/>
  <c r="S368" i="1"/>
  <c r="K368" i="1"/>
  <c r="J368" i="1"/>
  <c r="I368" i="1"/>
  <c r="CR367" i="1"/>
  <c r="CQ367" i="1"/>
  <c r="CP367" i="1"/>
  <c r="CO367" i="1"/>
  <c r="CM367" i="1"/>
  <c r="CI367" i="1"/>
  <c r="CH367" i="1"/>
  <c r="CG367" i="1"/>
  <c r="CF367" i="1"/>
  <c r="CD367" i="1"/>
  <c r="CC367" i="1"/>
  <c r="CB367" i="1"/>
  <c r="BZ367" i="1"/>
  <c r="BY367" i="1"/>
  <c r="BX367" i="1"/>
  <c r="BW367" i="1"/>
  <c r="BU367" i="1"/>
  <c r="BQ367" i="1"/>
  <c r="BP367" i="1"/>
  <c r="BO367" i="1"/>
  <c r="BN367" i="1"/>
  <c r="BL367" i="1"/>
  <c r="BH367" i="1"/>
  <c r="BG367" i="1"/>
  <c r="BF367" i="1"/>
  <c r="BE367" i="1"/>
  <c r="BC367" i="1"/>
  <c r="AY367" i="1"/>
  <c r="AX367" i="1"/>
  <c r="AW367" i="1"/>
  <c r="AV367" i="1"/>
  <c r="AT367" i="1"/>
  <c r="AP367" i="1"/>
  <c r="AO367" i="1"/>
  <c r="AN367" i="1"/>
  <c r="AM367" i="1"/>
  <c r="AK367" i="1"/>
  <c r="AG367" i="1"/>
  <c r="AF367" i="1"/>
  <c r="AE367" i="1"/>
  <c r="AD367" i="1"/>
  <c r="AB367" i="1"/>
  <c r="X367" i="1"/>
  <c r="W367" i="1"/>
  <c r="V367" i="1"/>
  <c r="U367" i="1"/>
  <c r="S367" i="1"/>
  <c r="K367" i="1"/>
  <c r="J367" i="1"/>
  <c r="I367" i="1"/>
  <c r="CR366" i="1"/>
  <c r="CQ366" i="1"/>
  <c r="CP366" i="1"/>
  <c r="CO366" i="1"/>
  <c r="CM366" i="1"/>
  <c r="CI366" i="1"/>
  <c r="CH366" i="1"/>
  <c r="CG366" i="1"/>
  <c r="CF366" i="1"/>
  <c r="CD366" i="1"/>
  <c r="CC366" i="1"/>
  <c r="CB366" i="1"/>
  <c r="BZ366" i="1"/>
  <c r="BY366" i="1"/>
  <c r="BX366" i="1"/>
  <c r="BW366" i="1"/>
  <c r="BU366" i="1"/>
  <c r="BQ366" i="1"/>
  <c r="BP366" i="1"/>
  <c r="BO366" i="1"/>
  <c r="BN366" i="1"/>
  <c r="BL366" i="1"/>
  <c r="BH366" i="1"/>
  <c r="BG366" i="1"/>
  <c r="BF366" i="1"/>
  <c r="BE366" i="1"/>
  <c r="BC366" i="1"/>
  <c r="AY366" i="1"/>
  <c r="AX366" i="1"/>
  <c r="AW366" i="1"/>
  <c r="AV366" i="1"/>
  <c r="AT366" i="1"/>
  <c r="AP366" i="1"/>
  <c r="AO366" i="1"/>
  <c r="AN366" i="1"/>
  <c r="AM366" i="1"/>
  <c r="AK366" i="1"/>
  <c r="AG366" i="1"/>
  <c r="AF366" i="1"/>
  <c r="AE366" i="1"/>
  <c r="AD366" i="1"/>
  <c r="AB366" i="1"/>
  <c r="X366" i="1"/>
  <c r="W366" i="1"/>
  <c r="V366" i="1"/>
  <c r="U366" i="1"/>
  <c r="S366" i="1"/>
  <c r="K366" i="1"/>
  <c r="J366" i="1"/>
  <c r="I366" i="1"/>
  <c r="CR365" i="1"/>
  <c r="CQ365" i="1"/>
  <c r="CP365" i="1"/>
  <c r="CO365" i="1"/>
  <c r="CM365" i="1"/>
  <c r="CI365" i="1"/>
  <c r="CH365" i="1"/>
  <c r="CG365" i="1"/>
  <c r="CF365" i="1"/>
  <c r="CD365" i="1"/>
  <c r="CC365" i="1"/>
  <c r="CB365" i="1"/>
  <c r="BZ365" i="1"/>
  <c r="BY365" i="1"/>
  <c r="BX365" i="1"/>
  <c r="BW365" i="1"/>
  <c r="BU365" i="1"/>
  <c r="BQ365" i="1"/>
  <c r="BP365" i="1"/>
  <c r="BO365" i="1"/>
  <c r="BN365" i="1"/>
  <c r="BL365" i="1"/>
  <c r="BH365" i="1"/>
  <c r="BG365" i="1"/>
  <c r="BF365" i="1"/>
  <c r="BE365" i="1"/>
  <c r="BC365" i="1"/>
  <c r="AY365" i="1"/>
  <c r="AX365" i="1"/>
  <c r="AW365" i="1"/>
  <c r="AV365" i="1"/>
  <c r="AT365" i="1"/>
  <c r="AP365" i="1"/>
  <c r="AO365" i="1"/>
  <c r="AN365" i="1"/>
  <c r="AM365" i="1"/>
  <c r="AK365" i="1"/>
  <c r="AG365" i="1"/>
  <c r="AF365" i="1"/>
  <c r="AE365" i="1"/>
  <c r="AD365" i="1"/>
  <c r="AB365" i="1"/>
  <c r="X365" i="1"/>
  <c r="W365" i="1"/>
  <c r="V365" i="1"/>
  <c r="U365" i="1"/>
  <c r="S365" i="1"/>
  <c r="K365" i="1"/>
  <c r="J365" i="1"/>
  <c r="I365" i="1"/>
  <c r="CR364" i="1"/>
  <c r="CQ364" i="1"/>
  <c r="CP364" i="1"/>
  <c r="CO364" i="1"/>
  <c r="CM364" i="1"/>
  <c r="CI364" i="1"/>
  <c r="CH364" i="1"/>
  <c r="CG364" i="1"/>
  <c r="CF364" i="1"/>
  <c r="CD364" i="1"/>
  <c r="CC364" i="1"/>
  <c r="CB364" i="1"/>
  <c r="BZ364" i="1"/>
  <c r="BY364" i="1"/>
  <c r="BX364" i="1"/>
  <c r="BW364" i="1"/>
  <c r="BU364" i="1"/>
  <c r="BQ364" i="1"/>
  <c r="BP364" i="1"/>
  <c r="BO364" i="1"/>
  <c r="BN364" i="1"/>
  <c r="BL364" i="1"/>
  <c r="BH364" i="1"/>
  <c r="BG364" i="1"/>
  <c r="BF364" i="1"/>
  <c r="BE364" i="1"/>
  <c r="BC364" i="1"/>
  <c r="AY364" i="1"/>
  <c r="AX364" i="1"/>
  <c r="AW364" i="1"/>
  <c r="AV364" i="1"/>
  <c r="AT364" i="1"/>
  <c r="AP364" i="1"/>
  <c r="AO364" i="1"/>
  <c r="AN364" i="1"/>
  <c r="AM364" i="1"/>
  <c r="AK364" i="1"/>
  <c r="AG364" i="1"/>
  <c r="AF364" i="1"/>
  <c r="AE364" i="1"/>
  <c r="AD364" i="1"/>
  <c r="AB364" i="1"/>
  <c r="X364" i="1"/>
  <c r="W364" i="1"/>
  <c r="V364" i="1"/>
  <c r="U364" i="1"/>
  <c r="S364" i="1"/>
  <c r="K364" i="1"/>
  <c r="J364" i="1"/>
  <c r="I364" i="1"/>
  <c r="CR363" i="1"/>
  <c r="CQ363" i="1"/>
  <c r="CP363" i="1"/>
  <c r="CO363" i="1"/>
  <c r="CM363" i="1"/>
  <c r="CI363" i="1"/>
  <c r="CH363" i="1"/>
  <c r="CG363" i="1"/>
  <c r="CF363" i="1"/>
  <c r="CD363" i="1"/>
  <c r="CC363" i="1"/>
  <c r="CB363" i="1"/>
  <c r="BZ363" i="1"/>
  <c r="BY363" i="1"/>
  <c r="BX363" i="1"/>
  <c r="BW363" i="1"/>
  <c r="BU363" i="1"/>
  <c r="BQ363" i="1"/>
  <c r="BP363" i="1"/>
  <c r="BO363" i="1"/>
  <c r="BN363" i="1"/>
  <c r="BL363" i="1"/>
  <c r="BH363" i="1"/>
  <c r="BG363" i="1"/>
  <c r="BF363" i="1"/>
  <c r="BE363" i="1"/>
  <c r="BC363" i="1"/>
  <c r="AY363" i="1"/>
  <c r="AX363" i="1"/>
  <c r="AW363" i="1"/>
  <c r="AV363" i="1"/>
  <c r="AT363" i="1"/>
  <c r="AP363" i="1"/>
  <c r="AO363" i="1"/>
  <c r="AN363" i="1"/>
  <c r="AM363" i="1"/>
  <c r="AK363" i="1"/>
  <c r="AG363" i="1"/>
  <c r="AF363" i="1"/>
  <c r="AE363" i="1"/>
  <c r="AD363" i="1"/>
  <c r="AB363" i="1"/>
  <c r="X363" i="1"/>
  <c r="W363" i="1"/>
  <c r="V363" i="1"/>
  <c r="U363" i="1"/>
  <c r="S363" i="1"/>
  <c r="K363" i="1"/>
  <c r="J363" i="1"/>
  <c r="I363" i="1"/>
  <c r="CR362" i="1"/>
  <c r="CQ362" i="1"/>
  <c r="CP362" i="1"/>
  <c r="CO362" i="1"/>
  <c r="CM362" i="1"/>
  <c r="CI362" i="1"/>
  <c r="CH362" i="1"/>
  <c r="CG362" i="1"/>
  <c r="CF362" i="1"/>
  <c r="CD362" i="1"/>
  <c r="CC362" i="1"/>
  <c r="CB362" i="1"/>
  <c r="BZ362" i="1"/>
  <c r="BY362" i="1"/>
  <c r="BX362" i="1"/>
  <c r="BW362" i="1"/>
  <c r="BU362" i="1"/>
  <c r="BQ362" i="1"/>
  <c r="BP362" i="1"/>
  <c r="BO362" i="1"/>
  <c r="BN362" i="1"/>
  <c r="BL362" i="1"/>
  <c r="BH362" i="1"/>
  <c r="BG362" i="1"/>
  <c r="BF362" i="1"/>
  <c r="BE362" i="1"/>
  <c r="BC362" i="1"/>
  <c r="AY362" i="1"/>
  <c r="AX362" i="1"/>
  <c r="AW362" i="1"/>
  <c r="AV362" i="1"/>
  <c r="AT362" i="1"/>
  <c r="AP362" i="1"/>
  <c r="AO362" i="1"/>
  <c r="AN362" i="1"/>
  <c r="AM362" i="1"/>
  <c r="AK362" i="1"/>
  <c r="AG362" i="1"/>
  <c r="AF362" i="1"/>
  <c r="AE362" i="1"/>
  <c r="AD362" i="1"/>
  <c r="AB362" i="1"/>
  <c r="X362" i="1"/>
  <c r="W362" i="1"/>
  <c r="V362" i="1"/>
  <c r="U362" i="1"/>
  <c r="S362" i="1"/>
  <c r="K362" i="1"/>
  <c r="J362" i="1"/>
  <c r="I362" i="1"/>
  <c r="CR361" i="1"/>
  <c r="CQ361" i="1"/>
  <c r="CP361" i="1"/>
  <c r="CO361" i="1"/>
  <c r="CM361" i="1"/>
  <c r="CI361" i="1"/>
  <c r="CH361" i="1"/>
  <c r="CG361" i="1"/>
  <c r="CF361" i="1"/>
  <c r="CD361" i="1"/>
  <c r="CC361" i="1"/>
  <c r="CB361" i="1"/>
  <c r="BZ361" i="1"/>
  <c r="BY361" i="1"/>
  <c r="BX361" i="1"/>
  <c r="BW361" i="1"/>
  <c r="BU361" i="1"/>
  <c r="BQ361" i="1"/>
  <c r="BP361" i="1"/>
  <c r="BO361" i="1"/>
  <c r="BN361" i="1"/>
  <c r="BL361" i="1"/>
  <c r="BH361" i="1"/>
  <c r="BG361" i="1"/>
  <c r="BF361" i="1"/>
  <c r="BE361" i="1"/>
  <c r="BC361" i="1"/>
  <c r="AY361" i="1"/>
  <c r="AX361" i="1"/>
  <c r="AW361" i="1"/>
  <c r="AV361" i="1"/>
  <c r="AT361" i="1"/>
  <c r="AP361" i="1"/>
  <c r="AO361" i="1"/>
  <c r="AN361" i="1"/>
  <c r="AM361" i="1"/>
  <c r="AK361" i="1"/>
  <c r="AG361" i="1"/>
  <c r="AF361" i="1"/>
  <c r="AE361" i="1"/>
  <c r="AD361" i="1"/>
  <c r="AB361" i="1"/>
  <c r="X361" i="1"/>
  <c r="W361" i="1"/>
  <c r="V361" i="1"/>
  <c r="U361" i="1"/>
  <c r="S361" i="1"/>
  <c r="K361" i="1"/>
  <c r="J361" i="1"/>
  <c r="I361" i="1"/>
  <c r="CR360" i="1"/>
  <c r="CQ360" i="1"/>
  <c r="CP360" i="1"/>
  <c r="CO360" i="1"/>
  <c r="CM360" i="1"/>
  <c r="CI360" i="1"/>
  <c r="CH360" i="1"/>
  <c r="CG360" i="1"/>
  <c r="CF360" i="1"/>
  <c r="CD360" i="1"/>
  <c r="CC360" i="1"/>
  <c r="CB360" i="1"/>
  <c r="BZ360" i="1"/>
  <c r="BY360" i="1"/>
  <c r="BX360" i="1"/>
  <c r="BW360" i="1"/>
  <c r="BU360" i="1"/>
  <c r="BQ360" i="1"/>
  <c r="BP360" i="1"/>
  <c r="BO360" i="1"/>
  <c r="BN360" i="1"/>
  <c r="BL360" i="1"/>
  <c r="BH360" i="1"/>
  <c r="BG360" i="1"/>
  <c r="BF360" i="1"/>
  <c r="BE360" i="1"/>
  <c r="BC360" i="1"/>
  <c r="AY360" i="1"/>
  <c r="AX360" i="1"/>
  <c r="AW360" i="1"/>
  <c r="AV360" i="1"/>
  <c r="AT360" i="1"/>
  <c r="AP360" i="1"/>
  <c r="AO360" i="1"/>
  <c r="AN360" i="1"/>
  <c r="AM360" i="1"/>
  <c r="AK360" i="1"/>
  <c r="AG360" i="1"/>
  <c r="AF360" i="1"/>
  <c r="AE360" i="1"/>
  <c r="AD360" i="1"/>
  <c r="AB360" i="1"/>
  <c r="X360" i="1"/>
  <c r="W360" i="1"/>
  <c r="V360" i="1"/>
  <c r="U360" i="1"/>
  <c r="S360" i="1"/>
  <c r="K360" i="1"/>
  <c r="J360" i="1"/>
  <c r="CL358" i="1"/>
  <c r="CC358" i="1"/>
  <c r="BT358" i="1"/>
  <c r="BS358" i="1"/>
  <c r="BK358" i="1"/>
  <c r="BJ358" i="1"/>
  <c r="BB358" i="1"/>
  <c r="BA358" i="1"/>
  <c r="AS358" i="1"/>
  <c r="AR358" i="1"/>
  <c r="AJ358" i="1"/>
  <c r="AI358" i="1"/>
  <c r="AA358" i="1"/>
  <c r="Z358" i="1"/>
  <c r="R358" i="1"/>
  <c r="Q358" i="1"/>
  <c r="E358" i="1"/>
  <c r="D358" i="1"/>
  <c r="CM357" i="1"/>
  <c r="CK357" i="1"/>
  <c r="CD357" i="1"/>
  <c r="CB357" i="1"/>
  <c r="BU357" i="1"/>
  <c r="BS357" i="1"/>
  <c r="BL357" i="1"/>
  <c r="BJ357" i="1"/>
  <c r="BC357" i="1"/>
  <c r="BA357" i="1"/>
  <c r="AT357" i="1"/>
  <c r="AR357" i="1"/>
  <c r="AK357" i="1"/>
  <c r="AI357" i="1"/>
  <c r="AB357" i="1"/>
  <c r="Z357" i="1"/>
  <c r="S357" i="1"/>
  <c r="Q357" i="1"/>
  <c r="I357" i="1"/>
  <c r="E357" i="1"/>
  <c r="CK356" i="1"/>
  <c r="CB356" i="1"/>
  <c r="BS356" i="1"/>
  <c r="BJ356" i="1"/>
  <c r="BA356" i="1"/>
  <c r="AR356" i="1"/>
  <c r="AI356" i="1"/>
  <c r="Z356" i="1"/>
  <c r="Q356" i="1"/>
  <c r="E355" i="1"/>
  <c r="E354" i="1"/>
  <c r="CM350" i="1"/>
  <c r="CL350" i="1"/>
  <c r="CK350" i="1"/>
  <c r="CD350" i="1"/>
  <c r="CC350" i="1"/>
  <c r="CB350" i="1"/>
  <c r="BU350" i="1"/>
  <c r="BT350" i="1"/>
  <c r="BS350" i="1"/>
  <c r="BL350" i="1"/>
  <c r="BK350" i="1"/>
  <c r="BJ350" i="1"/>
  <c r="BC350" i="1"/>
  <c r="BB350" i="1"/>
  <c r="BA350" i="1"/>
  <c r="AT350" i="1"/>
  <c r="AS350" i="1"/>
  <c r="AR350" i="1"/>
  <c r="AK350" i="1"/>
  <c r="AJ350" i="1"/>
  <c r="AI350" i="1"/>
  <c r="AB350" i="1"/>
  <c r="AA350" i="1"/>
  <c r="Z350" i="1"/>
  <c r="S350" i="1"/>
  <c r="R350" i="1"/>
  <c r="Q350" i="1"/>
  <c r="K350" i="1"/>
  <c r="J350" i="1"/>
  <c r="I350" i="1"/>
  <c r="H350" i="1"/>
  <c r="F350" i="1"/>
  <c r="CR349" i="1"/>
  <c r="CQ349" i="1"/>
  <c r="CP349" i="1"/>
  <c r="CO349" i="1"/>
  <c r="CM349" i="1"/>
  <c r="CI349" i="1"/>
  <c r="CH349" i="1"/>
  <c r="CG349" i="1"/>
  <c r="CF349" i="1"/>
  <c r="CD349" i="1"/>
  <c r="CC349" i="1"/>
  <c r="CB349" i="1"/>
  <c r="BZ349" i="1"/>
  <c r="BY349" i="1"/>
  <c r="BX349" i="1"/>
  <c r="BW349" i="1"/>
  <c r="BU349" i="1"/>
  <c r="BQ349" i="1"/>
  <c r="BP349" i="1"/>
  <c r="BO349" i="1"/>
  <c r="BN349" i="1"/>
  <c r="BL349" i="1"/>
  <c r="BH349" i="1"/>
  <c r="BG349" i="1"/>
  <c r="BF349" i="1"/>
  <c r="BE349" i="1"/>
  <c r="BC349" i="1"/>
  <c r="AY349" i="1"/>
  <c r="AX349" i="1"/>
  <c r="AW349" i="1"/>
  <c r="AV349" i="1"/>
  <c r="AT349" i="1"/>
  <c r="AP349" i="1"/>
  <c r="AO349" i="1"/>
  <c r="AN349" i="1"/>
  <c r="AM349" i="1"/>
  <c r="AK349" i="1"/>
  <c r="AG349" i="1"/>
  <c r="AF349" i="1"/>
  <c r="AE349" i="1"/>
  <c r="AD349" i="1"/>
  <c r="AB349" i="1"/>
  <c r="X349" i="1"/>
  <c r="W349" i="1"/>
  <c r="V349" i="1"/>
  <c r="U349" i="1"/>
  <c r="S349" i="1"/>
  <c r="K349" i="1"/>
  <c r="J349" i="1"/>
  <c r="I349" i="1"/>
  <c r="CR348" i="1"/>
  <c r="CQ348" i="1"/>
  <c r="CP348" i="1"/>
  <c r="CO348" i="1"/>
  <c r="CM348" i="1"/>
  <c r="CI348" i="1"/>
  <c r="CH348" i="1"/>
  <c r="CG348" i="1"/>
  <c r="CF348" i="1"/>
  <c r="CD348" i="1"/>
  <c r="CC348" i="1"/>
  <c r="CB348" i="1"/>
  <c r="BZ348" i="1"/>
  <c r="BY348" i="1"/>
  <c r="BX348" i="1"/>
  <c r="BW348" i="1"/>
  <c r="BU348" i="1"/>
  <c r="BQ348" i="1"/>
  <c r="BP348" i="1"/>
  <c r="BO348" i="1"/>
  <c r="BN348" i="1"/>
  <c r="BL348" i="1"/>
  <c r="BH348" i="1"/>
  <c r="BG348" i="1"/>
  <c r="BF348" i="1"/>
  <c r="BE348" i="1"/>
  <c r="BC348" i="1"/>
  <c r="AY348" i="1"/>
  <c r="AX348" i="1"/>
  <c r="AW348" i="1"/>
  <c r="AV348" i="1"/>
  <c r="AT348" i="1"/>
  <c r="AP348" i="1"/>
  <c r="AO348" i="1"/>
  <c r="AN348" i="1"/>
  <c r="AM348" i="1"/>
  <c r="AK348" i="1"/>
  <c r="AG348" i="1"/>
  <c r="AF348" i="1"/>
  <c r="AE348" i="1"/>
  <c r="AD348" i="1"/>
  <c r="AB348" i="1"/>
  <c r="X348" i="1"/>
  <c r="W348" i="1"/>
  <c r="V348" i="1"/>
  <c r="U348" i="1"/>
  <c r="S348" i="1"/>
  <c r="K348" i="1"/>
  <c r="J348" i="1"/>
  <c r="I348" i="1"/>
  <c r="CR347" i="1"/>
  <c r="CQ347" i="1"/>
  <c r="CP347" i="1"/>
  <c r="CO347" i="1"/>
  <c r="CM347" i="1"/>
  <c r="CI347" i="1"/>
  <c r="CH347" i="1"/>
  <c r="CG347" i="1"/>
  <c r="CF347" i="1"/>
  <c r="CD347" i="1"/>
  <c r="CC347" i="1"/>
  <c r="CB347" i="1"/>
  <c r="BZ347" i="1"/>
  <c r="BY347" i="1"/>
  <c r="BX347" i="1"/>
  <c r="BW347" i="1"/>
  <c r="BU347" i="1"/>
  <c r="BQ347" i="1"/>
  <c r="BP347" i="1"/>
  <c r="BO347" i="1"/>
  <c r="BN347" i="1"/>
  <c r="BL347" i="1"/>
  <c r="BH347" i="1"/>
  <c r="BG347" i="1"/>
  <c r="BF347" i="1"/>
  <c r="BE347" i="1"/>
  <c r="BC347" i="1"/>
  <c r="AY347" i="1"/>
  <c r="AX347" i="1"/>
  <c r="AW347" i="1"/>
  <c r="AV347" i="1"/>
  <c r="AT347" i="1"/>
  <c r="AP347" i="1"/>
  <c r="AO347" i="1"/>
  <c r="AN347" i="1"/>
  <c r="AM347" i="1"/>
  <c r="AK347" i="1"/>
  <c r="AG347" i="1"/>
  <c r="AF347" i="1"/>
  <c r="AE347" i="1"/>
  <c r="AD347" i="1"/>
  <c r="AB347" i="1"/>
  <c r="X347" i="1"/>
  <c r="W347" i="1"/>
  <c r="V347" i="1"/>
  <c r="U347" i="1"/>
  <c r="S347" i="1"/>
  <c r="K347" i="1"/>
  <c r="J347" i="1"/>
  <c r="I347" i="1"/>
  <c r="CR346" i="1"/>
  <c r="CQ346" i="1"/>
  <c r="CP346" i="1"/>
  <c r="CO346" i="1"/>
  <c r="CM346" i="1"/>
  <c r="CI346" i="1"/>
  <c r="CH346" i="1"/>
  <c r="CG346" i="1"/>
  <c r="CF346" i="1"/>
  <c r="CD346" i="1"/>
  <c r="CC346" i="1"/>
  <c r="CB346" i="1"/>
  <c r="BZ346" i="1"/>
  <c r="BY346" i="1"/>
  <c r="BX346" i="1"/>
  <c r="BW346" i="1"/>
  <c r="BU346" i="1"/>
  <c r="BQ346" i="1"/>
  <c r="BP346" i="1"/>
  <c r="BO346" i="1"/>
  <c r="BN346" i="1"/>
  <c r="BL346" i="1"/>
  <c r="BH346" i="1"/>
  <c r="BG346" i="1"/>
  <c r="BF346" i="1"/>
  <c r="BE346" i="1"/>
  <c r="BC346" i="1"/>
  <c r="AY346" i="1"/>
  <c r="AX346" i="1"/>
  <c r="AW346" i="1"/>
  <c r="AV346" i="1"/>
  <c r="AT346" i="1"/>
  <c r="AP346" i="1"/>
  <c r="AO346" i="1"/>
  <c r="AN346" i="1"/>
  <c r="AM346" i="1"/>
  <c r="AK346" i="1"/>
  <c r="AG346" i="1"/>
  <c r="AF346" i="1"/>
  <c r="AE346" i="1"/>
  <c r="AD346" i="1"/>
  <c r="AB346" i="1"/>
  <c r="X346" i="1"/>
  <c r="W346" i="1"/>
  <c r="V346" i="1"/>
  <c r="U346" i="1"/>
  <c r="S346" i="1"/>
  <c r="K346" i="1"/>
  <c r="J346" i="1"/>
  <c r="I346" i="1"/>
  <c r="CR345" i="1"/>
  <c r="CQ345" i="1"/>
  <c r="CP345" i="1"/>
  <c r="CO345" i="1"/>
  <c r="CM345" i="1"/>
  <c r="CI345" i="1"/>
  <c r="CH345" i="1"/>
  <c r="CG345" i="1"/>
  <c r="CF345" i="1"/>
  <c r="CD345" i="1"/>
  <c r="CC345" i="1"/>
  <c r="CB345" i="1"/>
  <c r="BZ345" i="1"/>
  <c r="BY345" i="1"/>
  <c r="BX345" i="1"/>
  <c r="BW345" i="1"/>
  <c r="BU345" i="1"/>
  <c r="BQ345" i="1"/>
  <c r="BP345" i="1"/>
  <c r="BO345" i="1"/>
  <c r="BN345" i="1"/>
  <c r="BL345" i="1"/>
  <c r="BH345" i="1"/>
  <c r="BG345" i="1"/>
  <c r="BF345" i="1"/>
  <c r="BE345" i="1"/>
  <c r="BC345" i="1"/>
  <c r="AY345" i="1"/>
  <c r="AX345" i="1"/>
  <c r="AW345" i="1"/>
  <c r="AV345" i="1"/>
  <c r="AT345" i="1"/>
  <c r="AP345" i="1"/>
  <c r="AO345" i="1"/>
  <c r="AN345" i="1"/>
  <c r="AM345" i="1"/>
  <c r="AK345" i="1"/>
  <c r="AG345" i="1"/>
  <c r="AF345" i="1"/>
  <c r="AE345" i="1"/>
  <c r="AD345" i="1"/>
  <c r="AB345" i="1"/>
  <c r="X345" i="1"/>
  <c r="W345" i="1"/>
  <c r="V345" i="1"/>
  <c r="U345" i="1"/>
  <c r="S345" i="1"/>
  <c r="K345" i="1"/>
  <c r="J345" i="1"/>
  <c r="I345" i="1"/>
  <c r="CR344" i="1"/>
  <c r="CQ344" i="1"/>
  <c r="CP344" i="1"/>
  <c r="CO344" i="1"/>
  <c r="CM344" i="1"/>
  <c r="CI344" i="1"/>
  <c r="CH344" i="1"/>
  <c r="CG344" i="1"/>
  <c r="CF344" i="1"/>
  <c r="CD344" i="1"/>
  <c r="CC344" i="1"/>
  <c r="CB344" i="1"/>
  <c r="BZ344" i="1"/>
  <c r="BY344" i="1"/>
  <c r="BX344" i="1"/>
  <c r="BW344" i="1"/>
  <c r="BU344" i="1"/>
  <c r="BQ344" i="1"/>
  <c r="BP344" i="1"/>
  <c r="BO344" i="1"/>
  <c r="BN344" i="1"/>
  <c r="BL344" i="1"/>
  <c r="BH344" i="1"/>
  <c r="BG344" i="1"/>
  <c r="BF344" i="1"/>
  <c r="BE344" i="1"/>
  <c r="BC344" i="1"/>
  <c r="AY344" i="1"/>
  <c r="AX344" i="1"/>
  <c r="AW344" i="1"/>
  <c r="AV344" i="1"/>
  <c r="AT344" i="1"/>
  <c r="AP344" i="1"/>
  <c r="AO344" i="1"/>
  <c r="AN344" i="1"/>
  <c r="AM344" i="1"/>
  <c r="AK344" i="1"/>
  <c r="AG344" i="1"/>
  <c r="AF344" i="1"/>
  <c r="AE344" i="1"/>
  <c r="AD344" i="1"/>
  <c r="AB344" i="1"/>
  <c r="X344" i="1"/>
  <c r="W344" i="1"/>
  <c r="V344" i="1"/>
  <c r="U344" i="1"/>
  <c r="S344" i="1"/>
  <c r="K344" i="1"/>
  <c r="J344" i="1"/>
  <c r="I344" i="1"/>
  <c r="CR343" i="1"/>
  <c r="CQ343" i="1"/>
  <c r="CP343" i="1"/>
  <c r="CO343" i="1"/>
  <c r="CM343" i="1"/>
  <c r="CI343" i="1"/>
  <c r="CH343" i="1"/>
  <c r="CG343" i="1"/>
  <c r="CF343" i="1"/>
  <c r="CD343" i="1"/>
  <c r="CC343" i="1"/>
  <c r="CB343" i="1"/>
  <c r="BZ343" i="1"/>
  <c r="BY343" i="1"/>
  <c r="BX343" i="1"/>
  <c r="BW343" i="1"/>
  <c r="BU343" i="1"/>
  <c r="BQ343" i="1"/>
  <c r="BP343" i="1"/>
  <c r="BO343" i="1"/>
  <c r="BN343" i="1"/>
  <c r="BL343" i="1"/>
  <c r="BH343" i="1"/>
  <c r="BG343" i="1"/>
  <c r="BF343" i="1"/>
  <c r="BE343" i="1"/>
  <c r="BC343" i="1"/>
  <c r="AY343" i="1"/>
  <c r="AX343" i="1"/>
  <c r="AW343" i="1"/>
  <c r="AV343" i="1"/>
  <c r="AT343" i="1"/>
  <c r="AP343" i="1"/>
  <c r="AO343" i="1"/>
  <c r="AN343" i="1"/>
  <c r="AM343" i="1"/>
  <c r="AK343" i="1"/>
  <c r="AG343" i="1"/>
  <c r="AF343" i="1"/>
  <c r="AE343" i="1"/>
  <c r="AD343" i="1"/>
  <c r="AB343" i="1"/>
  <c r="X343" i="1"/>
  <c r="W343" i="1"/>
  <c r="V343" i="1"/>
  <c r="U343" i="1"/>
  <c r="S343" i="1"/>
  <c r="K343" i="1"/>
  <c r="J343" i="1"/>
  <c r="I343" i="1"/>
  <c r="CR342" i="1"/>
  <c r="CQ342" i="1"/>
  <c r="CP342" i="1"/>
  <c r="CO342" i="1"/>
  <c r="CM342" i="1"/>
  <c r="CI342" i="1"/>
  <c r="CH342" i="1"/>
  <c r="CG342" i="1"/>
  <c r="CF342" i="1"/>
  <c r="CD342" i="1"/>
  <c r="CC342" i="1"/>
  <c r="CB342" i="1"/>
  <c r="BZ342" i="1"/>
  <c r="BY342" i="1"/>
  <c r="BX342" i="1"/>
  <c r="BW342" i="1"/>
  <c r="BU342" i="1"/>
  <c r="BQ342" i="1"/>
  <c r="BP342" i="1"/>
  <c r="BO342" i="1"/>
  <c r="BN342" i="1"/>
  <c r="BL342" i="1"/>
  <c r="BH342" i="1"/>
  <c r="BG342" i="1"/>
  <c r="BF342" i="1"/>
  <c r="BE342" i="1"/>
  <c r="BC342" i="1"/>
  <c r="AY342" i="1"/>
  <c r="AX342" i="1"/>
  <c r="AW342" i="1"/>
  <c r="AV342" i="1"/>
  <c r="AT342" i="1"/>
  <c r="AP342" i="1"/>
  <c r="AO342" i="1"/>
  <c r="AN342" i="1"/>
  <c r="AM342" i="1"/>
  <c r="AK342" i="1"/>
  <c r="AG342" i="1"/>
  <c r="AF342" i="1"/>
  <c r="AE342" i="1"/>
  <c r="AD342" i="1"/>
  <c r="AB342" i="1"/>
  <c r="X342" i="1"/>
  <c r="W342" i="1"/>
  <c r="V342" i="1"/>
  <c r="U342" i="1"/>
  <c r="S342" i="1"/>
  <c r="K342" i="1"/>
  <c r="J342" i="1"/>
  <c r="I342" i="1"/>
  <c r="CR341" i="1"/>
  <c r="CQ341" i="1"/>
  <c r="CP341" i="1"/>
  <c r="CO341" i="1"/>
  <c r="CM341" i="1"/>
  <c r="CI341" i="1"/>
  <c r="CH341" i="1"/>
  <c r="CG341" i="1"/>
  <c r="CF341" i="1"/>
  <c r="CD341" i="1"/>
  <c r="CC341" i="1"/>
  <c r="CB341" i="1"/>
  <c r="BZ341" i="1"/>
  <c r="BY341" i="1"/>
  <c r="BX341" i="1"/>
  <c r="BW341" i="1"/>
  <c r="BU341" i="1"/>
  <c r="BQ341" i="1"/>
  <c r="BP341" i="1"/>
  <c r="BO341" i="1"/>
  <c r="BN341" i="1"/>
  <c r="BL341" i="1"/>
  <c r="BH341" i="1"/>
  <c r="BG341" i="1"/>
  <c r="BF341" i="1"/>
  <c r="BE341" i="1"/>
  <c r="BC341" i="1"/>
  <c r="AY341" i="1"/>
  <c r="AX341" i="1"/>
  <c r="AW341" i="1"/>
  <c r="AV341" i="1"/>
  <c r="AT341" i="1"/>
  <c r="AP341" i="1"/>
  <c r="AO341" i="1"/>
  <c r="AN341" i="1"/>
  <c r="AM341" i="1"/>
  <c r="AK341" i="1"/>
  <c r="AG341" i="1"/>
  <c r="AF341" i="1"/>
  <c r="AE341" i="1"/>
  <c r="AD341" i="1"/>
  <c r="AB341" i="1"/>
  <c r="X341" i="1"/>
  <c r="W341" i="1"/>
  <c r="V341" i="1"/>
  <c r="U341" i="1"/>
  <c r="S341" i="1"/>
  <c r="K341" i="1"/>
  <c r="J341" i="1"/>
  <c r="I341" i="1"/>
  <c r="CR340" i="1"/>
  <c r="CQ340" i="1"/>
  <c r="CP340" i="1"/>
  <c r="CO340" i="1"/>
  <c r="CM340" i="1"/>
  <c r="CI340" i="1"/>
  <c r="CH340" i="1"/>
  <c r="CG340" i="1"/>
  <c r="CF340" i="1"/>
  <c r="CD340" i="1"/>
  <c r="CC340" i="1"/>
  <c r="CB340" i="1"/>
  <c r="BZ340" i="1"/>
  <c r="BY340" i="1"/>
  <c r="BX340" i="1"/>
  <c r="BW340" i="1"/>
  <c r="BU340" i="1"/>
  <c r="BQ340" i="1"/>
  <c r="BP340" i="1"/>
  <c r="BO340" i="1"/>
  <c r="BN340" i="1"/>
  <c r="BL340" i="1"/>
  <c r="BH340" i="1"/>
  <c r="BG340" i="1"/>
  <c r="BF340" i="1"/>
  <c r="BE340" i="1"/>
  <c r="BC340" i="1"/>
  <c r="AY340" i="1"/>
  <c r="AX340" i="1"/>
  <c r="AW340" i="1"/>
  <c r="AV340" i="1"/>
  <c r="AT340" i="1"/>
  <c r="AP340" i="1"/>
  <c r="AO340" i="1"/>
  <c r="AN340" i="1"/>
  <c r="AM340" i="1"/>
  <c r="AK340" i="1"/>
  <c r="AG340" i="1"/>
  <c r="AF340" i="1"/>
  <c r="AE340" i="1"/>
  <c r="AD340" i="1"/>
  <c r="AB340" i="1"/>
  <c r="X340" i="1"/>
  <c r="W340" i="1"/>
  <c r="V340" i="1"/>
  <c r="U340" i="1"/>
  <c r="S340" i="1"/>
  <c r="K340" i="1"/>
  <c r="J340" i="1"/>
  <c r="I340" i="1"/>
  <c r="CR339" i="1"/>
  <c r="CQ339" i="1"/>
  <c r="CP339" i="1"/>
  <c r="CO339" i="1"/>
  <c r="CM339" i="1"/>
  <c r="CI339" i="1"/>
  <c r="CH339" i="1"/>
  <c r="CG339" i="1"/>
  <c r="CF339" i="1"/>
  <c r="CD339" i="1"/>
  <c r="CC339" i="1"/>
  <c r="CB339" i="1"/>
  <c r="BZ339" i="1"/>
  <c r="BY339" i="1"/>
  <c r="BX339" i="1"/>
  <c r="BW339" i="1"/>
  <c r="BU339" i="1"/>
  <c r="BQ339" i="1"/>
  <c r="BP339" i="1"/>
  <c r="BO339" i="1"/>
  <c r="BN339" i="1"/>
  <c r="BL339" i="1"/>
  <c r="BH339" i="1"/>
  <c r="BG339" i="1"/>
  <c r="BF339" i="1"/>
  <c r="BE339" i="1"/>
  <c r="BC339" i="1"/>
  <c r="AY339" i="1"/>
  <c r="AX339" i="1"/>
  <c r="AW339" i="1"/>
  <c r="AV339" i="1"/>
  <c r="AT339" i="1"/>
  <c r="AP339" i="1"/>
  <c r="AO339" i="1"/>
  <c r="AN339" i="1"/>
  <c r="AM339" i="1"/>
  <c r="AK339" i="1"/>
  <c r="AG339" i="1"/>
  <c r="AF339" i="1"/>
  <c r="AE339" i="1"/>
  <c r="AD339" i="1"/>
  <c r="AB339" i="1"/>
  <c r="X339" i="1"/>
  <c r="W339" i="1"/>
  <c r="V339" i="1"/>
  <c r="U339" i="1"/>
  <c r="S339" i="1"/>
  <c r="K339" i="1"/>
  <c r="J339" i="1"/>
  <c r="I339" i="1"/>
  <c r="CR338" i="1"/>
  <c r="CQ338" i="1"/>
  <c r="CP338" i="1"/>
  <c r="CO338" i="1"/>
  <c r="CM338" i="1"/>
  <c r="CI338" i="1"/>
  <c r="CH338" i="1"/>
  <c r="CG338" i="1"/>
  <c r="CF338" i="1"/>
  <c r="CD338" i="1"/>
  <c r="CC338" i="1"/>
  <c r="CB338" i="1"/>
  <c r="BZ338" i="1"/>
  <c r="BY338" i="1"/>
  <c r="BX338" i="1"/>
  <c r="BW338" i="1"/>
  <c r="BU338" i="1"/>
  <c r="BQ338" i="1"/>
  <c r="BP338" i="1"/>
  <c r="BO338" i="1"/>
  <c r="BN338" i="1"/>
  <c r="BL338" i="1"/>
  <c r="BH338" i="1"/>
  <c r="BG338" i="1"/>
  <c r="BF338" i="1"/>
  <c r="BE338" i="1"/>
  <c r="BC338" i="1"/>
  <c r="AY338" i="1"/>
  <c r="AX338" i="1"/>
  <c r="AW338" i="1"/>
  <c r="AV338" i="1"/>
  <c r="AT338" i="1"/>
  <c r="AP338" i="1"/>
  <c r="AO338" i="1"/>
  <c r="AN338" i="1"/>
  <c r="AM338" i="1"/>
  <c r="AK338" i="1"/>
  <c r="AG338" i="1"/>
  <c r="AF338" i="1"/>
  <c r="AE338" i="1"/>
  <c r="AD338" i="1"/>
  <c r="AB338" i="1"/>
  <c r="X338" i="1"/>
  <c r="W338" i="1"/>
  <c r="V338" i="1"/>
  <c r="U338" i="1"/>
  <c r="S338" i="1"/>
  <c r="K338" i="1"/>
  <c r="J338" i="1"/>
  <c r="I338" i="1"/>
  <c r="CL336" i="1"/>
  <c r="CC336" i="1"/>
  <c r="BT336" i="1"/>
  <c r="BS336" i="1"/>
  <c r="BK336" i="1"/>
  <c r="BJ336" i="1"/>
  <c r="BB336" i="1"/>
  <c r="BA336" i="1"/>
  <c r="AS336" i="1"/>
  <c r="AR336" i="1"/>
  <c r="AJ336" i="1"/>
  <c r="AI336" i="1"/>
  <c r="AA336" i="1"/>
  <c r="Z336" i="1"/>
  <c r="R336" i="1"/>
  <c r="Q336" i="1"/>
  <c r="E336" i="1"/>
  <c r="D336" i="1"/>
  <c r="CM335" i="1"/>
  <c r="CK335" i="1"/>
  <c r="CD335" i="1"/>
  <c r="CB335" i="1"/>
  <c r="BU335" i="1"/>
  <c r="BS335" i="1"/>
  <c r="BL335" i="1"/>
  <c r="BJ335" i="1"/>
  <c r="BC335" i="1"/>
  <c r="BA335" i="1"/>
  <c r="AT335" i="1"/>
  <c r="AR335" i="1"/>
  <c r="AK335" i="1"/>
  <c r="AI335" i="1"/>
  <c r="AB335" i="1"/>
  <c r="Z335" i="1"/>
  <c r="S335" i="1"/>
  <c r="Q335" i="1"/>
  <c r="I335" i="1"/>
  <c r="E335" i="1"/>
  <c r="CK334" i="1"/>
  <c r="CB334" i="1"/>
  <c r="BS334" i="1"/>
  <c r="BJ334" i="1"/>
  <c r="BA334" i="1"/>
  <c r="AR334" i="1"/>
  <c r="AI334" i="1"/>
  <c r="Z334" i="1"/>
  <c r="Q334" i="1"/>
  <c r="E333" i="1"/>
  <c r="E332" i="1"/>
  <c r="CM328" i="1"/>
  <c r="CL328" i="1"/>
  <c r="CK328" i="1"/>
  <c r="CD328" i="1"/>
  <c r="CC328" i="1"/>
  <c r="CB328" i="1"/>
  <c r="BU328" i="1"/>
  <c r="BT328" i="1"/>
  <c r="BS328" i="1"/>
  <c r="BL328" i="1"/>
  <c r="BK328" i="1"/>
  <c r="BJ328" i="1"/>
  <c r="BC328" i="1"/>
  <c r="BB328" i="1"/>
  <c r="BA328" i="1"/>
  <c r="AT328" i="1"/>
  <c r="AS328" i="1"/>
  <c r="AR328" i="1"/>
  <c r="AK328" i="1"/>
  <c r="AJ328" i="1"/>
  <c r="AI328" i="1"/>
  <c r="AB328" i="1"/>
  <c r="AA328" i="1"/>
  <c r="Z328" i="1"/>
  <c r="S328" i="1"/>
  <c r="R328" i="1"/>
  <c r="Q328" i="1"/>
  <c r="K328" i="1"/>
  <c r="J328" i="1"/>
  <c r="I328" i="1"/>
  <c r="H328" i="1"/>
  <c r="F328" i="1"/>
  <c r="CR327" i="1"/>
  <c r="CQ327" i="1"/>
  <c r="CP327" i="1"/>
  <c r="CO327" i="1"/>
  <c r="CM327" i="1"/>
  <c r="CI327" i="1"/>
  <c r="CH327" i="1"/>
  <c r="CG327" i="1"/>
  <c r="CF327" i="1"/>
  <c r="CD327" i="1"/>
  <c r="CC327" i="1"/>
  <c r="CB327" i="1"/>
  <c r="BZ327" i="1"/>
  <c r="BY327" i="1"/>
  <c r="BX327" i="1"/>
  <c r="BW327" i="1"/>
  <c r="BU327" i="1"/>
  <c r="BQ327" i="1"/>
  <c r="BP327" i="1"/>
  <c r="BO327" i="1"/>
  <c r="BN327" i="1"/>
  <c r="BL327" i="1"/>
  <c r="BH327" i="1"/>
  <c r="BG327" i="1"/>
  <c r="BF327" i="1"/>
  <c r="BE327" i="1"/>
  <c r="BC327" i="1"/>
  <c r="AY327" i="1"/>
  <c r="AX327" i="1"/>
  <c r="AW327" i="1"/>
  <c r="AV327" i="1"/>
  <c r="AT327" i="1"/>
  <c r="AP327" i="1"/>
  <c r="AO327" i="1"/>
  <c r="AN327" i="1"/>
  <c r="AM327" i="1"/>
  <c r="AK327" i="1"/>
  <c r="AG327" i="1"/>
  <c r="AF327" i="1"/>
  <c r="AE327" i="1"/>
  <c r="AD327" i="1"/>
  <c r="AB327" i="1"/>
  <c r="X327" i="1"/>
  <c r="W327" i="1"/>
  <c r="V327" i="1"/>
  <c r="U327" i="1"/>
  <c r="S327" i="1"/>
  <c r="K327" i="1"/>
  <c r="J327" i="1"/>
  <c r="I327" i="1"/>
  <c r="CR326" i="1"/>
  <c r="CQ326" i="1"/>
  <c r="CP326" i="1"/>
  <c r="CO326" i="1"/>
  <c r="CM326" i="1"/>
  <c r="CI326" i="1"/>
  <c r="CH326" i="1"/>
  <c r="CG326" i="1"/>
  <c r="CF326" i="1"/>
  <c r="CD326" i="1"/>
  <c r="CC326" i="1"/>
  <c r="CB326" i="1"/>
  <c r="BZ326" i="1"/>
  <c r="BY326" i="1"/>
  <c r="BX326" i="1"/>
  <c r="BW326" i="1"/>
  <c r="BU326" i="1"/>
  <c r="BQ326" i="1"/>
  <c r="BP326" i="1"/>
  <c r="BO326" i="1"/>
  <c r="BN326" i="1"/>
  <c r="BL326" i="1"/>
  <c r="BH326" i="1"/>
  <c r="BG326" i="1"/>
  <c r="BF326" i="1"/>
  <c r="BE326" i="1"/>
  <c r="BC326" i="1"/>
  <c r="AY326" i="1"/>
  <c r="AX326" i="1"/>
  <c r="AW326" i="1"/>
  <c r="AV326" i="1"/>
  <c r="AT326" i="1"/>
  <c r="AP326" i="1"/>
  <c r="AO326" i="1"/>
  <c r="AN326" i="1"/>
  <c r="AM326" i="1"/>
  <c r="AK326" i="1"/>
  <c r="AG326" i="1"/>
  <c r="AF326" i="1"/>
  <c r="AE326" i="1"/>
  <c r="AD326" i="1"/>
  <c r="AB326" i="1"/>
  <c r="X326" i="1"/>
  <c r="W326" i="1"/>
  <c r="V326" i="1"/>
  <c r="U326" i="1"/>
  <c r="S326" i="1"/>
  <c r="K326" i="1"/>
  <c r="J326" i="1"/>
  <c r="I326" i="1"/>
  <c r="CR325" i="1"/>
  <c r="CQ325" i="1"/>
  <c r="CP325" i="1"/>
  <c r="CO325" i="1"/>
  <c r="CM325" i="1"/>
  <c r="CI325" i="1"/>
  <c r="CH325" i="1"/>
  <c r="CG325" i="1"/>
  <c r="CF325" i="1"/>
  <c r="CD325" i="1"/>
  <c r="CC325" i="1"/>
  <c r="CB325" i="1"/>
  <c r="BZ325" i="1"/>
  <c r="BY325" i="1"/>
  <c r="BX325" i="1"/>
  <c r="BW325" i="1"/>
  <c r="BU325" i="1"/>
  <c r="BQ325" i="1"/>
  <c r="BP325" i="1"/>
  <c r="BO325" i="1"/>
  <c r="BN325" i="1"/>
  <c r="BL325" i="1"/>
  <c r="BH325" i="1"/>
  <c r="BG325" i="1"/>
  <c r="BF325" i="1"/>
  <c r="BE325" i="1"/>
  <c r="BC325" i="1"/>
  <c r="AY325" i="1"/>
  <c r="AX325" i="1"/>
  <c r="AW325" i="1"/>
  <c r="AV325" i="1"/>
  <c r="AT325" i="1"/>
  <c r="AP325" i="1"/>
  <c r="AO325" i="1"/>
  <c r="AN325" i="1"/>
  <c r="AM325" i="1"/>
  <c r="AK325" i="1"/>
  <c r="AG325" i="1"/>
  <c r="AF325" i="1"/>
  <c r="AE325" i="1"/>
  <c r="AD325" i="1"/>
  <c r="AB325" i="1"/>
  <c r="X325" i="1"/>
  <c r="W325" i="1"/>
  <c r="V325" i="1"/>
  <c r="U325" i="1"/>
  <c r="S325" i="1"/>
  <c r="K325" i="1"/>
  <c r="J325" i="1"/>
  <c r="I325" i="1"/>
  <c r="CR324" i="1"/>
  <c r="CQ324" i="1"/>
  <c r="CP324" i="1"/>
  <c r="CO324" i="1"/>
  <c r="CM324" i="1"/>
  <c r="CI324" i="1"/>
  <c r="CH324" i="1"/>
  <c r="CG324" i="1"/>
  <c r="CF324" i="1"/>
  <c r="CD324" i="1"/>
  <c r="CC324" i="1"/>
  <c r="CB324" i="1"/>
  <c r="BZ324" i="1"/>
  <c r="BY324" i="1"/>
  <c r="BX324" i="1"/>
  <c r="BW324" i="1"/>
  <c r="BU324" i="1"/>
  <c r="BQ324" i="1"/>
  <c r="BP324" i="1"/>
  <c r="BO324" i="1"/>
  <c r="BN324" i="1"/>
  <c r="BL324" i="1"/>
  <c r="BH324" i="1"/>
  <c r="BG324" i="1"/>
  <c r="BF324" i="1"/>
  <c r="BE324" i="1"/>
  <c r="BC324" i="1"/>
  <c r="AY324" i="1"/>
  <c r="AX324" i="1"/>
  <c r="AW324" i="1"/>
  <c r="AV324" i="1"/>
  <c r="AT324" i="1"/>
  <c r="AP324" i="1"/>
  <c r="AO324" i="1"/>
  <c r="AN324" i="1"/>
  <c r="AM324" i="1"/>
  <c r="AK324" i="1"/>
  <c r="AG324" i="1"/>
  <c r="AF324" i="1"/>
  <c r="AE324" i="1"/>
  <c r="AD324" i="1"/>
  <c r="AB324" i="1"/>
  <c r="X324" i="1"/>
  <c r="W324" i="1"/>
  <c r="V324" i="1"/>
  <c r="U324" i="1"/>
  <c r="S324" i="1"/>
  <c r="K324" i="1"/>
  <c r="J324" i="1"/>
  <c r="I324" i="1"/>
  <c r="CR323" i="1"/>
  <c r="CQ323" i="1"/>
  <c r="CP323" i="1"/>
  <c r="CO323" i="1"/>
  <c r="CM323" i="1"/>
  <c r="CI323" i="1"/>
  <c r="CH323" i="1"/>
  <c r="CG323" i="1"/>
  <c r="CF323" i="1"/>
  <c r="CD323" i="1"/>
  <c r="CC323" i="1"/>
  <c r="CB323" i="1"/>
  <c r="BZ323" i="1"/>
  <c r="BY323" i="1"/>
  <c r="BX323" i="1"/>
  <c r="BW323" i="1"/>
  <c r="BU323" i="1"/>
  <c r="BQ323" i="1"/>
  <c r="BP323" i="1"/>
  <c r="BO323" i="1"/>
  <c r="BN323" i="1"/>
  <c r="BL323" i="1"/>
  <c r="BH323" i="1"/>
  <c r="BG323" i="1"/>
  <c r="BF323" i="1"/>
  <c r="BE323" i="1"/>
  <c r="BC323" i="1"/>
  <c r="AY323" i="1"/>
  <c r="AX323" i="1"/>
  <c r="AW323" i="1"/>
  <c r="AV323" i="1"/>
  <c r="AT323" i="1"/>
  <c r="AP323" i="1"/>
  <c r="AO323" i="1"/>
  <c r="AN323" i="1"/>
  <c r="AM323" i="1"/>
  <c r="AK323" i="1"/>
  <c r="AG323" i="1"/>
  <c r="AF323" i="1"/>
  <c r="AE323" i="1"/>
  <c r="AD323" i="1"/>
  <c r="AB323" i="1"/>
  <c r="X323" i="1"/>
  <c r="W323" i="1"/>
  <c r="V323" i="1"/>
  <c r="U323" i="1"/>
  <c r="S323" i="1"/>
  <c r="K323" i="1"/>
  <c r="J323" i="1"/>
  <c r="I323" i="1"/>
  <c r="CR322" i="1"/>
  <c r="CQ322" i="1"/>
  <c r="CP322" i="1"/>
  <c r="CO322" i="1"/>
  <c r="CM322" i="1"/>
  <c r="CI322" i="1"/>
  <c r="CH322" i="1"/>
  <c r="CG322" i="1"/>
  <c r="CF322" i="1"/>
  <c r="CD322" i="1"/>
  <c r="CC322" i="1"/>
  <c r="CB322" i="1"/>
  <c r="BZ322" i="1"/>
  <c r="BY322" i="1"/>
  <c r="BX322" i="1"/>
  <c r="BW322" i="1"/>
  <c r="BU322" i="1"/>
  <c r="BQ322" i="1"/>
  <c r="BP322" i="1"/>
  <c r="BO322" i="1"/>
  <c r="BN322" i="1"/>
  <c r="BL322" i="1"/>
  <c r="BH322" i="1"/>
  <c r="BG322" i="1"/>
  <c r="BF322" i="1"/>
  <c r="BE322" i="1"/>
  <c r="BC322" i="1"/>
  <c r="AY322" i="1"/>
  <c r="AX322" i="1"/>
  <c r="AW322" i="1"/>
  <c r="AV322" i="1"/>
  <c r="AT322" i="1"/>
  <c r="AP322" i="1"/>
  <c r="AO322" i="1"/>
  <c r="AN322" i="1"/>
  <c r="AM322" i="1"/>
  <c r="AK322" i="1"/>
  <c r="AG322" i="1"/>
  <c r="AF322" i="1"/>
  <c r="AE322" i="1"/>
  <c r="AD322" i="1"/>
  <c r="AB322" i="1"/>
  <c r="X322" i="1"/>
  <c r="W322" i="1"/>
  <c r="V322" i="1"/>
  <c r="U322" i="1"/>
  <c r="S322" i="1"/>
  <c r="K322" i="1"/>
  <c r="J322" i="1"/>
  <c r="I322" i="1"/>
  <c r="CR321" i="1"/>
  <c r="CQ321" i="1"/>
  <c r="CP321" i="1"/>
  <c r="CO321" i="1"/>
  <c r="CM321" i="1"/>
  <c r="CI321" i="1"/>
  <c r="CH321" i="1"/>
  <c r="CG321" i="1"/>
  <c r="CF321" i="1"/>
  <c r="CD321" i="1"/>
  <c r="CC321" i="1"/>
  <c r="CB321" i="1"/>
  <c r="BZ321" i="1"/>
  <c r="BY321" i="1"/>
  <c r="BX321" i="1"/>
  <c r="BW321" i="1"/>
  <c r="BU321" i="1"/>
  <c r="BQ321" i="1"/>
  <c r="BP321" i="1"/>
  <c r="BO321" i="1"/>
  <c r="BN321" i="1"/>
  <c r="BL321" i="1"/>
  <c r="BH321" i="1"/>
  <c r="BG321" i="1"/>
  <c r="BF321" i="1"/>
  <c r="BE321" i="1"/>
  <c r="BC321" i="1"/>
  <c r="AY321" i="1"/>
  <c r="AX321" i="1"/>
  <c r="AW321" i="1"/>
  <c r="AV321" i="1"/>
  <c r="AT321" i="1"/>
  <c r="AP321" i="1"/>
  <c r="AO321" i="1"/>
  <c r="AN321" i="1"/>
  <c r="AM321" i="1"/>
  <c r="AK321" i="1"/>
  <c r="AG321" i="1"/>
  <c r="AF321" i="1"/>
  <c r="AE321" i="1"/>
  <c r="AD321" i="1"/>
  <c r="AB321" i="1"/>
  <c r="X321" i="1"/>
  <c r="W321" i="1"/>
  <c r="V321" i="1"/>
  <c r="U321" i="1"/>
  <c r="S321" i="1"/>
  <c r="K321" i="1"/>
  <c r="J321" i="1"/>
  <c r="I321" i="1"/>
  <c r="CR320" i="1"/>
  <c r="CQ320" i="1"/>
  <c r="CP320" i="1"/>
  <c r="CO320" i="1"/>
  <c r="CM320" i="1"/>
  <c r="CI320" i="1"/>
  <c r="CH320" i="1"/>
  <c r="CG320" i="1"/>
  <c r="CF320" i="1"/>
  <c r="CD320" i="1"/>
  <c r="CC320" i="1"/>
  <c r="CB320" i="1"/>
  <c r="BZ320" i="1"/>
  <c r="BY320" i="1"/>
  <c r="BX320" i="1"/>
  <c r="BW320" i="1"/>
  <c r="BU320" i="1"/>
  <c r="BQ320" i="1"/>
  <c r="BP320" i="1"/>
  <c r="BO320" i="1"/>
  <c r="BN320" i="1"/>
  <c r="BL320" i="1"/>
  <c r="BH320" i="1"/>
  <c r="BG320" i="1"/>
  <c r="BF320" i="1"/>
  <c r="BE320" i="1"/>
  <c r="BC320" i="1"/>
  <c r="AY320" i="1"/>
  <c r="AX320" i="1"/>
  <c r="AW320" i="1"/>
  <c r="AV320" i="1"/>
  <c r="AT320" i="1"/>
  <c r="AP320" i="1"/>
  <c r="AO320" i="1"/>
  <c r="AN320" i="1"/>
  <c r="AM320" i="1"/>
  <c r="AK320" i="1"/>
  <c r="AG320" i="1"/>
  <c r="AF320" i="1"/>
  <c r="AE320" i="1"/>
  <c r="AD320" i="1"/>
  <c r="AB320" i="1"/>
  <c r="X320" i="1"/>
  <c r="W320" i="1"/>
  <c r="V320" i="1"/>
  <c r="U320" i="1"/>
  <c r="S320" i="1"/>
  <c r="K320" i="1"/>
  <c r="J320" i="1"/>
  <c r="I320" i="1"/>
  <c r="CR319" i="1"/>
  <c r="CQ319" i="1"/>
  <c r="CP319" i="1"/>
  <c r="CO319" i="1"/>
  <c r="CM319" i="1"/>
  <c r="CI319" i="1"/>
  <c r="CH319" i="1"/>
  <c r="CG319" i="1"/>
  <c r="CF319" i="1"/>
  <c r="CD319" i="1"/>
  <c r="CC319" i="1"/>
  <c r="CB319" i="1"/>
  <c r="BZ319" i="1"/>
  <c r="BY319" i="1"/>
  <c r="BX319" i="1"/>
  <c r="BW319" i="1"/>
  <c r="BU319" i="1"/>
  <c r="BQ319" i="1"/>
  <c r="BP319" i="1"/>
  <c r="BO319" i="1"/>
  <c r="BN319" i="1"/>
  <c r="BL319" i="1"/>
  <c r="BH319" i="1"/>
  <c r="BG319" i="1"/>
  <c r="BF319" i="1"/>
  <c r="BE319" i="1"/>
  <c r="BC319" i="1"/>
  <c r="AY319" i="1"/>
  <c r="AX319" i="1"/>
  <c r="AW319" i="1"/>
  <c r="AV319" i="1"/>
  <c r="AT319" i="1"/>
  <c r="AP319" i="1"/>
  <c r="AO319" i="1"/>
  <c r="AN319" i="1"/>
  <c r="AM319" i="1"/>
  <c r="AK319" i="1"/>
  <c r="AG319" i="1"/>
  <c r="AF319" i="1"/>
  <c r="AE319" i="1"/>
  <c r="AD319" i="1"/>
  <c r="AB319" i="1"/>
  <c r="X319" i="1"/>
  <c r="W319" i="1"/>
  <c r="V319" i="1"/>
  <c r="U319" i="1"/>
  <c r="S319" i="1"/>
  <c r="K319" i="1"/>
  <c r="J319" i="1"/>
  <c r="I319" i="1"/>
  <c r="CR318" i="1"/>
  <c r="CQ318" i="1"/>
  <c r="CP318" i="1"/>
  <c r="CO318" i="1"/>
  <c r="CM318" i="1"/>
  <c r="CI318" i="1"/>
  <c r="CH318" i="1"/>
  <c r="CG318" i="1"/>
  <c r="CF318" i="1"/>
  <c r="CD318" i="1"/>
  <c r="CC318" i="1"/>
  <c r="CB318" i="1"/>
  <c r="BZ318" i="1"/>
  <c r="BY318" i="1"/>
  <c r="BX318" i="1"/>
  <c r="BW318" i="1"/>
  <c r="BU318" i="1"/>
  <c r="BQ318" i="1"/>
  <c r="BP318" i="1"/>
  <c r="BO318" i="1"/>
  <c r="BN318" i="1"/>
  <c r="BL318" i="1"/>
  <c r="BH318" i="1"/>
  <c r="BG318" i="1"/>
  <c r="BF318" i="1"/>
  <c r="BE318" i="1"/>
  <c r="BC318" i="1"/>
  <c r="AY318" i="1"/>
  <c r="AX318" i="1"/>
  <c r="AW318" i="1"/>
  <c r="AV318" i="1"/>
  <c r="AT318" i="1"/>
  <c r="AP318" i="1"/>
  <c r="AO318" i="1"/>
  <c r="AN318" i="1"/>
  <c r="AM318" i="1"/>
  <c r="AK318" i="1"/>
  <c r="AG318" i="1"/>
  <c r="AF318" i="1"/>
  <c r="AE318" i="1"/>
  <c r="AD318" i="1"/>
  <c r="AB318" i="1"/>
  <c r="X318" i="1"/>
  <c r="W318" i="1"/>
  <c r="V318" i="1"/>
  <c r="U318" i="1"/>
  <c r="S318" i="1"/>
  <c r="K318" i="1"/>
  <c r="J318" i="1"/>
  <c r="I318" i="1"/>
  <c r="CR317" i="1"/>
  <c r="CQ317" i="1"/>
  <c r="CP317" i="1"/>
  <c r="CO317" i="1"/>
  <c r="CM317" i="1"/>
  <c r="CI317" i="1"/>
  <c r="CH317" i="1"/>
  <c r="CG317" i="1"/>
  <c r="CF317" i="1"/>
  <c r="CD317" i="1"/>
  <c r="CC317" i="1"/>
  <c r="CB317" i="1"/>
  <c r="BZ317" i="1"/>
  <c r="BY317" i="1"/>
  <c r="BX317" i="1"/>
  <c r="BW317" i="1"/>
  <c r="BU317" i="1"/>
  <c r="BQ317" i="1"/>
  <c r="BP317" i="1"/>
  <c r="BO317" i="1"/>
  <c r="BN317" i="1"/>
  <c r="BL317" i="1"/>
  <c r="BH317" i="1"/>
  <c r="BG317" i="1"/>
  <c r="BF317" i="1"/>
  <c r="BE317" i="1"/>
  <c r="BC317" i="1"/>
  <c r="AY317" i="1"/>
  <c r="AX317" i="1"/>
  <c r="AW317" i="1"/>
  <c r="AV317" i="1"/>
  <c r="AT317" i="1"/>
  <c r="AP317" i="1"/>
  <c r="AO317" i="1"/>
  <c r="AN317" i="1"/>
  <c r="AM317" i="1"/>
  <c r="AK317" i="1"/>
  <c r="AG317" i="1"/>
  <c r="AF317" i="1"/>
  <c r="AE317" i="1"/>
  <c r="AD317" i="1"/>
  <c r="AB317" i="1"/>
  <c r="X317" i="1"/>
  <c r="W317" i="1"/>
  <c r="V317" i="1"/>
  <c r="U317" i="1"/>
  <c r="S317" i="1"/>
  <c r="K317" i="1"/>
  <c r="J317" i="1"/>
  <c r="I317" i="1"/>
  <c r="CR316" i="1"/>
  <c r="CQ316" i="1"/>
  <c r="CP316" i="1"/>
  <c r="CO316" i="1"/>
  <c r="CM316" i="1"/>
  <c r="CI316" i="1"/>
  <c r="CH316" i="1"/>
  <c r="CG316" i="1"/>
  <c r="CF316" i="1"/>
  <c r="CD316" i="1"/>
  <c r="CC316" i="1"/>
  <c r="CB316" i="1"/>
  <c r="BZ316" i="1"/>
  <c r="BY316" i="1"/>
  <c r="BX316" i="1"/>
  <c r="BW316" i="1"/>
  <c r="BU316" i="1"/>
  <c r="BQ316" i="1"/>
  <c r="BP316" i="1"/>
  <c r="BO316" i="1"/>
  <c r="BN316" i="1"/>
  <c r="BL316" i="1"/>
  <c r="BH316" i="1"/>
  <c r="BG316" i="1"/>
  <c r="BF316" i="1"/>
  <c r="BE316" i="1"/>
  <c r="BC316" i="1"/>
  <c r="AY316" i="1"/>
  <c r="AX316" i="1"/>
  <c r="AW316" i="1"/>
  <c r="AV316" i="1"/>
  <c r="AT316" i="1"/>
  <c r="AP316" i="1"/>
  <c r="AO316" i="1"/>
  <c r="AN316" i="1"/>
  <c r="AM316" i="1"/>
  <c r="AK316" i="1"/>
  <c r="AG316" i="1"/>
  <c r="AF316" i="1"/>
  <c r="AE316" i="1"/>
  <c r="AD316" i="1"/>
  <c r="AB316" i="1"/>
  <c r="X316" i="1"/>
  <c r="W316" i="1"/>
  <c r="V316" i="1"/>
  <c r="U316" i="1"/>
  <c r="S316" i="1"/>
  <c r="K316" i="1"/>
  <c r="J316" i="1"/>
  <c r="I316" i="1"/>
  <c r="CL314" i="1"/>
  <c r="CC314" i="1"/>
  <c r="BT314" i="1"/>
  <c r="BS314" i="1"/>
  <c r="BK314" i="1"/>
  <c r="BJ314" i="1"/>
  <c r="BB314" i="1"/>
  <c r="BA314" i="1"/>
  <c r="AS314" i="1"/>
  <c r="AR314" i="1"/>
  <c r="AJ314" i="1"/>
  <c r="AI314" i="1"/>
  <c r="AA314" i="1"/>
  <c r="Z314" i="1"/>
  <c r="R314" i="1"/>
  <c r="Q314" i="1"/>
  <c r="E314" i="1"/>
  <c r="D314" i="1"/>
  <c r="CM313" i="1"/>
  <c r="CK313" i="1"/>
  <c r="CD313" i="1"/>
  <c r="CB313" i="1"/>
  <c r="BU313" i="1"/>
  <c r="BS313" i="1"/>
  <c r="BL313" i="1"/>
  <c r="BJ313" i="1"/>
  <c r="BC313" i="1"/>
  <c r="BA313" i="1"/>
  <c r="AT313" i="1"/>
  <c r="AR313" i="1"/>
  <c r="AK313" i="1"/>
  <c r="AI313" i="1"/>
  <c r="AB313" i="1"/>
  <c r="Z313" i="1"/>
  <c r="S313" i="1"/>
  <c r="Q313" i="1"/>
  <c r="I313" i="1"/>
  <c r="E313" i="1"/>
  <c r="CK312" i="1"/>
  <c r="CB312" i="1"/>
  <c r="BS312" i="1"/>
  <c r="BJ312" i="1"/>
  <c r="BA312" i="1"/>
  <c r="AR312" i="1"/>
  <c r="AI312" i="1"/>
  <c r="Z312" i="1"/>
  <c r="Q312" i="1"/>
  <c r="E311" i="1"/>
  <c r="E310" i="1"/>
  <c r="CM306" i="1"/>
  <c r="CL306" i="1"/>
  <c r="CK306" i="1"/>
  <c r="CD306" i="1"/>
  <c r="CC306" i="1"/>
  <c r="CB306" i="1"/>
  <c r="BU306" i="1"/>
  <c r="BT306" i="1"/>
  <c r="BS306" i="1"/>
  <c r="BL306" i="1"/>
  <c r="BK306" i="1"/>
  <c r="BJ306" i="1"/>
  <c r="BC306" i="1"/>
  <c r="BB306" i="1"/>
  <c r="BA306" i="1"/>
  <c r="AT306" i="1"/>
  <c r="AS306" i="1"/>
  <c r="AR306" i="1"/>
  <c r="AK306" i="1"/>
  <c r="AJ306" i="1"/>
  <c r="AI306" i="1"/>
  <c r="AB306" i="1"/>
  <c r="AA306" i="1"/>
  <c r="Z306" i="1"/>
  <c r="S306" i="1"/>
  <c r="R306" i="1"/>
  <c r="Q306" i="1"/>
  <c r="K306" i="1"/>
  <c r="J306" i="1"/>
  <c r="I306" i="1"/>
  <c r="H306" i="1"/>
  <c r="F306" i="1"/>
  <c r="CR305" i="1"/>
  <c r="CQ305" i="1"/>
  <c r="CP305" i="1"/>
  <c r="CO305" i="1"/>
  <c r="CM305" i="1"/>
  <c r="CI305" i="1"/>
  <c r="CH305" i="1"/>
  <c r="CG305" i="1"/>
  <c r="CF305" i="1"/>
  <c r="CD305" i="1"/>
  <c r="CC305" i="1"/>
  <c r="CB305" i="1"/>
  <c r="BZ305" i="1"/>
  <c r="BY305" i="1"/>
  <c r="BX305" i="1"/>
  <c r="BW305" i="1"/>
  <c r="BU305" i="1"/>
  <c r="BQ305" i="1"/>
  <c r="BP305" i="1"/>
  <c r="BO305" i="1"/>
  <c r="BN305" i="1"/>
  <c r="BL305" i="1"/>
  <c r="BH305" i="1"/>
  <c r="BG305" i="1"/>
  <c r="BF305" i="1"/>
  <c r="BE305" i="1"/>
  <c r="BC305" i="1"/>
  <c r="AY305" i="1"/>
  <c r="AX305" i="1"/>
  <c r="AW305" i="1"/>
  <c r="AV305" i="1"/>
  <c r="AT305" i="1"/>
  <c r="AP305" i="1"/>
  <c r="AO305" i="1"/>
  <c r="AN305" i="1"/>
  <c r="AM305" i="1"/>
  <c r="AK305" i="1"/>
  <c r="AG305" i="1"/>
  <c r="AF305" i="1"/>
  <c r="AE305" i="1"/>
  <c r="AD305" i="1"/>
  <c r="AB305" i="1"/>
  <c r="X305" i="1"/>
  <c r="W305" i="1"/>
  <c r="V305" i="1"/>
  <c r="U305" i="1"/>
  <c r="S305" i="1"/>
  <c r="K305" i="1"/>
  <c r="J305" i="1"/>
  <c r="I305" i="1"/>
  <c r="CR304" i="1"/>
  <c r="CQ304" i="1"/>
  <c r="CP304" i="1"/>
  <c r="CO304" i="1"/>
  <c r="CM304" i="1"/>
  <c r="CI304" i="1"/>
  <c r="CH304" i="1"/>
  <c r="CG304" i="1"/>
  <c r="CF304" i="1"/>
  <c r="CD304" i="1"/>
  <c r="CC304" i="1"/>
  <c r="CB304" i="1"/>
  <c r="BZ304" i="1"/>
  <c r="BY304" i="1"/>
  <c r="BX304" i="1"/>
  <c r="BW304" i="1"/>
  <c r="BU304" i="1"/>
  <c r="BQ304" i="1"/>
  <c r="BP304" i="1"/>
  <c r="BO304" i="1"/>
  <c r="BN304" i="1"/>
  <c r="BL304" i="1"/>
  <c r="BH304" i="1"/>
  <c r="BG304" i="1"/>
  <c r="BF304" i="1"/>
  <c r="BE304" i="1"/>
  <c r="BC304" i="1"/>
  <c r="AY304" i="1"/>
  <c r="AX304" i="1"/>
  <c r="AW304" i="1"/>
  <c r="AV304" i="1"/>
  <c r="AT304" i="1"/>
  <c r="AP304" i="1"/>
  <c r="AO304" i="1"/>
  <c r="AN304" i="1"/>
  <c r="AM304" i="1"/>
  <c r="AK304" i="1"/>
  <c r="AG304" i="1"/>
  <c r="AF304" i="1"/>
  <c r="AE304" i="1"/>
  <c r="AD304" i="1"/>
  <c r="AB304" i="1"/>
  <c r="X304" i="1"/>
  <c r="W304" i="1"/>
  <c r="V304" i="1"/>
  <c r="U304" i="1"/>
  <c r="S304" i="1"/>
  <c r="K304" i="1"/>
  <c r="J304" i="1"/>
  <c r="I304" i="1"/>
  <c r="CR303" i="1"/>
  <c r="CQ303" i="1"/>
  <c r="CP303" i="1"/>
  <c r="CO303" i="1"/>
  <c r="CM303" i="1"/>
  <c r="CI303" i="1"/>
  <c r="CH303" i="1"/>
  <c r="CG303" i="1"/>
  <c r="CF303" i="1"/>
  <c r="CD303" i="1"/>
  <c r="CC303" i="1"/>
  <c r="CB303" i="1"/>
  <c r="BZ303" i="1"/>
  <c r="BY303" i="1"/>
  <c r="BX303" i="1"/>
  <c r="BW303" i="1"/>
  <c r="BU303" i="1"/>
  <c r="BQ303" i="1"/>
  <c r="BP303" i="1"/>
  <c r="BO303" i="1"/>
  <c r="BN303" i="1"/>
  <c r="BL303" i="1"/>
  <c r="BH303" i="1"/>
  <c r="BG303" i="1"/>
  <c r="BF303" i="1"/>
  <c r="BE303" i="1"/>
  <c r="BC303" i="1"/>
  <c r="AY303" i="1"/>
  <c r="AX303" i="1"/>
  <c r="AW303" i="1"/>
  <c r="AV303" i="1"/>
  <c r="AT303" i="1"/>
  <c r="AP303" i="1"/>
  <c r="AO303" i="1"/>
  <c r="AN303" i="1"/>
  <c r="AM303" i="1"/>
  <c r="AK303" i="1"/>
  <c r="AG303" i="1"/>
  <c r="AF303" i="1"/>
  <c r="AE303" i="1"/>
  <c r="AD303" i="1"/>
  <c r="AB303" i="1"/>
  <c r="X303" i="1"/>
  <c r="W303" i="1"/>
  <c r="V303" i="1"/>
  <c r="U303" i="1"/>
  <c r="S303" i="1"/>
  <c r="K303" i="1"/>
  <c r="J303" i="1"/>
  <c r="I303" i="1"/>
  <c r="CR302" i="1"/>
  <c r="CQ302" i="1"/>
  <c r="CP302" i="1"/>
  <c r="CO302" i="1"/>
  <c r="CM302" i="1"/>
  <c r="CI302" i="1"/>
  <c r="CH302" i="1"/>
  <c r="CG302" i="1"/>
  <c r="CF302" i="1"/>
  <c r="CD302" i="1"/>
  <c r="CC302" i="1"/>
  <c r="CB302" i="1"/>
  <c r="BZ302" i="1"/>
  <c r="BY302" i="1"/>
  <c r="BX302" i="1"/>
  <c r="BW302" i="1"/>
  <c r="BU302" i="1"/>
  <c r="BQ302" i="1"/>
  <c r="BP302" i="1"/>
  <c r="BO302" i="1"/>
  <c r="BN302" i="1"/>
  <c r="BL302" i="1"/>
  <c r="BH302" i="1"/>
  <c r="BG302" i="1"/>
  <c r="BF302" i="1"/>
  <c r="BE302" i="1"/>
  <c r="BC302" i="1"/>
  <c r="AY302" i="1"/>
  <c r="AX302" i="1"/>
  <c r="AW302" i="1"/>
  <c r="AV302" i="1"/>
  <c r="AT302" i="1"/>
  <c r="AP302" i="1"/>
  <c r="AO302" i="1"/>
  <c r="AN302" i="1"/>
  <c r="AM302" i="1"/>
  <c r="AK302" i="1"/>
  <c r="AG302" i="1"/>
  <c r="AF302" i="1"/>
  <c r="AE302" i="1"/>
  <c r="AD302" i="1"/>
  <c r="AB302" i="1"/>
  <c r="X302" i="1"/>
  <c r="W302" i="1"/>
  <c r="V302" i="1"/>
  <c r="U302" i="1"/>
  <c r="S302" i="1"/>
  <c r="K302" i="1"/>
  <c r="J302" i="1"/>
  <c r="I302" i="1"/>
  <c r="CR301" i="1"/>
  <c r="CQ301" i="1"/>
  <c r="CP301" i="1"/>
  <c r="CO301" i="1"/>
  <c r="CM301" i="1"/>
  <c r="CI301" i="1"/>
  <c r="CH301" i="1"/>
  <c r="CG301" i="1"/>
  <c r="CF301" i="1"/>
  <c r="CD301" i="1"/>
  <c r="CC301" i="1"/>
  <c r="CB301" i="1"/>
  <c r="BZ301" i="1"/>
  <c r="BY301" i="1"/>
  <c r="BX301" i="1"/>
  <c r="BW301" i="1"/>
  <c r="BU301" i="1"/>
  <c r="BQ301" i="1"/>
  <c r="BP301" i="1"/>
  <c r="BO301" i="1"/>
  <c r="BN301" i="1"/>
  <c r="BL301" i="1"/>
  <c r="BH301" i="1"/>
  <c r="BG301" i="1"/>
  <c r="BF301" i="1"/>
  <c r="BE301" i="1"/>
  <c r="BC301" i="1"/>
  <c r="AY301" i="1"/>
  <c r="AX301" i="1"/>
  <c r="AW301" i="1"/>
  <c r="AV301" i="1"/>
  <c r="AT301" i="1"/>
  <c r="AP301" i="1"/>
  <c r="AO301" i="1"/>
  <c r="AN301" i="1"/>
  <c r="AM301" i="1"/>
  <c r="AK301" i="1"/>
  <c r="AG301" i="1"/>
  <c r="AF301" i="1"/>
  <c r="AE301" i="1"/>
  <c r="AD301" i="1"/>
  <c r="AB301" i="1"/>
  <c r="X301" i="1"/>
  <c r="W301" i="1"/>
  <c r="V301" i="1"/>
  <c r="U301" i="1"/>
  <c r="S301" i="1"/>
  <c r="K301" i="1"/>
  <c r="J301" i="1"/>
  <c r="I301" i="1"/>
  <c r="CR300" i="1"/>
  <c r="CQ300" i="1"/>
  <c r="CP300" i="1"/>
  <c r="CO300" i="1"/>
  <c r="CM300" i="1"/>
  <c r="CI300" i="1"/>
  <c r="CH300" i="1"/>
  <c r="CG300" i="1"/>
  <c r="CF300" i="1"/>
  <c r="CD300" i="1"/>
  <c r="CC300" i="1"/>
  <c r="CB300" i="1"/>
  <c r="BZ300" i="1"/>
  <c r="BY300" i="1"/>
  <c r="BX300" i="1"/>
  <c r="BW300" i="1"/>
  <c r="BU300" i="1"/>
  <c r="BQ300" i="1"/>
  <c r="BP300" i="1"/>
  <c r="BO300" i="1"/>
  <c r="BN300" i="1"/>
  <c r="BL300" i="1"/>
  <c r="BH300" i="1"/>
  <c r="BG300" i="1"/>
  <c r="BF300" i="1"/>
  <c r="BE300" i="1"/>
  <c r="BC300" i="1"/>
  <c r="AY300" i="1"/>
  <c r="AX300" i="1"/>
  <c r="AW300" i="1"/>
  <c r="AV300" i="1"/>
  <c r="AT300" i="1"/>
  <c r="AP300" i="1"/>
  <c r="AO300" i="1"/>
  <c r="AN300" i="1"/>
  <c r="AM300" i="1"/>
  <c r="AK300" i="1"/>
  <c r="AG300" i="1"/>
  <c r="AF300" i="1"/>
  <c r="AE300" i="1"/>
  <c r="AD300" i="1"/>
  <c r="AB300" i="1"/>
  <c r="X300" i="1"/>
  <c r="W300" i="1"/>
  <c r="V300" i="1"/>
  <c r="U300" i="1"/>
  <c r="S300" i="1"/>
  <c r="K300" i="1"/>
  <c r="J300" i="1"/>
  <c r="I300" i="1"/>
  <c r="CR299" i="1"/>
  <c r="CQ299" i="1"/>
  <c r="CP299" i="1"/>
  <c r="CO299" i="1"/>
  <c r="CM299" i="1"/>
  <c r="CI299" i="1"/>
  <c r="CH299" i="1"/>
  <c r="CG299" i="1"/>
  <c r="CF299" i="1"/>
  <c r="CD299" i="1"/>
  <c r="CC299" i="1"/>
  <c r="CB299" i="1"/>
  <c r="BZ299" i="1"/>
  <c r="BY299" i="1"/>
  <c r="BX299" i="1"/>
  <c r="BW299" i="1"/>
  <c r="BU299" i="1"/>
  <c r="BQ299" i="1"/>
  <c r="BP299" i="1"/>
  <c r="BO299" i="1"/>
  <c r="BN299" i="1"/>
  <c r="BL299" i="1"/>
  <c r="BH299" i="1"/>
  <c r="BG299" i="1"/>
  <c r="BF299" i="1"/>
  <c r="BE299" i="1"/>
  <c r="BC299" i="1"/>
  <c r="AY299" i="1"/>
  <c r="AX299" i="1"/>
  <c r="AW299" i="1"/>
  <c r="AV299" i="1"/>
  <c r="AT299" i="1"/>
  <c r="AP299" i="1"/>
  <c r="AO299" i="1"/>
  <c r="AN299" i="1"/>
  <c r="AM299" i="1"/>
  <c r="AK299" i="1"/>
  <c r="AG299" i="1"/>
  <c r="AF299" i="1"/>
  <c r="AE299" i="1"/>
  <c r="AD299" i="1"/>
  <c r="AB299" i="1"/>
  <c r="X299" i="1"/>
  <c r="W299" i="1"/>
  <c r="V299" i="1"/>
  <c r="U299" i="1"/>
  <c r="S299" i="1"/>
  <c r="K299" i="1"/>
  <c r="J299" i="1"/>
  <c r="I299" i="1"/>
  <c r="CR298" i="1"/>
  <c r="CQ298" i="1"/>
  <c r="CP298" i="1"/>
  <c r="CO298" i="1"/>
  <c r="CM298" i="1"/>
  <c r="CI298" i="1"/>
  <c r="CH298" i="1"/>
  <c r="CG298" i="1"/>
  <c r="CF298" i="1"/>
  <c r="CD298" i="1"/>
  <c r="CC298" i="1"/>
  <c r="CB298" i="1"/>
  <c r="BZ298" i="1"/>
  <c r="BY298" i="1"/>
  <c r="BX298" i="1"/>
  <c r="BW298" i="1"/>
  <c r="BU298" i="1"/>
  <c r="BQ298" i="1"/>
  <c r="BP298" i="1"/>
  <c r="BO298" i="1"/>
  <c r="BN298" i="1"/>
  <c r="BL298" i="1"/>
  <c r="BH298" i="1"/>
  <c r="BG298" i="1"/>
  <c r="BF298" i="1"/>
  <c r="BE298" i="1"/>
  <c r="BC298" i="1"/>
  <c r="AY298" i="1"/>
  <c r="AX298" i="1"/>
  <c r="AW298" i="1"/>
  <c r="AV298" i="1"/>
  <c r="AT298" i="1"/>
  <c r="AP298" i="1"/>
  <c r="AO298" i="1"/>
  <c r="AN298" i="1"/>
  <c r="AM298" i="1"/>
  <c r="AK298" i="1"/>
  <c r="AG298" i="1"/>
  <c r="AF298" i="1"/>
  <c r="AE298" i="1"/>
  <c r="AD298" i="1"/>
  <c r="AB298" i="1"/>
  <c r="X298" i="1"/>
  <c r="W298" i="1"/>
  <c r="V298" i="1"/>
  <c r="U298" i="1"/>
  <c r="S298" i="1"/>
  <c r="K298" i="1"/>
  <c r="J298" i="1"/>
  <c r="I298" i="1"/>
  <c r="CR297" i="1"/>
  <c r="CQ297" i="1"/>
  <c r="CP297" i="1"/>
  <c r="CO297" i="1"/>
  <c r="CM297" i="1"/>
  <c r="CI297" i="1"/>
  <c r="CH297" i="1"/>
  <c r="CG297" i="1"/>
  <c r="CF297" i="1"/>
  <c r="CD297" i="1"/>
  <c r="CC297" i="1"/>
  <c r="CB297" i="1"/>
  <c r="BZ297" i="1"/>
  <c r="BY297" i="1"/>
  <c r="BX297" i="1"/>
  <c r="BW297" i="1"/>
  <c r="BU297" i="1"/>
  <c r="BQ297" i="1"/>
  <c r="BP297" i="1"/>
  <c r="BO297" i="1"/>
  <c r="BN297" i="1"/>
  <c r="BL297" i="1"/>
  <c r="BH297" i="1"/>
  <c r="BG297" i="1"/>
  <c r="BF297" i="1"/>
  <c r="BE297" i="1"/>
  <c r="BC297" i="1"/>
  <c r="AY297" i="1"/>
  <c r="AX297" i="1"/>
  <c r="AW297" i="1"/>
  <c r="AV297" i="1"/>
  <c r="AT297" i="1"/>
  <c r="AP297" i="1"/>
  <c r="AO297" i="1"/>
  <c r="AN297" i="1"/>
  <c r="AM297" i="1"/>
  <c r="AK297" i="1"/>
  <c r="AG297" i="1"/>
  <c r="AF297" i="1"/>
  <c r="AE297" i="1"/>
  <c r="AD297" i="1"/>
  <c r="AB297" i="1"/>
  <c r="X297" i="1"/>
  <c r="W297" i="1"/>
  <c r="V297" i="1"/>
  <c r="U297" i="1"/>
  <c r="S297" i="1"/>
  <c r="K297" i="1"/>
  <c r="J297" i="1"/>
  <c r="I297" i="1"/>
  <c r="CR296" i="1"/>
  <c r="CQ296" i="1"/>
  <c r="CP296" i="1"/>
  <c r="CO296" i="1"/>
  <c r="CM296" i="1"/>
  <c r="CI296" i="1"/>
  <c r="CH296" i="1"/>
  <c r="CG296" i="1"/>
  <c r="CF296" i="1"/>
  <c r="CD296" i="1"/>
  <c r="CC296" i="1"/>
  <c r="CB296" i="1"/>
  <c r="BZ296" i="1"/>
  <c r="BY296" i="1"/>
  <c r="BX296" i="1"/>
  <c r="BW296" i="1"/>
  <c r="BU296" i="1"/>
  <c r="BQ296" i="1"/>
  <c r="BP296" i="1"/>
  <c r="BO296" i="1"/>
  <c r="BN296" i="1"/>
  <c r="BL296" i="1"/>
  <c r="BH296" i="1"/>
  <c r="BG296" i="1"/>
  <c r="BF296" i="1"/>
  <c r="BE296" i="1"/>
  <c r="BC296" i="1"/>
  <c r="AY296" i="1"/>
  <c r="AX296" i="1"/>
  <c r="AW296" i="1"/>
  <c r="AV296" i="1"/>
  <c r="AT296" i="1"/>
  <c r="AP296" i="1"/>
  <c r="AO296" i="1"/>
  <c r="AN296" i="1"/>
  <c r="AM296" i="1"/>
  <c r="AK296" i="1"/>
  <c r="AG296" i="1"/>
  <c r="AF296" i="1"/>
  <c r="AE296" i="1"/>
  <c r="AD296" i="1"/>
  <c r="AB296" i="1"/>
  <c r="X296" i="1"/>
  <c r="W296" i="1"/>
  <c r="V296" i="1"/>
  <c r="U296" i="1"/>
  <c r="S296" i="1"/>
  <c r="K296" i="1"/>
  <c r="J296" i="1"/>
  <c r="I296" i="1"/>
  <c r="CR295" i="1"/>
  <c r="CQ295" i="1"/>
  <c r="CP295" i="1"/>
  <c r="CO295" i="1"/>
  <c r="CM295" i="1"/>
  <c r="CI295" i="1"/>
  <c r="CH295" i="1"/>
  <c r="CG295" i="1"/>
  <c r="CF295" i="1"/>
  <c r="CD295" i="1"/>
  <c r="CC295" i="1"/>
  <c r="CB295" i="1"/>
  <c r="BZ295" i="1"/>
  <c r="BY295" i="1"/>
  <c r="BX295" i="1"/>
  <c r="BW295" i="1"/>
  <c r="BU295" i="1"/>
  <c r="BQ295" i="1"/>
  <c r="BP295" i="1"/>
  <c r="BO295" i="1"/>
  <c r="BN295" i="1"/>
  <c r="BL295" i="1"/>
  <c r="BH295" i="1"/>
  <c r="BG295" i="1"/>
  <c r="BF295" i="1"/>
  <c r="BE295" i="1"/>
  <c r="BC295" i="1"/>
  <c r="AY295" i="1"/>
  <c r="AX295" i="1"/>
  <c r="AW295" i="1"/>
  <c r="AV295" i="1"/>
  <c r="AT295" i="1"/>
  <c r="AP295" i="1"/>
  <c r="AO295" i="1"/>
  <c r="AN295" i="1"/>
  <c r="AM295" i="1"/>
  <c r="AK295" i="1"/>
  <c r="AG295" i="1"/>
  <c r="AF295" i="1"/>
  <c r="AE295" i="1"/>
  <c r="AD295" i="1"/>
  <c r="AB295" i="1"/>
  <c r="X295" i="1"/>
  <c r="W295" i="1"/>
  <c r="V295" i="1"/>
  <c r="U295" i="1"/>
  <c r="S295" i="1"/>
  <c r="K295" i="1"/>
  <c r="J295" i="1"/>
  <c r="I295" i="1"/>
  <c r="CR294" i="1"/>
  <c r="CQ294" i="1"/>
  <c r="CP294" i="1"/>
  <c r="CO294" i="1"/>
  <c r="CM294" i="1"/>
  <c r="CI294" i="1"/>
  <c r="CH294" i="1"/>
  <c r="CG294" i="1"/>
  <c r="CF294" i="1"/>
  <c r="CD294" i="1"/>
  <c r="CC294" i="1"/>
  <c r="CB294" i="1"/>
  <c r="BZ294" i="1"/>
  <c r="BY294" i="1"/>
  <c r="BX294" i="1"/>
  <c r="BW294" i="1"/>
  <c r="BU294" i="1"/>
  <c r="BQ294" i="1"/>
  <c r="BP294" i="1"/>
  <c r="BO294" i="1"/>
  <c r="BN294" i="1"/>
  <c r="BL294" i="1"/>
  <c r="BH294" i="1"/>
  <c r="BG294" i="1"/>
  <c r="BF294" i="1"/>
  <c r="BE294" i="1"/>
  <c r="BC294" i="1"/>
  <c r="AY294" i="1"/>
  <c r="AX294" i="1"/>
  <c r="AW294" i="1"/>
  <c r="AV294" i="1"/>
  <c r="AT294" i="1"/>
  <c r="AP294" i="1"/>
  <c r="AO294" i="1"/>
  <c r="AN294" i="1"/>
  <c r="AM294" i="1"/>
  <c r="AK294" i="1"/>
  <c r="AG294" i="1"/>
  <c r="AF294" i="1"/>
  <c r="AE294" i="1"/>
  <c r="AD294" i="1"/>
  <c r="AB294" i="1"/>
  <c r="X294" i="1"/>
  <c r="W294" i="1"/>
  <c r="V294" i="1"/>
  <c r="U294" i="1"/>
  <c r="S294" i="1"/>
  <c r="K294" i="1"/>
  <c r="J294" i="1"/>
  <c r="I294" i="1"/>
  <c r="CL292" i="1"/>
  <c r="CC292" i="1"/>
  <c r="BT292" i="1"/>
  <c r="BS292" i="1"/>
  <c r="BK292" i="1"/>
  <c r="BJ292" i="1"/>
  <c r="BB292" i="1"/>
  <c r="BA292" i="1"/>
  <c r="AS292" i="1"/>
  <c r="AR292" i="1"/>
  <c r="AJ292" i="1"/>
  <c r="AI292" i="1"/>
  <c r="AA292" i="1"/>
  <c r="Z292" i="1"/>
  <c r="R292" i="1"/>
  <c r="Q292" i="1"/>
  <c r="E292" i="1"/>
  <c r="D292" i="1"/>
  <c r="CM291" i="1"/>
  <c r="CK291" i="1"/>
  <c r="CD291" i="1"/>
  <c r="CB291" i="1"/>
  <c r="BU291" i="1"/>
  <c r="BS291" i="1"/>
  <c r="BL291" i="1"/>
  <c r="BJ291" i="1"/>
  <c r="BC291" i="1"/>
  <c r="BA291" i="1"/>
  <c r="AT291" i="1"/>
  <c r="AR291" i="1"/>
  <c r="AK291" i="1"/>
  <c r="AI291" i="1"/>
  <c r="AB291" i="1"/>
  <c r="Z291" i="1"/>
  <c r="S291" i="1"/>
  <c r="Q291" i="1"/>
  <c r="I291" i="1"/>
  <c r="E291" i="1"/>
  <c r="CK290" i="1"/>
  <c r="CB290" i="1"/>
  <c r="BS290" i="1"/>
  <c r="BJ290" i="1"/>
  <c r="BA290" i="1"/>
  <c r="AR290" i="1"/>
  <c r="AI290" i="1"/>
  <c r="Z290" i="1"/>
  <c r="Q290" i="1"/>
  <c r="E289" i="1"/>
  <c r="E288" i="1"/>
  <c r="CM284" i="1"/>
  <c r="CL284" i="1"/>
  <c r="CK284" i="1"/>
  <c r="CD284" i="1"/>
  <c r="CC284" i="1"/>
  <c r="CB284" i="1"/>
  <c r="BU284" i="1"/>
  <c r="BT284" i="1"/>
  <c r="BS284" i="1"/>
  <c r="BL284" i="1"/>
  <c r="BK284" i="1"/>
  <c r="BJ284" i="1"/>
  <c r="BC284" i="1"/>
  <c r="BB284" i="1"/>
  <c r="BA284" i="1"/>
  <c r="AT284" i="1"/>
  <c r="AS284" i="1"/>
  <c r="AR284" i="1"/>
  <c r="AK284" i="1"/>
  <c r="AJ284" i="1"/>
  <c r="AI284" i="1"/>
  <c r="AB284" i="1"/>
  <c r="AA284" i="1"/>
  <c r="Z284" i="1"/>
  <c r="S284" i="1"/>
  <c r="R284" i="1"/>
  <c r="Q284" i="1"/>
  <c r="K284" i="1"/>
  <c r="J284" i="1"/>
  <c r="I284" i="1"/>
  <c r="H284" i="1"/>
  <c r="F284" i="1"/>
  <c r="CR283" i="1"/>
  <c r="CQ283" i="1"/>
  <c r="CP283" i="1"/>
  <c r="CO283" i="1"/>
  <c r="CM283" i="1"/>
  <c r="CI283" i="1"/>
  <c r="CH283" i="1"/>
  <c r="CG283" i="1"/>
  <c r="CF283" i="1"/>
  <c r="CD283" i="1"/>
  <c r="CC283" i="1"/>
  <c r="CB283" i="1"/>
  <c r="BZ283" i="1"/>
  <c r="BY283" i="1"/>
  <c r="BX283" i="1"/>
  <c r="BW283" i="1"/>
  <c r="BU283" i="1"/>
  <c r="BQ283" i="1"/>
  <c r="BP283" i="1"/>
  <c r="BO283" i="1"/>
  <c r="BN283" i="1"/>
  <c r="BL283" i="1"/>
  <c r="BH283" i="1"/>
  <c r="BG283" i="1"/>
  <c r="BF283" i="1"/>
  <c r="BE283" i="1"/>
  <c r="BC283" i="1"/>
  <c r="AY283" i="1"/>
  <c r="AX283" i="1"/>
  <c r="AW283" i="1"/>
  <c r="AV283" i="1"/>
  <c r="AT283" i="1"/>
  <c r="AP283" i="1"/>
  <c r="AO283" i="1"/>
  <c r="AN283" i="1"/>
  <c r="AM283" i="1"/>
  <c r="AK283" i="1"/>
  <c r="AG283" i="1"/>
  <c r="AF283" i="1"/>
  <c r="AE283" i="1"/>
  <c r="AD283" i="1"/>
  <c r="AB283" i="1"/>
  <c r="X283" i="1"/>
  <c r="W283" i="1"/>
  <c r="V283" i="1"/>
  <c r="U283" i="1"/>
  <c r="S283" i="1"/>
  <c r="K283" i="1"/>
  <c r="J283" i="1"/>
  <c r="I283" i="1"/>
  <c r="CR282" i="1"/>
  <c r="CQ282" i="1"/>
  <c r="CP282" i="1"/>
  <c r="CO282" i="1"/>
  <c r="CM282" i="1"/>
  <c r="CI282" i="1"/>
  <c r="CH282" i="1"/>
  <c r="CG282" i="1"/>
  <c r="CF282" i="1"/>
  <c r="CD282" i="1"/>
  <c r="CC282" i="1"/>
  <c r="CB282" i="1"/>
  <c r="BZ282" i="1"/>
  <c r="BY282" i="1"/>
  <c r="BX282" i="1"/>
  <c r="BW282" i="1"/>
  <c r="BU282" i="1"/>
  <c r="BQ282" i="1"/>
  <c r="BP282" i="1"/>
  <c r="BO282" i="1"/>
  <c r="BN282" i="1"/>
  <c r="BL282" i="1"/>
  <c r="BH282" i="1"/>
  <c r="BG282" i="1"/>
  <c r="BF282" i="1"/>
  <c r="BE282" i="1"/>
  <c r="BC282" i="1"/>
  <c r="AY282" i="1"/>
  <c r="AX282" i="1"/>
  <c r="AW282" i="1"/>
  <c r="AV282" i="1"/>
  <c r="AT282" i="1"/>
  <c r="AP282" i="1"/>
  <c r="AO282" i="1"/>
  <c r="AN282" i="1"/>
  <c r="AM282" i="1"/>
  <c r="AK282" i="1"/>
  <c r="AG282" i="1"/>
  <c r="AF282" i="1"/>
  <c r="AE282" i="1"/>
  <c r="AD282" i="1"/>
  <c r="AB282" i="1"/>
  <c r="X282" i="1"/>
  <c r="W282" i="1"/>
  <c r="V282" i="1"/>
  <c r="U282" i="1"/>
  <c r="S282" i="1"/>
  <c r="K282" i="1"/>
  <c r="J282" i="1"/>
  <c r="I282" i="1"/>
  <c r="CR281" i="1"/>
  <c r="CQ281" i="1"/>
  <c r="CP281" i="1"/>
  <c r="CO281" i="1"/>
  <c r="CM281" i="1"/>
  <c r="CI281" i="1"/>
  <c r="CH281" i="1"/>
  <c r="CG281" i="1"/>
  <c r="CF281" i="1"/>
  <c r="CD281" i="1"/>
  <c r="CC281" i="1"/>
  <c r="CB281" i="1"/>
  <c r="BZ281" i="1"/>
  <c r="BY281" i="1"/>
  <c r="BX281" i="1"/>
  <c r="BW281" i="1"/>
  <c r="BU281" i="1"/>
  <c r="BQ281" i="1"/>
  <c r="BP281" i="1"/>
  <c r="BO281" i="1"/>
  <c r="BN281" i="1"/>
  <c r="BL281" i="1"/>
  <c r="BH281" i="1"/>
  <c r="BG281" i="1"/>
  <c r="BF281" i="1"/>
  <c r="BE281" i="1"/>
  <c r="BC281" i="1"/>
  <c r="AY281" i="1"/>
  <c r="AX281" i="1"/>
  <c r="AW281" i="1"/>
  <c r="AV281" i="1"/>
  <c r="AT281" i="1"/>
  <c r="AP281" i="1"/>
  <c r="AO281" i="1"/>
  <c r="AN281" i="1"/>
  <c r="AM281" i="1"/>
  <c r="AK281" i="1"/>
  <c r="AG281" i="1"/>
  <c r="AF281" i="1"/>
  <c r="AE281" i="1"/>
  <c r="AD281" i="1"/>
  <c r="AB281" i="1"/>
  <c r="X281" i="1"/>
  <c r="W281" i="1"/>
  <c r="V281" i="1"/>
  <c r="U281" i="1"/>
  <c r="S281" i="1"/>
  <c r="K281" i="1"/>
  <c r="J281" i="1"/>
  <c r="I281" i="1"/>
  <c r="CR280" i="1"/>
  <c r="CQ280" i="1"/>
  <c r="CP280" i="1"/>
  <c r="CO280" i="1"/>
  <c r="CM280" i="1"/>
  <c r="CI280" i="1"/>
  <c r="CH280" i="1"/>
  <c r="CG280" i="1"/>
  <c r="CF280" i="1"/>
  <c r="CD280" i="1"/>
  <c r="CC280" i="1"/>
  <c r="CB280" i="1"/>
  <c r="BZ280" i="1"/>
  <c r="BY280" i="1"/>
  <c r="BX280" i="1"/>
  <c r="BW280" i="1"/>
  <c r="BU280" i="1"/>
  <c r="BQ280" i="1"/>
  <c r="BP280" i="1"/>
  <c r="BO280" i="1"/>
  <c r="BN280" i="1"/>
  <c r="BL280" i="1"/>
  <c r="BH280" i="1"/>
  <c r="BG280" i="1"/>
  <c r="BF280" i="1"/>
  <c r="BE280" i="1"/>
  <c r="BC280" i="1"/>
  <c r="AY280" i="1"/>
  <c r="AX280" i="1"/>
  <c r="AW280" i="1"/>
  <c r="AV280" i="1"/>
  <c r="AT280" i="1"/>
  <c r="AP280" i="1"/>
  <c r="AO280" i="1"/>
  <c r="AN280" i="1"/>
  <c r="AM280" i="1"/>
  <c r="AK280" i="1"/>
  <c r="AG280" i="1"/>
  <c r="AF280" i="1"/>
  <c r="AE280" i="1"/>
  <c r="AD280" i="1"/>
  <c r="AB280" i="1"/>
  <c r="X280" i="1"/>
  <c r="W280" i="1"/>
  <c r="V280" i="1"/>
  <c r="U280" i="1"/>
  <c r="S280" i="1"/>
  <c r="K280" i="1"/>
  <c r="J280" i="1"/>
  <c r="I280" i="1"/>
  <c r="CR279" i="1"/>
  <c r="CQ279" i="1"/>
  <c r="CP279" i="1"/>
  <c r="CO279" i="1"/>
  <c r="CM279" i="1"/>
  <c r="CI279" i="1"/>
  <c r="CH279" i="1"/>
  <c r="CG279" i="1"/>
  <c r="CF279" i="1"/>
  <c r="CD279" i="1"/>
  <c r="CC279" i="1"/>
  <c r="CB279" i="1"/>
  <c r="BZ279" i="1"/>
  <c r="BY279" i="1"/>
  <c r="BX279" i="1"/>
  <c r="BW279" i="1"/>
  <c r="BU279" i="1"/>
  <c r="BQ279" i="1"/>
  <c r="BP279" i="1"/>
  <c r="BO279" i="1"/>
  <c r="BN279" i="1"/>
  <c r="BL279" i="1"/>
  <c r="BH279" i="1"/>
  <c r="BG279" i="1"/>
  <c r="BF279" i="1"/>
  <c r="BE279" i="1"/>
  <c r="BC279" i="1"/>
  <c r="AY279" i="1"/>
  <c r="AX279" i="1"/>
  <c r="AW279" i="1"/>
  <c r="AV279" i="1"/>
  <c r="AT279" i="1"/>
  <c r="AP279" i="1"/>
  <c r="AO279" i="1"/>
  <c r="AN279" i="1"/>
  <c r="AM279" i="1"/>
  <c r="AK279" i="1"/>
  <c r="AG279" i="1"/>
  <c r="AF279" i="1"/>
  <c r="AE279" i="1"/>
  <c r="AD279" i="1"/>
  <c r="AB279" i="1"/>
  <c r="X279" i="1"/>
  <c r="W279" i="1"/>
  <c r="V279" i="1"/>
  <c r="U279" i="1"/>
  <c r="S279" i="1"/>
  <c r="K279" i="1"/>
  <c r="J279" i="1"/>
  <c r="I279" i="1"/>
  <c r="CR278" i="1"/>
  <c r="CQ278" i="1"/>
  <c r="CP278" i="1"/>
  <c r="CO278" i="1"/>
  <c r="CM278" i="1"/>
  <c r="CI278" i="1"/>
  <c r="CH278" i="1"/>
  <c r="CG278" i="1"/>
  <c r="CF278" i="1"/>
  <c r="CD278" i="1"/>
  <c r="CC278" i="1"/>
  <c r="CB278" i="1"/>
  <c r="BZ278" i="1"/>
  <c r="BY278" i="1"/>
  <c r="BX278" i="1"/>
  <c r="BW278" i="1"/>
  <c r="BU278" i="1"/>
  <c r="BQ278" i="1"/>
  <c r="BP278" i="1"/>
  <c r="BO278" i="1"/>
  <c r="BN278" i="1"/>
  <c r="BL278" i="1"/>
  <c r="BH278" i="1"/>
  <c r="BG278" i="1"/>
  <c r="BF278" i="1"/>
  <c r="BE278" i="1"/>
  <c r="BC278" i="1"/>
  <c r="AY278" i="1"/>
  <c r="AX278" i="1"/>
  <c r="AW278" i="1"/>
  <c r="AV278" i="1"/>
  <c r="AT278" i="1"/>
  <c r="AP278" i="1"/>
  <c r="AO278" i="1"/>
  <c r="AN278" i="1"/>
  <c r="AM278" i="1"/>
  <c r="AK278" i="1"/>
  <c r="AG278" i="1"/>
  <c r="AF278" i="1"/>
  <c r="AE278" i="1"/>
  <c r="AD278" i="1"/>
  <c r="AB278" i="1"/>
  <c r="X278" i="1"/>
  <c r="W278" i="1"/>
  <c r="V278" i="1"/>
  <c r="U278" i="1"/>
  <c r="S278" i="1"/>
  <c r="K278" i="1"/>
  <c r="J278" i="1"/>
  <c r="I278" i="1"/>
  <c r="CR277" i="1"/>
  <c r="CQ277" i="1"/>
  <c r="CP277" i="1"/>
  <c r="CO277" i="1"/>
  <c r="CM277" i="1"/>
  <c r="CI277" i="1"/>
  <c r="CH277" i="1"/>
  <c r="CG277" i="1"/>
  <c r="CF277" i="1"/>
  <c r="CD277" i="1"/>
  <c r="CC277" i="1"/>
  <c r="CB277" i="1"/>
  <c r="BZ277" i="1"/>
  <c r="BY277" i="1"/>
  <c r="BX277" i="1"/>
  <c r="BW277" i="1"/>
  <c r="BU277" i="1"/>
  <c r="BQ277" i="1"/>
  <c r="BP277" i="1"/>
  <c r="BO277" i="1"/>
  <c r="BN277" i="1"/>
  <c r="BL277" i="1"/>
  <c r="BH277" i="1"/>
  <c r="BG277" i="1"/>
  <c r="BF277" i="1"/>
  <c r="BE277" i="1"/>
  <c r="BC277" i="1"/>
  <c r="AY277" i="1"/>
  <c r="AX277" i="1"/>
  <c r="AW277" i="1"/>
  <c r="AV277" i="1"/>
  <c r="AT277" i="1"/>
  <c r="AP277" i="1"/>
  <c r="AO277" i="1"/>
  <c r="AN277" i="1"/>
  <c r="AM277" i="1"/>
  <c r="AK277" i="1"/>
  <c r="AG277" i="1"/>
  <c r="AF277" i="1"/>
  <c r="AE277" i="1"/>
  <c r="AD277" i="1"/>
  <c r="AB277" i="1"/>
  <c r="X277" i="1"/>
  <c r="W277" i="1"/>
  <c r="V277" i="1"/>
  <c r="U277" i="1"/>
  <c r="S277" i="1"/>
  <c r="K277" i="1"/>
  <c r="J277" i="1"/>
  <c r="I277" i="1"/>
  <c r="CR276" i="1"/>
  <c r="CQ276" i="1"/>
  <c r="CP276" i="1"/>
  <c r="CO276" i="1"/>
  <c r="CM276" i="1"/>
  <c r="CI276" i="1"/>
  <c r="CH276" i="1"/>
  <c r="CG276" i="1"/>
  <c r="CF276" i="1"/>
  <c r="CD276" i="1"/>
  <c r="CC276" i="1"/>
  <c r="CB276" i="1"/>
  <c r="BZ276" i="1"/>
  <c r="BY276" i="1"/>
  <c r="BX276" i="1"/>
  <c r="BW276" i="1"/>
  <c r="BU276" i="1"/>
  <c r="BQ276" i="1"/>
  <c r="BP276" i="1"/>
  <c r="BO276" i="1"/>
  <c r="BN276" i="1"/>
  <c r="BL276" i="1"/>
  <c r="BH276" i="1"/>
  <c r="BG276" i="1"/>
  <c r="BF276" i="1"/>
  <c r="BE276" i="1"/>
  <c r="BC276" i="1"/>
  <c r="AY276" i="1"/>
  <c r="AX276" i="1"/>
  <c r="AW276" i="1"/>
  <c r="AV276" i="1"/>
  <c r="AT276" i="1"/>
  <c r="AP276" i="1"/>
  <c r="AO276" i="1"/>
  <c r="AN276" i="1"/>
  <c r="AM276" i="1"/>
  <c r="AK276" i="1"/>
  <c r="AG276" i="1"/>
  <c r="AF276" i="1"/>
  <c r="AE276" i="1"/>
  <c r="AD276" i="1"/>
  <c r="AB276" i="1"/>
  <c r="X276" i="1"/>
  <c r="W276" i="1"/>
  <c r="V276" i="1"/>
  <c r="U276" i="1"/>
  <c r="S276" i="1"/>
  <c r="K276" i="1"/>
  <c r="J276" i="1"/>
  <c r="I276" i="1"/>
  <c r="CR275" i="1"/>
  <c r="CQ275" i="1"/>
  <c r="CP275" i="1"/>
  <c r="CO275" i="1"/>
  <c r="CM275" i="1"/>
  <c r="CI275" i="1"/>
  <c r="CH275" i="1"/>
  <c r="CG275" i="1"/>
  <c r="CF275" i="1"/>
  <c r="CD275" i="1"/>
  <c r="CC275" i="1"/>
  <c r="CB275" i="1"/>
  <c r="BZ275" i="1"/>
  <c r="BY275" i="1"/>
  <c r="BX275" i="1"/>
  <c r="BW275" i="1"/>
  <c r="BU275" i="1"/>
  <c r="BQ275" i="1"/>
  <c r="BP275" i="1"/>
  <c r="BO275" i="1"/>
  <c r="BN275" i="1"/>
  <c r="BL275" i="1"/>
  <c r="BH275" i="1"/>
  <c r="BG275" i="1"/>
  <c r="BF275" i="1"/>
  <c r="BE275" i="1"/>
  <c r="BC275" i="1"/>
  <c r="AY275" i="1"/>
  <c r="AX275" i="1"/>
  <c r="AW275" i="1"/>
  <c r="AV275" i="1"/>
  <c r="AT275" i="1"/>
  <c r="AP275" i="1"/>
  <c r="AO275" i="1"/>
  <c r="AN275" i="1"/>
  <c r="AM275" i="1"/>
  <c r="AK275" i="1"/>
  <c r="AG275" i="1"/>
  <c r="AF275" i="1"/>
  <c r="AE275" i="1"/>
  <c r="AD275" i="1"/>
  <c r="AB275" i="1"/>
  <c r="X275" i="1"/>
  <c r="W275" i="1"/>
  <c r="V275" i="1"/>
  <c r="U275" i="1"/>
  <c r="S275" i="1"/>
  <c r="K275" i="1"/>
  <c r="J275" i="1"/>
  <c r="I275" i="1"/>
  <c r="CR274" i="1"/>
  <c r="CQ274" i="1"/>
  <c r="CP274" i="1"/>
  <c r="CO274" i="1"/>
  <c r="CM274" i="1"/>
  <c r="CI274" i="1"/>
  <c r="CH274" i="1"/>
  <c r="CG274" i="1"/>
  <c r="CF274" i="1"/>
  <c r="CD274" i="1"/>
  <c r="CC274" i="1"/>
  <c r="CB274" i="1"/>
  <c r="BZ274" i="1"/>
  <c r="BY274" i="1"/>
  <c r="BX274" i="1"/>
  <c r="BW274" i="1"/>
  <c r="BU274" i="1"/>
  <c r="BQ274" i="1"/>
  <c r="BP274" i="1"/>
  <c r="BO274" i="1"/>
  <c r="BN274" i="1"/>
  <c r="BL274" i="1"/>
  <c r="BH274" i="1"/>
  <c r="BG274" i="1"/>
  <c r="BF274" i="1"/>
  <c r="BE274" i="1"/>
  <c r="BC274" i="1"/>
  <c r="AY274" i="1"/>
  <c r="AX274" i="1"/>
  <c r="AW274" i="1"/>
  <c r="AV274" i="1"/>
  <c r="AT274" i="1"/>
  <c r="AP274" i="1"/>
  <c r="AO274" i="1"/>
  <c r="AN274" i="1"/>
  <c r="AM274" i="1"/>
  <c r="AK274" i="1"/>
  <c r="AG274" i="1"/>
  <c r="AF274" i="1"/>
  <c r="AE274" i="1"/>
  <c r="AD274" i="1"/>
  <c r="AB274" i="1"/>
  <c r="X274" i="1"/>
  <c r="W274" i="1"/>
  <c r="V274" i="1"/>
  <c r="U274" i="1"/>
  <c r="S274" i="1"/>
  <c r="K274" i="1"/>
  <c r="J274" i="1"/>
  <c r="I274" i="1"/>
  <c r="CR273" i="1"/>
  <c r="CQ273" i="1"/>
  <c r="CP273" i="1"/>
  <c r="CO273" i="1"/>
  <c r="CM273" i="1"/>
  <c r="CI273" i="1"/>
  <c r="CH273" i="1"/>
  <c r="CG273" i="1"/>
  <c r="CF273" i="1"/>
  <c r="CD273" i="1"/>
  <c r="CC273" i="1"/>
  <c r="CB273" i="1"/>
  <c r="BZ273" i="1"/>
  <c r="BY273" i="1"/>
  <c r="BX273" i="1"/>
  <c r="BW273" i="1"/>
  <c r="BU273" i="1"/>
  <c r="BQ273" i="1"/>
  <c r="BP273" i="1"/>
  <c r="BO273" i="1"/>
  <c r="BN273" i="1"/>
  <c r="BL273" i="1"/>
  <c r="BH273" i="1"/>
  <c r="BG273" i="1"/>
  <c r="BF273" i="1"/>
  <c r="BE273" i="1"/>
  <c r="BC273" i="1"/>
  <c r="AY273" i="1"/>
  <c r="AX273" i="1"/>
  <c r="AW273" i="1"/>
  <c r="AV273" i="1"/>
  <c r="AT273" i="1"/>
  <c r="AP273" i="1"/>
  <c r="AO273" i="1"/>
  <c r="AN273" i="1"/>
  <c r="AM273" i="1"/>
  <c r="AK273" i="1"/>
  <c r="AG273" i="1"/>
  <c r="AF273" i="1"/>
  <c r="AE273" i="1"/>
  <c r="AD273" i="1"/>
  <c r="AB273" i="1"/>
  <c r="X273" i="1"/>
  <c r="W273" i="1"/>
  <c r="V273" i="1"/>
  <c r="U273" i="1"/>
  <c r="S273" i="1"/>
  <c r="K273" i="1"/>
  <c r="J273" i="1"/>
  <c r="I273" i="1"/>
  <c r="CR272" i="1"/>
  <c r="CQ272" i="1"/>
  <c r="CP272" i="1"/>
  <c r="CO272" i="1"/>
  <c r="CM272" i="1"/>
  <c r="CI272" i="1"/>
  <c r="CH272" i="1"/>
  <c r="CG272" i="1"/>
  <c r="CF272" i="1"/>
  <c r="CD272" i="1"/>
  <c r="CC272" i="1"/>
  <c r="CB272" i="1"/>
  <c r="BZ272" i="1"/>
  <c r="BY272" i="1"/>
  <c r="BX272" i="1"/>
  <c r="BW272" i="1"/>
  <c r="BU272" i="1"/>
  <c r="BQ272" i="1"/>
  <c r="BP272" i="1"/>
  <c r="BO272" i="1"/>
  <c r="BN272" i="1"/>
  <c r="BL272" i="1"/>
  <c r="BH272" i="1"/>
  <c r="BG272" i="1"/>
  <c r="BF272" i="1"/>
  <c r="BE272" i="1"/>
  <c r="BC272" i="1"/>
  <c r="AY272" i="1"/>
  <c r="AX272" i="1"/>
  <c r="AW272" i="1"/>
  <c r="AV272" i="1"/>
  <c r="AT272" i="1"/>
  <c r="AP272" i="1"/>
  <c r="AO272" i="1"/>
  <c r="AN272" i="1"/>
  <c r="AM272" i="1"/>
  <c r="AK272" i="1"/>
  <c r="AG272" i="1"/>
  <c r="AF272" i="1"/>
  <c r="AE272" i="1"/>
  <c r="AD272" i="1"/>
  <c r="AB272" i="1"/>
  <c r="X272" i="1"/>
  <c r="W272" i="1"/>
  <c r="V272" i="1"/>
  <c r="U272" i="1"/>
  <c r="S272" i="1"/>
  <c r="K272" i="1"/>
  <c r="J272" i="1"/>
  <c r="I272" i="1"/>
  <c r="CL270" i="1"/>
  <c r="CC270" i="1"/>
  <c r="BT270" i="1"/>
  <c r="BS270" i="1"/>
  <c r="BK270" i="1"/>
  <c r="BJ270" i="1"/>
  <c r="BB270" i="1"/>
  <c r="BA270" i="1"/>
  <c r="AS270" i="1"/>
  <c r="AR270" i="1"/>
  <c r="AJ270" i="1"/>
  <c r="AI270" i="1"/>
  <c r="AA270" i="1"/>
  <c r="Z270" i="1"/>
  <c r="R270" i="1"/>
  <c r="Q270" i="1"/>
  <c r="E270" i="1"/>
  <c r="D270" i="1"/>
  <c r="CM269" i="1"/>
  <c r="CK269" i="1"/>
  <c r="CD269" i="1"/>
  <c r="CB269" i="1"/>
  <c r="BU269" i="1"/>
  <c r="BS269" i="1"/>
  <c r="BL269" i="1"/>
  <c r="BJ269" i="1"/>
  <c r="BC269" i="1"/>
  <c r="BA269" i="1"/>
  <c r="AT269" i="1"/>
  <c r="AR269" i="1"/>
  <c r="AK269" i="1"/>
  <c r="AI269" i="1"/>
  <c r="AB269" i="1"/>
  <c r="Z269" i="1"/>
  <c r="S269" i="1"/>
  <c r="Q269" i="1"/>
  <c r="I269" i="1"/>
  <c r="E269" i="1"/>
  <c r="CK268" i="1"/>
  <c r="CB268" i="1"/>
  <c r="BS268" i="1"/>
  <c r="BJ268" i="1"/>
  <c r="BA268" i="1"/>
  <c r="AR268" i="1"/>
  <c r="AI268" i="1"/>
  <c r="Z268" i="1"/>
  <c r="Q268" i="1"/>
  <c r="E267" i="1"/>
  <c r="E266" i="1"/>
  <c r="CM262" i="1"/>
  <c r="CL262" i="1"/>
  <c r="CK262" i="1"/>
  <c r="CD262" i="1"/>
  <c r="CC262" i="1"/>
  <c r="CB262" i="1"/>
  <c r="BU262" i="1"/>
  <c r="BT262" i="1"/>
  <c r="BS262" i="1"/>
  <c r="BL262" i="1"/>
  <c r="BK262" i="1"/>
  <c r="BJ262" i="1"/>
  <c r="BC262" i="1"/>
  <c r="BB262" i="1"/>
  <c r="BA262" i="1"/>
  <c r="AT262" i="1"/>
  <c r="AS262" i="1"/>
  <c r="AR262" i="1"/>
  <c r="AK262" i="1"/>
  <c r="AJ262" i="1"/>
  <c r="AI262" i="1"/>
  <c r="AB262" i="1"/>
  <c r="AA262" i="1"/>
  <c r="Z262" i="1"/>
  <c r="S262" i="1"/>
  <c r="R262" i="1"/>
  <c r="Q262" i="1"/>
  <c r="K262" i="1"/>
  <c r="J262" i="1"/>
  <c r="I262" i="1"/>
  <c r="H262" i="1"/>
  <c r="F262" i="1"/>
  <c r="CR261" i="1"/>
  <c r="CQ261" i="1"/>
  <c r="CP261" i="1"/>
  <c r="CO261" i="1"/>
  <c r="CM261" i="1"/>
  <c r="CI261" i="1"/>
  <c r="CH261" i="1"/>
  <c r="CG261" i="1"/>
  <c r="CF261" i="1"/>
  <c r="CD261" i="1"/>
  <c r="CC261" i="1"/>
  <c r="CB261" i="1"/>
  <c r="BZ261" i="1"/>
  <c r="BY261" i="1"/>
  <c r="BX261" i="1"/>
  <c r="BW261" i="1"/>
  <c r="BU261" i="1"/>
  <c r="BQ261" i="1"/>
  <c r="BP261" i="1"/>
  <c r="BO261" i="1"/>
  <c r="BN261" i="1"/>
  <c r="BL261" i="1"/>
  <c r="BH261" i="1"/>
  <c r="BG261" i="1"/>
  <c r="BF261" i="1"/>
  <c r="BE261" i="1"/>
  <c r="BC261" i="1"/>
  <c r="AY261" i="1"/>
  <c r="AX261" i="1"/>
  <c r="AW261" i="1"/>
  <c r="AV261" i="1"/>
  <c r="AT261" i="1"/>
  <c r="AP261" i="1"/>
  <c r="AO261" i="1"/>
  <c r="AN261" i="1"/>
  <c r="AM261" i="1"/>
  <c r="AK261" i="1"/>
  <c r="AG261" i="1"/>
  <c r="AF261" i="1"/>
  <c r="AE261" i="1"/>
  <c r="AD261" i="1"/>
  <c r="AB261" i="1"/>
  <c r="X261" i="1"/>
  <c r="W261" i="1"/>
  <c r="V261" i="1"/>
  <c r="U261" i="1"/>
  <c r="S261" i="1"/>
  <c r="K261" i="1"/>
  <c r="J261" i="1"/>
  <c r="I261" i="1"/>
  <c r="CR260" i="1"/>
  <c r="CQ260" i="1"/>
  <c r="CP260" i="1"/>
  <c r="CO260" i="1"/>
  <c r="CM260" i="1"/>
  <c r="CI260" i="1"/>
  <c r="CH260" i="1"/>
  <c r="CG260" i="1"/>
  <c r="CF260" i="1"/>
  <c r="CD260" i="1"/>
  <c r="CC260" i="1"/>
  <c r="CB260" i="1"/>
  <c r="BZ260" i="1"/>
  <c r="BY260" i="1"/>
  <c r="BX260" i="1"/>
  <c r="BW260" i="1"/>
  <c r="BU260" i="1"/>
  <c r="BQ260" i="1"/>
  <c r="BP260" i="1"/>
  <c r="BO260" i="1"/>
  <c r="BN260" i="1"/>
  <c r="BL260" i="1"/>
  <c r="BH260" i="1"/>
  <c r="BG260" i="1"/>
  <c r="BF260" i="1"/>
  <c r="BE260" i="1"/>
  <c r="BC260" i="1"/>
  <c r="AY260" i="1"/>
  <c r="AX260" i="1"/>
  <c r="AW260" i="1"/>
  <c r="AV260" i="1"/>
  <c r="AT260" i="1"/>
  <c r="AP260" i="1"/>
  <c r="AO260" i="1"/>
  <c r="AN260" i="1"/>
  <c r="AM260" i="1"/>
  <c r="AK260" i="1"/>
  <c r="AG260" i="1"/>
  <c r="AF260" i="1"/>
  <c r="AE260" i="1"/>
  <c r="AD260" i="1"/>
  <c r="AB260" i="1"/>
  <c r="X260" i="1"/>
  <c r="W260" i="1"/>
  <c r="V260" i="1"/>
  <c r="U260" i="1"/>
  <c r="S260" i="1"/>
  <c r="K260" i="1"/>
  <c r="J260" i="1"/>
  <c r="I260" i="1"/>
  <c r="CR259" i="1"/>
  <c r="CQ259" i="1"/>
  <c r="CP259" i="1"/>
  <c r="CO259" i="1"/>
  <c r="CM259" i="1"/>
  <c r="CI259" i="1"/>
  <c r="CH259" i="1"/>
  <c r="CG259" i="1"/>
  <c r="CF259" i="1"/>
  <c r="CD259" i="1"/>
  <c r="CC259" i="1"/>
  <c r="CB259" i="1"/>
  <c r="BZ259" i="1"/>
  <c r="BY259" i="1"/>
  <c r="BX259" i="1"/>
  <c r="BW259" i="1"/>
  <c r="BU259" i="1"/>
  <c r="BQ259" i="1"/>
  <c r="BP259" i="1"/>
  <c r="BO259" i="1"/>
  <c r="BN259" i="1"/>
  <c r="BL259" i="1"/>
  <c r="BH259" i="1"/>
  <c r="BG259" i="1"/>
  <c r="BF259" i="1"/>
  <c r="BE259" i="1"/>
  <c r="BC259" i="1"/>
  <c r="AY259" i="1"/>
  <c r="AX259" i="1"/>
  <c r="AW259" i="1"/>
  <c r="AV259" i="1"/>
  <c r="AT259" i="1"/>
  <c r="AP259" i="1"/>
  <c r="AO259" i="1"/>
  <c r="AN259" i="1"/>
  <c r="AM259" i="1"/>
  <c r="AK259" i="1"/>
  <c r="AG259" i="1"/>
  <c r="AF259" i="1"/>
  <c r="AE259" i="1"/>
  <c r="AD259" i="1"/>
  <c r="AB259" i="1"/>
  <c r="X259" i="1"/>
  <c r="W259" i="1"/>
  <c r="V259" i="1"/>
  <c r="U259" i="1"/>
  <c r="S259" i="1"/>
  <c r="K259" i="1"/>
  <c r="J259" i="1"/>
  <c r="I259" i="1"/>
  <c r="CR258" i="1"/>
  <c r="CQ258" i="1"/>
  <c r="CP258" i="1"/>
  <c r="CO258" i="1"/>
  <c r="CM258" i="1"/>
  <c r="CI258" i="1"/>
  <c r="CH258" i="1"/>
  <c r="CG258" i="1"/>
  <c r="CF258" i="1"/>
  <c r="CD258" i="1"/>
  <c r="CC258" i="1"/>
  <c r="CB258" i="1"/>
  <c r="BZ258" i="1"/>
  <c r="BY258" i="1"/>
  <c r="BX258" i="1"/>
  <c r="BW258" i="1"/>
  <c r="BU258" i="1"/>
  <c r="BQ258" i="1"/>
  <c r="BP258" i="1"/>
  <c r="BO258" i="1"/>
  <c r="BN258" i="1"/>
  <c r="BL258" i="1"/>
  <c r="BH258" i="1"/>
  <c r="BG258" i="1"/>
  <c r="BF258" i="1"/>
  <c r="BE258" i="1"/>
  <c r="BC258" i="1"/>
  <c r="AY258" i="1"/>
  <c r="AX258" i="1"/>
  <c r="AW258" i="1"/>
  <c r="AV258" i="1"/>
  <c r="AT258" i="1"/>
  <c r="AP258" i="1"/>
  <c r="AO258" i="1"/>
  <c r="AN258" i="1"/>
  <c r="AM258" i="1"/>
  <c r="AK258" i="1"/>
  <c r="AG258" i="1"/>
  <c r="AF258" i="1"/>
  <c r="AE258" i="1"/>
  <c r="AD258" i="1"/>
  <c r="AB258" i="1"/>
  <c r="X258" i="1"/>
  <c r="W258" i="1"/>
  <c r="V258" i="1"/>
  <c r="U258" i="1"/>
  <c r="S258" i="1"/>
  <c r="K258" i="1"/>
  <c r="J258" i="1"/>
  <c r="I258" i="1"/>
  <c r="CR257" i="1"/>
  <c r="CQ257" i="1"/>
  <c r="CP257" i="1"/>
  <c r="CO257" i="1"/>
  <c r="CM257" i="1"/>
  <c r="CI257" i="1"/>
  <c r="CH257" i="1"/>
  <c r="CG257" i="1"/>
  <c r="CF257" i="1"/>
  <c r="CD257" i="1"/>
  <c r="CC257" i="1"/>
  <c r="CB257" i="1"/>
  <c r="BZ257" i="1"/>
  <c r="BY257" i="1"/>
  <c r="BX257" i="1"/>
  <c r="BW257" i="1"/>
  <c r="BU257" i="1"/>
  <c r="BQ257" i="1"/>
  <c r="BP257" i="1"/>
  <c r="BO257" i="1"/>
  <c r="BN257" i="1"/>
  <c r="BL257" i="1"/>
  <c r="BH257" i="1"/>
  <c r="BG257" i="1"/>
  <c r="BF257" i="1"/>
  <c r="BE257" i="1"/>
  <c r="BC257" i="1"/>
  <c r="AY257" i="1"/>
  <c r="AX257" i="1"/>
  <c r="AW257" i="1"/>
  <c r="AV257" i="1"/>
  <c r="AT257" i="1"/>
  <c r="AP257" i="1"/>
  <c r="AO257" i="1"/>
  <c r="AN257" i="1"/>
  <c r="AM257" i="1"/>
  <c r="AK257" i="1"/>
  <c r="AG257" i="1"/>
  <c r="AF257" i="1"/>
  <c r="AE257" i="1"/>
  <c r="AD257" i="1"/>
  <c r="AB257" i="1"/>
  <c r="X257" i="1"/>
  <c r="W257" i="1"/>
  <c r="V257" i="1"/>
  <c r="U257" i="1"/>
  <c r="S257" i="1"/>
  <c r="K257" i="1"/>
  <c r="J257" i="1"/>
  <c r="I257" i="1"/>
  <c r="CR256" i="1"/>
  <c r="CQ256" i="1"/>
  <c r="CP256" i="1"/>
  <c r="CO256" i="1"/>
  <c r="CM256" i="1"/>
  <c r="CI256" i="1"/>
  <c r="CH256" i="1"/>
  <c r="CG256" i="1"/>
  <c r="CF256" i="1"/>
  <c r="CD256" i="1"/>
  <c r="CC256" i="1"/>
  <c r="CB256" i="1"/>
  <c r="BZ256" i="1"/>
  <c r="BY256" i="1"/>
  <c r="BX256" i="1"/>
  <c r="BW256" i="1"/>
  <c r="BU256" i="1"/>
  <c r="BQ256" i="1"/>
  <c r="BP256" i="1"/>
  <c r="BO256" i="1"/>
  <c r="BN256" i="1"/>
  <c r="BL256" i="1"/>
  <c r="BH256" i="1"/>
  <c r="BG256" i="1"/>
  <c r="BF256" i="1"/>
  <c r="BE256" i="1"/>
  <c r="BC256" i="1"/>
  <c r="AY256" i="1"/>
  <c r="AX256" i="1"/>
  <c r="AW256" i="1"/>
  <c r="AV256" i="1"/>
  <c r="AT256" i="1"/>
  <c r="AP256" i="1"/>
  <c r="AO256" i="1"/>
  <c r="AN256" i="1"/>
  <c r="AM256" i="1"/>
  <c r="AK256" i="1"/>
  <c r="AG256" i="1"/>
  <c r="AF256" i="1"/>
  <c r="AE256" i="1"/>
  <c r="AD256" i="1"/>
  <c r="AB256" i="1"/>
  <c r="X256" i="1"/>
  <c r="W256" i="1"/>
  <c r="V256" i="1"/>
  <c r="U256" i="1"/>
  <c r="S256" i="1"/>
  <c r="K256" i="1"/>
  <c r="J256" i="1"/>
  <c r="I256" i="1"/>
  <c r="CR255" i="1"/>
  <c r="CQ255" i="1"/>
  <c r="CP255" i="1"/>
  <c r="CO255" i="1"/>
  <c r="CM255" i="1"/>
  <c r="CI255" i="1"/>
  <c r="CH255" i="1"/>
  <c r="CG255" i="1"/>
  <c r="CF255" i="1"/>
  <c r="CD255" i="1"/>
  <c r="CC255" i="1"/>
  <c r="CB255" i="1"/>
  <c r="BZ255" i="1"/>
  <c r="BY255" i="1"/>
  <c r="BX255" i="1"/>
  <c r="BW255" i="1"/>
  <c r="BU255" i="1"/>
  <c r="BQ255" i="1"/>
  <c r="BP255" i="1"/>
  <c r="BO255" i="1"/>
  <c r="BN255" i="1"/>
  <c r="BL255" i="1"/>
  <c r="BH255" i="1"/>
  <c r="BG255" i="1"/>
  <c r="BF255" i="1"/>
  <c r="BE255" i="1"/>
  <c r="BC255" i="1"/>
  <c r="AY255" i="1"/>
  <c r="AX255" i="1"/>
  <c r="AW255" i="1"/>
  <c r="AV255" i="1"/>
  <c r="AT255" i="1"/>
  <c r="AP255" i="1"/>
  <c r="AO255" i="1"/>
  <c r="AN255" i="1"/>
  <c r="AM255" i="1"/>
  <c r="AK255" i="1"/>
  <c r="AG255" i="1"/>
  <c r="AF255" i="1"/>
  <c r="AE255" i="1"/>
  <c r="AD255" i="1"/>
  <c r="AB255" i="1"/>
  <c r="X255" i="1"/>
  <c r="W255" i="1"/>
  <c r="V255" i="1"/>
  <c r="U255" i="1"/>
  <c r="S255" i="1"/>
  <c r="K255" i="1"/>
  <c r="J255" i="1"/>
  <c r="I255" i="1"/>
  <c r="CR254" i="1"/>
  <c r="CQ254" i="1"/>
  <c r="CP254" i="1"/>
  <c r="CO254" i="1"/>
  <c r="CM254" i="1"/>
  <c r="CI254" i="1"/>
  <c r="CH254" i="1"/>
  <c r="CG254" i="1"/>
  <c r="CF254" i="1"/>
  <c r="CD254" i="1"/>
  <c r="CC254" i="1"/>
  <c r="CB254" i="1"/>
  <c r="BZ254" i="1"/>
  <c r="BY254" i="1"/>
  <c r="BX254" i="1"/>
  <c r="BW254" i="1"/>
  <c r="BU254" i="1"/>
  <c r="BQ254" i="1"/>
  <c r="BP254" i="1"/>
  <c r="BO254" i="1"/>
  <c r="BN254" i="1"/>
  <c r="BL254" i="1"/>
  <c r="BH254" i="1"/>
  <c r="BG254" i="1"/>
  <c r="BF254" i="1"/>
  <c r="BE254" i="1"/>
  <c r="BC254" i="1"/>
  <c r="AY254" i="1"/>
  <c r="AX254" i="1"/>
  <c r="AW254" i="1"/>
  <c r="AV254" i="1"/>
  <c r="AT254" i="1"/>
  <c r="AP254" i="1"/>
  <c r="AO254" i="1"/>
  <c r="AN254" i="1"/>
  <c r="AM254" i="1"/>
  <c r="AK254" i="1"/>
  <c r="AG254" i="1"/>
  <c r="AF254" i="1"/>
  <c r="AE254" i="1"/>
  <c r="AD254" i="1"/>
  <c r="AB254" i="1"/>
  <c r="X254" i="1"/>
  <c r="W254" i="1"/>
  <c r="V254" i="1"/>
  <c r="U254" i="1"/>
  <c r="S254" i="1"/>
  <c r="K254" i="1"/>
  <c r="J254" i="1"/>
  <c r="I254" i="1"/>
  <c r="CR253" i="1"/>
  <c r="CQ253" i="1"/>
  <c r="CP253" i="1"/>
  <c r="CO253" i="1"/>
  <c r="CM253" i="1"/>
  <c r="CI253" i="1"/>
  <c r="CH253" i="1"/>
  <c r="CG253" i="1"/>
  <c r="CF253" i="1"/>
  <c r="CD253" i="1"/>
  <c r="CC253" i="1"/>
  <c r="CB253" i="1"/>
  <c r="BZ253" i="1"/>
  <c r="BY253" i="1"/>
  <c r="BX253" i="1"/>
  <c r="BW253" i="1"/>
  <c r="BU253" i="1"/>
  <c r="BQ253" i="1"/>
  <c r="BP253" i="1"/>
  <c r="BO253" i="1"/>
  <c r="BN253" i="1"/>
  <c r="BL253" i="1"/>
  <c r="BH253" i="1"/>
  <c r="BG253" i="1"/>
  <c r="BF253" i="1"/>
  <c r="BE253" i="1"/>
  <c r="BC253" i="1"/>
  <c r="AY253" i="1"/>
  <c r="AX253" i="1"/>
  <c r="AW253" i="1"/>
  <c r="AV253" i="1"/>
  <c r="AT253" i="1"/>
  <c r="AP253" i="1"/>
  <c r="AO253" i="1"/>
  <c r="AN253" i="1"/>
  <c r="AM253" i="1"/>
  <c r="AK253" i="1"/>
  <c r="AG253" i="1"/>
  <c r="AF253" i="1"/>
  <c r="AE253" i="1"/>
  <c r="AD253" i="1"/>
  <c r="AB253" i="1"/>
  <c r="X253" i="1"/>
  <c r="W253" i="1"/>
  <c r="V253" i="1"/>
  <c r="U253" i="1"/>
  <c r="S253" i="1"/>
  <c r="K253" i="1"/>
  <c r="J253" i="1"/>
  <c r="I253" i="1"/>
  <c r="CR252" i="1"/>
  <c r="CQ252" i="1"/>
  <c r="CP252" i="1"/>
  <c r="CO252" i="1"/>
  <c r="CM252" i="1"/>
  <c r="CI252" i="1"/>
  <c r="CH252" i="1"/>
  <c r="CG252" i="1"/>
  <c r="CF252" i="1"/>
  <c r="CD252" i="1"/>
  <c r="CC252" i="1"/>
  <c r="CB252" i="1"/>
  <c r="BZ252" i="1"/>
  <c r="BY252" i="1"/>
  <c r="BX252" i="1"/>
  <c r="BW252" i="1"/>
  <c r="BU252" i="1"/>
  <c r="BQ252" i="1"/>
  <c r="BP252" i="1"/>
  <c r="BO252" i="1"/>
  <c r="BN252" i="1"/>
  <c r="BL252" i="1"/>
  <c r="BH252" i="1"/>
  <c r="BG252" i="1"/>
  <c r="BF252" i="1"/>
  <c r="BE252" i="1"/>
  <c r="BC252" i="1"/>
  <c r="AY252" i="1"/>
  <c r="AX252" i="1"/>
  <c r="AW252" i="1"/>
  <c r="AV252" i="1"/>
  <c r="AT252" i="1"/>
  <c r="AP252" i="1"/>
  <c r="AO252" i="1"/>
  <c r="AN252" i="1"/>
  <c r="AM252" i="1"/>
  <c r="AK252" i="1"/>
  <c r="AG252" i="1"/>
  <c r="AF252" i="1"/>
  <c r="AE252" i="1"/>
  <c r="AD252" i="1"/>
  <c r="AB252" i="1"/>
  <c r="X252" i="1"/>
  <c r="W252" i="1"/>
  <c r="V252" i="1"/>
  <c r="U252" i="1"/>
  <c r="S252" i="1"/>
  <c r="K252" i="1"/>
  <c r="J252" i="1"/>
  <c r="I252" i="1"/>
  <c r="CR251" i="1"/>
  <c r="CQ251" i="1"/>
  <c r="CP251" i="1"/>
  <c r="CO251" i="1"/>
  <c r="CM251" i="1"/>
  <c r="CI251" i="1"/>
  <c r="CH251" i="1"/>
  <c r="CG251" i="1"/>
  <c r="CF251" i="1"/>
  <c r="CD251" i="1"/>
  <c r="CC251" i="1"/>
  <c r="CB251" i="1"/>
  <c r="BZ251" i="1"/>
  <c r="BY251" i="1"/>
  <c r="BX251" i="1"/>
  <c r="BW251" i="1"/>
  <c r="BU251" i="1"/>
  <c r="BQ251" i="1"/>
  <c r="BP251" i="1"/>
  <c r="BO251" i="1"/>
  <c r="BN251" i="1"/>
  <c r="BL251" i="1"/>
  <c r="BH251" i="1"/>
  <c r="BG251" i="1"/>
  <c r="BF251" i="1"/>
  <c r="BE251" i="1"/>
  <c r="BC251" i="1"/>
  <c r="AY251" i="1"/>
  <c r="AX251" i="1"/>
  <c r="AW251" i="1"/>
  <c r="AV251" i="1"/>
  <c r="AT251" i="1"/>
  <c r="AP251" i="1"/>
  <c r="AO251" i="1"/>
  <c r="AN251" i="1"/>
  <c r="AM251" i="1"/>
  <c r="AK251" i="1"/>
  <c r="AG251" i="1"/>
  <c r="AF251" i="1"/>
  <c r="AE251" i="1"/>
  <c r="AD251" i="1"/>
  <c r="AB251" i="1"/>
  <c r="X251" i="1"/>
  <c r="W251" i="1"/>
  <c r="V251" i="1"/>
  <c r="U251" i="1"/>
  <c r="S251" i="1"/>
  <c r="K251" i="1"/>
  <c r="J251" i="1"/>
  <c r="I251" i="1"/>
  <c r="CR250" i="1"/>
  <c r="CQ250" i="1"/>
  <c r="CP250" i="1"/>
  <c r="CO250" i="1"/>
  <c r="CM250" i="1"/>
  <c r="CI250" i="1"/>
  <c r="CH250" i="1"/>
  <c r="CG250" i="1"/>
  <c r="CF250" i="1"/>
  <c r="CD250" i="1"/>
  <c r="CC250" i="1"/>
  <c r="CB250" i="1"/>
  <c r="BZ250" i="1"/>
  <c r="BY250" i="1"/>
  <c r="BX250" i="1"/>
  <c r="BW250" i="1"/>
  <c r="BU250" i="1"/>
  <c r="BQ250" i="1"/>
  <c r="BP250" i="1"/>
  <c r="BO250" i="1"/>
  <c r="BN250" i="1"/>
  <c r="BL250" i="1"/>
  <c r="BH250" i="1"/>
  <c r="BG250" i="1"/>
  <c r="BF250" i="1"/>
  <c r="BE250" i="1"/>
  <c r="BC250" i="1"/>
  <c r="AY250" i="1"/>
  <c r="AX250" i="1"/>
  <c r="AW250" i="1"/>
  <c r="AV250" i="1"/>
  <c r="AT250" i="1"/>
  <c r="AP250" i="1"/>
  <c r="AO250" i="1"/>
  <c r="AN250" i="1"/>
  <c r="AM250" i="1"/>
  <c r="AK250" i="1"/>
  <c r="AG250" i="1"/>
  <c r="AF250" i="1"/>
  <c r="AE250" i="1"/>
  <c r="AD250" i="1"/>
  <c r="AB250" i="1"/>
  <c r="X250" i="1"/>
  <c r="W250" i="1"/>
  <c r="V250" i="1"/>
  <c r="U250" i="1"/>
  <c r="S250" i="1"/>
  <c r="K250" i="1"/>
  <c r="J250" i="1"/>
  <c r="I250" i="1"/>
  <c r="CL248" i="1"/>
  <c r="CC248" i="1"/>
  <c r="BT248" i="1"/>
  <c r="BS248" i="1"/>
  <c r="BK248" i="1"/>
  <c r="BJ248" i="1"/>
  <c r="BB248" i="1"/>
  <c r="BA248" i="1"/>
  <c r="AS248" i="1"/>
  <c r="AR248" i="1"/>
  <c r="AJ248" i="1"/>
  <c r="AI248" i="1"/>
  <c r="AA248" i="1"/>
  <c r="Z248" i="1"/>
  <c r="R248" i="1"/>
  <c r="Q248" i="1"/>
  <c r="E248" i="1"/>
  <c r="D248" i="1"/>
  <c r="CM247" i="1"/>
  <c r="CK247" i="1"/>
  <c r="CD247" i="1"/>
  <c r="CB247" i="1"/>
  <c r="BU247" i="1"/>
  <c r="BS247" i="1"/>
  <c r="BL247" i="1"/>
  <c r="BJ247" i="1"/>
  <c r="BC247" i="1"/>
  <c r="BA247" i="1"/>
  <c r="AT247" i="1"/>
  <c r="AR247" i="1"/>
  <c r="AK247" i="1"/>
  <c r="AI247" i="1"/>
  <c r="AB247" i="1"/>
  <c r="Z247" i="1"/>
  <c r="S247" i="1"/>
  <c r="Q247" i="1"/>
  <c r="I247" i="1"/>
  <c r="E247" i="1"/>
  <c r="CK246" i="1"/>
  <c r="CB246" i="1"/>
  <c r="BS246" i="1"/>
  <c r="BJ246" i="1"/>
  <c r="BA246" i="1"/>
  <c r="AR246" i="1"/>
  <c r="AI246" i="1"/>
  <c r="Z246" i="1"/>
  <c r="Q246" i="1"/>
  <c r="E245" i="1"/>
  <c r="E244" i="1"/>
  <c r="CM240" i="1"/>
  <c r="CL240" i="1"/>
  <c r="CK240" i="1"/>
  <c r="CD240" i="1"/>
  <c r="CC240" i="1"/>
  <c r="CB240" i="1"/>
  <c r="BU240" i="1"/>
  <c r="BT240" i="1"/>
  <c r="BS240" i="1"/>
  <c r="BL240" i="1"/>
  <c r="BK240" i="1"/>
  <c r="BJ240" i="1"/>
  <c r="BC240" i="1"/>
  <c r="BB240" i="1"/>
  <c r="BA240" i="1"/>
  <c r="AT240" i="1"/>
  <c r="AS240" i="1"/>
  <c r="AR240" i="1"/>
  <c r="AK240" i="1"/>
  <c r="AJ240" i="1"/>
  <c r="AI240" i="1"/>
  <c r="AB240" i="1"/>
  <c r="AA240" i="1"/>
  <c r="Z240" i="1"/>
  <c r="S240" i="1"/>
  <c r="R240" i="1"/>
  <c r="Q240" i="1"/>
  <c r="K240" i="1"/>
  <c r="J240" i="1"/>
  <c r="I240" i="1"/>
  <c r="H240" i="1"/>
  <c r="F240" i="1"/>
  <c r="CR239" i="1"/>
  <c r="CQ239" i="1"/>
  <c r="CP239" i="1"/>
  <c r="CO239" i="1"/>
  <c r="CM239" i="1"/>
  <c r="CI239" i="1"/>
  <c r="CH239" i="1"/>
  <c r="CG239" i="1"/>
  <c r="CF239" i="1"/>
  <c r="CD239" i="1"/>
  <c r="CC239" i="1"/>
  <c r="CB239" i="1"/>
  <c r="BZ239" i="1"/>
  <c r="BY239" i="1"/>
  <c r="BX239" i="1"/>
  <c r="BW239" i="1"/>
  <c r="BU239" i="1"/>
  <c r="BQ239" i="1"/>
  <c r="BP239" i="1"/>
  <c r="BO239" i="1"/>
  <c r="BN239" i="1"/>
  <c r="BL239" i="1"/>
  <c r="BH239" i="1"/>
  <c r="BG239" i="1"/>
  <c r="BF239" i="1"/>
  <c r="BE239" i="1"/>
  <c r="BC239" i="1"/>
  <c r="AY239" i="1"/>
  <c r="AX239" i="1"/>
  <c r="AW239" i="1"/>
  <c r="AV239" i="1"/>
  <c r="AT239" i="1"/>
  <c r="AP239" i="1"/>
  <c r="AO239" i="1"/>
  <c r="AN239" i="1"/>
  <c r="AM239" i="1"/>
  <c r="AK239" i="1"/>
  <c r="AG239" i="1"/>
  <c r="AF239" i="1"/>
  <c r="AE239" i="1"/>
  <c r="AD239" i="1"/>
  <c r="AB239" i="1"/>
  <c r="X239" i="1"/>
  <c r="W239" i="1"/>
  <c r="V239" i="1"/>
  <c r="U239" i="1"/>
  <c r="S239" i="1"/>
  <c r="K239" i="1"/>
  <c r="J239" i="1"/>
  <c r="I239" i="1"/>
  <c r="CR238" i="1"/>
  <c r="CQ238" i="1"/>
  <c r="CP238" i="1"/>
  <c r="CO238" i="1"/>
  <c r="CM238" i="1"/>
  <c r="CI238" i="1"/>
  <c r="CH238" i="1"/>
  <c r="CG238" i="1"/>
  <c r="CF238" i="1"/>
  <c r="CD238" i="1"/>
  <c r="CC238" i="1"/>
  <c r="CB238" i="1"/>
  <c r="BZ238" i="1"/>
  <c r="BY238" i="1"/>
  <c r="BX238" i="1"/>
  <c r="BW238" i="1"/>
  <c r="BU238" i="1"/>
  <c r="BQ238" i="1"/>
  <c r="BP238" i="1"/>
  <c r="BO238" i="1"/>
  <c r="BN238" i="1"/>
  <c r="BL238" i="1"/>
  <c r="BH238" i="1"/>
  <c r="BG238" i="1"/>
  <c r="BF238" i="1"/>
  <c r="BE238" i="1"/>
  <c r="BC238" i="1"/>
  <c r="AY238" i="1"/>
  <c r="AX238" i="1"/>
  <c r="AW238" i="1"/>
  <c r="AV238" i="1"/>
  <c r="AT238" i="1"/>
  <c r="AP238" i="1"/>
  <c r="AO238" i="1"/>
  <c r="AN238" i="1"/>
  <c r="AM238" i="1"/>
  <c r="AK238" i="1"/>
  <c r="AG238" i="1"/>
  <c r="AF238" i="1"/>
  <c r="AE238" i="1"/>
  <c r="AD238" i="1"/>
  <c r="AB238" i="1"/>
  <c r="X238" i="1"/>
  <c r="W238" i="1"/>
  <c r="V238" i="1"/>
  <c r="U238" i="1"/>
  <c r="S238" i="1"/>
  <c r="K238" i="1"/>
  <c r="J238" i="1"/>
  <c r="I238" i="1"/>
  <c r="CR237" i="1"/>
  <c r="CQ237" i="1"/>
  <c r="CP237" i="1"/>
  <c r="CO237" i="1"/>
  <c r="CM237" i="1"/>
  <c r="CI237" i="1"/>
  <c r="CH237" i="1"/>
  <c r="CG237" i="1"/>
  <c r="CF237" i="1"/>
  <c r="CD237" i="1"/>
  <c r="CC237" i="1"/>
  <c r="CB237" i="1"/>
  <c r="BZ237" i="1"/>
  <c r="BY237" i="1"/>
  <c r="BX237" i="1"/>
  <c r="BW237" i="1"/>
  <c r="BU237" i="1"/>
  <c r="BQ237" i="1"/>
  <c r="BP237" i="1"/>
  <c r="BO237" i="1"/>
  <c r="BN237" i="1"/>
  <c r="BL237" i="1"/>
  <c r="BH237" i="1"/>
  <c r="BG237" i="1"/>
  <c r="BF237" i="1"/>
  <c r="BE237" i="1"/>
  <c r="BC237" i="1"/>
  <c r="AY237" i="1"/>
  <c r="AX237" i="1"/>
  <c r="AW237" i="1"/>
  <c r="AV237" i="1"/>
  <c r="AT237" i="1"/>
  <c r="AP237" i="1"/>
  <c r="AO237" i="1"/>
  <c r="AN237" i="1"/>
  <c r="AM237" i="1"/>
  <c r="AK237" i="1"/>
  <c r="AG237" i="1"/>
  <c r="AF237" i="1"/>
  <c r="AE237" i="1"/>
  <c r="AD237" i="1"/>
  <c r="AB237" i="1"/>
  <c r="X237" i="1"/>
  <c r="W237" i="1"/>
  <c r="V237" i="1"/>
  <c r="U237" i="1"/>
  <c r="S237" i="1"/>
  <c r="K237" i="1"/>
  <c r="J237" i="1"/>
  <c r="I237" i="1"/>
  <c r="CR236" i="1"/>
  <c r="CQ236" i="1"/>
  <c r="CP236" i="1"/>
  <c r="CO236" i="1"/>
  <c r="CM236" i="1"/>
  <c r="CI236" i="1"/>
  <c r="CH236" i="1"/>
  <c r="CG236" i="1"/>
  <c r="CF236" i="1"/>
  <c r="CD236" i="1"/>
  <c r="CC236" i="1"/>
  <c r="CB236" i="1"/>
  <c r="BZ236" i="1"/>
  <c r="BY236" i="1"/>
  <c r="BX236" i="1"/>
  <c r="BW236" i="1"/>
  <c r="BU236" i="1"/>
  <c r="BQ236" i="1"/>
  <c r="BP236" i="1"/>
  <c r="BO236" i="1"/>
  <c r="BN236" i="1"/>
  <c r="BL236" i="1"/>
  <c r="BH236" i="1"/>
  <c r="BG236" i="1"/>
  <c r="BF236" i="1"/>
  <c r="BE236" i="1"/>
  <c r="BC236" i="1"/>
  <c r="AY236" i="1"/>
  <c r="AX236" i="1"/>
  <c r="AW236" i="1"/>
  <c r="AV236" i="1"/>
  <c r="AT236" i="1"/>
  <c r="AP236" i="1"/>
  <c r="AO236" i="1"/>
  <c r="AN236" i="1"/>
  <c r="AM236" i="1"/>
  <c r="AK236" i="1"/>
  <c r="AG236" i="1"/>
  <c r="AF236" i="1"/>
  <c r="AE236" i="1"/>
  <c r="AD236" i="1"/>
  <c r="AB236" i="1"/>
  <c r="X236" i="1"/>
  <c r="W236" i="1"/>
  <c r="V236" i="1"/>
  <c r="U236" i="1"/>
  <c r="S236" i="1"/>
  <c r="K236" i="1"/>
  <c r="J236" i="1"/>
  <c r="I236" i="1"/>
  <c r="CR235" i="1"/>
  <c r="CQ235" i="1"/>
  <c r="CP235" i="1"/>
  <c r="CO235" i="1"/>
  <c r="CM235" i="1"/>
  <c r="CI235" i="1"/>
  <c r="CH235" i="1"/>
  <c r="CG235" i="1"/>
  <c r="CF235" i="1"/>
  <c r="CD235" i="1"/>
  <c r="CC235" i="1"/>
  <c r="CB235" i="1"/>
  <c r="BZ235" i="1"/>
  <c r="BY235" i="1"/>
  <c r="BX235" i="1"/>
  <c r="BW235" i="1"/>
  <c r="BU235" i="1"/>
  <c r="BQ235" i="1"/>
  <c r="BP235" i="1"/>
  <c r="BO235" i="1"/>
  <c r="BN235" i="1"/>
  <c r="BL235" i="1"/>
  <c r="BH235" i="1"/>
  <c r="BG235" i="1"/>
  <c r="BF235" i="1"/>
  <c r="BE235" i="1"/>
  <c r="BC235" i="1"/>
  <c r="AY235" i="1"/>
  <c r="AX235" i="1"/>
  <c r="AW235" i="1"/>
  <c r="AV235" i="1"/>
  <c r="AT235" i="1"/>
  <c r="AP235" i="1"/>
  <c r="AO235" i="1"/>
  <c r="AN235" i="1"/>
  <c r="AM235" i="1"/>
  <c r="AK235" i="1"/>
  <c r="AG235" i="1"/>
  <c r="AF235" i="1"/>
  <c r="AE235" i="1"/>
  <c r="AD235" i="1"/>
  <c r="AB235" i="1"/>
  <c r="X235" i="1"/>
  <c r="W235" i="1"/>
  <c r="V235" i="1"/>
  <c r="U235" i="1"/>
  <c r="S235" i="1"/>
  <c r="K235" i="1"/>
  <c r="J235" i="1"/>
  <c r="I235" i="1"/>
  <c r="CR234" i="1"/>
  <c r="CQ234" i="1"/>
  <c r="CP234" i="1"/>
  <c r="CO234" i="1"/>
  <c r="CM234" i="1"/>
  <c r="CI234" i="1"/>
  <c r="CH234" i="1"/>
  <c r="CG234" i="1"/>
  <c r="CF234" i="1"/>
  <c r="CD234" i="1"/>
  <c r="CC234" i="1"/>
  <c r="CB234" i="1"/>
  <c r="BZ234" i="1"/>
  <c r="BY234" i="1"/>
  <c r="BX234" i="1"/>
  <c r="BW234" i="1"/>
  <c r="BU234" i="1"/>
  <c r="BQ234" i="1"/>
  <c r="BP234" i="1"/>
  <c r="BO234" i="1"/>
  <c r="BN234" i="1"/>
  <c r="BL234" i="1"/>
  <c r="BH234" i="1"/>
  <c r="BG234" i="1"/>
  <c r="BF234" i="1"/>
  <c r="BE234" i="1"/>
  <c r="BC234" i="1"/>
  <c r="AY234" i="1"/>
  <c r="AX234" i="1"/>
  <c r="AW234" i="1"/>
  <c r="AV234" i="1"/>
  <c r="AT234" i="1"/>
  <c r="AP234" i="1"/>
  <c r="AO234" i="1"/>
  <c r="AN234" i="1"/>
  <c r="AM234" i="1"/>
  <c r="AK234" i="1"/>
  <c r="AG234" i="1"/>
  <c r="AF234" i="1"/>
  <c r="AE234" i="1"/>
  <c r="AD234" i="1"/>
  <c r="AB234" i="1"/>
  <c r="X234" i="1"/>
  <c r="W234" i="1"/>
  <c r="V234" i="1"/>
  <c r="U234" i="1"/>
  <c r="S234" i="1"/>
  <c r="K234" i="1"/>
  <c r="J234" i="1"/>
  <c r="I234" i="1"/>
  <c r="CR233" i="1"/>
  <c r="CQ233" i="1"/>
  <c r="CP233" i="1"/>
  <c r="CO233" i="1"/>
  <c r="CM233" i="1"/>
  <c r="CI233" i="1"/>
  <c r="CH233" i="1"/>
  <c r="CG233" i="1"/>
  <c r="CF233" i="1"/>
  <c r="CD233" i="1"/>
  <c r="CC233" i="1"/>
  <c r="CB233" i="1"/>
  <c r="BZ233" i="1"/>
  <c r="BY233" i="1"/>
  <c r="BX233" i="1"/>
  <c r="BW233" i="1"/>
  <c r="BU233" i="1"/>
  <c r="BQ233" i="1"/>
  <c r="BP233" i="1"/>
  <c r="BO233" i="1"/>
  <c r="BN233" i="1"/>
  <c r="BL233" i="1"/>
  <c r="BH233" i="1"/>
  <c r="BG233" i="1"/>
  <c r="BF233" i="1"/>
  <c r="BE233" i="1"/>
  <c r="BC233" i="1"/>
  <c r="AY233" i="1"/>
  <c r="AX233" i="1"/>
  <c r="AW233" i="1"/>
  <c r="AV233" i="1"/>
  <c r="AT233" i="1"/>
  <c r="AP233" i="1"/>
  <c r="AO233" i="1"/>
  <c r="AN233" i="1"/>
  <c r="AM233" i="1"/>
  <c r="AK233" i="1"/>
  <c r="AG233" i="1"/>
  <c r="AF233" i="1"/>
  <c r="AE233" i="1"/>
  <c r="AD233" i="1"/>
  <c r="AB233" i="1"/>
  <c r="X233" i="1"/>
  <c r="W233" i="1"/>
  <c r="V233" i="1"/>
  <c r="U233" i="1"/>
  <c r="S233" i="1"/>
  <c r="K233" i="1"/>
  <c r="J233" i="1"/>
  <c r="I233" i="1"/>
  <c r="CR232" i="1"/>
  <c r="CQ232" i="1"/>
  <c r="CP232" i="1"/>
  <c r="CO232" i="1"/>
  <c r="CM232" i="1"/>
  <c r="CI232" i="1"/>
  <c r="CH232" i="1"/>
  <c r="CG232" i="1"/>
  <c r="CF232" i="1"/>
  <c r="CD232" i="1"/>
  <c r="CC232" i="1"/>
  <c r="CB232" i="1"/>
  <c r="BZ232" i="1"/>
  <c r="BY232" i="1"/>
  <c r="BX232" i="1"/>
  <c r="BW232" i="1"/>
  <c r="BU232" i="1"/>
  <c r="BQ232" i="1"/>
  <c r="BP232" i="1"/>
  <c r="BO232" i="1"/>
  <c r="BN232" i="1"/>
  <c r="BL232" i="1"/>
  <c r="BH232" i="1"/>
  <c r="BG232" i="1"/>
  <c r="BF232" i="1"/>
  <c r="BE232" i="1"/>
  <c r="BC232" i="1"/>
  <c r="AY232" i="1"/>
  <c r="AX232" i="1"/>
  <c r="AW232" i="1"/>
  <c r="AV232" i="1"/>
  <c r="AT232" i="1"/>
  <c r="AP232" i="1"/>
  <c r="AO232" i="1"/>
  <c r="AN232" i="1"/>
  <c r="AM232" i="1"/>
  <c r="AK232" i="1"/>
  <c r="AG232" i="1"/>
  <c r="AF232" i="1"/>
  <c r="AE232" i="1"/>
  <c r="AD232" i="1"/>
  <c r="AB232" i="1"/>
  <c r="X232" i="1"/>
  <c r="W232" i="1"/>
  <c r="V232" i="1"/>
  <c r="U232" i="1"/>
  <c r="S232" i="1"/>
  <c r="K232" i="1"/>
  <c r="J232" i="1"/>
  <c r="I232" i="1"/>
  <c r="CR231" i="1"/>
  <c r="CQ231" i="1"/>
  <c r="CP231" i="1"/>
  <c r="CO231" i="1"/>
  <c r="CM231" i="1"/>
  <c r="CI231" i="1"/>
  <c r="CH231" i="1"/>
  <c r="CG231" i="1"/>
  <c r="CF231" i="1"/>
  <c r="CD231" i="1"/>
  <c r="CC231" i="1"/>
  <c r="CB231" i="1"/>
  <c r="BZ231" i="1"/>
  <c r="BY231" i="1"/>
  <c r="BX231" i="1"/>
  <c r="BW231" i="1"/>
  <c r="BU231" i="1"/>
  <c r="BQ231" i="1"/>
  <c r="BP231" i="1"/>
  <c r="BO231" i="1"/>
  <c r="BN231" i="1"/>
  <c r="BL231" i="1"/>
  <c r="BH231" i="1"/>
  <c r="BG231" i="1"/>
  <c r="BF231" i="1"/>
  <c r="BE231" i="1"/>
  <c r="BC231" i="1"/>
  <c r="AY231" i="1"/>
  <c r="AX231" i="1"/>
  <c r="AW231" i="1"/>
  <c r="AV231" i="1"/>
  <c r="AT231" i="1"/>
  <c r="AP231" i="1"/>
  <c r="AO231" i="1"/>
  <c r="AN231" i="1"/>
  <c r="AM231" i="1"/>
  <c r="AK231" i="1"/>
  <c r="AG231" i="1"/>
  <c r="AF231" i="1"/>
  <c r="AE231" i="1"/>
  <c r="AD231" i="1"/>
  <c r="AB231" i="1"/>
  <c r="X231" i="1"/>
  <c r="W231" i="1"/>
  <c r="V231" i="1"/>
  <c r="U231" i="1"/>
  <c r="S231" i="1"/>
  <c r="K231" i="1"/>
  <c r="J231" i="1"/>
  <c r="I231" i="1"/>
  <c r="CR230" i="1"/>
  <c r="CQ230" i="1"/>
  <c r="CP230" i="1"/>
  <c r="CO230" i="1"/>
  <c r="CM230" i="1"/>
  <c r="CI230" i="1"/>
  <c r="CH230" i="1"/>
  <c r="CG230" i="1"/>
  <c r="CF230" i="1"/>
  <c r="CD230" i="1"/>
  <c r="CC230" i="1"/>
  <c r="CB230" i="1"/>
  <c r="BZ230" i="1"/>
  <c r="BY230" i="1"/>
  <c r="BX230" i="1"/>
  <c r="BW230" i="1"/>
  <c r="BU230" i="1"/>
  <c r="BQ230" i="1"/>
  <c r="BP230" i="1"/>
  <c r="BO230" i="1"/>
  <c r="BN230" i="1"/>
  <c r="BL230" i="1"/>
  <c r="BH230" i="1"/>
  <c r="BG230" i="1"/>
  <c r="BF230" i="1"/>
  <c r="BE230" i="1"/>
  <c r="BC230" i="1"/>
  <c r="AY230" i="1"/>
  <c r="AX230" i="1"/>
  <c r="AW230" i="1"/>
  <c r="AV230" i="1"/>
  <c r="AT230" i="1"/>
  <c r="AP230" i="1"/>
  <c r="AO230" i="1"/>
  <c r="AN230" i="1"/>
  <c r="AM230" i="1"/>
  <c r="AK230" i="1"/>
  <c r="AG230" i="1"/>
  <c r="AF230" i="1"/>
  <c r="AE230" i="1"/>
  <c r="AD230" i="1"/>
  <c r="AB230" i="1"/>
  <c r="X230" i="1"/>
  <c r="W230" i="1"/>
  <c r="V230" i="1"/>
  <c r="U230" i="1"/>
  <c r="S230" i="1"/>
  <c r="K230" i="1"/>
  <c r="J230" i="1"/>
  <c r="I230" i="1"/>
  <c r="CR229" i="1"/>
  <c r="CQ229" i="1"/>
  <c r="CP229" i="1"/>
  <c r="CO229" i="1"/>
  <c r="CM229" i="1"/>
  <c r="CI229" i="1"/>
  <c r="CH229" i="1"/>
  <c r="CG229" i="1"/>
  <c r="CF229" i="1"/>
  <c r="CD229" i="1"/>
  <c r="CC229" i="1"/>
  <c r="CB229" i="1"/>
  <c r="BZ229" i="1"/>
  <c r="BY229" i="1"/>
  <c r="BX229" i="1"/>
  <c r="BW229" i="1"/>
  <c r="BU229" i="1"/>
  <c r="BQ229" i="1"/>
  <c r="BP229" i="1"/>
  <c r="BO229" i="1"/>
  <c r="BN229" i="1"/>
  <c r="BL229" i="1"/>
  <c r="BH229" i="1"/>
  <c r="BG229" i="1"/>
  <c r="BF229" i="1"/>
  <c r="BE229" i="1"/>
  <c r="BC229" i="1"/>
  <c r="AY229" i="1"/>
  <c r="AX229" i="1"/>
  <c r="AW229" i="1"/>
  <c r="AV229" i="1"/>
  <c r="AT229" i="1"/>
  <c r="AP229" i="1"/>
  <c r="AO229" i="1"/>
  <c r="AN229" i="1"/>
  <c r="AM229" i="1"/>
  <c r="AK229" i="1"/>
  <c r="AG229" i="1"/>
  <c r="AF229" i="1"/>
  <c r="AE229" i="1"/>
  <c r="AD229" i="1"/>
  <c r="AB229" i="1"/>
  <c r="X229" i="1"/>
  <c r="W229" i="1"/>
  <c r="V229" i="1"/>
  <c r="U229" i="1"/>
  <c r="S229" i="1"/>
  <c r="K229" i="1"/>
  <c r="J229" i="1"/>
  <c r="I229" i="1"/>
  <c r="CR228" i="1"/>
  <c r="CQ228" i="1"/>
  <c r="CP228" i="1"/>
  <c r="CO228" i="1"/>
  <c r="CM228" i="1"/>
  <c r="CI228" i="1"/>
  <c r="CH228" i="1"/>
  <c r="CG228" i="1"/>
  <c r="CF228" i="1"/>
  <c r="CD228" i="1"/>
  <c r="CC228" i="1"/>
  <c r="CB228" i="1"/>
  <c r="BZ228" i="1"/>
  <c r="BY228" i="1"/>
  <c r="BX228" i="1"/>
  <c r="BW228" i="1"/>
  <c r="BU228" i="1"/>
  <c r="BQ228" i="1"/>
  <c r="BP228" i="1"/>
  <c r="BO228" i="1"/>
  <c r="BN228" i="1"/>
  <c r="BL228" i="1"/>
  <c r="BH228" i="1"/>
  <c r="BG228" i="1"/>
  <c r="BF228" i="1"/>
  <c r="BE228" i="1"/>
  <c r="BC228" i="1"/>
  <c r="AY228" i="1"/>
  <c r="AX228" i="1"/>
  <c r="AW228" i="1"/>
  <c r="AV228" i="1"/>
  <c r="AT228" i="1"/>
  <c r="AP228" i="1"/>
  <c r="AO228" i="1"/>
  <c r="AN228" i="1"/>
  <c r="AM228" i="1"/>
  <c r="AK228" i="1"/>
  <c r="AG228" i="1"/>
  <c r="AF228" i="1"/>
  <c r="AE228" i="1"/>
  <c r="AD228" i="1"/>
  <c r="AB228" i="1"/>
  <c r="X228" i="1"/>
  <c r="W228" i="1"/>
  <c r="V228" i="1"/>
  <c r="U228" i="1"/>
  <c r="S228" i="1"/>
  <c r="K228" i="1"/>
  <c r="J228" i="1"/>
  <c r="I228" i="1"/>
  <c r="CL226" i="1"/>
  <c r="CC226" i="1"/>
  <c r="BT226" i="1"/>
  <c r="BS226" i="1"/>
  <c r="BK226" i="1"/>
  <c r="BJ226" i="1"/>
  <c r="BB226" i="1"/>
  <c r="BA226" i="1"/>
  <c r="AS226" i="1"/>
  <c r="AR226" i="1"/>
  <c r="AJ226" i="1"/>
  <c r="AI226" i="1"/>
  <c r="AA226" i="1"/>
  <c r="Z226" i="1"/>
  <c r="R226" i="1"/>
  <c r="Q226" i="1"/>
  <c r="D226" i="1"/>
  <c r="CM225" i="1"/>
  <c r="CK225" i="1"/>
  <c r="CD225" i="1"/>
  <c r="CB225" i="1"/>
  <c r="BU225" i="1"/>
  <c r="BS225" i="1"/>
  <c r="BL225" i="1"/>
  <c r="BJ225" i="1"/>
  <c r="BC225" i="1"/>
  <c r="BA225" i="1"/>
  <c r="AT225" i="1"/>
  <c r="AR225" i="1"/>
  <c r="AK225" i="1"/>
  <c r="AI225" i="1"/>
  <c r="AB225" i="1"/>
  <c r="Z225" i="1"/>
  <c r="S225" i="1"/>
  <c r="Q225" i="1"/>
  <c r="I225" i="1"/>
  <c r="E225" i="1"/>
  <c r="CK224" i="1"/>
  <c r="CB224" i="1"/>
  <c r="BS224" i="1"/>
  <c r="BJ224" i="1"/>
  <c r="BA224" i="1"/>
  <c r="AR224" i="1"/>
  <c r="AI224" i="1"/>
  <c r="Z224" i="1"/>
  <c r="Q224" i="1"/>
  <c r="E223" i="1"/>
  <c r="E222" i="1"/>
  <c r="CM218" i="1"/>
  <c r="CL218" i="1"/>
  <c r="CK218" i="1"/>
  <c r="CD218" i="1"/>
  <c r="CC218" i="1"/>
  <c r="CB218" i="1"/>
  <c r="BU218" i="1"/>
  <c r="BT218" i="1"/>
  <c r="BS218" i="1"/>
  <c r="BL218" i="1"/>
  <c r="BK218" i="1"/>
  <c r="BJ218" i="1"/>
  <c r="BC218" i="1"/>
  <c r="BB218" i="1"/>
  <c r="BA218" i="1"/>
  <c r="AT218" i="1"/>
  <c r="AS218" i="1"/>
  <c r="AR218" i="1"/>
  <c r="AK218" i="1"/>
  <c r="AJ218" i="1"/>
  <c r="AI218" i="1"/>
  <c r="AB218" i="1"/>
  <c r="AA218" i="1"/>
  <c r="Z218" i="1"/>
  <c r="S218" i="1"/>
  <c r="R218" i="1"/>
  <c r="Q218" i="1"/>
  <c r="K218" i="1"/>
  <c r="J218" i="1"/>
  <c r="I218" i="1"/>
  <c r="H218" i="1"/>
  <c r="F218" i="1"/>
  <c r="CR217" i="1"/>
  <c r="CQ217" i="1"/>
  <c r="CP217" i="1"/>
  <c r="CO217" i="1"/>
  <c r="CM217" i="1"/>
  <c r="CI217" i="1"/>
  <c r="CH217" i="1"/>
  <c r="CG217" i="1"/>
  <c r="CF217" i="1"/>
  <c r="CD217" i="1"/>
  <c r="CC217" i="1"/>
  <c r="CB217" i="1"/>
  <c r="BZ217" i="1"/>
  <c r="BY217" i="1"/>
  <c r="BX217" i="1"/>
  <c r="BW217" i="1"/>
  <c r="BU217" i="1"/>
  <c r="BQ217" i="1"/>
  <c r="BP217" i="1"/>
  <c r="BO217" i="1"/>
  <c r="BN217" i="1"/>
  <c r="BL217" i="1"/>
  <c r="BH217" i="1"/>
  <c r="BG217" i="1"/>
  <c r="BF217" i="1"/>
  <c r="BE217" i="1"/>
  <c r="BC217" i="1"/>
  <c r="AY217" i="1"/>
  <c r="AX217" i="1"/>
  <c r="AW217" i="1"/>
  <c r="AV217" i="1"/>
  <c r="AT217" i="1"/>
  <c r="AP217" i="1"/>
  <c r="AO217" i="1"/>
  <c r="AN217" i="1"/>
  <c r="AM217" i="1"/>
  <c r="AK217" i="1"/>
  <c r="AG217" i="1"/>
  <c r="AF217" i="1"/>
  <c r="AE217" i="1"/>
  <c r="AD217" i="1"/>
  <c r="AB217" i="1"/>
  <c r="X217" i="1"/>
  <c r="W217" i="1"/>
  <c r="V217" i="1"/>
  <c r="U217" i="1"/>
  <c r="S217" i="1"/>
  <c r="K217" i="1"/>
  <c r="J217" i="1"/>
  <c r="I217" i="1"/>
  <c r="CR216" i="1"/>
  <c r="CQ216" i="1"/>
  <c r="CP216" i="1"/>
  <c r="CO216" i="1"/>
  <c r="CM216" i="1"/>
  <c r="CI216" i="1"/>
  <c r="CH216" i="1"/>
  <c r="CG216" i="1"/>
  <c r="CF216" i="1"/>
  <c r="CD216" i="1"/>
  <c r="CC216" i="1"/>
  <c r="CB216" i="1"/>
  <c r="BZ216" i="1"/>
  <c r="BY216" i="1"/>
  <c r="BX216" i="1"/>
  <c r="BW216" i="1"/>
  <c r="BU216" i="1"/>
  <c r="BQ216" i="1"/>
  <c r="BP216" i="1"/>
  <c r="BO216" i="1"/>
  <c r="BN216" i="1"/>
  <c r="BL216" i="1"/>
  <c r="BH216" i="1"/>
  <c r="BG216" i="1"/>
  <c r="BF216" i="1"/>
  <c r="BE216" i="1"/>
  <c r="BC216" i="1"/>
  <c r="AY216" i="1"/>
  <c r="AX216" i="1"/>
  <c r="AW216" i="1"/>
  <c r="AV216" i="1"/>
  <c r="AT216" i="1"/>
  <c r="AP216" i="1"/>
  <c r="AO216" i="1"/>
  <c r="AN216" i="1"/>
  <c r="AM216" i="1"/>
  <c r="AK216" i="1"/>
  <c r="AG216" i="1"/>
  <c r="AF216" i="1"/>
  <c r="AE216" i="1"/>
  <c r="AD216" i="1"/>
  <c r="AB216" i="1"/>
  <c r="X216" i="1"/>
  <c r="W216" i="1"/>
  <c r="V216" i="1"/>
  <c r="U216" i="1"/>
  <c r="S216" i="1"/>
  <c r="K216" i="1"/>
  <c r="J216" i="1"/>
  <c r="I216" i="1"/>
  <c r="CR215" i="1"/>
  <c r="CQ215" i="1"/>
  <c r="CP215" i="1"/>
  <c r="CO215" i="1"/>
  <c r="CM215" i="1"/>
  <c r="CI215" i="1"/>
  <c r="CH215" i="1"/>
  <c r="CG215" i="1"/>
  <c r="CF215" i="1"/>
  <c r="CD215" i="1"/>
  <c r="CC215" i="1"/>
  <c r="CB215" i="1"/>
  <c r="BZ215" i="1"/>
  <c r="BY215" i="1"/>
  <c r="BX215" i="1"/>
  <c r="BW215" i="1"/>
  <c r="BU215" i="1"/>
  <c r="BQ215" i="1"/>
  <c r="BP215" i="1"/>
  <c r="BO215" i="1"/>
  <c r="BN215" i="1"/>
  <c r="BL215" i="1"/>
  <c r="BH215" i="1"/>
  <c r="BG215" i="1"/>
  <c r="BF215" i="1"/>
  <c r="BE215" i="1"/>
  <c r="BC215" i="1"/>
  <c r="AY215" i="1"/>
  <c r="AX215" i="1"/>
  <c r="AW215" i="1"/>
  <c r="AV215" i="1"/>
  <c r="AT215" i="1"/>
  <c r="AP215" i="1"/>
  <c r="AO215" i="1"/>
  <c r="AN215" i="1"/>
  <c r="AM215" i="1"/>
  <c r="AK215" i="1"/>
  <c r="AG215" i="1"/>
  <c r="AF215" i="1"/>
  <c r="AE215" i="1"/>
  <c r="AD215" i="1"/>
  <c r="AB215" i="1"/>
  <c r="X215" i="1"/>
  <c r="W215" i="1"/>
  <c r="V215" i="1"/>
  <c r="U215" i="1"/>
  <c r="S215" i="1"/>
  <c r="K215" i="1"/>
  <c r="J215" i="1"/>
  <c r="I215" i="1"/>
  <c r="CR214" i="1"/>
  <c r="CQ214" i="1"/>
  <c r="CP214" i="1"/>
  <c r="CO214" i="1"/>
  <c r="CM214" i="1"/>
  <c r="CI214" i="1"/>
  <c r="CH214" i="1"/>
  <c r="CG214" i="1"/>
  <c r="CF214" i="1"/>
  <c r="CD214" i="1"/>
  <c r="CC214" i="1"/>
  <c r="CB214" i="1"/>
  <c r="BZ214" i="1"/>
  <c r="BY214" i="1"/>
  <c r="BX214" i="1"/>
  <c r="BW214" i="1"/>
  <c r="BU214" i="1"/>
  <c r="BQ214" i="1"/>
  <c r="BP214" i="1"/>
  <c r="BO214" i="1"/>
  <c r="BN214" i="1"/>
  <c r="BL214" i="1"/>
  <c r="BH214" i="1"/>
  <c r="BG214" i="1"/>
  <c r="BF214" i="1"/>
  <c r="BE214" i="1"/>
  <c r="BC214" i="1"/>
  <c r="AY214" i="1"/>
  <c r="AX214" i="1"/>
  <c r="AW214" i="1"/>
  <c r="AV214" i="1"/>
  <c r="AT214" i="1"/>
  <c r="AP214" i="1"/>
  <c r="AO214" i="1"/>
  <c r="AN214" i="1"/>
  <c r="AM214" i="1"/>
  <c r="AK214" i="1"/>
  <c r="AG214" i="1"/>
  <c r="AF214" i="1"/>
  <c r="AE214" i="1"/>
  <c r="AD214" i="1"/>
  <c r="AB214" i="1"/>
  <c r="X214" i="1"/>
  <c r="W214" i="1"/>
  <c r="V214" i="1"/>
  <c r="U214" i="1"/>
  <c r="S214" i="1"/>
  <c r="K214" i="1"/>
  <c r="J214" i="1"/>
  <c r="I214" i="1"/>
  <c r="CR213" i="1"/>
  <c r="CQ213" i="1"/>
  <c r="CP213" i="1"/>
  <c r="CO213" i="1"/>
  <c r="CM213" i="1"/>
  <c r="CI213" i="1"/>
  <c r="CH213" i="1"/>
  <c r="CG213" i="1"/>
  <c r="CF213" i="1"/>
  <c r="CD213" i="1"/>
  <c r="CC213" i="1"/>
  <c r="CB213" i="1"/>
  <c r="BZ213" i="1"/>
  <c r="BY213" i="1"/>
  <c r="BX213" i="1"/>
  <c r="BW213" i="1"/>
  <c r="BU213" i="1"/>
  <c r="BQ213" i="1"/>
  <c r="BP213" i="1"/>
  <c r="BO213" i="1"/>
  <c r="BN213" i="1"/>
  <c r="BL213" i="1"/>
  <c r="BH213" i="1"/>
  <c r="BG213" i="1"/>
  <c r="BF213" i="1"/>
  <c r="BE213" i="1"/>
  <c r="BC213" i="1"/>
  <c r="AY213" i="1"/>
  <c r="AX213" i="1"/>
  <c r="AW213" i="1"/>
  <c r="AV213" i="1"/>
  <c r="AT213" i="1"/>
  <c r="AP213" i="1"/>
  <c r="AO213" i="1"/>
  <c r="AN213" i="1"/>
  <c r="AM213" i="1"/>
  <c r="AK213" i="1"/>
  <c r="AG213" i="1"/>
  <c r="AF213" i="1"/>
  <c r="AE213" i="1"/>
  <c r="AD213" i="1"/>
  <c r="AB213" i="1"/>
  <c r="X213" i="1"/>
  <c r="W213" i="1"/>
  <c r="V213" i="1"/>
  <c r="U213" i="1"/>
  <c r="S213" i="1"/>
  <c r="K213" i="1"/>
  <c r="J213" i="1"/>
  <c r="I213" i="1"/>
  <c r="CR212" i="1"/>
  <c r="CQ212" i="1"/>
  <c r="CP212" i="1"/>
  <c r="CO212" i="1"/>
  <c r="CM212" i="1"/>
  <c r="CI212" i="1"/>
  <c r="CH212" i="1"/>
  <c r="CG212" i="1"/>
  <c r="CF212" i="1"/>
  <c r="CD212" i="1"/>
  <c r="CC212" i="1"/>
  <c r="CB212" i="1"/>
  <c r="BZ212" i="1"/>
  <c r="BY212" i="1"/>
  <c r="BX212" i="1"/>
  <c r="BW212" i="1"/>
  <c r="BU212" i="1"/>
  <c r="BQ212" i="1"/>
  <c r="BP212" i="1"/>
  <c r="BO212" i="1"/>
  <c r="BN212" i="1"/>
  <c r="BL212" i="1"/>
  <c r="BH212" i="1"/>
  <c r="BG212" i="1"/>
  <c r="BF212" i="1"/>
  <c r="BE212" i="1"/>
  <c r="BC212" i="1"/>
  <c r="AY212" i="1"/>
  <c r="AX212" i="1"/>
  <c r="AW212" i="1"/>
  <c r="AV212" i="1"/>
  <c r="AT212" i="1"/>
  <c r="AP212" i="1"/>
  <c r="AO212" i="1"/>
  <c r="AN212" i="1"/>
  <c r="AM212" i="1"/>
  <c r="AK212" i="1"/>
  <c r="AG212" i="1"/>
  <c r="AF212" i="1"/>
  <c r="AE212" i="1"/>
  <c r="AD212" i="1"/>
  <c r="AB212" i="1"/>
  <c r="X212" i="1"/>
  <c r="W212" i="1"/>
  <c r="V212" i="1"/>
  <c r="U212" i="1"/>
  <c r="S212" i="1"/>
  <c r="K212" i="1"/>
  <c r="J212" i="1"/>
  <c r="I212" i="1"/>
  <c r="CR211" i="1"/>
  <c r="CQ211" i="1"/>
  <c r="CP211" i="1"/>
  <c r="CO211" i="1"/>
  <c r="CM211" i="1"/>
  <c r="CI211" i="1"/>
  <c r="CH211" i="1"/>
  <c r="CG211" i="1"/>
  <c r="CF211" i="1"/>
  <c r="CD211" i="1"/>
  <c r="CC211" i="1"/>
  <c r="CB211" i="1"/>
  <c r="BZ211" i="1"/>
  <c r="BY211" i="1"/>
  <c r="BX211" i="1"/>
  <c r="BW211" i="1"/>
  <c r="BU211" i="1"/>
  <c r="BQ211" i="1"/>
  <c r="BP211" i="1"/>
  <c r="BO211" i="1"/>
  <c r="BN211" i="1"/>
  <c r="BL211" i="1"/>
  <c r="BH211" i="1"/>
  <c r="BG211" i="1"/>
  <c r="BF211" i="1"/>
  <c r="BE211" i="1"/>
  <c r="BC211" i="1"/>
  <c r="AY211" i="1"/>
  <c r="AX211" i="1"/>
  <c r="AW211" i="1"/>
  <c r="AV211" i="1"/>
  <c r="AT211" i="1"/>
  <c r="AP211" i="1"/>
  <c r="AO211" i="1"/>
  <c r="AN211" i="1"/>
  <c r="AM211" i="1"/>
  <c r="AK211" i="1"/>
  <c r="AG211" i="1"/>
  <c r="AF211" i="1"/>
  <c r="AE211" i="1"/>
  <c r="AD211" i="1"/>
  <c r="AB211" i="1"/>
  <c r="X211" i="1"/>
  <c r="W211" i="1"/>
  <c r="V211" i="1"/>
  <c r="U211" i="1"/>
  <c r="S211" i="1"/>
  <c r="K211" i="1"/>
  <c r="J211" i="1"/>
  <c r="I211" i="1"/>
  <c r="CR210" i="1"/>
  <c r="CQ210" i="1"/>
  <c r="CP210" i="1"/>
  <c r="CO210" i="1"/>
  <c r="CM210" i="1"/>
  <c r="CI210" i="1"/>
  <c r="CH210" i="1"/>
  <c r="CG210" i="1"/>
  <c r="CF210" i="1"/>
  <c r="CD210" i="1"/>
  <c r="CC210" i="1"/>
  <c r="CB210" i="1"/>
  <c r="BZ210" i="1"/>
  <c r="BY210" i="1"/>
  <c r="BX210" i="1"/>
  <c r="BW210" i="1"/>
  <c r="BU210" i="1"/>
  <c r="BQ210" i="1"/>
  <c r="BP210" i="1"/>
  <c r="BO210" i="1"/>
  <c r="BN210" i="1"/>
  <c r="BL210" i="1"/>
  <c r="BH210" i="1"/>
  <c r="BG210" i="1"/>
  <c r="BF210" i="1"/>
  <c r="BE210" i="1"/>
  <c r="BC210" i="1"/>
  <c r="AY210" i="1"/>
  <c r="AX210" i="1"/>
  <c r="AW210" i="1"/>
  <c r="AV210" i="1"/>
  <c r="AT210" i="1"/>
  <c r="AP210" i="1"/>
  <c r="AO210" i="1"/>
  <c r="AN210" i="1"/>
  <c r="AM210" i="1"/>
  <c r="AK210" i="1"/>
  <c r="AG210" i="1"/>
  <c r="AF210" i="1"/>
  <c r="AE210" i="1"/>
  <c r="AD210" i="1"/>
  <c r="AB210" i="1"/>
  <c r="X210" i="1"/>
  <c r="W210" i="1"/>
  <c r="V210" i="1"/>
  <c r="U210" i="1"/>
  <c r="S210" i="1"/>
  <c r="K210" i="1"/>
  <c r="J210" i="1"/>
  <c r="I210" i="1"/>
  <c r="CR209" i="1"/>
  <c r="CQ209" i="1"/>
  <c r="CP209" i="1"/>
  <c r="CO209" i="1"/>
  <c r="CM209" i="1"/>
  <c r="CI209" i="1"/>
  <c r="CH209" i="1"/>
  <c r="CG209" i="1"/>
  <c r="CF209" i="1"/>
  <c r="CD209" i="1"/>
  <c r="CC209" i="1"/>
  <c r="CB209" i="1"/>
  <c r="BZ209" i="1"/>
  <c r="BY209" i="1"/>
  <c r="BX209" i="1"/>
  <c r="BW209" i="1"/>
  <c r="BU209" i="1"/>
  <c r="BQ209" i="1"/>
  <c r="BP209" i="1"/>
  <c r="BO209" i="1"/>
  <c r="BN209" i="1"/>
  <c r="BL209" i="1"/>
  <c r="BH209" i="1"/>
  <c r="BG209" i="1"/>
  <c r="BF209" i="1"/>
  <c r="BE209" i="1"/>
  <c r="BC209" i="1"/>
  <c r="AY209" i="1"/>
  <c r="AX209" i="1"/>
  <c r="AW209" i="1"/>
  <c r="AV209" i="1"/>
  <c r="AT209" i="1"/>
  <c r="AP209" i="1"/>
  <c r="AO209" i="1"/>
  <c r="AN209" i="1"/>
  <c r="AM209" i="1"/>
  <c r="AK209" i="1"/>
  <c r="AG209" i="1"/>
  <c r="AF209" i="1"/>
  <c r="AE209" i="1"/>
  <c r="AD209" i="1"/>
  <c r="AB209" i="1"/>
  <c r="X209" i="1"/>
  <c r="W209" i="1"/>
  <c r="V209" i="1"/>
  <c r="U209" i="1"/>
  <c r="S209" i="1"/>
  <c r="K209" i="1"/>
  <c r="J209" i="1"/>
  <c r="I209" i="1"/>
  <c r="CR208" i="1"/>
  <c r="CQ208" i="1"/>
  <c r="CP208" i="1"/>
  <c r="CO208" i="1"/>
  <c r="CM208" i="1"/>
  <c r="CI208" i="1"/>
  <c r="CH208" i="1"/>
  <c r="CG208" i="1"/>
  <c r="CF208" i="1"/>
  <c r="CD208" i="1"/>
  <c r="CC208" i="1"/>
  <c r="CB208" i="1"/>
  <c r="BZ208" i="1"/>
  <c r="BY208" i="1"/>
  <c r="BX208" i="1"/>
  <c r="BW208" i="1"/>
  <c r="BU208" i="1"/>
  <c r="BQ208" i="1"/>
  <c r="BP208" i="1"/>
  <c r="BO208" i="1"/>
  <c r="BN208" i="1"/>
  <c r="BL208" i="1"/>
  <c r="BH208" i="1"/>
  <c r="BG208" i="1"/>
  <c r="BF208" i="1"/>
  <c r="BE208" i="1"/>
  <c r="BC208" i="1"/>
  <c r="AY208" i="1"/>
  <c r="AX208" i="1"/>
  <c r="AW208" i="1"/>
  <c r="AV208" i="1"/>
  <c r="AT208" i="1"/>
  <c r="AP208" i="1"/>
  <c r="AO208" i="1"/>
  <c r="AN208" i="1"/>
  <c r="AM208" i="1"/>
  <c r="AK208" i="1"/>
  <c r="AG208" i="1"/>
  <c r="AF208" i="1"/>
  <c r="AE208" i="1"/>
  <c r="AD208" i="1"/>
  <c r="AB208" i="1"/>
  <c r="X208" i="1"/>
  <c r="W208" i="1"/>
  <c r="V208" i="1"/>
  <c r="U208" i="1"/>
  <c r="S208" i="1"/>
  <c r="K208" i="1"/>
  <c r="J208" i="1"/>
  <c r="I208" i="1"/>
  <c r="CR207" i="1"/>
  <c r="CQ207" i="1"/>
  <c r="CP207" i="1"/>
  <c r="CO207" i="1"/>
  <c r="CM207" i="1"/>
  <c r="CI207" i="1"/>
  <c r="CH207" i="1"/>
  <c r="CG207" i="1"/>
  <c r="CF207" i="1"/>
  <c r="CD207" i="1"/>
  <c r="CC207" i="1"/>
  <c r="CB207" i="1"/>
  <c r="BZ207" i="1"/>
  <c r="BY207" i="1"/>
  <c r="BX207" i="1"/>
  <c r="BW207" i="1"/>
  <c r="BU207" i="1"/>
  <c r="BQ207" i="1"/>
  <c r="BP207" i="1"/>
  <c r="BO207" i="1"/>
  <c r="BN207" i="1"/>
  <c r="BL207" i="1"/>
  <c r="BH207" i="1"/>
  <c r="BG207" i="1"/>
  <c r="BF207" i="1"/>
  <c r="BE207" i="1"/>
  <c r="BC207" i="1"/>
  <c r="AY207" i="1"/>
  <c r="AX207" i="1"/>
  <c r="AW207" i="1"/>
  <c r="AV207" i="1"/>
  <c r="AT207" i="1"/>
  <c r="AP207" i="1"/>
  <c r="AO207" i="1"/>
  <c r="AN207" i="1"/>
  <c r="AM207" i="1"/>
  <c r="AK207" i="1"/>
  <c r="AG207" i="1"/>
  <c r="AF207" i="1"/>
  <c r="AE207" i="1"/>
  <c r="AD207" i="1"/>
  <c r="AB207" i="1"/>
  <c r="X207" i="1"/>
  <c r="W207" i="1"/>
  <c r="V207" i="1"/>
  <c r="U207" i="1"/>
  <c r="S207" i="1"/>
  <c r="K207" i="1"/>
  <c r="J207" i="1"/>
  <c r="I207" i="1"/>
  <c r="CR206" i="1"/>
  <c r="CQ206" i="1"/>
  <c r="CP206" i="1"/>
  <c r="CO206" i="1"/>
  <c r="CM206" i="1"/>
  <c r="CI206" i="1"/>
  <c r="CH206" i="1"/>
  <c r="CG206" i="1"/>
  <c r="CF206" i="1"/>
  <c r="CD206" i="1"/>
  <c r="CC206" i="1"/>
  <c r="CB206" i="1"/>
  <c r="BZ206" i="1"/>
  <c r="BY206" i="1"/>
  <c r="BX206" i="1"/>
  <c r="BW206" i="1"/>
  <c r="BU206" i="1"/>
  <c r="BQ206" i="1"/>
  <c r="BP206" i="1"/>
  <c r="BO206" i="1"/>
  <c r="BN206" i="1"/>
  <c r="BL206" i="1"/>
  <c r="BH206" i="1"/>
  <c r="BG206" i="1"/>
  <c r="BF206" i="1"/>
  <c r="BE206" i="1"/>
  <c r="BC206" i="1"/>
  <c r="AY206" i="1"/>
  <c r="AX206" i="1"/>
  <c r="AW206" i="1"/>
  <c r="AV206" i="1"/>
  <c r="AT206" i="1"/>
  <c r="AP206" i="1"/>
  <c r="AO206" i="1"/>
  <c r="AN206" i="1"/>
  <c r="AM206" i="1"/>
  <c r="AK206" i="1"/>
  <c r="AG206" i="1"/>
  <c r="AF206" i="1"/>
  <c r="AE206" i="1"/>
  <c r="AD206" i="1"/>
  <c r="AB206" i="1"/>
  <c r="X206" i="1"/>
  <c r="W206" i="1"/>
  <c r="V206" i="1"/>
  <c r="U206" i="1"/>
  <c r="S206" i="1"/>
  <c r="K206" i="1"/>
  <c r="J206" i="1"/>
  <c r="I206" i="1"/>
  <c r="CL204" i="1"/>
  <c r="CC204" i="1"/>
  <c r="BT204" i="1"/>
  <c r="BS204" i="1"/>
  <c r="BK204" i="1"/>
  <c r="BJ204" i="1"/>
  <c r="BB204" i="1"/>
  <c r="BA204" i="1"/>
  <c r="AS204" i="1"/>
  <c r="AR204" i="1"/>
  <c r="AJ204" i="1"/>
  <c r="AI204" i="1"/>
  <c r="AA204" i="1"/>
  <c r="Z204" i="1"/>
  <c r="R204" i="1"/>
  <c r="Q204" i="1"/>
  <c r="D204" i="1"/>
  <c r="CM203" i="1"/>
  <c r="CK203" i="1"/>
  <c r="CD203" i="1"/>
  <c r="CB203" i="1"/>
  <c r="BU203" i="1"/>
  <c r="BS203" i="1"/>
  <c r="BL203" i="1"/>
  <c r="BJ203" i="1"/>
  <c r="BC203" i="1"/>
  <c r="BA203" i="1"/>
  <c r="AT203" i="1"/>
  <c r="AR203" i="1"/>
  <c r="AK203" i="1"/>
  <c r="AI203" i="1"/>
  <c r="AB203" i="1"/>
  <c r="Z203" i="1"/>
  <c r="S203" i="1"/>
  <c r="Q203" i="1"/>
  <c r="I203" i="1"/>
  <c r="E203" i="1"/>
  <c r="CK202" i="1"/>
  <c r="CB202" i="1"/>
  <c r="BS202" i="1"/>
  <c r="BJ202" i="1"/>
  <c r="BA202" i="1"/>
  <c r="AR202" i="1"/>
  <c r="AI202" i="1"/>
  <c r="Z202" i="1"/>
  <c r="Q202" i="1"/>
  <c r="E201" i="1"/>
  <c r="E200" i="1"/>
  <c r="CM196" i="1"/>
  <c r="CL196" i="1"/>
  <c r="CK196" i="1"/>
  <c r="CD196" i="1"/>
  <c r="CC196" i="1"/>
  <c r="CB196" i="1"/>
  <c r="BU196" i="1"/>
  <c r="BT196" i="1"/>
  <c r="BS196" i="1"/>
  <c r="BL196" i="1"/>
  <c r="BK196" i="1"/>
  <c r="BJ196" i="1"/>
  <c r="BC196" i="1"/>
  <c r="BB196" i="1"/>
  <c r="BA196" i="1"/>
  <c r="AT196" i="1"/>
  <c r="AS196" i="1"/>
  <c r="AR196" i="1"/>
  <c r="AK196" i="1"/>
  <c r="AJ196" i="1"/>
  <c r="AI196" i="1"/>
  <c r="AB196" i="1"/>
  <c r="AA196" i="1"/>
  <c r="Z196" i="1"/>
  <c r="S196" i="1"/>
  <c r="R196" i="1"/>
  <c r="Q196" i="1"/>
  <c r="K196" i="1"/>
  <c r="J196" i="1"/>
  <c r="I196" i="1"/>
  <c r="H196" i="1"/>
  <c r="F196" i="1"/>
  <c r="CR195" i="1"/>
  <c r="CQ195" i="1"/>
  <c r="CP195" i="1"/>
  <c r="CO195" i="1"/>
  <c r="CM195" i="1"/>
  <c r="CI195" i="1"/>
  <c r="CH195" i="1"/>
  <c r="CG195" i="1"/>
  <c r="CF195" i="1"/>
  <c r="CD195" i="1"/>
  <c r="CC195" i="1"/>
  <c r="CB195" i="1"/>
  <c r="BZ195" i="1"/>
  <c r="BY195" i="1"/>
  <c r="BX195" i="1"/>
  <c r="BW195" i="1"/>
  <c r="BU195" i="1"/>
  <c r="BQ195" i="1"/>
  <c r="BP195" i="1"/>
  <c r="BO195" i="1"/>
  <c r="BN195" i="1"/>
  <c r="BL195" i="1"/>
  <c r="BH195" i="1"/>
  <c r="BG195" i="1"/>
  <c r="BF195" i="1"/>
  <c r="BE195" i="1"/>
  <c r="BC195" i="1"/>
  <c r="AY195" i="1"/>
  <c r="AX195" i="1"/>
  <c r="AW195" i="1"/>
  <c r="AV195" i="1"/>
  <c r="AT195" i="1"/>
  <c r="AP195" i="1"/>
  <c r="AO195" i="1"/>
  <c r="AN195" i="1"/>
  <c r="AM195" i="1"/>
  <c r="AK195" i="1"/>
  <c r="AG195" i="1"/>
  <c r="AF195" i="1"/>
  <c r="AE195" i="1"/>
  <c r="AD195" i="1"/>
  <c r="AB195" i="1"/>
  <c r="X195" i="1"/>
  <c r="W195" i="1"/>
  <c r="V195" i="1"/>
  <c r="U195" i="1"/>
  <c r="S195" i="1"/>
  <c r="K195" i="1"/>
  <c r="J195" i="1"/>
  <c r="I195" i="1"/>
  <c r="CR194" i="1"/>
  <c r="CQ194" i="1"/>
  <c r="CP194" i="1"/>
  <c r="CO194" i="1"/>
  <c r="CM194" i="1"/>
  <c r="CI194" i="1"/>
  <c r="CH194" i="1"/>
  <c r="CG194" i="1"/>
  <c r="CF194" i="1"/>
  <c r="CD194" i="1"/>
  <c r="CC194" i="1"/>
  <c r="CB194" i="1"/>
  <c r="BZ194" i="1"/>
  <c r="BY194" i="1"/>
  <c r="BX194" i="1"/>
  <c r="BW194" i="1"/>
  <c r="BU194" i="1"/>
  <c r="BQ194" i="1"/>
  <c r="BP194" i="1"/>
  <c r="BO194" i="1"/>
  <c r="BN194" i="1"/>
  <c r="BL194" i="1"/>
  <c r="BH194" i="1"/>
  <c r="BG194" i="1"/>
  <c r="BF194" i="1"/>
  <c r="BE194" i="1"/>
  <c r="BC194" i="1"/>
  <c r="AY194" i="1"/>
  <c r="AX194" i="1"/>
  <c r="AW194" i="1"/>
  <c r="AV194" i="1"/>
  <c r="AT194" i="1"/>
  <c r="AP194" i="1"/>
  <c r="AO194" i="1"/>
  <c r="AN194" i="1"/>
  <c r="AM194" i="1"/>
  <c r="AK194" i="1"/>
  <c r="AG194" i="1"/>
  <c r="AF194" i="1"/>
  <c r="AE194" i="1"/>
  <c r="AD194" i="1"/>
  <c r="AB194" i="1"/>
  <c r="X194" i="1"/>
  <c r="W194" i="1"/>
  <c r="V194" i="1"/>
  <c r="U194" i="1"/>
  <c r="S194" i="1"/>
  <c r="K194" i="1"/>
  <c r="J194" i="1"/>
  <c r="I194" i="1"/>
  <c r="CR193" i="1"/>
  <c r="CQ193" i="1"/>
  <c r="CP193" i="1"/>
  <c r="CO193" i="1"/>
  <c r="CM193" i="1"/>
  <c r="CI193" i="1"/>
  <c r="CH193" i="1"/>
  <c r="CG193" i="1"/>
  <c r="CF193" i="1"/>
  <c r="CD193" i="1"/>
  <c r="CC193" i="1"/>
  <c r="CB193" i="1"/>
  <c r="BZ193" i="1"/>
  <c r="BY193" i="1"/>
  <c r="BX193" i="1"/>
  <c r="BW193" i="1"/>
  <c r="BU193" i="1"/>
  <c r="BQ193" i="1"/>
  <c r="BP193" i="1"/>
  <c r="BO193" i="1"/>
  <c r="BN193" i="1"/>
  <c r="BL193" i="1"/>
  <c r="BH193" i="1"/>
  <c r="BG193" i="1"/>
  <c r="BF193" i="1"/>
  <c r="BE193" i="1"/>
  <c r="BC193" i="1"/>
  <c r="AY193" i="1"/>
  <c r="AX193" i="1"/>
  <c r="AW193" i="1"/>
  <c r="AV193" i="1"/>
  <c r="AT193" i="1"/>
  <c r="AP193" i="1"/>
  <c r="AO193" i="1"/>
  <c r="AN193" i="1"/>
  <c r="AM193" i="1"/>
  <c r="AK193" i="1"/>
  <c r="AG193" i="1"/>
  <c r="AF193" i="1"/>
  <c r="AE193" i="1"/>
  <c r="AD193" i="1"/>
  <c r="AB193" i="1"/>
  <c r="X193" i="1"/>
  <c r="W193" i="1"/>
  <c r="V193" i="1"/>
  <c r="U193" i="1"/>
  <c r="S193" i="1"/>
  <c r="K193" i="1"/>
  <c r="J193" i="1"/>
  <c r="I193" i="1"/>
  <c r="CR192" i="1"/>
  <c r="CQ192" i="1"/>
  <c r="CP192" i="1"/>
  <c r="CO192" i="1"/>
  <c r="CM192" i="1"/>
  <c r="CI192" i="1"/>
  <c r="CH192" i="1"/>
  <c r="CG192" i="1"/>
  <c r="CF192" i="1"/>
  <c r="CD192" i="1"/>
  <c r="CC192" i="1"/>
  <c r="CB192" i="1"/>
  <c r="BZ192" i="1"/>
  <c r="BY192" i="1"/>
  <c r="BX192" i="1"/>
  <c r="BW192" i="1"/>
  <c r="BU192" i="1"/>
  <c r="BQ192" i="1"/>
  <c r="BP192" i="1"/>
  <c r="BO192" i="1"/>
  <c r="BN192" i="1"/>
  <c r="BL192" i="1"/>
  <c r="BH192" i="1"/>
  <c r="BG192" i="1"/>
  <c r="BF192" i="1"/>
  <c r="BE192" i="1"/>
  <c r="BC192" i="1"/>
  <c r="AY192" i="1"/>
  <c r="AX192" i="1"/>
  <c r="AW192" i="1"/>
  <c r="AV192" i="1"/>
  <c r="AT192" i="1"/>
  <c r="AP192" i="1"/>
  <c r="AO192" i="1"/>
  <c r="AN192" i="1"/>
  <c r="AM192" i="1"/>
  <c r="AK192" i="1"/>
  <c r="AG192" i="1"/>
  <c r="AF192" i="1"/>
  <c r="AE192" i="1"/>
  <c r="AD192" i="1"/>
  <c r="AB192" i="1"/>
  <c r="X192" i="1"/>
  <c r="W192" i="1"/>
  <c r="V192" i="1"/>
  <c r="U192" i="1"/>
  <c r="S192" i="1"/>
  <c r="K192" i="1"/>
  <c r="J192" i="1"/>
  <c r="I192" i="1"/>
  <c r="CR191" i="1"/>
  <c r="CQ191" i="1"/>
  <c r="CP191" i="1"/>
  <c r="CO191" i="1"/>
  <c r="CM191" i="1"/>
  <c r="CI191" i="1"/>
  <c r="CH191" i="1"/>
  <c r="CG191" i="1"/>
  <c r="CF191" i="1"/>
  <c r="CD191" i="1"/>
  <c r="CC191" i="1"/>
  <c r="CB191" i="1"/>
  <c r="BZ191" i="1"/>
  <c r="BY191" i="1"/>
  <c r="BX191" i="1"/>
  <c r="BW191" i="1"/>
  <c r="BU191" i="1"/>
  <c r="BQ191" i="1"/>
  <c r="BP191" i="1"/>
  <c r="BO191" i="1"/>
  <c r="BN191" i="1"/>
  <c r="BL191" i="1"/>
  <c r="BH191" i="1"/>
  <c r="BG191" i="1"/>
  <c r="BF191" i="1"/>
  <c r="BE191" i="1"/>
  <c r="BC191" i="1"/>
  <c r="AY191" i="1"/>
  <c r="AX191" i="1"/>
  <c r="AW191" i="1"/>
  <c r="AV191" i="1"/>
  <c r="AT191" i="1"/>
  <c r="AP191" i="1"/>
  <c r="AO191" i="1"/>
  <c r="AN191" i="1"/>
  <c r="AM191" i="1"/>
  <c r="AK191" i="1"/>
  <c r="AG191" i="1"/>
  <c r="AF191" i="1"/>
  <c r="AE191" i="1"/>
  <c r="AD191" i="1"/>
  <c r="AB191" i="1"/>
  <c r="X191" i="1"/>
  <c r="W191" i="1"/>
  <c r="V191" i="1"/>
  <c r="U191" i="1"/>
  <c r="S191" i="1"/>
  <c r="K191" i="1"/>
  <c r="J191" i="1"/>
  <c r="I191" i="1"/>
  <c r="CR190" i="1"/>
  <c r="CQ190" i="1"/>
  <c r="CP190" i="1"/>
  <c r="CO190" i="1"/>
  <c r="CM190" i="1"/>
  <c r="CI190" i="1"/>
  <c r="CH190" i="1"/>
  <c r="CG190" i="1"/>
  <c r="CF190" i="1"/>
  <c r="CD190" i="1"/>
  <c r="CC190" i="1"/>
  <c r="CB190" i="1"/>
  <c r="BZ190" i="1"/>
  <c r="BY190" i="1"/>
  <c r="BX190" i="1"/>
  <c r="BW190" i="1"/>
  <c r="BU190" i="1"/>
  <c r="BQ190" i="1"/>
  <c r="BP190" i="1"/>
  <c r="BO190" i="1"/>
  <c r="BN190" i="1"/>
  <c r="BL190" i="1"/>
  <c r="BH190" i="1"/>
  <c r="BG190" i="1"/>
  <c r="BF190" i="1"/>
  <c r="BE190" i="1"/>
  <c r="BC190" i="1"/>
  <c r="AY190" i="1"/>
  <c r="AX190" i="1"/>
  <c r="AW190" i="1"/>
  <c r="AV190" i="1"/>
  <c r="AT190" i="1"/>
  <c r="AP190" i="1"/>
  <c r="AO190" i="1"/>
  <c r="AN190" i="1"/>
  <c r="AM190" i="1"/>
  <c r="AK190" i="1"/>
  <c r="AG190" i="1"/>
  <c r="AF190" i="1"/>
  <c r="AE190" i="1"/>
  <c r="AD190" i="1"/>
  <c r="AB190" i="1"/>
  <c r="X190" i="1"/>
  <c r="W190" i="1"/>
  <c r="V190" i="1"/>
  <c r="U190" i="1"/>
  <c r="S190" i="1"/>
  <c r="K190" i="1"/>
  <c r="J190" i="1"/>
  <c r="I190" i="1"/>
  <c r="CR189" i="1"/>
  <c r="CQ189" i="1"/>
  <c r="CP189" i="1"/>
  <c r="CO189" i="1"/>
  <c r="CM189" i="1"/>
  <c r="CI189" i="1"/>
  <c r="CH189" i="1"/>
  <c r="CG189" i="1"/>
  <c r="CF189" i="1"/>
  <c r="CD189" i="1"/>
  <c r="CC189" i="1"/>
  <c r="CB189" i="1"/>
  <c r="BZ189" i="1"/>
  <c r="BY189" i="1"/>
  <c r="BX189" i="1"/>
  <c r="BW189" i="1"/>
  <c r="BU189" i="1"/>
  <c r="BQ189" i="1"/>
  <c r="BP189" i="1"/>
  <c r="BO189" i="1"/>
  <c r="BN189" i="1"/>
  <c r="BL189" i="1"/>
  <c r="BH189" i="1"/>
  <c r="BG189" i="1"/>
  <c r="BF189" i="1"/>
  <c r="BE189" i="1"/>
  <c r="BC189" i="1"/>
  <c r="AY189" i="1"/>
  <c r="AX189" i="1"/>
  <c r="AW189" i="1"/>
  <c r="AV189" i="1"/>
  <c r="AT189" i="1"/>
  <c r="AP189" i="1"/>
  <c r="AO189" i="1"/>
  <c r="AN189" i="1"/>
  <c r="AM189" i="1"/>
  <c r="AK189" i="1"/>
  <c r="AG189" i="1"/>
  <c r="AF189" i="1"/>
  <c r="AE189" i="1"/>
  <c r="AD189" i="1"/>
  <c r="AB189" i="1"/>
  <c r="X189" i="1"/>
  <c r="W189" i="1"/>
  <c r="V189" i="1"/>
  <c r="U189" i="1"/>
  <c r="S189" i="1"/>
  <c r="K189" i="1"/>
  <c r="J189" i="1"/>
  <c r="I189" i="1"/>
  <c r="CR188" i="1"/>
  <c r="CQ188" i="1"/>
  <c r="CP188" i="1"/>
  <c r="CO188" i="1"/>
  <c r="CM188" i="1"/>
  <c r="CI188" i="1"/>
  <c r="CH188" i="1"/>
  <c r="CG188" i="1"/>
  <c r="CF188" i="1"/>
  <c r="CD188" i="1"/>
  <c r="CC188" i="1"/>
  <c r="CB188" i="1"/>
  <c r="BZ188" i="1"/>
  <c r="BY188" i="1"/>
  <c r="BX188" i="1"/>
  <c r="BW188" i="1"/>
  <c r="BU188" i="1"/>
  <c r="BQ188" i="1"/>
  <c r="BP188" i="1"/>
  <c r="BO188" i="1"/>
  <c r="BN188" i="1"/>
  <c r="BL188" i="1"/>
  <c r="BH188" i="1"/>
  <c r="BG188" i="1"/>
  <c r="BF188" i="1"/>
  <c r="BE188" i="1"/>
  <c r="BC188" i="1"/>
  <c r="AY188" i="1"/>
  <c r="AX188" i="1"/>
  <c r="AW188" i="1"/>
  <c r="AV188" i="1"/>
  <c r="AT188" i="1"/>
  <c r="AP188" i="1"/>
  <c r="AO188" i="1"/>
  <c r="AN188" i="1"/>
  <c r="AM188" i="1"/>
  <c r="AK188" i="1"/>
  <c r="AG188" i="1"/>
  <c r="AF188" i="1"/>
  <c r="AE188" i="1"/>
  <c r="AD188" i="1"/>
  <c r="AB188" i="1"/>
  <c r="X188" i="1"/>
  <c r="W188" i="1"/>
  <c r="V188" i="1"/>
  <c r="U188" i="1"/>
  <c r="S188" i="1"/>
  <c r="K188" i="1"/>
  <c r="J188" i="1"/>
  <c r="I188" i="1"/>
  <c r="CR187" i="1"/>
  <c r="CQ187" i="1"/>
  <c r="CP187" i="1"/>
  <c r="CO187" i="1"/>
  <c r="CM187" i="1"/>
  <c r="CI187" i="1"/>
  <c r="CH187" i="1"/>
  <c r="CG187" i="1"/>
  <c r="CF187" i="1"/>
  <c r="CD187" i="1"/>
  <c r="CC187" i="1"/>
  <c r="CB187" i="1"/>
  <c r="BZ187" i="1"/>
  <c r="BY187" i="1"/>
  <c r="BX187" i="1"/>
  <c r="BW187" i="1"/>
  <c r="BU187" i="1"/>
  <c r="BQ187" i="1"/>
  <c r="BP187" i="1"/>
  <c r="BO187" i="1"/>
  <c r="BN187" i="1"/>
  <c r="BL187" i="1"/>
  <c r="BH187" i="1"/>
  <c r="BG187" i="1"/>
  <c r="BF187" i="1"/>
  <c r="BE187" i="1"/>
  <c r="BC187" i="1"/>
  <c r="AY187" i="1"/>
  <c r="AX187" i="1"/>
  <c r="AW187" i="1"/>
  <c r="AV187" i="1"/>
  <c r="AT187" i="1"/>
  <c r="AP187" i="1"/>
  <c r="AO187" i="1"/>
  <c r="AN187" i="1"/>
  <c r="AM187" i="1"/>
  <c r="AK187" i="1"/>
  <c r="AG187" i="1"/>
  <c r="AF187" i="1"/>
  <c r="AE187" i="1"/>
  <c r="AD187" i="1"/>
  <c r="AB187" i="1"/>
  <c r="X187" i="1"/>
  <c r="W187" i="1"/>
  <c r="V187" i="1"/>
  <c r="U187" i="1"/>
  <c r="S187" i="1"/>
  <c r="K187" i="1"/>
  <c r="J187" i="1"/>
  <c r="I187" i="1"/>
  <c r="CR186" i="1"/>
  <c r="CQ186" i="1"/>
  <c r="CP186" i="1"/>
  <c r="CO186" i="1"/>
  <c r="CM186" i="1"/>
  <c r="CI186" i="1"/>
  <c r="CH186" i="1"/>
  <c r="CG186" i="1"/>
  <c r="CF186" i="1"/>
  <c r="CD186" i="1"/>
  <c r="CC186" i="1"/>
  <c r="CB186" i="1"/>
  <c r="BZ186" i="1"/>
  <c r="BY186" i="1"/>
  <c r="BX186" i="1"/>
  <c r="BW186" i="1"/>
  <c r="BU186" i="1"/>
  <c r="BQ186" i="1"/>
  <c r="BP186" i="1"/>
  <c r="BO186" i="1"/>
  <c r="BN186" i="1"/>
  <c r="BL186" i="1"/>
  <c r="BH186" i="1"/>
  <c r="BG186" i="1"/>
  <c r="BF186" i="1"/>
  <c r="BE186" i="1"/>
  <c r="BC186" i="1"/>
  <c r="AY186" i="1"/>
  <c r="AX186" i="1"/>
  <c r="AW186" i="1"/>
  <c r="AV186" i="1"/>
  <c r="AT186" i="1"/>
  <c r="AP186" i="1"/>
  <c r="AO186" i="1"/>
  <c r="AN186" i="1"/>
  <c r="AM186" i="1"/>
  <c r="AK186" i="1"/>
  <c r="AG186" i="1"/>
  <c r="AF186" i="1"/>
  <c r="AE186" i="1"/>
  <c r="AD186" i="1"/>
  <c r="AB186" i="1"/>
  <c r="X186" i="1"/>
  <c r="W186" i="1"/>
  <c r="V186" i="1"/>
  <c r="U186" i="1"/>
  <c r="S186" i="1"/>
  <c r="K186" i="1"/>
  <c r="J186" i="1"/>
  <c r="I186" i="1"/>
  <c r="CR185" i="1"/>
  <c r="CQ185" i="1"/>
  <c r="CP185" i="1"/>
  <c r="CO185" i="1"/>
  <c r="CM185" i="1"/>
  <c r="CI185" i="1"/>
  <c r="CH185" i="1"/>
  <c r="CG185" i="1"/>
  <c r="CF185" i="1"/>
  <c r="CD185" i="1"/>
  <c r="CC185" i="1"/>
  <c r="CB185" i="1"/>
  <c r="BZ185" i="1"/>
  <c r="BY185" i="1"/>
  <c r="BX185" i="1"/>
  <c r="BW185" i="1"/>
  <c r="BU185" i="1"/>
  <c r="BQ185" i="1"/>
  <c r="BP185" i="1"/>
  <c r="BO185" i="1"/>
  <c r="BN185" i="1"/>
  <c r="BL185" i="1"/>
  <c r="BH185" i="1"/>
  <c r="BG185" i="1"/>
  <c r="BF185" i="1"/>
  <c r="BE185" i="1"/>
  <c r="BC185" i="1"/>
  <c r="AY185" i="1"/>
  <c r="AX185" i="1"/>
  <c r="AW185" i="1"/>
  <c r="AV185" i="1"/>
  <c r="AT185" i="1"/>
  <c r="AP185" i="1"/>
  <c r="AO185" i="1"/>
  <c r="AN185" i="1"/>
  <c r="AM185" i="1"/>
  <c r="AK185" i="1"/>
  <c r="AG185" i="1"/>
  <c r="AF185" i="1"/>
  <c r="AE185" i="1"/>
  <c r="AD185" i="1"/>
  <c r="AB185" i="1"/>
  <c r="X185" i="1"/>
  <c r="W185" i="1"/>
  <c r="V185" i="1"/>
  <c r="U185" i="1"/>
  <c r="S185" i="1"/>
  <c r="K185" i="1"/>
  <c r="J185" i="1"/>
  <c r="I185" i="1"/>
  <c r="CR184" i="1"/>
  <c r="CQ184" i="1"/>
  <c r="CP184" i="1"/>
  <c r="CO184" i="1"/>
  <c r="CM184" i="1"/>
  <c r="CI184" i="1"/>
  <c r="CH184" i="1"/>
  <c r="CG184" i="1"/>
  <c r="CF184" i="1"/>
  <c r="CD184" i="1"/>
  <c r="CC184" i="1"/>
  <c r="CB184" i="1"/>
  <c r="BZ184" i="1"/>
  <c r="BY184" i="1"/>
  <c r="BX184" i="1"/>
  <c r="BW184" i="1"/>
  <c r="BU184" i="1"/>
  <c r="BQ184" i="1"/>
  <c r="BP184" i="1"/>
  <c r="BO184" i="1"/>
  <c r="BN184" i="1"/>
  <c r="BL184" i="1"/>
  <c r="BH184" i="1"/>
  <c r="BG184" i="1"/>
  <c r="BF184" i="1"/>
  <c r="BE184" i="1"/>
  <c r="BC184" i="1"/>
  <c r="AY184" i="1"/>
  <c r="AX184" i="1"/>
  <c r="AW184" i="1"/>
  <c r="AV184" i="1"/>
  <c r="AT184" i="1"/>
  <c r="AP184" i="1"/>
  <c r="AO184" i="1"/>
  <c r="AN184" i="1"/>
  <c r="AM184" i="1"/>
  <c r="AK184" i="1"/>
  <c r="AG184" i="1"/>
  <c r="AF184" i="1"/>
  <c r="AE184" i="1"/>
  <c r="AD184" i="1"/>
  <c r="AB184" i="1"/>
  <c r="X184" i="1"/>
  <c r="W184" i="1"/>
  <c r="V184" i="1"/>
  <c r="U184" i="1"/>
  <c r="S184" i="1"/>
  <c r="K184" i="1"/>
  <c r="J184" i="1"/>
  <c r="I184" i="1"/>
  <c r="CL182" i="1"/>
  <c r="CC182" i="1"/>
  <c r="BT182" i="1"/>
  <c r="BS182" i="1"/>
  <c r="BK182" i="1"/>
  <c r="BJ182" i="1"/>
  <c r="BB182" i="1"/>
  <c r="BA182" i="1"/>
  <c r="AS182" i="1"/>
  <c r="AR182" i="1"/>
  <c r="AJ182" i="1"/>
  <c r="AI182" i="1"/>
  <c r="AA182" i="1"/>
  <c r="Z182" i="1"/>
  <c r="R182" i="1"/>
  <c r="Q182" i="1"/>
  <c r="D182" i="1"/>
  <c r="CM181" i="1"/>
  <c r="CK181" i="1"/>
  <c r="CD181" i="1"/>
  <c r="CB181" i="1"/>
  <c r="BU181" i="1"/>
  <c r="BS181" i="1"/>
  <c r="BL181" i="1"/>
  <c r="BJ181" i="1"/>
  <c r="BC181" i="1"/>
  <c r="BA181" i="1"/>
  <c r="AT181" i="1"/>
  <c r="AR181" i="1"/>
  <c r="AK181" i="1"/>
  <c r="AI181" i="1"/>
  <c r="AB181" i="1"/>
  <c r="Z181" i="1"/>
  <c r="S181" i="1"/>
  <c r="Q181" i="1"/>
  <c r="I181" i="1"/>
  <c r="E181" i="1"/>
  <c r="CK180" i="1"/>
  <c r="CB180" i="1"/>
  <c r="BS180" i="1"/>
  <c r="BJ180" i="1"/>
  <c r="BA180" i="1"/>
  <c r="AR180" i="1"/>
  <c r="AI180" i="1"/>
  <c r="Z180" i="1"/>
  <c r="Q180" i="1"/>
  <c r="E179" i="1"/>
  <c r="E178" i="1"/>
  <c r="CM174" i="1"/>
  <c r="CL174" i="1"/>
  <c r="CK174" i="1"/>
  <c r="CD174" i="1"/>
  <c r="CC174" i="1"/>
  <c r="CB174" i="1"/>
  <c r="BU174" i="1"/>
  <c r="BT174" i="1"/>
  <c r="BS174" i="1"/>
  <c r="BL174" i="1"/>
  <c r="BK174" i="1"/>
  <c r="BJ174" i="1"/>
  <c r="BC174" i="1"/>
  <c r="BB174" i="1"/>
  <c r="BA174" i="1"/>
  <c r="AT174" i="1"/>
  <c r="AS174" i="1"/>
  <c r="AR174" i="1"/>
  <c r="AK174" i="1"/>
  <c r="AJ174" i="1"/>
  <c r="AI174" i="1"/>
  <c r="AB174" i="1"/>
  <c r="AA174" i="1"/>
  <c r="Z174" i="1"/>
  <c r="S174" i="1"/>
  <c r="R174" i="1"/>
  <c r="Q174" i="1"/>
  <c r="K174" i="1"/>
  <c r="J174" i="1"/>
  <c r="I174" i="1"/>
  <c r="H174" i="1"/>
  <c r="F174" i="1"/>
  <c r="CR173" i="1"/>
  <c r="CQ173" i="1"/>
  <c r="CP173" i="1"/>
  <c r="CO173" i="1"/>
  <c r="CM173" i="1"/>
  <c r="CI173" i="1"/>
  <c r="CH173" i="1"/>
  <c r="CG173" i="1"/>
  <c r="CF173" i="1"/>
  <c r="CD173" i="1"/>
  <c r="CC173" i="1"/>
  <c r="CB173" i="1"/>
  <c r="BZ173" i="1"/>
  <c r="BY173" i="1"/>
  <c r="BX173" i="1"/>
  <c r="BW173" i="1"/>
  <c r="BU173" i="1"/>
  <c r="BQ173" i="1"/>
  <c r="BP173" i="1"/>
  <c r="BO173" i="1"/>
  <c r="BN173" i="1"/>
  <c r="BL173" i="1"/>
  <c r="BH173" i="1"/>
  <c r="BG173" i="1"/>
  <c r="BF173" i="1"/>
  <c r="BE173" i="1"/>
  <c r="BC173" i="1"/>
  <c r="AY173" i="1"/>
  <c r="AX173" i="1"/>
  <c r="AW173" i="1"/>
  <c r="AV173" i="1"/>
  <c r="AT173" i="1"/>
  <c r="AP173" i="1"/>
  <c r="AO173" i="1"/>
  <c r="AN173" i="1"/>
  <c r="AM173" i="1"/>
  <c r="AK173" i="1"/>
  <c r="AG173" i="1"/>
  <c r="AF173" i="1"/>
  <c r="AE173" i="1"/>
  <c r="AD173" i="1"/>
  <c r="AB173" i="1"/>
  <c r="X173" i="1"/>
  <c r="W173" i="1"/>
  <c r="V173" i="1"/>
  <c r="U173" i="1"/>
  <c r="S173" i="1"/>
  <c r="K173" i="1"/>
  <c r="J173" i="1"/>
  <c r="I173" i="1"/>
  <c r="CR172" i="1"/>
  <c r="CQ172" i="1"/>
  <c r="CP172" i="1"/>
  <c r="CO172" i="1"/>
  <c r="CM172" i="1"/>
  <c r="CI172" i="1"/>
  <c r="CH172" i="1"/>
  <c r="CG172" i="1"/>
  <c r="CF172" i="1"/>
  <c r="CD172" i="1"/>
  <c r="CC172" i="1"/>
  <c r="CB172" i="1"/>
  <c r="BZ172" i="1"/>
  <c r="BY172" i="1"/>
  <c r="BX172" i="1"/>
  <c r="BW172" i="1"/>
  <c r="BU172" i="1"/>
  <c r="BQ172" i="1"/>
  <c r="BP172" i="1"/>
  <c r="BO172" i="1"/>
  <c r="BN172" i="1"/>
  <c r="BL172" i="1"/>
  <c r="BH172" i="1"/>
  <c r="BG172" i="1"/>
  <c r="BF172" i="1"/>
  <c r="BE172" i="1"/>
  <c r="BC172" i="1"/>
  <c r="AY172" i="1"/>
  <c r="AX172" i="1"/>
  <c r="AW172" i="1"/>
  <c r="AV172" i="1"/>
  <c r="AT172" i="1"/>
  <c r="AP172" i="1"/>
  <c r="AO172" i="1"/>
  <c r="AN172" i="1"/>
  <c r="AM172" i="1"/>
  <c r="AK172" i="1"/>
  <c r="AG172" i="1"/>
  <c r="AF172" i="1"/>
  <c r="AE172" i="1"/>
  <c r="AD172" i="1"/>
  <c r="AB172" i="1"/>
  <c r="X172" i="1"/>
  <c r="W172" i="1"/>
  <c r="V172" i="1"/>
  <c r="U172" i="1"/>
  <c r="S172" i="1"/>
  <c r="K172" i="1"/>
  <c r="J172" i="1"/>
  <c r="I172" i="1"/>
  <c r="CR171" i="1"/>
  <c r="CQ171" i="1"/>
  <c r="CP171" i="1"/>
  <c r="CO171" i="1"/>
  <c r="CM171" i="1"/>
  <c r="CI171" i="1"/>
  <c r="CH171" i="1"/>
  <c r="CG171" i="1"/>
  <c r="CF171" i="1"/>
  <c r="CD171" i="1"/>
  <c r="CC171" i="1"/>
  <c r="CB171" i="1"/>
  <c r="BZ171" i="1"/>
  <c r="BY171" i="1"/>
  <c r="BX171" i="1"/>
  <c r="BW171" i="1"/>
  <c r="BU171" i="1"/>
  <c r="BQ171" i="1"/>
  <c r="BP171" i="1"/>
  <c r="BO171" i="1"/>
  <c r="BN171" i="1"/>
  <c r="BL171" i="1"/>
  <c r="BH171" i="1"/>
  <c r="BG171" i="1"/>
  <c r="BF171" i="1"/>
  <c r="BE171" i="1"/>
  <c r="BC171" i="1"/>
  <c r="AY171" i="1"/>
  <c r="AX171" i="1"/>
  <c r="AW171" i="1"/>
  <c r="AV171" i="1"/>
  <c r="AT171" i="1"/>
  <c r="AP171" i="1"/>
  <c r="AO171" i="1"/>
  <c r="AN171" i="1"/>
  <c r="AM171" i="1"/>
  <c r="AK171" i="1"/>
  <c r="AG171" i="1"/>
  <c r="AF171" i="1"/>
  <c r="AE171" i="1"/>
  <c r="AD171" i="1"/>
  <c r="AB171" i="1"/>
  <c r="X171" i="1"/>
  <c r="W171" i="1"/>
  <c r="V171" i="1"/>
  <c r="U171" i="1"/>
  <c r="S171" i="1"/>
  <c r="K171" i="1"/>
  <c r="J171" i="1"/>
  <c r="I171" i="1"/>
  <c r="CR170" i="1"/>
  <c r="CQ170" i="1"/>
  <c r="CP170" i="1"/>
  <c r="CO170" i="1"/>
  <c r="CM170" i="1"/>
  <c r="CI170" i="1"/>
  <c r="CH170" i="1"/>
  <c r="CG170" i="1"/>
  <c r="CF170" i="1"/>
  <c r="CD170" i="1"/>
  <c r="CC170" i="1"/>
  <c r="CB170" i="1"/>
  <c r="BZ170" i="1"/>
  <c r="BY170" i="1"/>
  <c r="BX170" i="1"/>
  <c r="BW170" i="1"/>
  <c r="BU170" i="1"/>
  <c r="BQ170" i="1"/>
  <c r="BP170" i="1"/>
  <c r="BO170" i="1"/>
  <c r="BN170" i="1"/>
  <c r="BL170" i="1"/>
  <c r="BH170" i="1"/>
  <c r="BG170" i="1"/>
  <c r="BF170" i="1"/>
  <c r="BE170" i="1"/>
  <c r="BC170" i="1"/>
  <c r="AY170" i="1"/>
  <c r="AX170" i="1"/>
  <c r="AW170" i="1"/>
  <c r="AV170" i="1"/>
  <c r="AT170" i="1"/>
  <c r="AP170" i="1"/>
  <c r="AO170" i="1"/>
  <c r="AN170" i="1"/>
  <c r="AM170" i="1"/>
  <c r="AK170" i="1"/>
  <c r="AG170" i="1"/>
  <c r="AF170" i="1"/>
  <c r="AE170" i="1"/>
  <c r="AD170" i="1"/>
  <c r="AB170" i="1"/>
  <c r="X170" i="1"/>
  <c r="W170" i="1"/>
  <c r="V170" i="1"/>
  <c r="U170" i="1"/>
  <c r="S170" i="1"/>
  <c r="K170" i="1"/>
  <c r="J170" i="1"/>
  <c r="I170" i="1"/>
  <c r="CR169" i="1"/>
  <c r="CQ169" i="1"/>
  <c r="CP169" i="1"/>
  <c r="CO169" i="1"/>
  <c r="CM169" i="1"/>
  <c r="CI169" i="1"/>
  <c r="CH169" i="1"/>
  <c r="CG169" i="1"/>
  <c r="CF169" i="1"/>
  <c r="CD169" i="1"/>
  <c r="CC169" i="1"/>
  <c r="CB169" i="1"/>
  <c r="BZ169" i="1"/>
  <c r="BY169" i="1"/>
  <c r="BX169" i="1"/>
  <c r="BW169" i="1"/>
  <c r="BU169" i="1"/>
  <c r="BQ169" i="1"/>
  <c r="BP169" i="1"/>
  <c r="BO169" i="1"/>
  <c r="BN169" i="1"/>
  <c r="BL169" i="1"/>
  <c r="BH169" i="1"/>
  <c r="BG169" i="1"/>
  <c r="BF169" i="1"/>
  <c r="BE169" i="1"/>
  <c r="BC169" i="1"/>
  <c r="AY169" i="1"/>
  <c r="AX169" i="1"/>
  <c r="AW169" i="1"/>
  <c r="AV169" i="1"/>
  <c r="AT169" i="1"/>
  <c r="AP169" i="1"/>
  <c r="AO169" i="1"/>
  <c r="AN169" i="1"/>
  <c r="AM169" i="1"/>
  <c r="AK169" i="1"/>
  <c r="AG169" i="1"/>
  <c r="AF169" i="1"/>
  <c r="AE169" i="1"/>
  <c r="AD169" i="1"/>
  <c r="AB169" i="1"/>
  <c r="X169" i="1"/>
  <c r="W169" i="1"/>
  <c r="V169" i="1"/>
  <c r="U169" i="1"/>
  <c r="S169" i="1"/>
  <c r="K169" i="1"/>
  <c r="J169" i="1"/>
  <c r="I169" i="1"/>
  <c r="CR168" i="1"/>
  <c r="CQ168" i="1"/>
  <c r="CP168" i="1"/>
  <c r="CO168" i="1"/>
  <c r="CM168" i="1"/>
  <c r="CI168" i="1"/>
  <c r="CH168" i="1"/>
  <c r="CG168" i="1"/>
  <c r="CF168" i="1"/>
  <c r="CD168" i="1"/>
  <c r="CC168" i="1"/>
  <c r="CB168" i="1"/>
  <c r="BZ168" i="1"/>
  <c r="BY168" i="1"/>
  <c r="BX168" i="1"/>
  <c r="BW168" i="1"/>
  <c r="BU168" i="1"/>
  <c r="BQ168" i="1"/>
  <c r="BP168" i="1"/>
  <c r="BO168" i="1"/>
  <c r="BN168" i="1"/>
  <c r="BL168" i="1"/>
  <c r="BH168" i="1"/>
  <c r="BG168" i="1"/>
  <c r="BF168" i="1"/>
  <c r="BE168" i="1"/>
  <c r="BC168" i="1"/>
  <c r="AY168" i="1"/>
  <c r="AX168" i="1"/>
  <c r="AW168" i="1"/>
  <c r="AV168" i="1"/>
  <c r="AT168" i="1"/>
  <c r="AP168" i="1"/>
  <c r="AO168" i="1"/>
  <c r="AN168" i="1"/>
  <c r="AM168" i="1"/>
  <c r="AK168" i="1"/>
  <c r="AG168" i="1"/>
  <c r="AF168" i="1"/>
  <c r="AE168" i="1"/>
  <c r="AD168" i="1"/>
  <c r="AB168" i="1"/>
  <c r="X168" i="1"/>
  <c r="W168" i="1"/>
  <c r="V168" i="1"/>
  <c r="U168" i="1"/>
  <c r="S168" i="1"/>
  <c r="K168" i="1"/>
  <c r="J168" i="1"/>
  <c r="I168" i="1"/>
  <c r="CR167" i="1"/>
  <c r="CQ167" i="1"/>
  <c r="CP167" i="1"/>
  <c r="CO167" i="1"/>
  <c r="CM167" i="1"/>
  <c r="CI167" i="1"/>
  <c r="CH167" i="1"/>
  <c r="CG167" i="1"/>
  <c r="CF167" i="1"/>
  <c r="CD167" i="1"/>
  <c r="CC167" i="1"/>
  <c r="CB167" i="1"/>
  <c r="BZ167" i="1"/>
  <c r="BY167" i="1"/>
  <c r="BX167" i="1"/>
  <c r="BW167" i="1"/>
  <c r="BU167" i="1"/>
  <c r="BQ167" i="1"/>
  <c r="BP167" i="1"/>
  <c r="BO167" i="1"/>
  <c r="BN167" i="1"/>
  <c r="BL167" i="1"/>
  <c r="BH167" i="1"/>
  <c r="BG167" i="1"/>
  <c r="BF167" i="1"/>
  <c r="BE167" i="1"/>
  <c r="BC167" i="1"/>
  <c r="AY167" i="1"/>
  <c r="AX167" i="1"/>
  <c r="AW167" i="1"/>
  <c r="AV167" i="1"/>
  <c r="AT167" i="1"/>
  <c r="AP167" i="1"/>
  <c r="AO167" i="1"/>
  <c r="AN167" i="1"/>
  <c r="AM167" i="1"/>
  <c r="AK167" i="1"/>
  <c r="AG167" i="1"/>
  <c r="AF167" i="1"/>
  <c r="AE167" i="1"/>
  <c r="AD167" i="1"/>
  <c r="AB167" i="1"/>
  <c r="X167" i="1"/>
  <c r="W167" i="1"/>
  <c r="V167" i="1"/>
  <c r="U167" i="1"/>
  <c r="S167" i="1"/>
  <c r="K167" i="1"/>
  <c r="J167" i="1"/>
  <c r="I167" i="1"/>
  <c r="CR166" i="1"/>
  <c r="CQ166" i="1"/>
  <c r="CP166" i="1"/>
  <c r="CO166" i="1"/>
  <c r="CM166" i="1"/>
  <c r="CI166" i="1"/>
  <c r="CH166" i="1"/>
  <c r="CG166" i="1"/>
  <c r="CF166" i="1"/>
  <c r="CD166" i="1"/>
  <c r="CC166" i="1"/>
  <c r="CB166" i="1"/>
  <c r="BZ166" i="1"/>
  <c r="BY166" i="1"/>
  <c r="BX166" i="1"/>
  <c r="BW166" i="1"/>
  <c r="BU166" i="1"/>
  <c r="BQ166" i="1"/>
  <c r="BP166" i="1"/>
  <c r="BO166" i="1"/>
  <c r="BN166" i="1"/>
  <c r="BL166" i="1"/>
  <c r="BH166" i="1"/>
  <c r="BG166" i="1"/>
  <c r="BF166" i="1"/>
  <c r="BE166" i="1"/>
  <c r="BC166" i="1"/>
  <c r="AY166" i="1"/>
  <c r="AX166" i="1"/>
  <c r="AW166" i="1"/>
  <c r="AV166" i="1"/>
  <c r="AT166" i="1"/>
  <c r="AP166" i="1"/>
  <c r="AO166" i="1"/>
  <c r="AN166" i="1"/>
  <c r="AM166" i="1"/>
  <c r="AK166" i="1"/>
  <c r="AG166" i="1"/>
  <c r="AF166" i="1"/>
  <c r="AE166" i="1"/>
  <c r="AD166" i="1"/>
  <c r="AB166" i="1"/>
  <c r="X166" i="1"/>
  <c r="W166" i="1"/>
  <c r="V166" i="1"/>
  <c r="U166" i="1"/>
  <c r="S166" i="1"/>
  <c r="K166" i="1"/>
  <c r="J166" i="1"/>
  <c r="I166" i="1"/>
  <c r="CR165" i="1"/>
  <c r="CQ165" i="1"/>
  <c r="CP165" i="1"/>
  <c r="CO165" i="1"/>
  <c r="CM165" i="1"/>
  <c r="CI165" i="1"/>
  <c r="CH165" i="1"/>
  <c r="CG165" i="1"/>
  <c r="CF165" i="1"/>
  <c r="CD165" i="1"/>
  <c r="CC165" i="1"/>
  <c r="CB165" i="1"/>
  <c r="BZ165" i="1"/>
  <c r="BY165" i="1"/>
  <c r="BX165" i="1"/>
  <c r="BW165" i="1"/>
  <c r="BU165" i="1"/>
  <c r="BQ165" i="1"/>
  <c r="BP165" i="1"/>
  <c r="BO165" i="1"/>
  <c r="BN165" i="1"/>
  <c r="BL165" i="1"/>
  <c r="BH165" i="1"/>
  <c r="BG165" i="1"/>
  <c r="BF165" i="1"/>
  <c r="BE165" i="1"/>
  <c r="BC165" i="1"/>
  <c r="AY165" i="1"/>
  <c r="AX165" i="1"/>
  <c r="AW165" i="1"/>
  <c r="AV165" i="1"/>
  <c r="AT165" i="1"/>
  <c r="AP165" i="1"/>
  <c r="AO165" i="1"/>
  <c r="AN165" i="1"/>
  <c r="AM165" i="1"/>
  <c r="AK165" i="1"/>
  <c r="AG165" i="1"/>
  <c r="AF165" i="1"/>
  <c r="AE165" i="1"/>
  <c r="AD165" i="1"/>
  <c r="AB165" i="1"/>
  <c r="X165" i="1"/>
  <c r="W165" i="1"/>
  <c r="V165" i="1"/>
  <c r="U165" i="1"/>
  <c r="S165" i="1"/>
  <c r="K165" i="1"/>
  <c r="J165" i="1"/>
  <c r="I165" i="1"/>
  <c r="CR164" i="1"/>
  <c r="CQ164" i="1"/>
  <c r="CP164" i="1"/>
  <c r="CO164" i="1"/>
  <c r="CM164" i="1"/>
  <c r="CI164" i="1"/>
  <c r="CH164" i="1"/>
  <c r="CG164" i="1"/>
  <c r="CF164" i="1"/>
  <c r="CD164" i="1"/>
  <c r="CC164" i="1"/>
  <c r="CB164" i="1"/>
  <c r="BZ164" i="1"/>
  <c r="BY164" i="1"/>
  <c r="BX164" i="1"/>
  <c r="BW164" i="1"/>
  <c r="BU164" i="1"/>
  <c r="BQ164" i="1"/>
  <c r="BP164" i="1"/>
  <c r="BO164" i="1"/>
  <c r="BN164" i="1"/>
  <c r="BL164" i="1"/>
  <c r="BH164" i="1"/>
  <c r="BG164" i="1"/>
  <c r="BF164" i="1"/>
  <c r="BE164" i="1"/>
  <c r="BC164" i="1"/>
  <c r="AY164" i="1"/>
  <c r="AX164" i="1"/>
  <c r="AW164" i="1"/>
  <c r="AV164" i="1"/>
  <c r="AT164" i="1"/>
  <c r="AP164" i="1"/>
  <c r="AO164" i="1"/>
  <c r="AN164" i="1"/>
  <c r="AM164" i="1"/>
  <c r="AK164" i="1"/>
  <c r="AG164" i="1"/>
  <c r="AF164" i="1"/>
  <c r="AE164" i="1"/>
  <c r="AD164" i="1"/>
  <c r="AB164" i="1"/>
  <c r="X164" i="1"/>
  <c r="W164" i="1"/>
  <c r="V164" i="1"/>
  <c r="U164" i="1"/>
  <c r="S164" i="1"/>
  <c r="K164" i="1"/>
  <c r="J164" i="1"/>
  <c r="I164" i="1"/>
  <c r="CR163" i="1"/>
  <c r="CQ163" i="1"/>
  <c r="CP163" i="1"/>
  <c r="CO163" i="1"/>
  <c r="CM163" i="1"/>
  <c r="CI163" i="1"/>
  <c r="CH163" i="1"/>
  <c r="CG163" i="1"/>
  <c r="CF163" i="1"/>
  <c r="CD163" i="1"/>
  <c r="CC163" i="1"/>
  <c r="CB163" i="1"/>
  <c r="BZ163" i="1"/>
  <c r="BY163" i="1"/>
  <c r="BX163" i="1"/>
  <c r="BW163" i="1"/>
  <c r="BU163" i="1"/>
  <c r="BQ163" i="1"/>
  <c r="BP163" i="1"/>
  <c r="BO163" i="1"/>
  <c r="BN163" i="1"/>
  <c r="BL163" i="1"/>
  <c r="BH163" i="1"/>
  <c r="BG163" i="1"/>
  <c r="BF163" i="1"/>
  <c r="BE163" i="1"/>
  <c r="BC163" i="1"/>
  <c r="AY163" i="1"/>
  <c r="AX163" i="1"/>
  <c r="AW163" i="1"/>
  <c r="AV163" i="1"/>
  <c r="AT163" i="1"/>
  <c r="AP163" i="1"/>
  <c r="AO163" i="1"/>
  <c r="AN163" i="1"/>
  <c r="AM163" i="1"/>
  <c r="AK163" i="1"/>
  <c r="AG163" i="1"/>
  <c r="AF163" i="1"/>
  <c r="AE163" i="1"/>
  <c r="AD163" i="1"/>
  <c r="AB163" i="1"/>
  <c r="X163" i="1"/>
  <c r="W163" i="1"/>
  <c r="V163" i="1"/>
  <c r="U163" i="1"/>
  <c r="S163" i="1"/>
  <c r="K163" i="1"/>
  <c r="J163" i="1"/>
  <c r="I163" i="1"/>
  <c r="CR162" i="1"/>
  <c r="CQ162" i="1"/>
  <c r="CP162" i="1"/>
  <c r="CO162" i="1"/>
  <c r="CM162" i="1"/>
  <c r="CI162" i="1"/>
  <c r="CH162" i="1"/>
  <c r="CG162" i="1"/>
  <c r="CF162" i="1"/>
  <c r="CD162" i="1"/>
  <c r="CC162" i="1"/>
  <c r="CB162" i="1"/>
  <c r="BZ162" i="1"/>
  <c r="BY162" i="1"/>
  <c r="BX162" i="1"/>
  <c r="BW162" i="1"/>
  <c r="BU162" i="1"/>
  <c r="BQ162" i="1"/>
  <c r="BP162" i="1"/>
  <c r="BO162" i="1"/>
  <c r="BN162" i="1"/>
  <c r="BL162" i="1"/>
  <c r="BH162" i="1"/>
  <c r="BG162" i="1"/>
  <c r="BF162" i="1"/>
  <c r="BE162" i="1"/>
  <c r="BC162" i="1"/>
  <c r="AY162" i="1"/>
  <c r="AX162" i="1"/>
  <c r="AW162" i="1"/>
  <c r="AV162" i="1"/>
  <c r="AT162" i="1"/>
  <c r="AP162" i="1"/>
  <c r="AO162" i="1"/>
  <c r="AN162" i="1"/>
  <c r="AM162" i="1"/>
  <c r="AK162" i="1"/>
  <c r="AG162" i="1"/>
  <c r="AF162" i="1"/>
  <c r="AE162" i="1"/>
  <c r="AD162" i="1"/>
  <c r="AB162" i="1"/>
  <c r="X162" i="1"/>
  <c r="W162" i="1"/>
  <c r="V162" i="1"/>
  <c r="U162" i="1"/>
  <c r="S162" i="1"/>
  <c r="K162" i="1"/>
  <c r="J162" i="1"/>
  <c r="I162" i="1"/>
  <c r="CL160" i="1"/>
  <c r="CC160" i="1"/>
  <c r="BT160" i="1"/>
  <c r="BS160" i="1"/>
  <c r="BK160" i="1"/>
  <c r="BJ160" i="1"/>
  <c r="BB160" i="1"/>
  <c r="BA160" i="1"/>
  <c r="AS160" i="1"/>
  <c r="AR160" i="1"/>
  <c r="AJ160" i="1"/>
  <c r="AI160" i="1"/>
  <c r="AA160" i="1"/>
  <c r="Z160" i="1"/>
  <c r="R160" i="1"/>
  <c r="Q160" i="1"/>
  <c r="D160" i="1"/>
  <c r="CM159" i="1"/>
  <c r="CK159" i="1"/>
  <c r="CD159" i="1"/>
  <c r="CB159" i="1"/>
  <c r="BU159" i="1"/>
  <c r="BS159" i="1"/>
  <c r="BL159" i="1"/>
  <c r="BJ159" i="1"/>
  <c r="BC159" i="1"/>
  <c r="BA159" i="1"/>
  <c r="AT159" i="1"/>
  <c r="AR159" i="1"/>
  <c r="AK159" i="1"/>
  <c r="AI159" i="1"/>
  <c r="AB159" i="1"/>
  <c r="Z159" i="1"/>
  <c r="S159" i="1"/>
  <c r="Q159" i="1"/>
  <c r="I159" i="1"/>
  <c r="E159" i="1"/>
  <c r="CK158" i="1"/>
  <c r="CB158" i="1"/>
  <c r="BS158" i="1"/>
  <c r="BJ158" i="1"/>
  <c r="BA158" i="1"/>
  <c r="AR158" i="1"/>
  <c r="AI158" i="1"/>
  <c r="Z158" i="1"/>
  <c r="Q158" i="1"/>
  <c r="E157" i="1"/>
  <c r="E156" i="1"/>
  <c r="CM152" i="1"/>
  <c r="CL152" i="1"/>
  <c r="CK152" i="1"/>
  <c r="CD152" i="1"/>
  <c r="CC152" i="1"/>
  <c r="CB152" i="1"/>
  <c r="BU152" i="1"/>
  <c r="BT152" i="1"/>
  <c r="BS152" i="1"/>
  <c r="BL152" i="1"/>
  <c r="BK152" i="1"/>
  <c r="BJ152" i="1"/>
  <c r="BC152" i="1"/>
  <c r="BB152" i="1"/>
  <c r="BA152" i="1"/>
  <c r="AT152" i="1"/>
  <c r="AS152" i="1"/>
  <c r="AR152" i="1"/>
  <c r="AK152" i="1"/>
  <c r="AJ152" i="1"/>
  <c r="AI152" i="1"/>
  <c r="AB152" i="1"/>
  <c r="AA152" i="1"/>
  <c r="Z152" i="1"/>
  <c r="S152" i="1"/>
  <c r="R152" i="1"/>
  <c r="Q152" i="1"/>
  <c r="K152" i="1"/>
  <c r="J152" i="1"/>
  <c r="I152" i="1"/>
  <c r="H152" i="1"/>
  <c r="F152" i="1"/>
  <c r="CR151" i="1"/>
  <c r="CQ151" i="1"/>
  <c r="CP151" i="1"/>
  <c r="CO151" i="1"/>
  <c r="CM151" i="1"/>
  <c r="CI151" i="1"/>
  <c r="CH151" i="1"/>
  <c r="CG151" i="1"/>
  <c r="CF151" i="1"/>
  <c r="CD151" i="1"/>
  <c r="CC151" i="1"/>
  <c r="CB151" i="1"/>
  <c r="BZ151" i="1"/>
  <c r="BY151" i="1"/>
  <c r="BX151" i="1"/>
  <c r="BW151" i="1"/>
  <c r="BU151" i="1"/>
  <c r="BQ151" i="1"/>
  <c r="BP151" i="1"/>
  <c r="BO151" i="1"/>
  <c r="BN151" i="1"/>
  <c r="BL151" i="1"/>
  <c r="BH151" i="1"/>
  <c r="BG151" i="1"/>
  <c r="BF151" i="1"/>
  <c r="BE151" i="1"/>
  <c r="BC151" i="1"/>
  <c r="AY151" i="1"/>
  <c r="AX151" i="1"/>
  <c r="AW151" i="1"/>
  <c r="AV151" i="1"/>
  <c r="AT151" i="1"/>
  <c r="AP151" i="1"/>
  <c r="AO151" i="1"/>
  <c r="AN151" i="1"/>
  <c r="AM151" i="1"/>
  <c r="AK151" i="1"/>
  <c r="AG151" i="1"/>
  <c r="AF151" i="1"/>
  <c r="AE151" i="1"/>
  <c r="AD151" i="1"/>
  <c r="AB151" i="1"/>
  <c r="X151" i="1"/>
  <c r="W151" i="1"/>
  <c r="V151" i="1"/>
  <c r="U151" i="1"/>
  <c r="S151" i="1"/>
  <c r="K151" i="1"/>
  <c r="J151" i="1"/>
  <c r="I151" i="1"/>
  <c r="CR150" i="1"/>
  <c r="CQ150" i="1"/>
  <c r="CP150" i="1"/>
  <c r="CO150" i="1"/>
  <c r="CM150" i="1"/>
  <c r="CI150" i="1"/>
  <c r="CH150" i="1"/>
  <c r="CG150" i="1"/>
  <c r="CF150" i="1"/>
  <c r="CD150" i="1"/>
  <c r="CC150" i="1"/>
  <c r="CB150" i="1"/>
  <c r="BZ150" i="1"/>
  <c r="BY150" i="1"/>
  <c r="BX150" i="1"/>
  <c r="BW150" i="1"/>
  <c r="BU150" i="1"/>
  <c r="BQ150" i="1"/>
  <c r="BP150" i="1"/>
  <c r="BO150" i="1"/>
  <c r="BN150" i="1"/>
  <c r="BL150" i="1"/>
  <c r="BH150" i="1"/>
  <c r="BG150" i="1"/>
  <c r="BF150" i="1"/>
  <c r="BE150" i="1"/>
  <c r="BC150" i="1"/>
  <c r="AY150" i="1"/>
  <c r="AX150" i="1"/>
  <c r="AW150" i="1"/>
  <c r="AV150" i="1"/>
  <c r="AT150" i="1"/>
  <c r="AP150" i="1"/>
  <c r="AO150" i="1"/>
  <c r="AN150" i="1"/>
  <c r="AM150" i="1"/>
  <c r="AK150" i="1"/>
  <c r="AG150" i="1"/>
  <c r="AF150" i="1"/>
  <c r="AE150" i="1"/>
  <c r="AD150" i="1"/>
  <c r="AB150" i="1"/>
  <c r="X150" i="1"/>
  <c r="W150" i="1"/>
  <c r="V150" i="1"/>
  <c r="U150" i="1"/>
  <c r="S150" i="1"/>
  <c r="K150" i="1"/>
  <c r="J150" i="1"/>
  <c r="I150" i="1"/>
  <c r="CR149" i="1"/>
  <c r="CQ149" i="1"/>
  <c r="CP149" i="1"/>
  <c r="CO149" i="1"/>
  <c r="CM149" i="1"/>
  <c r="CI149" i="1"/>
  <c r="CH149" i="1"/>
  <c r="CG149" i="1"/>
  <c r="CF149" i="1"/>
  <c r="CD149" i="1"/>
  <c r="CC149" i="1"/>
  <c r="CB149" i="1"/>
  <c r="BZ149" i="1"/>
  <c r="BY149" i="1"/>
  <c r="BX149" i="1"/>
  <c r="BW149" i="1"/>
  <c r="BU149" i="1"/>
  <c r="BQ149" i="1"/>
  <c r="BP149" i="1"/>
  <c r="BO149" i="1"/>
  <c r="BN149" i="1"/>
  <c r="BL149" i="1"/>
  <c r="BH149" i="1"/>
  <c r="BG149" i="1"/>
  <c r="BF149" i="1"/>
  <c r="BE149" i="1"/>
  <c r="BC149" i="1"/>
  <c r="AY149" i="1"/>
  <c r="AX149" i="1"/>
  <c r="AW149" i="1"/>
  <c r="AV149" i="1"/>
  <c r="AT149" i="1"/>
  <c r="AP149" i="1"/>
  <c r="AO149" i="1"/>
  <c r="AN149" i="1"/>
  <c r="AM149" i="1"/>
  <c r="AK149" i="1"/>
  <c r="AG149" i="1"/>
  <c r="AF149" i="1"/>
  <c r="AE149" i="1"/>
  <c r="AD149" i="1"/>
  <c r="AB149" i="1"/>
  <c r="X149" i="1"/>
  <c r="W149" i="1"/>
  <c r="V149" i="1"/>
  <c r="U149" i="1"/>
  <c r="S149" i="1"/>
  <c r="K149" i="1"/>
  <c r="J149" i="1"/>
  <c r="I149" i="1"/>
  <c r="CR148" i="1"/>
  <c r="CQ148" i="1"/>
  <c r="CP148" i="1"/>
  <c r="CO148" i="1"/>
  <c r="CM148" i="1"/>
  <c r="CI148" i="1"/>
  <c r="CH148" i="1"/>
  <c r="CG148" i="1"/>
  <c r="CF148" i="1"/>
  <c r="CD148" i="1"/>
  <c r="CC148" i="1"/>
  <c r="CB148" i="1"/>
  <c r="BZ148" i="1"/>
  <c r="BY148" i="1"/>
  <c r="BX148" i="1"/>
  <c r="BW148" i="1"/>
  <c r="BU148" i="1"/>
  <c r="BQ148" i="1"/>
  <c r="BP148" i="1"/>
  <c r="BO148" i="1"/>
  <c r="BN148" i="1"/>
  <c r="BL148" i="1"/>
  <c r="BH148" i="1"/>
  <c r="BG148" i="1"/>
  <c r="BF148" i="1"/>
  <c r="BE148" i="1"/>
  <c r="BC148" i="1"/>
  <c r="AY148" i="1"/>
  <c r="AX148" i="1"/>
  <c r="AW148" i="1"/>
  <c r="AV148" i="1"/>
  <c r="AT148" i="1"/>
  <c r="AP148" i="1"/>
  <c r="AO148" i="1"/>
  <c r="AN148" i="1"/>
  <c r="AM148" i="1"/>
  <c r="AK148" i="1"/>
  <c r="AG148" i="1"/>
  <c r="AF148" i="1"/>
  <c r="AE148" i="1"/>
  <c r="AD148" i="1"/>
  <c r="AB148" i="1"/>
  <c r="X148" i="1"/>
  <c r="W148" i="1"/>
  <c r="V148" i="1"/>
  <c r="U148" i="1"/>
  <c r="S148" i="1"/>
  <c r="K148" i="1"/>
  <c r="J148" i="1"/>
  <c r="I148" i="1"/>
  <c r="CR147" i="1"/>
  <c r="CQ147" i="1"/>
  <c r="CP147" i="1"/>
  <c r="CO147" i="1"/>
  <c r="CM147" i="1"/>
  <c r="CI147" i="1"/>
  <c r="CH147" i="1"/>
  <c r="CG147" i="1"/>
  <c r="CF147" i="1"/>
  <c r="CD147" i="1"/>
  <c r="CC147" i="1"/>
  <c r="CB147" i="1"/>
  <c r="BZ147" i="1"/>
  <c r="BY147" i="1"/>
  <c r="BX147" i="1"/>
  <c r="BW147" i="1"/>
  <c r="BU147" i="1"/>
  <c r="BQ147" i="1"/>
  <c r="BP147" i="1"/>
  <c r="BO147" i="1"/>
  <c r="BN147" i="1"/>
  <c r="BL147" i="1"/>
  <c r="BH147" i="1"/>
  <c r="BG147" i="1"/>
  <c r="BF147" i="1"/>
  <c r="BE147" i="1"/>
  <c r="BC147" i="1"/>
  <c r="AY147" i="1"/>
  <c r="AX147" i="1"/>
  <c r="AW147" i="1"/>
  <c r="AV147" i="1"/>
  <c r="AT147" i="1"/>
  <c r="AP147" i="1"/>
  <c r="AO147" i="1"/>
  <c r="AN147" i="1"/>
  <c r="AM147" i="1"/>
  <c r="AK147" i="1"/>
  <c r="AG147" i="1"/>
  <c r="AF147" i="1"/>
  <c r="AE147" i="1"/>
  <c r="AD147" i="1"/>
  <c r="AB147" i="1"/>
  <c r="X147" i="1"/>
  <c r="W147" i="1"/>
  <c r="V147" i="1"/>
  <c r="U147" i="1"/>
  <c r="S147" i="1"/>
  <c r="K147" i="1"/>
  <c r="J147" i="1"/>
  <c r="I147" i="1"/>
  <c r="CR146" i="1"/>
  <c r="CQ146" i="1"/>
  <c r="CP146" i="1"/>
  <c r="CO146" i="1"/>
  <c r="CM146" i="1"/>
  <c r="CI146" i="1"/>
  <c r="CH146" i="1"/>
  <c r="CG146" i="1"/>
  <c r="CF146" i="1"/>
  <c r="CD146" i="1"/>
  <c r="CC146" i="1"/>
  <c r="CB146" i="1"/>
  <c r="BZ146" i="1"/>
  <c r="BY146" i="1"/>
  <c r="BX146" i="1"/>
  <c r="BW146" i="1"/>
  <c r="BU146" i="1"/>
  <c r="BQ146" i="1"/>
  <c r="BP146" i="1"/>
  <c r="BO146" i="1"/>
  <c r="BN146" i="1"/>
  <c r="BL146" i="1"/>
  <c r="BH146" i="1"/>
  <c r="BG146" i="1"/>
  <c r="BF146" i="1"/>
  <c r="BE146" i="1"/>
  <c r="BC146" i="1"/>
  <c r="AY146" i="1"/>
  <c r="AX146" i="1"/>
  <c r="AW146" i="1"/>
  <c r="AV146" i="1"/>
  <c r="AT146" i="1"/>
  <c r="AP146" i="1"/>
  <c r="AO146" i="1"/>
  <c r="AN146" i="1"/>
  <c r="AM146" i="1"/>
  <c r="AK146" i="1"/>
  <c r="AG146" i="1"/>
  <c r="AF146" i="1"/>
  <c r="AE146" i="1"/>
  <c r="AD146" i="1"/>
  <c r="AB146" i="1"/>
  <c r="X146" i="1"/>
  <c r="W146" i="1"/>
  <c r="V146" i="1"/>
  <c r="U146" i="1"/>
  <c r="S146" i="1"/>
  <c r="K146" i="1"/>
  <c r="J146" i="1"/>
  <c r="I146" i="1"/>
  <c r="CR145" i="1"/>
  <c r="CQ145" i="1"/>
  <c r="CP145" i="1"/>
  <c r="CO145" i="1"/>
  <c r="CM145" i="1"/>
  <c r="CI145" i="1"/>
  <c r="CH145" i="1"/>
  <c r="CG145" i="1"/>
  <c r="CF145" i="1"/>
  <c r="CD145" i="1"/>
  <c r="CC145" i="1"/>
  <c r="CB145" i="1"/>
  <c r="BZ145" i="1"/>
  <c r="BY145" i="1"/>
  <c r="BX145" i="1"/>
  <c r="BW145" i="1"/>
  <c r="BU145" i="1"/>
  <c r="BQ145" i="1"/>
  <c r="BP145" i="1"/>
  <c r="BO145" i="1"/>
  <c r="BN145" i="1"/>
  <c r="BL145" i="1"/>
  <c r="BH145" i="1"/>
  <c r="BG145" i="1"/>
  <c r="BF145" i="1"/>
  <c r="BE145" i="1"/>
  <c r="BC145" i="1"/>
  <c r="AY145" i="1"/>
  <c r="AX145" i="1"/>
  <c r="AW145" i="1"/>
  <c r="AV145" i="1"/>
  <c r="AT145" i="1"/>
  <c r="AP145" i="1"/>
  <c r="AO145" i="1"/>
  <c r="AN145" i="1"/>
  <c r="AM145" i="1"/>
  <c r="AK145" i="1"/>
  <c r="AG145" i="1"/>
  <c r="AF145" i="1"/>
  <c r="AE145" i="1"/>
  <c r="AD145" i="1"/>
  <c r="AB145" i="1"/>
  <c r="X145" i="1"/>
  <c r="W145" i="1"/>
  <c r="V145" i="1"/>
  <c r="U145" i="1"/>
  <c r="S145" i="1"/>
  <c r="K145" i="1"/>
  <c r="J145" i="1"/>
  <c r="I145" i="1"/>
  <c r="CR144" i="1"/>
  <c r="CQ144" i="1"/>
  <c r="CP144" i="1"/>
  <c r="CO144" i="1"/>
  <c r="CM144" i="1"/>
  <c r="CI144" i="1"/>
  <c r="CH144" i="1"/>
  <c r="CG144" i="1"/>
  <c r="CF144" i="1"/>
  <c r="CD144" i="1"/>
  <c r="CC144" i="1"/>
  <c r="CB144" i="1"/>
  <c r="BZ144" i="1"/>
  <c r="BY144" i="1"/>
  <c r="BX144" i="1"/>
  <c r="BW144" i="1"/>
  <c r="BU144" i="1"/>
  <c r="BQ144" i="1"/>
  <c r="BP144" i="1"/>
  <c r="BO144" i="1"/>
  <c r="BN144" i="1"/>
  <c r="BL144" i="1"/>
  <c r="BH144" i="1"/>
  <c r="BG144" i="1"/>
  <c r="BF144" i="1"/>
  <c r="BE144" i="1"/>
  <c r="BC144" i="1"/>
  <c r="AY144" i="1"/>
  <c r="AX144" i="1"/>
  <c r="AW144" i="1"/>
  <c r="AV144" i="1"/>
  <c r="AT144" i="1"/>
  <c r="AP144" i="1"/>
  <c r="AO144" i="1"/>
  <c r="AN144" i="1"/>
  <c r="AM144" i="1"/>
  <c r="AK144" i="1"/>
  <c r="AG144" i="1"/>
  <c r="AF144" i="1"/>
  <c r="AE144" i="1"/>
  <c r="AD144" i="1"/>
  <c r="AB144" i="1"/>
  <c r="X144" i="1"/>
  <c r="W144" i="1"/>
  <c r="V144" i="1"/>
  <c r="U144" i="1"/>
  <c r="S144" i="1"/>
  <c r="K144" i="1"/>
  <c r="J144" i="1"/>
  <c r="I144" i="1"/>
  <c r="CR143" i="1"/>
  <c r="CQ143" i="1"/>
  <c r="CP143" i="1"/>
  <c r="CO143" i="1"/>
  <c r="CM143" i="1"/>
  <c r="CI143" i="1"/>
  <c r="CH143" i="1"/>
  <c r="CG143" i="1"/>
  <c r="CF143" i="1"/>
  <c r="CD143" i="1"/>
  <c r="CC143" i="1"/>
  <c r="CB143" i="1"/>
  <c r="BZ143" i="1"/>
  <c r="BY143" i="1"/>
  <c r="BX143" i="1"/>
  <c r="BW143" i="1"/>
  <c r="BU143" i="1"/>
  <c r="BQ143" i="1"/>
  <c r="BP143" i="1"/>
  <c r="BO143" i="1"/>
  <c r="BN143" i="1"/>
  <c r="BL143" i="1"/>
  <c r="BH143" i="1"/>
  <c r="BG143" i="1"/>
  <c r="BF143" i="1"/>
  <c r="BE143" i="1"/>
  <c r="BC143" i="1"/>
  <c r="AY143" i="1"/>
  <c r="AX143" i="1"/>
  <c r="AW143" i="1"/>
  <c r="AV143" i="1"/>
  <c r="AT143" i="1"/>
  <c r="AP143" i="1"/>
  <c r="AO143" i="1"/>
  <c r="AN143" i="1"/>
  <c r="AM143" i="1"/>
  <c r="AK143" i="1"/>
  <c r="AG143" i="1"/>
  <c r="AF143" i="1"/>
  <c r="AE143" i="1"/>
  <c r="AD143" i="1"/>
  <c r="AB143" i="1"/>
  <c r="X143" i="1"/>
  <c r="W143" i="1"/>
  <c r="V143" i="1"/>
  <c r="U143" i="1"/>
  <c r="S143" i="1"/>
  <c r="K143" i="1"/>
  <c r="J143" i="1"/>
  <c r="I143" i="1"/>
  <c r="CR142" i="1"/>
  <c r="CQ142" i="1"/>
  <c r="CP142" i="1"/>
  <c r="CO142" i="1"/>
  <c r="CM142" i="1"/>
  <c r="CI142" i="1"/>
  <c r="CH142" i="1"/>
  <c r="CG142" i="1"/>
  <c r="CF142" i="1"/>
  <c r="CD142" i="1"/>
  <c r="CC142" i="1"/>
  <c r="CB142" i="1"/>
  <c r="BZ142" i="1"/>
  <c r="BY142" i="1"/>
  <c r="BX142" i="1"/>
  <c r="BW142" i="1"/>
  <c r="BU142" i="1"/>
  <c r="BQ142" i="1"/>
  <c r="BP142" i="1"/>
  <c r="BO142" i="1"/>
  <c r="BN142" i="1"/>
  <c r="BL142" i="1"/>
  <c r="BH142" i="1"/>
  <c r="BG142" i="1"/>
  <c r="BF142" i="1"/>
  <c r="BE142" i="1"/>
  <c r="BC142" i="1"/>
  <c r="AY142" i="1"/>
  <c r="AX142" i="1"/>
  <c r="AW142" i="1"/>
  <c r="AV142" i="1"/>
  <c r="AT142" i="1"/>
  <c r="AP142" i="1"/>
  <c r="AO142" i="1"/>
  <c r="AN142" i="1"/>
  <c r="AM142" i="1"/>
  <c r="AK142" i="1"/>
  <c r="AG142" i="1"/>
  <c r="AF142" i="1"/>
  <c r="AE142" i="1"/>
  <c r="AD142" i="1"/>
  <c r="AB142" i="1"/>
  <c r="X142" i="1"/>
  <c r="W142" i="1"/>
  <c r="V142" i="1"/>
  <c r="U142" i="1"/>
  <c r="S142" i="1"/>
  <c r="K142" i="1"/>
  <c r="J142" i="1"/>
  <c r="I142" i="1"/>
  <c r="CR141" i="1"/>
  <c r="CQ141" i="1"/>
  <c r="CP141" i="1"/>
  <c r="CO141" i="1"/>
  <c r="CM141" i="1"/>
  <c r="CI141" i="1"/>
  <c r="CH141" i="1"/>
  <c r="CG141" i="1"/>
  <c r="CF141" i="1"/>
  <c r="CD141" i="1"/>
  <c r="CC141" i="1"/>
  <c r="CB141" i="1"/>
  <c r="BZ141" i="1"/>
  <c r="BY141" i="1"/>
  <c r="BX141" i="1"/>
  <c r="BW141" i="1"/>
  <c r="BU141" i="1"/>
  <c r="BQ141" i="1"/>
  <c r="BP141" i="1"/>
  <c r="BO141" i="1"/>
  <c r="BN141" i="1"/>
  <c r="BL141" i="1"/>
  <c r="BH141" i="1"/>
  <c r="BG141" i="1"/>
  <c r="BF141" i="1"/>
  <c r="BE141" i="1"/>
  <c r="BC141" i="1"/>
  <c r="AY141" i="1"/>
  <c r="AX141" i="1"/>
  <c r="AW141" i="1"/>
  <c r="AV141" i="1"/>
  <c r="AT141" i="1"/>
  <c r="AP141" i="1"/>
  <c r="AO141" i="1"/>
  <c r="AN141" i="1"/>
  <c r="AM141" i="1"/>
  <c r="AK141" i="1"/>
  <c r="AG141" i="1"/>
  <c r="AF141" i="1"/>
  <c r="AE141" i="1"/>
  <c r="AD141" i="1"/>
  <c r="AB141" i="1"/>
  <c r="X141" i="1"/>
  <c r="W141" i="1"/>
  <c r="V141" i="1"/>
  <c r="U141" i="1"/>
  <c r="S141" i="1"/>
  <c r="K141" i="1"/>
  <c r="J141" i="1"/>
  <c r="I141" i="1"/>
  <c r="CR140" i="1"/>
  <c r="CQ140" i="1"/>
  <c r="CP140" i="1"/>
  <c r="CO140" i="1"/>
  <c r="CM140" i="1"/>
  <c r="CI140" i="1"/>
  <c r="CH140" i="1"/>
  <c r="CG140" i="1"/>
  <c r="CF140" i="1"/>
  <c r="CD140" i="1"/>
  <c r="CC140" i="1"/>
  <c r="CB140" i="1"/>
  <c r="BZ140" i="1"/>
  <c r="BY140" i="1"/>
  <c r="BX140" i="1"/>
  <c r="BW140" i="1"/>
  <c r="BU140" i="1"/>
  <c r="BQ140" i="1"/>
  <c r="BP140" i="1"/>
  <c r="BO140" i="1"/>
  <c r="BN140" i="1"/>
  <c r="BL140" i="1"/>
  <c r="BH140" i="1"/>
  <c r="BG140" i="1"/>
  <c r="BF140" i="1"/>
  <c r="BE140" i="1"/>
  <c r="BC140" i="1"/>
  <c r="AY140" i="1"/>
  <c r="AX140" i="1"/>
  <c r="AW140" i="1"/>
  <c r="AV140" i="1"/>
  <c r="AT140" i="1"/>
  <c r="AP140" i="1"/>
  <c r="AO140" i="1"/>
  <c r="AN140" i="1"/>
  <c r="AM140" i="1"/>
  <c r="AK140" i="1"/>
  <c r="AG140" i="1"/>
  <c r="AF140" i="1"/>
  <c r="AE140" i="1"/>
  <c r="AD140" i="1"/>
  <c r="AB140" i="1"/>
  <c r="X140" i="1"/>
  <c r="W140" i="1"/>
  <c r="V140" i="1"/>
  <c r="U140" i="1"/>
  <c r="S140" i="1"/>
  <c r="K140" i="1"/>
  <c r="J140" i="1"/>
  <c r="I140" i="1"/>
  <c r="CL138" i="1"/>
  <c r="CC138" i="1"/>
  <c r="BT138" i="1"/>
  <c r="BS138" i="1"/>
  <c r="BK138" i="1"/>
  <c r="BJ138" i="1"/>
  <c r="BB138" i="1"/>
  <c r="BA138" i="1"/>
  <c r="AS138" i="1"/>
  <c r="AR138" i="1"/>
  <c r="AJ138" i="1"/>
  <c r="AI138" i="1"/>
  <c r="AA138" i="1"/>
  <c r="Z138" i="1"/>
  <c r="R138" i="1"/>
  <c r="Q138" i="1"/>
  <c r="D138" i="1"/>
  <c r="CM137" i="1"/>
  <c r="CK137" i="1"/>
  <c r="CD137" i="1"/>
  <c r="CB137" i="1"/>
  <c r="BU137" i="1"/>
  <c r="BS137" i="1"/>
  <c r="BL137" i="1"/>
  <c r="BJ137" i="1"/>
  <c r="BC137" i="1"/>
  <c r="BA137" i="1"/>
  <c r="AT137" i="1"/>
  <c r="AR137" i="1"/>
  <c r="AK137" i="1"/>
  <c r="AI137" i="1"/>
  <c r="AB137" i="1"/>
  <c r="Z137" i="1"/>
  <c r="S137" i="1"/>
  <c r="Q137" i="1"/>
  <c r="I137" i="1"/>
  <c r="E137" i="1"/>
  <c r="CK136" i="1"/>
  <c r="CB136" i="1"/>
  <c r="BS136" i="1"/>
  <c r="BJ136" i="1"/>
  <c r="BA136" i="1"/>
  <c r="AR136" i="1"/>
  <c r="AI136" i="1"/>
  <c r="Z136" i="1"/>
  <c r="Q136" i="1"/>
  <c r="E135" i="1"/>
  <c r="E134" i="1"/>
  <c r="CM130" i="1"/>
  <c r="CL130" i="1"/>
  <c r="CK130" i="1"/>
  <c r="CD130" i="1"/>
  <c r="CC130" i="1"/>
  <c r="CB130" i="1"/>
  <c r="BU130" i="1"/>
  <c r="BT130" i="1"/>
  <c r="BS130" i="1"/>
  <c r="BL130" i="1"/>
  <c r="BK130" i="1"/>
  <c r="BJ130" i="1"/>
  <c r="BC130" i="1"/>
  <c r="BB130" i="1"/>
  <c r="BA130" i="1"/>
  <c r="AT130" i="1"/>
  <c r="AS130" i="1"/>
  <c r="AR130" i="1"/>
  <c r="AK130" i="1"/>
  <c r="AJ130" i="1"/>
  <c r="AI130" i="1"/>
  <c r="AB130" i="1"/>
  <c r="AA130" i="1"/>
  <c r="Z130" i="1"/>
  <c r="S130" i="1"/>
  <c r="R130" i="1"/>
  <c r="Q130" i="1"/>
  <c r="K130" i="1"/>
  <c r="J130" i="1"/>
  <c r="I130" i="1"/>
  <c r="H130" i="1"/>
  <c r="F130" i="1"/>
  <c r="CR129" i="1"/>
  <c r="CQ129" i="1"/>
  <c r="CP129" i="1"/>
  <c r="CO129" i="1"/>
  <c r="CM129" i="1"/>
  <c r="CI129" i="1"/>
  <c r="CH129" i="1"/>
  <c r="CG129" i="1"/>
  <c r="CF129" i="1"/>
  <c r="CD129" i="1"/>
  <c r="CC129" i="1"/>
  <c r="CB129" i="1"/>
  <c r="BZ129" i="1"/>
  <c r="BY129" i="1"/>
  <c r="BX129" i="1"/>
  <c r="BW129" i="1"/>
  <c r="BU129" i="1"/>
  <c r="BQ129" i="1"/>
  <c r="BP129" i="1"/>
  <c r="BO129" i="1"/>
  <c r="BN129" i="1"/>
  <c r="BL129" i="1"/>
  <c r="BH129" i="1"/>
  <c r="BG129" i="1"/>
  <c r="BF129" i="1"/>
  <c r="BE129" i="1"/>
  <c r="BC129" i="1"/>
  <c r="AY129" i="1"/>
  <c r="AX129" i="1"/>
  <c r="AW129" i="1"/>
  <c r="AV129" i="1"/>
  <c r="AT129" i="1"/>
  <c r="AP129" i="1"/>
  <c r="AO129" i="1"/>
  <c r="AN129" i="1"/>
  <c r="AM129" i="1"/>
  <c r="AK129" i="1"/>
  <c r="AG129" i="1"/>
  <c r="AF129" i="1"/>
  <c r="AE129" i="1"/>
  <c r="AD129" i="1"/>
  <c r="AB129" i="1"/>
  <c r="X129" i="1"/>
  <c r="W129" i="1"/>
  <c r="V129" i="1"/>
  <c r="U129" i="1"/>
  <c r="S129" i="1"/>
  <c r="K129" i="1"/>
  <c r="J129" i="1"/>
  <c r="I129" i="1"/>
  <c r="CR128" i="1"/>
  <c r="CQ128" i="1"/>
  <c r="CP128" i="1"/>
  <c r="CO128" i="1"/>
  <c r="CM128" i="1"/>
  <c r="CI128" i="1"/>
  <c r="CH128" i="1"/>
  <c r="CG128" i="1"/>
  <c r="CF128" i="1"/>
  <c r="CD128" i="1"/>
  <c r="CC128" i="1"/>
  <c r="CB128" i="1"/>
  <c r="BZ128" i="1"/>
  <c r="BY128" i="1"/>
  <c r="BX128" i="1"/>
  <c r="BW128" i="1"/>
  <c r="BU128" i="1"/>
  <c r="BQ128" i="1"/>
  <c r="BP128" i="1"/>
  <c r="BO128" i="1"/>
  <c r="BN128" i="1"/>
  <c r="BL128" i="1"/>
  <c r="BH128" i="1"/>
  <c r="BG128" i="1"/>
  <c r="BF128" i="1"/>
  <c r="BE128" i="1"/>
  <c r="BC128" i="1"/>
  <c r="AY128" i="1"/>
  <c r="AX128" i="1"/>
  <c r="AW128" i="1"/>
  <c r="AV128" i="1"/>
  <c r="AT128" i="1"/>
  <c r="AP128" i="1"/>
  <c r="AO128" i="1"/>
  <c r="AN128" i="1"/>
  <c r="AM128" i="1"/>
  <c r="AK128" i="1"/>
  <c r="AG128" i="1"/>
  <c r="AF128" i="1"/>
  <c r="AE128" i="1"/>
  <c r="AD128" i="1"/>
  <c r="AB128" i="1"/>
  <c r="X128" i="1"/>
  <c r="W128" i="1"/>
  <c r="V128" i="1"/>
  <c r="U128" i="1"/>
  <c r="S128" i="1"/>
  <c r="K128" i="1"/>
  <c r="J128" i="1"/>
  <c r="I128" i="1"/>
  <c r="CR127" i="1"/>
  <c r="CQ127" i="1"/>
  <c r="CP127" i="1"/>
  <c r="CO127" i="1"/>
  <c r="CM127" i="1"/>
  <c r="CI127" i="1"/>
  <c r="CH127" i="1"/>
  <c r="CG127" i="1"/>
  <c r="CF127" i="1"/>
  <c r="CD127" i="1"/>
  <c r="CC127" i="1"/>
  <c r="CB127" i="1"/>
  <c r="BZ127" i="1"/>
  <c r="BY127" i="1"/>
  <c r="BX127" i="1"/>
  <c r="BW127" i="1"/>
  <c r="BU127" i="1"/>
  <c r="BQ127" i="1"/>
  <c r="BP127" i="1"/>
  <c r="BO127" i="1"/>
  <c r="BN127" i="1"/>
  <c r="BL127" i="1"/>
  <c r="BH127" i="1"/>
  <c r="BG127" i="1"/>
  <c r="BF127" i="1"/>
  <c r="BE127" i="1"/>
  <c r="BC127" i="1"/>
  <c r="AY127" i="1"/>
  <c r="AX127" i="1"/>
  <c r="AW127" i="1"/>
  <c r="AV127" i="1"/>
  <c r="AT127" i="1"/>
  <c r="AP127" i="1"/>
  <c r="AO127" i="1"/>
  <c r="AN127" i="1"/>
  <c r="AM127" i="1"/>
  <c r="AK127" i="1"/>
  <c r="AG127" i="1"/>
  <c r="AF127" i="1"/>
  <c r="AE127" i="1"/>
  <c r="AD127" i="1"/>
  <c r="AB127" i="1"/>
  <c r="X127" i="1"/>
  <c r="W127" i="1"/>
  <c r="V127" i="1"/>
  <c r="U127" i="1"/>
  <c r="S127" i="1"/>
  <c r="K127" i="1"/>
  <c r="J127" i="1"/>
  <c r="I127" i="1"/>
  <c r="CR126" i="1"/>
  <c r="CQ126" i="1"/>
  <c r="CP126" i="1"/>
  <c r="CO126" i="1"/>
  <c r="CM126" i="1"/>
  <c r="CI126" i="1"/>
  <c r="CH126" i="1"/>
  <c r="CG126" i="1"/>
  <c r="CF126" i="1"/>
  <c r="CD126" i="1"/>
  <c r="CC126" i="1"/>
  <c r="CB126" i="1"/>
  <c r="BZ126" i="1"/>
  <c r="BY126" i="1"/>
  <c r="BX126" i="1"/>
  <c r="BW126" i="1"/>
  <c r="BU126" i="1"/>
  <c r="BQ126" i="1"/>
  <c r="BP126" i="1"/>
  <c r="BO126" i="1"/>
  <c r="BN126" i="1"/>
  <c r="BL126" i="1"/>
  <c r="BH126" i="1"/>
  <c r="BG126" i="1"/>
  <c r="BF126" i="1"/>
  <c r="BE126" i="1"/>
  <c r="BC126" i="1"/>
  <c r="AY126" i="1"/>
  <c r="AX126" i="1"/>
  <c r="AW126" i="1"/>
  <c r="AV126" i="1"/>
  <c r="AT126" i="1"/>
  <c r="AP126" i="1"/>
  <c r="AO126" i="1"/>
  <c r="AN126" i="1"/>
  <c r="AM126" i="1"/>
  <c r="AK126" i="1"/>
  <c r="AG126" i="1"/>
  <c r="AF126" i="1"/>
  <c r="AE126" i="1"/>
  <c r="AD126" i="1"/>
  <c r="AB126" i="1"/>
  <c r="X126" i="1"/>
  <c r="W126" i="1"/>
  <c r="V126" i="1"/>
  <c r="U126" i="1"/>
  <c r="S126" i="1"/>
  <c r="K126" i="1"/>
  <c r="J126" i="1"/>
  <c r="I126" i="1"/>
  <c r="CR125" i="1"/>
  <c r="CQ125" i="1"/>
  <c r="CP125" i="1"/>
  <c r="CO125" i="1"/>
  <c r="CM125" i="1"/>
  <c r="CI125" i="1"/>
  <c r="CH125" i="1"/>
  <c r="CG125" i="1"/>
  <c r="CF125" i="1"/>
  <c r="CD125" i="1"/>
  <c r="CC125" i="1"/>
  <c r="CB125" i="1"/>
  <c r="BZ125" i="1"/>
  <c r="BY125" i="1"/>
  <c r="BX125" i="1"/>
  <c r="BW125" i="1"/>
  <c r="BU125" i="1"/>
  <c r="BQ125" i="1"/>
  <c r="BP125" i="1"/>
  <c r="BO125" i="1"/>
  <c r="BN125" i="1"/>
  <c r="BL125" i="1"/>
  <c r="BH125" i="1"/>
  <c r="BG125" i="1"/>
  <c r="BF125" i="1"/>
  <c r="BE125" i="1"/>
  <c r="BC125" i="1"/>
  <c r="AY125" i="1"/>
  <c r="AX125" i="1"/>
  <c r="AW125" i="1"/>
  <c r="AV125" i="1"/>
  <c r="AT125" i="1"/>
  <c r="AP125" i="1"/>
  <c r="AO125" i="1"/>
  <c r="AN125" i="1"/>
  <c r="AM125" i="1"/>
  <c r="AK125" i="1"/>
  <c r="AG125" i="1"/>
  <c r="AF125" i="1"/>
  <c r="AE125" i="1"/>
  <c r="AD125" i="1"/>
  <c r="AB125" i="1"/>
  <c r="X125" i="1"/>
  <c r="W125" i="1"/>
  <c r="V125" i="1"/>
  <c r="U125" i="1"/>
  <c r="S125" i="1"/>
  <c r="K125" i="1"/>
  <c r="J125" i="1"/>
  <c r="I125" i="1"/>
  <c r="CR124" i="1"/>
  <c r="CQ124" i="1"/>
  <c r="CP124" i="1"/>
  <c r="CO124" i="1"/>
  <c r="CM124" i="1"/>
  <c r="CI124" i="1"/>
  <c r="CH124" i="1"/>
  <c r="CG124" i="1"/>
  <c r="CF124" i="1"/>
  <c r="CD124" i="1"/>
  <c r="CC124" i="1"/>
  <c r="CB124" i="1"/>
  <c r="BZ124" i="1"/>
  <c r="BY124" i="1"/>
  <c r="BX124" i="1"/>
  <c r="BW124" i="1"/>
  <c r="BU124" i="1"/>
  <c r="BQ124" i="1"/>
  <c r="BP124" i="1"/>
  <c r="BO124" i="1"/>
  <c r="BN124" i="1"/>
  <c r="BL124" i="1"/>
  <c r="BH124" i="1"/>
  <c r="BG124" i="1"/>
  <c r="BF124" i="1"/>
  <c r="BE124" i="1"/>
  <c r="BC124" i="1"/>
  <c r="AY124" i="1"/>
  <c r="AX124" i="1"/>
  <c r="AW124" i="1"/>
  <c r="AV124" i="1"/>
  <c r="AT124" i="1"/>
  <c r="AP124" i="1"/>
  <c r="AO124" i="1"/>
  <c r="AN124" i="1"/>
  <c r="AM124" i="1"/>
  <c r="AK124" i="1"/>
  <c r="AG124" i="1"/>
  <c r="AF124" i="1"/>
  <c r="AE124" i="1"/>
  <c r="AD124" i="1"/>
  <c r="AB124" i="1"/>
  <c r="X124" i="1"/>
  <c r="W124" i="1"/>
  <c r="V124" i="1"/>
  <c r="U124" i="1"/>
  <c r="S124" i="1"/>
  <c r="K124" i="1"/>
  <c r="J124" i="1"/>
  <c r="I124" i="1"/>
  <c r="CR123" i="1"/>
  <c r="CQ123" i="1"/>
  <c r="CP123" i="1"/>
  <c r="CO123" i="1"/>
  <c r="CM123" i="1"/>
  <c r="CI123" i="1"/>
  <c r="CH123" i="1"/>
  <c r="CG123" i="1"/>
  <c r="CF123" i="1"/>
  <c r="CD123" i="1"/>
  <c r="CC123" i="1"/>
  <c r="CB123" i="1"/>
  <c r="BZ123" i="1"/>
  <c r="BY123" i="1"/>
  <c r="BX123" i="1"/>
  <c r="BW123" i="1"/>
  <c r="BU123" i="1"/>
  <c r="BQ123" i="1"/>
  <c r="BP123" i="1"/>
  <c r="BO123" i="1"/>
  <c r="BN123" i="1"/>
  <c r="BL123" i="1"/>
  <c r="BH123" i="1"/>
  <c r="BG123" i="1"/>
  <c r="BF123" i="1"/>
  <c r="BE123" i="1"/>
  <c r="BC123" i="1"/>
  <c r="AY123" i="1"/>
  <c r="AX123" i="1"/>
  <c r="AW123" i="1"/>
  <c r="AV123" i="1"/>
  <c r="AT123" i="1"/>
  <c r="AP123" i="1"/>
  <c r="AO123" i="1"/>
  <c r="AN123" i="1"/>
  <c r="AM123" i="1"/>
  <c r="AK123" i="1"/>
  <c r="AG123" i="1"/>
  <c r="AF123" i="1"/>
  <c r="AE123" i="1"/>
  <c r="AD123" i="1"/>
  <c r="AB123" i="1"/>
  <c r="X123" i="1"/>
  <c r="W123" i="1"/>
  <c r="V123" i="1"/>
  <c r="U123" i="1"/>
  <c r="S123" i="1"/>
  <c r="K123" i="1"/>
  <c r="J123" i="1"/>
  <c r="I123" i="1"/>
  <c r="CR122" i="1"/>
  <c r="CQ122" i="1"/>
  <c r="CP122" i="1"/>
  <c r="CO122" i="1"/>
  <c r="CM122" i="1"/>
  <c r="CI122" i="1"/>
  <c r="CH122" i="1"/>
  <c r="CG122" i="1"/>
  <c r="CF122" i="1"/>
  <c r="CD122" i="1"/>
  <c r="CC122" i="1"/>
  <c r="CB122" i="1"/>
  <c r="BZ122" i="1"/>
  <c r="BY122" i="1"/>
  <c r="BX122" i="1"/>
  <c r="BW122" i="1"/>
  <c r="BU122" i="1"/>
  <c r="BQ122" i="1"/>
  <c r="BP122" i="1"/>
  <c r="BO122" i="1"/>
  <c r="BN122" i="1"/>
  <c r="BL122" i="1"/>
  <c r="BH122" i="1"/>
  <c r="BG122" i="1"/>
  <c r="BF122" i="1"/>
  <c r="BE122" i="1"/>
  <c r="BC122" i="1"/>
  <c r="AY122" i="1"/>
  <c r="AX122" i="1"/>
  <c r="AW122" i="1"/>
  <c r="AV122" i="1"/>
  <c r="AT122" i="1"/>
  <c r="AP122" i="1"/>
  <c r="AO122" i="1"/>
  <c r="AN122" i="1"/>
  <c r="AM122" i="1"/>
  <c r="AK122" i="1"/>
  <c r="AG122" i="1"/>
  <c r="AF122" i="1"/>
  <c r="AE122" i="1"/>
  <c r="AD122" i="1"/>
  <c r="AB122" i="1"/>
  <c r="X122" i="1"/>
  <c r="W122" i="1"/>
  <c r="V122" i="1"/>
  <c r="U122" i="1"/>
  <c r="S122" i="1"/>
  <c r="K122" i="1"/>
  <c r="J122" i="1"/>
  <c r="I122" i="1"/>
  <c r="CR121" i="1"/>
  <c r="CQ121" i="1"/>
  <c r="CP121" i="1"/>
  <c r="CO121" i="1"/>
  <c r="CM121" i="1"/>
  <c r="CI121" i="1"/>
  <c r="CH121" i="1"/>
  <c r="CG121" i="1"/>
  <c r="CF121" i="1"/>
  <c r="CD121" i="1"/>
  <c r="CC121" i="1"/>
  <c r="CB121" i="1"/>
  <c r="BZ121" i="1"/>
  <c r="BY121" i="1"/>
  <c r="BX121" i="1"/>
  <c r="BW121" i="1"/>
  <c r="BU121" i="1"/>
  <c r="BQ121" i="1"/>
  <c r="BP121" i="1"/>
  <c r="BO121" i="1"/>
  <c r="BN121" i="1"/>
  <c r="BL121" i="1"/>
  <c r="BH121" i="1"/>
  <c r="BG121" i="1"/>
  <c r="BF121" i="1"/>
  <c r="BE121" i="1"/>
  <c r="BC121" i="1"/>
  <c r="AY121" i="1"/>
  <c r="AX121" i="1"/>
  <c r="AW121" i="1"/>
  <c r="AV121" i="1"/>
  <c r="AT121" i="1"/>
  <c r="AP121" i="1"/>
  <c r="AO121" i="1"/>
  <c r="AN121" i="1"/>
  <c r="AM121" i="1"/>
  <c r="AK121" i="1"/>
  <c r="AG121" i="1"/>
  <c r="AF121" i="1"/>
  <c r="AE121" i="1"/>
  <c r="AD121" i="1"/>
  <c r="AB121" i="1"/>
  <c r="X121" i="1"/>
  <c r="W121" i="1"/>
  <c r="V121" i="1"/>
  <c r="U121" i="1"/>
  <c r="S121" i="1"/>
  <c r="K121" i="1"/>
  <c r="J121" i="1"/>
  <c r="I121" i="1"/>
  <c r="CR120" i="1"/>
  <c r="CQ120" i="1"/>
  <c r="CP120" i="1"/>
  <c r="CO120" i="1"/>
  <c r="CM120" i="1"/>
  <c r="CI120" i="1"/>
  <c r="CH120" i="1"/>
  <c r="CG120" i="1"/>
  <c r="CF120" i="1"/>
  <c r="CD120" i="1"/>
  <c r="CC120" i="1"/>
  <c r="CB120" i="1"/>
  <c r="BZ120" i="1"/>
  <c r="BY120" i="1"/>
  <c r="BX120" i="1"/>
  <c r="BW120" i="1"/>
  <c r="BU120" i="1"/>
  <c r="BQ120" i="1"/>
  <c r="BP120" i="1"/>
  <c r="BO120" i="1"/>
  <c r="BN120" i="1"/>
  <c r="BL120" i="1"/>
  <c r="BH120" i="1"/>
  <c r="BG120" i="1"/>
  <c r="BF120" i="1"/>
  <c r="BE120" i="1"/>
  <c r="BC120" i="1"/>
  <c r="AY120" i="1"/>
  <c r="AX120" i="1"/>
  <c r="AW120" i="1"/>
  <c r="AV120" i="1"/>
  <c r="AT120" i="1"/>
  <c r="AP120" i="1"/>
  <c r="AO120" i="1"/>
  <c r="AN120" i="1"/>
  <c r="AM120" i="1"/>
  <c r="AK120" i="1"/>
  <c r="AG120" i="1"/>
  <c r="AF120" i="1"/>
  <c r="AE120" i="1"/>
  <c r="AD120" i="1"/>
  <c r="AB120" i="1"/>
  <c r="X120" i="1"/>
  <c r="W120" i="1"/>
  <c r="V120" i="1"/>
  <c r="U120" i="1"/>
  <c r="S120" i="1"/>
  <c r="K120" i="1"/>
  <c r="J120" i="1"/>
  <c r="I120" i="1"/>
  <c r="CR119" i="1"/>
  <c r="CQ119" i="1"/>
  <c r="CP119" i="1"/>
  <c r="CO119" i="1"/>
  <c r="CM119" i="1"/>
  <c r="CI119" i="1"/>
  <c r="CH119" i="1"/>
  <c r="CG119" i="1"/>
  <c r="CF119" i="1"/>
  <c r="CD119" i="1"/>
  <c r="CC119" i="1"/>
  <c r="CB119" i="1"/>
  <c r="BZ119" i="1"/>
  <c r="BY119" i="1"/>
  <c r="BX119" i="1"/>
  <c r="BW119" i="1"/>
  <c r="BU119" i="1"/>
  <c r="BQ119" i="1"/>
  <c r="BP119" i="1"/>
  <c r="BO119" i="1"/>
  <c r="BN119" i="1"/>
  <c r="BL119" i="1"/>
  <c r="BH119" i="1"/>
  <c r="BG119" i="1"/>
  <c r="BF119" i="1"/>
  <c r="BE119" i="1"/>
  <c r="BC119" i="1"/>
  <c r="AY119" i="1"/>
  <c r="AX119" i="1"/>
  <c r="AW119" i="1"/>
  <c r="AV119" i="1"/>
  <c r="AT119" i="1"/>
  <c r="AP119" i="1"/>
  <c r="AO119" i="1"/>
  <c r="AN119" i="1"/>
  <c r="AM119" i="1"/>
  <c r="AK119" i="1"/>
  <c r="AG119" i="1"/>
  <c r="AF119" i="1"/>
  <c r="AE119" i="1"/>
  <c r="AD119" i="1"/>
  <c r="AB119" i="1"/>
  <c r="X119" i="1"/>
  <c r="W119" i="1"/>
  <c r="V119" i="1"/>
  <c r="U119" i="1"/>
  <c r="S119" i="1"/>
  <c r="K119" i="1"/>
  <c r="J119" i="1"/>
  <c r="I119" i="1"/>
  <c r="CR118" i="1"/>
  <c r="CQ118" i="1"/>
  <c r="CP118" i="1"/>
  <c r="CO118" i="1"/>
  <c r="CM118" i="1"/>
  <c r="CI118" i="1"/>
  <c r="CH118" i="1"/>
  <c r="CG118" i="1"/>
  <c r="CF118" i="1"/>
  <c r="CD118" i="1"/>
  <c r="CC118" i="1"/>
  <c r="CB118" i="1"/>
  <c r="BZ118" i="1"/>
  <c r="BY118" i="1"/>
  <c r="BX118" i="1"/>
  <c r="BW118" i="1"/>
  <c r="BU118" i="1"/>
  <c r="BQ118" i="1"/>
  <c r="BP118" i="1"/>
  <c r="BO118" i="1"/>
  <c r="BN118" i="1"/>
  <c r="BL118" i="1"/>
  <c r="BH118" i="1"/>
  <c r="BG118" i="1"/>
  <c r="BF118" i="1"/>
  <c r="BE118" i="1"/>
  <c r="BC118" i="1"/>
  <c r="AY118" i="1"/>
  <c r="AX118" i="1"/>
  <c r="AW118" i="1"/>
  <c r="AV118" i="1"/>
  <c r="AT118" i="1"/>
  <c r="AP118" i="1"/>
  <c r="AO118" i="1"/>
  <c r="AN118" i="1"/>
  <c r="AM118" i="1"/>
  <c r="AK118" i="1"/>
  <c r="AG118" i="1"/>
  <c r="AF118" i="1"/>
  <c r="AE118" i="1"/>
  <c r="AD118" i="1"/>
  <c r="AB118" i="1"/>
  <c r="X118" i="1"/>
  <c r="W118" i="1"/>
  <c r="V118" i="1"/>
  <c r="U118" i="1"/>
  <c r="S118" i="1"/>
  <c r="K118" i="1"/>
  <c r="J118" i="1"/>
  <c r="I118" i="1"/>
  <c r="CL116" i="1"/>
  <c r="CC116" i="1"/>
  <c r="BT116" i="1"/>
  <c r="BS116" i="1"/>
  <c r="BK116" i="1"/>
  <c r="BJ116" i="1"/>
  <c r="BB116" i="1"/>
  <c r="BA116" i="1"/>
  <c r="AS116" i="1"/>
  <c r="AR116" i="1"/>
  <c r="AJ116" i="1"/>
  <c r="AI116" i="1"/>
  <c r="AA116" i="1"/>
  <c r="Z116" i="1"/>
  <c r="R116" i="1"/>
  <c r="Q116" i="1"/>
  <c r="D116" i="1"/>
  <c r="CM115" i="1"/>
  <c r="CK115" i="1"/>
  <c r="CD115" i="1"/>
  <c r="CB115" i="1"/>
  <c r="BU115" i="1"/>
  <c r="BS115" i="1"/>
  <c r="BL115" i="1"/>
  <c r="BJ115" i="1"/>
  <c r="BC115" i="1"/>
  <c r="BA115" i="1"/>
  <c r="AT115" i="1"/>
  <c r="AR115" i="1"/>
  <c r="AK115" i="1"/>
  <c r="AI115" i="1"/>
  <c r="AB115" i="1"/>
  <c r="Z115" i="1"/>
  <c r="S115" i="1"/>
  <c r="Q115" i="1"/>
  <c r="I115" i="1"/>
  <c r="E115" i="1"/>
  <c r="CK114" i="1"/>
  <c r="CB114" i="1"/>
  <c r="BS114" i="1"/>
  <c r="BJ114" i="1"/>
  <c r="BA114" i="1"/>
  <c r="AR114" i="1"/>
  <c r="AI114" i="1"/>
  <c r="Z114" i="1"/>
  <c r="Q114" i="1"/>
  <c r="E113" i="1"/>
  <c r="E112" i="1"/>
  <c r="CM108" i="1"/>
  <c r="CL108" i="1"/>
  <c r="CK108" i="1"/>
  <c r="CD108" i="1"/>
  <c r="CC108" i="1"/>
  <c r="CB108" i="1"/>
  <c r="BU108" i="1"/>
  <c r="BT108" i="1"/>
  <c r="BS108" i="1"/>
  <c r="BL108" i="1"/>
  <c r="BK108" i="1"/>
  <c r="BJ108" i="1"/>
  <c r="BC108" i="1"/>
  <c r="BB108" i="1"/>
  <c r="BA108" i="1"/>
  <c r="AT108" i="1"/>
  <c r="AS108" i="1"/>
  <c r="AR108" i="1"/>
  <c r="AK108" i="1"/>
  <c r="AJ108" i="1"/>
  <c r="AI108" i="1"/>
  <c r="AB108" i="1"/>
  <c r="AA108" i="1"/>
  <c r="Z108" i="1"/>
  <c r="S108" i="1"/>
  <c r="R108" i="1"/>
  <c r="Q108" i="1"/>
  <c r="K108" i="1"/>
  <c r="J108" i="1"/>
  <c r="I108" i="1"/>
  <c r="H108" i="1"/>
  <c r="F108" i="1"/>
  <c r="CR107" i="1"/>
  <c r="CQ107" i="1"/>
  <c r="CP107" i="1"/>
  <c r="CO107" i="1"/>
  <c r="CM107" i="1"/>
  <c r="CI107" i="1"/>
  <c r="CH107" i="1"/>
  <c r="CG107" i="1"/>
  <c r="CF107" i="1"/>
  <c r="CD107" i="1"/>
  <c r="CC107" i="1"/>
  <c r="CB107" i="1"/>
  <c r="BZ107" i="1"/>
  <c r="BY107" i="1"/>
  <c r="BX107" i="1"/>
  <c r="BW107" i="1"/>
  <c r="BU107" i="1"/>
  <c r="BQ107" i="1"/>
  <c r="BP107" i="1"/>
  <c r="BO107" i="1"/>
  <c r="BN107" i="1"/>
  <c r="BL107" i="1"/>
  <c r="BH107" i="1"/>
  <c r="BG107" i="1"/>
  <c r="BF107" i="1"/>
  <c r="BE107" i="1"/>
  <c r="BC107" i="1"/>
  <c r="AY107" i="1"/>
  <c r="AX107" i="1"/>
  <c r="AW107" i="1"/>
  <c r="AV107" i="1"/>
  <c r="AT107" i="1"/>
  <c r="AP107" i="1"/>
  <c r="AO107" i="1"/>
  <c r="AN107" i="1"/>
  <c r="AM107" i="1"/>
  <c r="AK107" i="1"/>
  <c r="AG107" i="1"/>
  <c r="AF107" i="1"/>
  <c r="AE107" i="1"/>
  <c r="AD107" i="1"/>
  <c r="AB107" i="1"/>
  <c r="X107" i="1"/>
  <c r="W107" i="1"/>
  <c r="V107" i="1"/>
  <c r="U107" i="1"/>
  <c r="S107" i="1"/>
  <c r="K107" i="1"/>
  <c r="J107" i="1"/>
  <c r="I107" i="1"/>
  <c r="CR106" i="1"/>
  <c r="CQ106" i="1"/>
  <c r="CP106" i="1"/>
  <c r="CO106" i="1"/>
  <c r="CM106" i="1"/>
  <c r="CI106" i="1"/>
  <c r="CH106" i="1"/>
  <c r="CG106" i="1"/>
  <c r="CF106" i="1"/>
  <c r="CD106" i="1"/>
  <c r="CC106" i="1"/>
  <c r="CB106" i="1"/>
  <c r="BZ106" i="1"/>
  <c r="BY106" i="1"/>
  <c r="BX106" i="1"/>
  <c r="BW106" i="1"/>
  <c r="BU106" i="1"/>
  <c r="BQ106" i="1"/>
  <c r="BP106" i="1"/>
  <c r="BO106" i="1"/>
  <c r="BN106" i="1"/>
  <c r="BL106" i="1"/>
  <c r="BH106" i="1"/>
  <c r="BG106" i="1"/>
  <c r="BF106" i="1"/>
  <c r="BE106" i="1"/>
  <c r="BC106" i="1"/>
  <c r="AY106" i="1"/>
  <c r="AX106" i="1"/>
  <c r="AW106" i="1"/>
  <c r="AV106" i="1"/>
  <c r="AT106" i="1"/>
  <c r="AP106" i="1"/>
  <c r="AO106" i="1"/>
  <c r="AN106" i="1"/>
  <c r="AM106" i="1"/>
  <c r="AK106" i="1"/>
  <c r="AG106" i="1"/>
  <c r="AF106" i="1"/>
  <c r="AE106" i="1"/>
  <c r="AD106" i="1"/>
  <c r="AB106" i="1"/>
  <c r="X106" i="1"/>
  <c r="W106" i="1"/>
  <c r="V106" i="1"/>
  <c r="U106" i="1"/>
  <c r="S106" i="1"/>
  <c r="K106" i="1"/>
  <c r="J106" i="1"/>
  <c r="I106" i="1"/>
  <c r="CR105" i="1"/>
  <c r="CQ105" i="1"/>
  <c r="CP105" i="1"/>
  <c r="CO105" i="1"/>
  <c r="CM105" i="1"/>
  <c r="CI105" i="1"/>
  <c r="CH105" i="1"/>
  <c r="CG105" i="1"/>
  <c r="CF105" i="1"/>
  <c r="CD105" i="1"/>
  <c r="CC105" i="1"/>
  <c r="CB105" i="1"/>
  <c r="BZ105" i="1"/>
  <c r="BY105" i="1"/>
  <c r="BX105" i="1"/>
  <c r="BW105" i="1"/>
  <c r="BU105" i="1"/>
  <c r="BQ105" i="1"/>
  <c r="BP105" i="1"/>
  <c r="BO105" i="1"/>
  <c r="BN105" i="1"/>
  <c r="BL105" i="1"/>
  <c r="BH105" i="1"/>
  <c r="BG105" i="1"/>
  <c r="BF105" i="1"/>
  <c r="BE105" i="1"/>
  <c r="BC105" i="1"/>
  <c r="AY105" i="1"/>
  <c r="AX105" i="1"/>
  <c r="AW105" i="1"/>
  <c r="AV105" i="1"/>
  <c r="AT105" i="1"/>
  <c r="AP105" i="1"/>
  <c r="AO105" i="1"/>
  <c r="AN105" i="1"/>
  <c r="AM105" i="1"/>
  <c r="AK105" i="1"/>
  <c r="AG105" i="1"/>
  <c r="AF105" i="1"/>
  <c r="AE105" i="1"/>
  <c r="AD105" i="1"/>
  <c r="AB105" i="1"/>
  <c r="X105" i="1"/>
  <c r="W105" i="1"/>
  <c r="V105" i="1"/>
  <c r="U105" i="1"/>
  <c r="S105" i="1"/>
  <c r="K105" i="1"/>
  <c r="J105" i="1"/>
  <c r="I105" i="1"/>
  <c r="CR104" i="1"/>
  <c r="CQ104" i="1"/>
  <c r="CP104" i="1"/>
  <c r="CO104" i="1"/>
  <c r="CM104" i="1"/>
  <c r="CI104" i="1"/>
  <c r="CH104" i="1"/>
  <c r="CG104" i="1"/>
  <c r="CF104" i="1"/>
  <c r="CD104" i="1"/>
  <c r="CC104" i="1"/>
  <c r="CB104" i="1"/>
  <c r="BZ104" i="1"/>
  <c r="BY104" i="1"/>
  <c r="BX104" i="1"/>
  <c r="BW104" i="1"/>
  <c r="BU104" i="1"/>
  <c r="BQ104" i="1"/>
  <c r="BP104" i="1"/>
  <c r="BO104" i="1"/>
  <c r="BN104" i="1"/>
  <c r="BL104" i="1"/>
  <c r="BH104" i="1"/>
  <c r="BG104" i="1"/>
  <c r="BF104" i="1"/>
  <c r="BE104" i="1"/>
  <c r="BC104" i="1"/>
  <c r="AY104" i="1"/>
  <c r="AX104" i="1"/>
  <c r="AW104" i="1"/>
  <c r="AV104" i="1"/>
  <c r="AT104" i="1"/>
  <c r="AP104" i="1"/>
  <c r="AO104" i="1"/>
  <c r="AN104" i="1"/>
  <c r="AM104" i="1"/>
  <c r="AK104" i="1"/>
  <c r="AG104" i="1"/>
  <c r="AF104" i="1"/>
  <c r="AE104" i="1"/>
  <c r="AD104" i="1"/>
  <c r="AB104" i="1"/>
  <c r="X104" i="1"/>
  <c r="W104" i="1"/>
  <c r="V104" i="1"/>
  <c r="U104" i="1"/>
  <c r="S104" i="1"/>
  <c r="K104" i="1"/>
  <c r="J104" i="1"/>
  <c r="I104" i="1"/>
  <c r="CR103" i="1"/>
  <c r="CQ103" i="1"/>
  <c r="CP103" i="1"/>
  <c r="CO103" i="1"/>
  <c r="CM103" i="1"/>
  <c r="CI103" i="1"/>
  <c r="CH103" i="1"/>
  <c r="CG103" i="1"/>
  <c r="CF103" i="1"/>
  <c r="CD103" i="1"/>
  <c r="CC103" i="1"/>
  <c r="CB103" i="1"/>
  <c r="BZ103" i="1"/>
  <c r="BY103" i="1"/>
  <c r="BX103" i="1"/>
  <c r="BW103" i="1"/>
  <c r="BU103" i="1"/>
  <c r="BQ103" i="1"/>
  <c r="BP103" i="1"/>
  <c r="BO103" i="1"/>
  <c r="BN103" i="1"/>
  <c r="BL103" i="1"/>
  <c r="BH103" i="1"/>
  <c r="BG103" i="1"/>
  <c r="BF103" i="1"/>
  <c r="BE103" i="1"/>
  <c r="BC103" i="1"/>
  <c r="AY103" i="1"/>
  <c r="AX103" i="1"/>
  <c r="AW103" i="1"/>
  <c r="AV103" i="1"/>
  <c r="AT103" i="1"/>
  <c r="AP103" i="1"/>
  <c r="AO103" i="1"/>
  <c r="AN103" i="1"/>
  <c r="AM103" i="1"/>
  <c r="AK103" i="1"/>
  <c r="AG103" i="1"/>
  <c r="AF103" i="1"/>
  <c r="AE103" i="1"/>
  <c r="AD103" i="1"/>
  <c r="AB103" i="1"/>
  <c r="X103" i="1"/>
  <c r="W103" i="1"/>
  <c r="V103" i="1"/>
  <c r="U103" i="1"/>
  <c r="S103" i="1"/>
  <c r="K103" i="1"/>
  <c r="J103" i="1"/>
  <c r="I103" i="1"/>
  <c r="CR102" i="1"/>
  <c r="CQ102" i="1"/>
  <c r="CP102" i="1"/>
  <c r="CO102" i="1"/>
  <c r="CM102" i="1"/>
  <c r="CI102" i="1"/>
  <c r="CH102" i="1"/>
  <c r="CG102" i="1"/>
  <c r="CF102" i="1"/>
  <c r="CD102" i="1"/>
  <c r="CC102" i="1"/>
  <c r="CB102" i="1"/>
  <c r="BZ102" i="1"/>
  <c r="BY102" i="1"/>
  <c r="BX102" i="1"/>
  <c r="BW102" i="1"/>
  <c r="BU102" i="1"/>
  <c r="BQ102" i="1"/>
  <c r="BP102" i="1"/>
  <c r="BO102" i="1"/>
  <c r="BN102" i="1"/>
  <c r="BL102" i="1"/>
  <c r="BH102" i="1"/>
  <c r="BG102" i="1"/>
  <c r="BF102" i="1"/>
  <c r="BE102" i="1"/>
  <c r="BC102" i="1"/>
  <c r="AY102" i="1"/>
  <c r="AX102" i="1"/>
  <c r="AW102" i="1"/>
  <c r="AV102" i="1"/>
  <c r="AT102" i="1"/>
  <c r="AP102" i="1"/>
  <c r="AO102" i="1"/>
  <c r="AN102" i="1"/>
  <c r="AM102" i="1"/>
  <c r="AK102" i="1"/>
  <c r="AG102" i="1"/>
  <c r="AF102" i="1"/>
  <c r="AE102" i="1"/>
  <c r="AD102" i="1"/>
  <c r="AB102" i="1"/>
  <c r="X102" i="1"/>
  <c r="W102" i="1"/>
  <c r="V102" i="1"/>
  <c r="U102" i="1"/>
  <c r="S102" i="1"/>
  <c r="K102" i="1"/>
  <c r="J102" i="1"/>
  <c r="I102" i="1"/>
  <c r="CR101" i="1"/>
  <c r="CQ101" i="1"/>
  <c r="CP101" i="1"/>
  <c r="CO101" i="1"/>
  <c r="CM101" i="1"/>
  <c r="CI101" i="1"/>
  <c r="CH101" i="1"/>
  <c r="CG101" i="1"/>
  <c r="CF101" i="1"/>
  <c r="CD101" i="1"/>
  <c r="CC101" i="1"/>
  <c r="CB101" i="1"/>
  <c r="BZ101" i="1"/>
  <c r="BY101" i="1"/>
  <c r="BX101" i="1"/>
  <c r="BW101" i="1"/>
  <c r="BU101" i="1"/>
  <c r="BQ101" i="1"/>
  <c r="BP101" i="1"/>
  <c r="BO101" i="1"/>
  <c r="BN101" i="1"/>
  <c r="BL101" i="1"/>
  <c r="BH101" i="1"/>
  <c r="BG101" i="1"/>
  <c r="BF101" i="1"/>
  <c r="BE101" i="1"/>
  <c r="BC101" i="1"/>
  <c r="AY101" i="1"/>
  <c r="AX101" i="1"/>
  <c r="AW101" i="1"/>
  <c r="AV101" i="1"/>
  <c r="AT101" i="1"/>
  <c r="AP101" i="1"/>
  <c r="AO101" i="1"/>
  <c r="AN101" i="1"/>
  <c r="AM101" i="1"/>
  <c r="AK101" i="1"/>
  <c r="AG101" i="1"/>
  <c r="AF101" i="1"/>
  <c r="AE101" i="1"/>
  <c r="AD101" i="1"/>
  <c r="AB101" i="1"/>
  <c r="X101" i="1"/>
  <c r="W101" i="1"/>
  <c r="V101" i="1"/>
  <c r="U101" i="1"/>
  <c r="S101" i="1"/>
  <c r="K101" i="1"/>
  <c r="J101" i="1"/>
  <c r="I101" i="1"/>
  <c r="CR100" i="1"/>
  <c r="CQ100" i="1"/>
  <c r="CP100" i="1"/>
  <c r="CO100" i="1"/>
  <c r="CM100" i="1"/>
  <c r="CI100" i="1"/>
  <c r="CH100" i="1"/>
  <c r="CG100" i="1"/>
  <c r="CF100" i="1"/>
  <c r="CD100" i="1"/>
  <c r="CC100" i="1"/>
  <c r="CB100" i="1"/>
  <c r="BZ100" i="1"/>
  <c r="BY100" i="1"/>
  <c r="BX100" i="1"/>
  <c r="BW100" i="1"/>
  <c r="BU100" i="1"/>
  <c r="BQ100" i="1"/>
  <c r="BP100" i="1"/>
  <c r="BO100" i="1"/>
  <c r="BN100" i="1"/>
  <c r="BL100" i="1"/>
  <c r="BH100" i="1"/>
  <c r="BG100" i="1"/>
  <c r="BF100" i="1"/>
  <c r="BE100" i="1"/>
  <c r="BC100" i="1"/>
  <c r="AY100" i="1"/>
  <c r="AX100" i="1"/>
  <c r="AW100" i="1"/>
  <c r="AV100" i="1"/>
  <c r="AT100" i="1"/>
  <c r="AP100" i="1"/>
  <c r="AO100" i="1"/>
  <c r="AN100" i="1"/>
  <c r="AM100" i="1"/>
  <c r="AK100" i="1"/>
  <c r="AG100" i="1"/>
  <c r="AF100" i="1"/>
  <c r="AE100" i="1"/>
  <c r="AD100" i="1"/>
  <c r="AB100" i="1"/>
  <c r="X100" i="1"/>
  <c r="W100" i="1"/>
  <c r="V100" i="1"/>
  <c r="U100" i="1"/>
  <c r="S100" i="1"/>
  <c r="K100" i="1"/>
  <c r="J100" i="1"/>
  <c r="I100" i="1"/>
  <c r="CR99" i="1"/>
  <c r="CQ99" i="1"/>
  <c r="CP99" i="1"/>
  <c r="CO99" i="1"/>
  <c r="CM99" i="1"/>
  <c r="CI99" i="1"/>
  <c r="CH99" i="1"/>
  <c r="CG99" i="1"/>
  <c r="CF99" i="1"/>
  <c r="CD99" i="1"/>
  <c r="CC99" i="1"/>
  <c r="CB99" i="1"/>
  <c r="BZ99" i="1"/>
  <c r="BY99" i="1"/>
  <c r="BX99" i="1"/>
  <c r="BW99" i="1"/>
  <c r="BU99" i="1"/>
  <c r="BQ99" i="1"/>
  <c r="BP99" i="1"/>
  <c r="BO99" i="1"/>
  <c r="BN99" i="1"/>
  <c r="BL99" i="1"/>
  <c r="BH99" i="1"/>
  <c r="BG99" i="1"/>
  <c r="BF99" i="1"/>
  <c r="BE99" i="1"/>
  <c r="BC99" i="1"/>
  <c r="AY99" i="1"/>
  <c r="AX99" i="1"/>
  <c r="AW99" i="1"/>
  <c r="AV99" i="1"/>
  <c r="AT99" i="1"/>
  <c r="AP99" i="1"/>
  <c r="AO99" i="1"/>
  <c r="AN99" i="1"/>
  <c r="AM99" i="1"/>
  <c r="AK99" i="1"/>
  <c r="AG99" i="1"/>
  <c r="AF99" i="1"/>
  <c r="AE99" i="1"/>
  <c r="AD99" i="1"/>
  <c r="AB99" i="1"/>
  <c r="X99" i="1"/>
  <c r="W99" i="1"/>
  <c r="V99" i="1"/>
  <c r="U99" i="1"/>
  <c r="S99" i="1"/>
  <c r="K99" i="1"/>
  <c r="J99" i="1"/>
  <c r="I99" i="1"/>
  <c r="CR98" i="1"/>
  <c r="CQ98" i="1"/>
  <c r="CP98" i="1"/>
  <c r="CO98" i="1"/>
  <c r="CM98" i="1"/>
  <c r="CI98" i="1"/>
  <c r="CH98" i="1"/>
  <c r="CG98" i="1"/>
  <c r="CF98" i="1"/>
  <c r="CD98" i="1"/>
  <c r="CC98" i="1"/>
  <c r="CB98" i="1"/>
  <c r="BZ98" i="1"/>
  <c r="BY98" i="1"/>
  <c r="BX98" i="1"/>
  <c r="BW98" i="1"/>
  <c r="BU98" i="1"/>
  <c r="BQ98" i="1"/>
  <c r="BP98" i="1"/>
  <c r="BO98" i="1"/>
  <c r="BN98" i="1"/>
  <c r="BL98" i="1"/>
  <c r="BH98" i="1"/>
  <c r="BG98" i="1"/>
  <c r="BF98" i="1"/>
  <c r="BE98" i="1"/>
  <c r="BC98" i="1"/>
  <c r="AY98" i="1"/>
  <c r="AX98" i="1"/>
  <c r="AW98" i="1"/>
  <c r="AV98" i="1"/>
  <c r="AT98" i="1"/>
  <c r="AP98" i="1"/>
  <c r="AO98" i="1"/>
  <c r="AN98" i="1"/>
  <c r="AM98" i="1"/>
  <c r="AK98" i="1"/>
  <c r="AG98" i="1"/>
  <c r="AF98" i="1"/>
  <c r="AE98" i="1"/>
  <c r="AD98" i="1"/>
  <c r="AB98" i="1"/>
  <c r="X98" i="1"/>
  <c r="W98" i="1"/>
  <c r="V98" i="1"/>
  <c r="U98" i="1"/>
  <c r="S98" i="1"/>
  <c r="K98" i="1"/>
  <c r="J98" i="1"/>
  <c r="I98" i="1"/>
  <c r="CR97" i="1"/>
  <c r="CQ97" i="1"/>
  <c r="CP97" i="1"/>
  <c r="CO97" i="1"/>
  <c r="CM97" i="1"/>
  <c r="CI97" i="1"/>
  <c r="CH97" i="1"/>
  <c r="CG97" i="1"/>
  <c r="CF97" i="1"/>
  <c r="CD97" i="1"/>
  <c r="CC97" i="1"/>
  <c r="CB97" i="1"/>
  <c r="BZ97" i="1"/>
  <c r="BY97" i="1"/>
  <c r="BX97" i="1"/>
  <c r="BW97" i="1"/>
  <c r="BU97" i="1"/>
  <c r="BQ97" i="1"/>
  <c r="BP97" i="1"/>
  <c r="BO97" i="1"/>
  <c r="BN97" i="1"/>
  <c r="BL97" i="1"/>
  <c r="BH97" i="1"/>
  <c r="BG97" i="1"/>
  <c r="BF97" i="1"/>
  <c r="BE97" i="1"/>
  <c r="BC97" i="1"/>
  <c r="AY97" i="1"/>
  <c r="AX97" i="1"/>
  <c r="AW97" i="1"/>
  <c r="AV97" i="1"/>
  <c r="AT97" i="1"/>
  <c r="AP97" i="1"/>
  <c r="AO97" i="1"/>
  <c r="AN97" i="1"/>
  <c r="AM97" i="1"/>
  <c r="AK97" i="1"/>
  <c r="AG97" i="1"/>
  <c r="AF97" i="1"/>
  <c r="AE97" i="1"/>
  <c r="AD97" i="1"/>
  <c r="AB97" i="1"/>
  <c r="X97" i="1"/>
  <c r="W97" i="1"/>
  <c r="V97" i="1"/>
  <c r="U97" i="1"/>
  <c r="S97" i="1"/>
  <c r="K97" i="1"/>
  <c r="J97" i="1"/>
  <c r="I97" i="1"/>
  <c r="CR96" i="1"/>
  <c r="CQ96" i="1"/>
  <c r="CP96" i="1"/>
  <c r="CO96" i="1"/>
  <c r="CM96" i="1"/>
  <c r="CI96" i="1"/>
  <c r="CH96" i="1"/>
  <c r="CG96" i="1"/>
  <c r="CF96" i="1"/>
  <c r="CD96" i="1"/>
  <c r="CC96" i="1"/>
  <c r="CB96" i="1"/>
  <c r="BZ96" i="1"/>
  <c r="BY96" i="1"/>
  <c r="BX96" i="1"/>
  <c r="BW96" i="1"/>
  <c r="BU96" i="1"/>
  <c r="BQ96" i="1"/>
  <c r="BP96" i="1"/>
  <c r="BO96" i="1"/>
  <c r="BN96" i="1"/>
  <c r="BL96" i="1"/>
  <c r="BH96" i="1"/>
  <c r="BG96" i="1"/>
  <c r="BF96" i="1"/>
  <c r="BE96" i="1"/>
  <c r="BC96" i="1"/>
  <c r="AY96" i="1"/>
  <c r="AX96" i="1"/>
  <c r="AW96" i="1"/>
  <c r="AV96" i="1"/>
  <c r="AT96" i="1"/>
  <c r="AP96" i="1"/>
  <c r="AO96" i="1"/>
  <c r="AN96" i="1"/>
  <c r="AM96" i="1"/>
  <c r="AK96" i="1"/>
  <c r="AG96" i="1"/>
  <c r="AF96" i="1"/>
  <c r="AE96" i="1"/>
  <c r="AD96" i="1"/>
  <c r="AB96" i="1"/>
  <c r="X96" i="1"/>
  <c r="W96" i="1"/>
  <c r="V96" i="1"/>
  <c r="U96" i="1"/>
  <c r="S96" i="1"/>
  <c r="K96" i="1"/>
  <c r="J96" i="1"/>
  <c r="I96" i="1"/>
  <c r="CL94" i="1"/>
  <c r="CC94" i="1"/>
  <c r="BT94" i="1"/>
  <c r="BS94" i="1"/>
  <c r="BK94" i="1"/>
  <c r="BJ94" i="1"/>
  <c r="BB94" i="1"/>
  <c r="BA94" i="1"/>
  <c r="AS94" i="1"/>
  <c r="AR94" i="1"/>
  <c r="AJ94" i="1"/>
  <c r="AI94" i="1"/>
  <c r="AA94" i="1"/>
  <c r="Z94" i="1"/>
  <c r="R94" i="1"/>
  <c r="Q94" i="1"/>
  <c r="D94" i="1"/>
  <c r="CM93" i="1"/>
  <c r="CK93" i="1"/>
  <c r="CD93" i="1"/>
  <c r="CB93" i="1"/>
  <c r="BU93" i="1"/>
  <c r="BS93" i="1"/>
  <c r="BL93" i="1"/>
  <c r="BJ93" i="1"/>
  <c r="BC93" i="1"/>
  <c r="BA93" i="1"/>
  <c r="AT93" i="1"/>
  <c r="AR93" i="1"/>
  <c r="AK93" i="1"/>
  <c r="AI93" i="1"/>
  <c r="AB93" i="1"/>
  <c r="Z93" i="1"/>
  <c r="S93" i="1"/>
  <c r="Q93" i="1"/>
  <c r="I93" i="1"/>
  <c r="E93" i="1"/>
  <c r="CK92" i="1"/>
  <c r="CB92" i="1"/>
  <c r="BS92" i="1"/>
  <c r="BJ92" i="1"/>
  <c r="BA92" i="1"/>
  <c r="AR92" i="1"/>
  <c r="AI92" i="1"/>
  <c r="Z92" i="1"/>
  <c r="Q92" i="1"/>
  <c r="E91" i="1"/>
  <c r="E90" i="1"/>
  <c r="CM86" i="1"/>
  <c r="CL86" i="1"/>
  <c r="CK86" i="1"/>
  <c r="CD86" i="1"/>
  <c r="CC86" i="1"/>
  <c r="CB86" i="1"/>
  <c r="BU86" i="1"/>
  <c r="BT86" i="1"/>
  <c r="BS86" i="1"/>
  <c r="BL86" i="1"/>
  <c r="BK86" i="1"/>
  <c r="BJ86" i="1"/>
  <c r="BC86" i="1"/>
  <c r="BB86" i="1"/>
  <c r="BA86" i="1"/>
  <c r="AT86" i="1"/>
  <c r="AS86" i="1"/>
  <c r="AR86" i="1"/>
  <c r="AK86" i="1"/>
  <c r="AJ86" i="1"/>
  <c r="AI86" i="1"/>
  <c r="AB86" i="1"/>
  <c r="AA86" i="1"/>
  <c r="Z86" i="1"/>
  <c r="S86" i="1"/>
  <c r="R86" i="1"/>
  <c r="Q86" i="1"/>
  <c r="K86" i="1"/>
  <c r="J86" i="1"/>
  <c r="I86" i="1"/>
  <c r="H86" i="1"/>
  <c r="F86" i="1"/>
  <c r="CR85" i="1"/>
  <c r="CQ85" i="1"/>
  <c r="CP85" i="1"/>
  <c r="CO85" i="1"/>
  <c r="CM85" i="1"/>
  <c r="CI85" i="1"/>
  <c r="CH85" i="1"/>
  <c r="CG85" i="1"/>
  <c r="CF85" i="1"/>
  <c r="CD85" i="1"/>
  <c r="CC85" i="1"/>
  <c r="CB85" i="1"/>
  <c r="BZ85" i="1"/>
  <c r="BY85" i="1"/>
  <c r="BX85" i="1"/>
  <c r="BW85" i="1"/>
  <c r="BU85" i="1"/>
  <c r="BQ85" i="1"/>
  <c r="BP85" i="1"/>
  <c r="BO85" i="1"/>
  <c r="BN85" i="1"/>
  <c r="BL85" i="1"/>
  <c r="BH85" i="1"/>
  <c r="BG85" i="1"/>
  <c r="BF85" i="1"/>
  <c r="BE85" i="1"/>
  <c r="BC85" i="1"/>
  <c r="AY85" i="1"/>
  <c r="AX85" i="1"/>
  <c r="AW85" i="1"/>
  <c r="AV85" i="1"/>
  <c r="AT85" i="1"/>
  <c r="AP85" i="1"/>
  <c r="AO85" i="1"/>
  <c r="AN85" i="1"/>
  <c r="AM85" i="1"/>
  <c r="AK85" i="1"/>
  <c r="AG85" i="1"/>
  <c r="AF85" i="1"/>
  <c r="AE85" i="1"/>
  <c r="AD85" i="1"/>
  <c r="AB85" i="1"/>
  <c r="X85" i="1"/>
  <c r="W85" i="1"/>
  <c r="V85" i="1"/>
  <c r="U85" i="1"/>
  <c r="S85" i="1"/>
  <c r="K85" i="1"/>
  <c r="J85" i="1"/>
  <c r="I85" i="1"/>
  <c r="CR84" i="1"/>
  <c r="CQ84" i="1"/>
  <c r="CP84" i="1"/>
  <c r="CO84" i="1"/>
  <c r="CM84" i="1"/>
  <c r="CI84" i="1"/>
  <c r="CH84" i="1"/>
  <c r="CG84" i="1"/>
  <c r="CF84" i="1"/>
  <c r="CD84" i="1"/>
  <c r="CC84" i="1"/>
  <c r="CB84" i="1"/>
  <c r="BZ84" i="1"/>
  <c r="BY84" i="1"/>
  <c r="BX84" i="1"/>
  <c r="BW84" i="1"/>
  <c r="BU84" i="1"/>
  <c r="BQ84" i="1"/>
  <c r="BP84" i="1"/>
  <c r="BO84" i="1"/>
  <c r="BN84" i="1"/>
  <c r="BL84" i="1"/>
  <c r="BH84" i="1"/>
  <c r="BG84" i="1"/>
  <c r="BF84" i="1"/>
  <c r="BE84" i="1"/>
  <c r="BC84" i="1"/>
  <c r="AY84" i="1"/>
  <c r="AX84" i="1"/>
  <c r="AW84" i="1"/>
  <c r="AV84" i="1"/>
  <c r="AT84" i="1"/>
  <c r="AP84" i="1"/>
  <c r="AO84" i="1"/>
  <c r="AN84" i="1"/>
  <c r="AM84" i="1"/>
  <c r="AK84" i="1"/>
  <c r="AG84" i="1"/>
  <c r="AF84" i="1"/>
  <c r="AE84" i="1"/>
  <c r="AD84" i="1"/>
  <c r="AB84" i="1"/>
  <c r="X84" i="1"/>
  <c r="W84" i="1"/>
  <c r="V84" i="1"/>
  <c r="U84" i="1"/>
  <c r="S84" i="1"/>
  <c r="K84" i="1"/>
  <c r="J84" i="1"/>
  <c r="I84" i="1"/>
  <c r="CR83" i="1"/>
  <c r="CQ83" i="1"/>
  <c r="CP83" i="1"/>
  <c r="CO83" i="1"/>
  <c r="CM83" i="1"/>
  <c r="CI83" i="1"/>
  <c r="CH83" i="1"/>
  <c r="CG83" i="1"/>
  <c r="CF83" i="1"/>
  <c r="CD83" i="1"/>
  <c r="CC83" i="1"/>
  <c r="CB83" i="1"/>
  <c r="BZ83" i="1"/>
  <c r="BY83" i="1"/>
  <c r="BX83" i="1"/>
  <c r="BW83" i="1"/>
  <c r="BU83" i="1"/>
  <c r="BQ83" i="1"/>
  <c r="BP83" i="1"/>
  <c r="BO83" i="1"/>
  <c r="BN83" i="1"/>
  <c r="BL83" i="1"/>
  <c r="BH83" i="1"/>
  <c r="BG83" i="1"/>
  <c r="BF83" i="1"/>
  <c r="BE83" i="1"/>
  <c r="BC83" i="1"/>
  <c r="AY83" i="1"/>
  <c r="AX83" i="1"/>
  <c r="AW83" i="1"/>
  <c r="AV83" i="1"/>
  <c r="AT83" i="1"/>
  <c r="AP83" i="1"/>
  <c r="AO83" i="1"/>
  <c r="AN83" i="1"/>
  <c r="AM83" i="1"/>
  <c r="AK83" i="1"/>
  <c r="AG83" i="1"/>
  <c r="AF83" i="1"/>
  <c r="AE83" i="1"/>
  <c r="AD83" i="1"/>
  <c r="AB83" i="1"/>
  <c r="X83" i="1"/>
  <c r="W83" i="1"/>
  <c r="V83" i="1"/>
  <c r="U83" i="1"/>
  <c r="S83" i="1"/>
  <c r="K83" i="1"/>
  <c r="J83" i="1"/>
  <c r="I83" i="1"/>
  <c r="CR82" i="1"/>
  <c r="CQ82" i="1"/>
  <c r="CP82" i="1"/>
  <c r="CO82" i="1"/>
  <c r="CM82" i="1"/>
  <c r="CI82" i="1"/>
  <c r="CH82" i="1"/>
  <c r="CG82" i="1"/>
  <c r="CF82" i="1"/>
  <c r="CD82" i="1"/>
  <c r="CC82" i="1"/>
  <c r="CB82" i="1"/>
  <c r="BZ82" i="1"/>
  <c r="BY82" i="1"/>
  <c r="BX82" i="1"/>
  <c r="BW82" i="1"/>
  <c r="BU82" i="1"/>
  <c r="BQ82" i="1"/>
  <c r="BP82" i="1"/>
  <c r="BO82" i="1"/>
  <c r="BN82" i="1"/>
  <c r="BL82" i="1"/>
  <c r="BH82" i="1"/>
  <c r="BG82" i="1"/>
  <c r="BF82" i="1"/>
  <c r="BE82" i="1"/>
  <c r="BC82" i="1"/>
  <c r="AY82" i="1"/>
  <c r="AX82" i="1"/>
  <c r="AW82" i="1"/>
  <c r="AV82" i="1"/>
  <c r="AT82" i="1"/>
  <c r="AP82" i="1"/>
  <c r="AO82" i="1"/>
  <c r="AN82" i="1"/>
  <c r="AM82" i="1"/>
  <c r="AK82" i="1"/>
  <c r="AG82" i="1"/>
  <c r="AF82" i="1"/>
  <c r="AE82" i="1"/>
  <c r="AD82" i="1"/>
  <c r="AB82" i="1"/>
  <c r="X82" i="1"/>
  <c r="W82" i="1"/>
  <c r="V82" i="1"/>
  <c r="U82" i="1"/>
  <c r="S82" i="1"/>
  <c r="K82" i="1"/>
  <c r="J82" i="1"/>
  <c r="I82" i="1"/>
  <c r="CR81" i="1"/>
  <c r="CQ81" i="1"/>
  <c r="CP81" i="1"/>
  <c r="CO81" i="1"/>
  <c r="CM81" i="1"/>
  <c r="CI81" i="1"/>
  <c r="CH81" i="1"/>
  <c r="CG81" i="1"/>
  <c r="CF81" i="1"/>
  <c r="CD81" i="1"/>
  <c r="CC81" i="1"/>
  <c r="CB81" i="1"/>
  <c r="BZ81" i="1"/>
  <c r="BY81" i="1"/>
  <c r="BX81" i="1"/>
  <c r="BW81" i="1"/>
  <c r="BU81" i="1"/>
  <c r="BQ81" i="1"/>
  <c r="BP81" i="1"/>
  <c r="BO81" i="1"/>
  <c r="BN81" i="1"/>
  <c r="BL81" i="1"/>
  <c r="BH81" i="1"/>
  <c r="BG81" i="1"/>
  <c r="BF81" i="1"/>
  <c r="BE81" i="1"/>
  <c r="BC81" i="1"/>
  <c r="AY81" i="1"/>
  <c r="AX81" i="1"/>
  <c r="AW81" i="1"/>
  <c r="AV81" i="1"/>
  <c r="AT81" i="1"/>
  <c r="AP81" i="1"/>
  <c r="AO81" i="1"/>
  <c r="AN81" i="1"/>
  <c r="AM81" i="1"/>
  <c r="AK81" i="1"/>
  <c r="AG81" i="1"/>
  <c r="AF81" i="1"/>
  <c r="AE81" i="1"/>
  <c r="AD81" i="1"/>
  <c r="AB81" i="1"/>
  <c r="X81" i="1"/>
  <c r="W81" i="1"/>
  <c r="V81" i="1"/>
  <c r="U81" i="1"/>
  <c r="S81" i="1"/>
  <c r="K81" i="1"/>
  <c r="J81" i="1"/>
  <c r="I81" i="1"/>
  <c r="CR80" i="1"/>
  <c r="CQ80" i="1"/>
  <c r="CP80" i="1"/>
  <c r="CO80" i="1"/>
  <c r="CM80" i="1"/>
  <c r="CI80" i="1"/>
  <c r="CH80" i="1"/>
  <c r="CG80" i="1"/>
  <c r="CF80" i="1"/>
  <c r="CD80" i="1"/>
  <c r="CC80" i="1"/>
  <c r="CB80" i="1"/>
  <c r="BZ80" i="1"/>
  <c r="BY80" i="1"/>
  <c r="BX80" i="1"/>
  <c r="BW80" i="1"/>
  <c r="BU80" i="1"/>
  <c r="BQ80" i="1"/>
  <c r="BP80" i="1"/>
  <c r="BO80" i="1"/>
  <c r="BN80" i="1"/>
  <c r="BL80" i="1"/>
  <c r="BH80" i="1"/>
  <c r="BG80" i="1"/>
  <c r="BF80" i="1"/>
  <c r="BE80" i="1"/>
  <c r="BC80" i="1"/>
  <c r="AY80" i="1"/>
  <c r="AX80" i="1"/>
  <c r="AW80" i="1"/>
  <c r="AV80" i="1"/>
  <c r="AT80" i="1"/>
  <c r="AP80" i="1"/>
  <c r="AO80" i="1"/>
  <c r="AN80" i="1"/>
  <c r="AM80" i="1"/>
  <c r="AK80" i="1"/>
  <c r="AG80" i="1"/>
  <c r="AF80" i="1"/>
  <c r="AE80" i="1"/>
  <c r="AD80" i="1"/>
  <c r="AB80" i="1"/>
  <c r="X80" i="1"/>
  <c r="W80" i="1"/>
  <c r="V80" i="1"/>
  <c r="U80" i="1"/>
  <c r="S80" i="1"/>
  <c r="K80" i="1"/>
  <c r="J80" i="1"/>
  <c r="I80" i="1"/>
  <c r="CR79" i="1"/>
  <c r="CQ79" i="1"/>
  <c r="CP79" i="1"/>
  <c r="CO79" i="1"/>
  <c r="CM79" i="1"/>
  <c r="CI79" i="1"/>
  <c r="CH79" i="1"/>
  <c r="CG79" i="1"/>
  <c r="CF79" i="1"/>
  <c r="CD79" i="1"/>
  <c r="CC79" i="1"/>
  <c r="CB79" i="1"/>
  <c r="BZ79" i="1"/>
  <c r="BY79" i="1"/>
  <c r="BX79" i="1"/>
  <c r="BW79" i="1"/>
  <c r="BU79" i="1"/>
  <c r="BQ79" i="1"/>
  <c r="BP79" i="1"/>
  <c r="BO79" i="1"/>
  <c r="BN79" i="1"/>
  <c r="BL79" i="1"/>
  <c r="BH79" i="1"/>
  <c r="BG79" i="1"/>
  <c r="BF79" i="1"/>
  <c r="BE79" i="1"/>
  <c r="BC79" i="1"/>
  <c r="AY79" i="1"/>
  <c r="AX79" i="1"/>
  <c r="AW79" i="1"/>
  <c r="AV79" i="1"/>
  <c r="AT79" i="1"/>
  <c r="AP79" i="1"/>
  <c r="AO79" i="1"/>
  <c r="AN79" i="1"/>
  <c r="AM79" i="1"/>
  <c r="AK79" i="1"/>
  <c r="AG79" i="1"/>
  <c r="AF79" i="1"/>
  <c r="AE79" i="1"/>
  <c r="AD79" i="1"/>
  <c r="AB79" i="1"/>
  <c r="X79" i="1"/>
  <c r="W79" i="1"/>
  <c r="V79" i="1"/>
  <c r="U79" i="1"/>
  <c r="S79" i="1"/>
  <c r="K79" i="1"/>
  <c r="J79" i="1"/>
  <c r="I79" i="1"/>
  <c r="CR78" i="1"/>
  <c r="CQ78" i="1"/>
  <c r="CP78" i="1"/>
  <c r="CO78" i="1"/>
  <c r="CM78" i="1"/>
  <c r="CI78" i="1"/>
  <c r="CH78" i="1"/>
  <c r="CG78" i="1"/>
  <c r="CF78" i="1"/>
  <c r="CD78" i="1"/>
  <c r="CC78" i="1"/>
  <c r="CB78" i="1"/>
  <c r="BZ78" i="1"/>
  <c r="BY78" i="1"/>
  <c r="BX78" i="1"/>
  <c r="BW78" i="1"/>
  <c r="BU78" i="1"/>
  <c r="BQ78" i="1"/>
  <c r="BP78" i="1"/>
  <c r="BO78" i="1"/>
  <c r="BN78" i="1"/>
  <c r="BL78" i="1"/>
  <c r="BH78" i="1"/>
  <c r="BG78" i="1"/>
  <c r="BF78" i="1"/>
  <c r="BE78" i="1"/>
  <c r="BC78" i="1"/>
  <c r="AY78" i="1"/>
  <c r="AX78" i="1"/>
  <c r="AW78" i="1"/>
  <c r="AV78" i="1"/>
  <c r="AT78" i="1"/>
  <c r="AP78" i="1"/>
  <c r="AO78" i="1"/>
  <c r="AN78" i="1"/>
  <c r="AM78" i="1"/>
  <c r="AK78" i="1"/>
  <c r="AG78" i="1"/>
  <c r="AF78" i="1"/>
  <c r="AE78" i="1"/>
  <c r="AD78" i="1"/>
  <c r="AB78" i="1"/>
  <c r="X78" i="1"/>
  <c r="W78" i="1"/>
  <c r="V78" i="1"/>
  <c r="U78" i="1"/>
  <c r="S78" i="1"/>
  <c r="K78" i="1"/>
  <c r="J78" i="1"/>
  <c r="I78" i="1"/>
  <c r="CR77" i="1"/>
  <c r="CQ77" i="1"/>
  <c r="CP77" i="1"/>
  <c r="CO77" i="1"/>
  <c r="CM77" i="1"/>
  <c r="CI77" i="1"/>
  <c r="CH77" i="1"/>
  <c r="CG77" i="1"/>
  <c r="CF77" i="1"/>
  <c r="CD77" i="1"/>
  <c r="CC77" i="1"/>
  <c r="CB77" i="1"/>
  <c r="BZ77" i="1"/>
  <c r="BY77" i="1"/>
  <c r="BX77" i="1"/>
  <c r="BW77" i="1"/>
  <c r="BU77" i="1"/>
  <c r="BQ77" i="1"/>
  <c r="BP77" i="1"/>
  <c r="BO77" i="1"/>
  <c r="BN77" i="1"/>
  <c r="BL77" i="1"/>
  <c r="BH77" i="1"/>
  <c r="BG77" i="1"/>
  <c r="BF77" i="1"/>
  <c r="BE77" i="1"/>
  <c r="BC77" i="1"/>
  <c r="AY77" i="1"/>
  <c r="AX77" i="1"/>
  <c r="AW77" i="1"/>
  <c r="AV77" i="1"/>
  <c r="AT77" i="1"/>
  <c r="AP77" i="1"/>
  <c r="AO77" i="1"/>
  <c r="AN77" i="1"/>
  <c r="AM77" i="1"/>
  <c r="AK77" i="1"/>
  <c r="AG77" i="1"/>
  <c r="AF77" i="1"/>
  <c r="AE77" i="1"/>
  <c r="AD77" i="1"/>
  <c r="AB77" i="1"/>
  <c r="X77" i="1"/>
  <c r="W77" i="1"/>
  <c r="V77" i="1"/>
  <c r="U77" i="1"/>
  <c r="S77" i="1"/>
  <c r="K77" i="1"/>
  <c r="J77" i="1"/>
  <c r="I77" i="1"/>
  <c r="CR76" i="1"/>
  <c r="CQ76" i="1"/>
  <c r="CP76" i="1"/>
  <c r="CO76" i="1"/>
  <c r="CM76" i="1"/>
  <c r="CI76" i="1"/>
  <c r="CH76" i="1"/>
  <c r="CG76" i="1"/>
  <c r="CF76" i="1"/>
  <c r="CD76" i="1"/>
  <c r="CC76" i="1"/>
  <c r="CB76" i="1"/>
  <c r="BZ76" i="1"/>
  <c r="BY76" i="1"/>
  <c r="BX76" i="1"/>
  <c r="BW76" i="1"/>
  <c r="BU76" i="1"/>
  <c r="BQ76" i="1"/>
  <c r="BP76" i="1"/>
  <c r="BO76" i="1"/>
  <c r="BN76" i="1"/>
  <c r="BL76" i="1"/>
  <c r="BH76" i="1"/>
  <c r="BG76" i="1"/>
  <c r="BF76" i="1"/>
  <c r="BE76" i="1"/>
  <c r="BC76" i="1"/>
  <c r="AY76" i="1"/>
  <c r="AX76" i="1"/>
  <c r="AW76" i="1"/>
  <c r="AV76" i="1"/>
  <c r="AT76" i="1"/>
  <c r="AP76" i="1"/>
  <c r="AO76" i="1"/>
  <c r="AN76" i="1"/>
  <c r="AM76" i="1"/>
  <c r="AK76" i="1"/>
  <c r="AG76" i="1"/>
  <c r="AF76" i="1"/>
  <c r="AE76" i="1"/>
  <c r="AD76" i="1"/>
  <c r="AB76" i="1"/>
  <c r="X76" i="1"/>
  <c r="W76" i="1"/>
  <c r="V76" i="1"/>
  <c r="U76" i="1"/>
  <c r="S76" i="1"/>
  <c r="K76" i="1"/>
  <c r="J76" i="1"/>
  <c r="I76" i="1"/>
  <c r="CR75" i="1"/>
  <c r="CQ75" i="1"/>
  <c r="CP75" i="1"/>
  <c r="CO75" i="1"/>
  <c r="CM75" i="1"/>
  <c r="CI75" i="1"/>
  <c r="CH75" i="1"/>
  <c r="CG75" i="1"/>
  <c r="CF75" i="1"/>
  <c r="CD75" i="1"/>
  <c r="CC75" i="1"/>
  <c r="CB75" i="1"/>
  <c r="BZ75" i="1"/>
  <c r="BY75" i="1"/>
  <c r="BX75" i="1"/>
  <c r="BW75" i="1"/>
  <c r="BU75" i="1"/>
  <c r="BQ75" i="1"/>
  <c r="BP75" i="1"/>
  <c r="BO75" i="1"/>
  <c r="BN75" i="1"/>
  <c r="BL75" i="1"/>
  <c r="BH75" i="1"/>
  <c r="BG75" i="1"/>
  <c r="BF75" i="1"/>
  <c r="BE75" i="1"/>
  <c r="BC75" i="1"/>
  <c r="AY75" i="1"/>
  <c r="AX75" i="1"/>
  <c r="AW75" i="1"/>
  <c r="AV75" i="1"/>
  <c r="AT75" i="1"/>
  <c r="AP75" i="1"/>
  <c r="AO75" i="1"/>
  <c r="AN75" i="1"/>
  <c r="AM75" i="1"/>
  <c r="AK75" i="1"/>
  <c r="AG75" i="1"/>
  <c r="AF75" i="1"/>
  <c r="AE75" i="1"/>
  <c r="AD75" i="1"/>
  <c r="AB75" i="1"/>
  <c r="X75" i="1"/>
  <c r="W75" i="1"/>
  <c r="V75" i="1"/>
  <c r="U75" i="1"/>
  <c r="S75" i="1"/>
  <c r="K75" i="1"/>
  <c r="J75" i="1"/>
  <c r="I75" i="1"/>
  <c r="CR74" i="1"/>
  <c r="CQ74" i="1"/>
  <c r="CP74" i="1"/>
  <c r="CO74" i="1"/>
  <c r="CM74" i="1"/>
  <c r="CI74" i="1"/>
  <c r="CH74" i="1"/>
  <c r="CG74" i="1"/>
  <c r="CF74" i="1"/>
  <c r="CD74" i="1"/>
  <c r="CC74" i="1"/>
  <c r="CB74" i="1"/>
  <c r="BZ74" i="1"/>
  <c r="BY74" i="1"/>
  <c r="BX74" i="1"/>
  <c r="BW74" i="1"/>
  <c r="BU74" i="1"/>
  <c r="BQ74" i="1"/>
  <c r="BP74" i="1"/>
  <c r="BO74" i="1"/>
  <c r="BN74" i="1"/>
  <c r="BL74" i="1"/>
  <c r="BH74" i="1"/>
  <c r="BG74" i="1"/>
  <c r="BF74" i="1"/>
  <c r="BE74" i="1"/>
  <c r="BC74" i="1"/>
  <c r="AY74" i="1"/>
  <c r="AX74" i="1"/>
  <c r="AW74" i="1"/>
  <c r="AV74" i="1"/>
  <c r="AT74" i="1"/>
  <c r="AP74" i="1"/>
  <c r="AO74" i="1"/>
  <c r="AN74" i="1"/>
  <c r="AM74" i="1"/>
  <c r="AK74" i="1"/>
  <c r="AG74" i="1"/>
  <c r="AF74" i="1"/>
  <c r="AE74" i="1"/>
  <c r="AD74" i="1"/>
  <c r="AB74" i="1"/>
  <c r="X74" i="1"/>
  <c r="W74" i="1"/>
  <c r="V74" i="1"/>
  <c r="U74" i="1"/>
  <c r="S74" i="1"/>
  <c r="K74" i="1"/>
  <c r="J74" i="1"/>
  <c r="I74" i="1"/>
  <c r="CL72" i="1"/>
  <c r="CC72" i="1"/>
  <c r="BT72" i="1"/>
  <c r="BS72" i="1"/>
  <c r="BK72" i="1"/>
  <c r="BJ72" i="1"/>
  <c r="BB72" i="1"/>
  <c r="BA72" i="1"/>
  <c r="AS72" i="1"/>
  <c r="AR72" i="1"/>
  <c r="AJ72" i="1"/>
  <c r="AI72" i="1"/>
  <c r="AA72" i="1"/>
  <c r="Z72" i="1"/>
  <c r="R72" i="1"/>
  <c r="Q72" i="1"/>
  <c r="D72" i="1"/>
  <c r="CM71" i="1"/>
  <c r="CK71" i="1"/>
  <c r="CD71" i="1"/>
  <c r="CB71" i="1"/>
  <c r="BU71" i="1"/>
  <c r="BS71" i="1"/>
  <c r="BL71" i="1"/>
  <c r="BJ71" i="1"/>
  <c r="BC71" i="1"/>
  <c r="BA71" i="1"/>
  <c r="AT71" i="1"/>
  <c r="AR71" i="1"/>
  <c r="AK71" i="1"/>
  <c r="AI71" i="1"/>
  <c r="AB71" i="1"/>
  <c r="Z71" i="1"/>
  <c r="S71" i="1"/>
  <c r="Q71" i="1"/>
  <c r="I71" i="1"/>
  <c r="E71" i="1"/>
  <c r="CK70" i="1"/>
  <c r="CB70" i="1"/>
  <c r="BS70" i="1"/>
  <c r="BJ70" i="1"/>
  <c r="BA70" i="1"/>
  <c r="AR70" i="1"/>
  <c r="AI70" i="1"/>
  <c r="Z70" i="1"/>
  <c r="Q70" i="1"/>
  <c r="E69" i="1"/>
  <c r="E68" i="1"/>
  <c r="CM64" i="1"/>
  <c r="CL64" i="1"/>
  <c r="CK64" i="1"/>
  <c r="CD64" i="1"/>
  <c r="CC64" i="1"/>
  <c r="CB64" i="1"/>
  <c r="BU64" i="1"/>
  <c r="BT64" i="1"/>
  <c r="BS64" i="1"/>
  <c r="BL64" i="1"/>
  <c r="BK64" i="1"/>
  <c r="BJ64" i="1"/>
  <c r="BC64" i="1"/>
  <c r="BB64" i="1"/>
  <c r="BA64" i="1"/>
  <c r="AT64" i="1"/>
  <c r="AS64" i="1"/>
  <c r="AR64" i="1"/>
  <c r="AK64" i="1"/>
  <c r="AJ64" i="1"/>
  <c r="AI64" i="1"/>
  <c r="AB64" i="1"/>
  <c r="AA64" i="1"/>
  <c r="Z64" i="1"/>
  <c r="S64" i="1"/>
  <c r="R64" i="1"/>
  <c r="Q64" i="1"/>
  <c r="K64" i="1"/>
  <c r="J64" i="1"/>
  <c r="I64" i="1"/>
  <c r="H64" i="1"/>
  <c r="F64" i="1"/>
  <c r="CR63" i="1"/>
  <c r="CQ63" i="1"/>
  <c r="CP63" i="1"/>
  <c r="CO63" i="1"/>
  <c r="CM63" i="1"/>
  <c r="CI63" i="1"/>
  <c r="CH63" i="1"/>
  <c r="CG63" i="1"/>
  <c r="CF63" i="1"/>
  <c r="CD63" i="1"/>
  <c r="CC63" i="1"/>
  <c r="CB63" i="1"/>
  <c r="BZ63" i="1"/>
  <c r="BY63" i="1"/>
  <c r="BX63" i="1"/>
  <c r="BW63" i="1"/>
  <c r="BU63" i="1"/>
  <c r="BQ63" i="1"/>
  <c r="BP63" i="1"/>
  <c r="BO63" i="1"/>
  <c r="BN63" i="1"/>
  <c r="BL63" i="1"/>
  <c r="BH63" i="1"/>
  <c r="BG63" i="1"/>
  <c r="BF63" i="1"/>
  <c r="BE63" i="1"/>
  <c r="BC63" i="1"/>
  <c r="AY63" i="1"/>
  <c r="AX63" i="1"/>
  <c r="AW63" i="1"/>
  <c r="AV63" i="1"/>
  <c r="AT63" i="1"/>
  <c r="AP63" i="1"/>
  <c r="AO63" i="1"/>
  <c r="AN63" i="1"/>
  <c r="AM63" i="1"/>
  <c r="AK63" i="1"/>
  <c r="AG63" i="1"/>
  <c r="AF63" i="1"/>
  <c r="AE63" i="1"/>
  <c r="AD63" i="1"/>
  <c r="AB63" i="1"/>
  <c r="X63" i="1"/>
  <c r="W63" i="1"/>
  <c r="V63" i="1"/>
  <c r="U63" i="1"/>
  <c r="S63" i="1"/>
  <c r="K63" i="1"/>
  <c r="J63" i="1"/>
  <c r="I63" i="1"/>
  <c r="CR62" i="1"/>
  <c r="CQ62" i="1"/>
  <c r="CP62" i="1"/>
  <c r="CO62" i="1"/>
  <c r="CM62" i="1"/>
  <c r="CI62" i="1"/>
  <c r="CH62" i="1"/>
  <c r="CG62" i="1"/>
  <c r="CF62" i="1"/>
  <c r="CD62" i="1"/>
  <c r="CC62" i="1"/>
  <c r="CB62" i="1"/>
  <c r="BZ62" i="1"/>
  <c r="BY62" i="1"/>
  <c r="BX62" i="1"/>
  <c r="BW62" i="1"/>
  <c r="BU62" i="1"/>
  <c r="BQ62" i="1"/>
  <c r="BP62" i="1"/>
  <c r="BO62" i="1"/>
  <c r="BN62" i="1"/>
  <c r="BL62" i="1"/>
  <c r="BH62" i="1"/>
  <c r="BG62" i="1"/>
  <c r="BF62" i="1"/>
  <c r="BE62" i="1"/>
  <c r="BC62" i="1"/>
  <c r="AY62" i="1"/>
  <c r="AX62" i="1"/>
  <c r="AW62" i="1"/>
  <c r="AV62" i="1"/>
  <c r="AT62" i="1"/>
  <c r="AP62" i="1"/>
  <c r="AO62" i="1"/>
  <c r="AN62" i="1"/>
  <c r="AM62" i="1"/>
  <c r="AK62" i="1"/>
  <c r="AG62" i="1"/>
  <c r="AF62" i="1"/>
  <c r="AE62" i="1"/>
  <c r="AD62" i="1"/>
  <c r="AB62" i="1"/>
  <c r="X62" i="1"/>
  <c r="W62" i="1"/>
  <c r="V62" i="1"/>
  <c r="U62" i="1"/>
  <c r="S62" i="1"/>
  <c r="K62" i="1"/>
  <c r="J62" i="1"/>
  <c r="I62" i="1"/>
  <c r="CR61" i="1"/>
  <c r="CQ61" i="1"/>
  <c r="CP61" i="1"/>
  <c r="CO61" i="1"/>
  <c r="CM61" i="1"/>
  <c r="CI61" i="1"/>
  <c r="CH61" i="1"/>
  <c r="CG61" i="1"/>
  <c r="CF61" i="1"/>
  <c r="CD61" i="1"/>
  <c r="CC61" i="1"/>
  <c r="CB61" i="1"/>
  <c r="BZ61" i="1"/>
  <c r="BY61" i="1"/>
  <c r="BX61" i="1"/>
  <c r="BW61" i="1"/>
  <c r="BU61" i="1"/>
  <c r="BQ61" i="1"/>
  <c r="BP61" i="1"/>
  <c r="BO61" i="1"/>
  <c r="BN61" i="1"/>
  <c r="BL61" i="1"/>
  <c r="BH61" i="1"/>
  <c r="BG61" i="1"/>
  <c r="BF61" i="1"/>
  <c r="BE61" i="1"/>
  <c r="BC61" i="1"/>
  <c r="AY61" i="1"/>
  <c r="AX61" i="1"/>
  <c r="AW61" i="1"/>
  <c r="AV61" i="1"/>
  <c r="AT61" i="1"/>
  <c r="AP61" i="1"/>
  <c r="AO61" i="1"/>
  <c r="AN61" i="1"/>
  <c r="AM61" i="1"/>
  <c r="AK61" i="1"/>
  <c r="AG61" i="1"/>
  <c r="AF61" i="1"/>
  <c r="AE61" i="1"/>
  <c r="AD61" i="1"/>
  <c r="AB61" i="1"/>
  <c r="X61" i="1"/>
  <c r="W61" i="1"/>
  <c r="V61" i="1"/>
  <c r="U61" i="1"/>
  <c r="S61" i="1"/>
  <c r="K61" i="1"/>
  <c r="J61" i="1"/>
  <c r="I61" i="1"/>
  <c r="CR60" i="1"/>
  <c r="CQ60" i="1"/>
  <c r="CP60" i="1"/>
  <c r="CO60" i="1"/>
  <c r="CM60" i="1"/>
  <c r="CI60" i="1"/>
  <c r="CH60" i="1"/>
  <c r="CG60" i="1"/>
  <c r="CF60" i="1"/>
  <c r="CD60" i="1"/>
  <c r="CC60" i="1"/>
  <c r="CB60" i="1"/>
  <c r="BZ60" i="1"/>
  <c r="BY60" i="1"/>
  <c r="BX60" i="1"/>
  <c r="BW60" i="1"/>
  <c r="BU60" i="1"/>
  <c r="BQ60" i="1"/>
  <c r="BP60" i="1"/>
  <c r="BO60" i="1"/>
  <c r="BN60" i="1"/>
  <c r="BL60" i="1"/>
  <c r="BH60" i="1"/>
  <c r="BG60" i="1"/>
  <c r="BF60" i="1"/>
  <c r="BE60" i="1"/>
  <c r="BC60" i="1"/>
  <c r="AY60" i="1"/>
  <c r="AX60" i="1"/>
  <c r="AW60" i="1"/>
  <c r="AV60" i="1"/>
  <c r="AT60" i="1"/>
  <c r="AP60" i="1"/>
  <c r="AO60" i="1"/>
  <c r="AN60" i="1"/>
  <c r="AM60" i="1"/>
  <c r="AK60" i="1"/>
  <c r="AG60" i="1"/>
  <c r="AF60" i="1"/>
  <c r="AE60" i="1"/>
  <c r="AD60" i="1"/>
  <c r="AB60" i="1"/>
  <c r="X60" i="1"/>
  <c r="W60" i="1"/>
  <c r="V60" i="1"/>
  <c r="U60" i="1"/>
  <c r="S60" i="1"/>
  <c r="K60" i="1"/>
  <c r="J60" i="1"/>
  <c r="I60" i="1"/>
  <c r="CR59" i="1"/>
  <c r="CQ59" i="1"/>
  <c r="CP59" i="1"/>
  <c r="CO59" i="1"/>
  <c r="CM59" i="1"/>
  <c r="CI59" i="1"/>
  <c r="CH59" i="1"/>
  <c r="CG59" i="1"/>
  <c r="CF59" i="1"/>
  <c r="CD59" i="1"/>
  <c r="CC59" i="1"/>
  <c r="CB59" i="1"/>
  <c r="BZ59" i="1"/>
  <c r="BY59" i="1"/>
  <c r="BX59" i="1"/>
  <c r="BW59" i="1"/>
  <c r="BU59" i="1"/>
  <c r="BQ59" i="1"/>
  <c r="BP59" i="1"/>
  <c r="BO59" i="1"/>
  <c r="BN59" i="1"/>
  <c r="BL59" i="1"/>
  <c r="BH59" i="1"/>
  <c r="BG59" i="1"/>
  <c r="BF59" i="1"/>
  <c r="BE59" i="1"/>
  <c r="BC59" i="1"/>
  <c r="AY59" i="1"/>
  <c r="AX59" i="1"/>
  <c r="AW59" i="1"/>
  <c r="AV59" i="1"/>
  <c r="AT59" i="1"/>
  <c r="AP59" i="1"/>
  <c r="AO59" i="1"/>
  <c r="AN59" i="1"/>
  <c r="AM59" i="1"/>
  <c r="AK59" i="1"/>
  <c r="AG59" i="1"/>
  <c r="AF59" i="1"/>
  <c r="AE59" i="1"/>
  <c r="AD59" i="1"/>
  <c r="AB59" i="1"/>
  <c r="X59" i="1"/>
  <c r="W59" i="1"/>
  <c r="V59" i="1"/>
  <c r="U59" i="1"/>
  <c r="S59" i="1"/>
  <c r="K59" i="1"/>
  <c r="J59" i="1"/>
  <c r="I59" i="1"/>
  <c r="CR58" i="1"/>
  <c r="CQ58" i="1"/>
  <c r="CP58" i="1"/>
  <c r="CO58" i="1"/>
  <c r="CM58" i="1"/>
  <c r="CI58" i="1"/>
  <c r="CH58" i="1"/>
  <c r="CG58" i="1"/>
  <c r="CF58" i="1"/>
  <c r="CD58" i="1"/>
  <c r="CC58" i="1"/>
  <c r="CB58" i="1"/>
  <c r="BZ58" i="1"/>
  <c r="BY58" i="1"/>
  <c r="BX58" i="1"/>
  <c r="BW58" i="1"/>
  <c r="BU58" i="1"/>
  <c r="BQ58" i="1"/>
  <c r="BP58" i="1"/>
  <c r="BO58" i="1"/>
  <c r="BN58" i="1"/>
  <c r="BL58" i="1"/>
  <c r="BH58" i="1"/>
  <c r="BG58" i="1"/>
  <c r="BF58" i="1"/>
  <c r="BE58" i="1"/>
  <c r="BC58" i="1"/>
  <c r="AY58" i="1"/>
  <c r="AX58" i="1"/>
  <c r="AW58" i="1"/>
  <c r="AV58" i="1"/>
  <c r="AT58" i="1"/>
  <c r="AP58" i="1"/>
  <c r="AO58" i="1"/>
  <c r="AN58" i="1"/>
  <c r="AM58" i="1"/>
  <c r="AK58" i="1"/>
  <c r="AG58" i="1"/>
  <c r="AF58" i="1"/>
  <c r="AE58" i="1"/>
  <c r="AD58" i="1"/>
  <c r="AB58" i="1"/>
  <c r="X58" i="1"/>
  <c r="W58" i="1"/>
  <c r="V58" i="1"/>
  <c r="U58" i="1"/>
  <c r="S58" i="1"/>
  <c r="K58" i="1"/>
  <c r="J58" i="1"/>
  <c r="I58" i="1"/>
  <c r="CR57" i="1"/>
  <c r="CQ57" i="1"/>
  <c r="CP57" i="1"/>
  <c r="CO57" i="1"/>
  <c r="CM57" i="1"/>
  <c r="CI57" i="1"/>
  <c r="CH57" i="1"/>
  <c r="CG57" i="1"/>
  <c r="CF57" i="1"/>
  <c r="CD57" i="1"/>
  <c r="CC57" i="1"/>
  <c r="CB57" i="1"/>
  <c r="BZ57" i="1"/>
  <c r="BY57" i="1"/>
  <c r="BX57" i="1"/>
  <c r="BW57" i="1"/>
  <c r="BU57" i="1"/>
  <c r="BQ57" i="1"/>
  <c r="BP57" i="1"/>
  <c r="BO57" i="1"/>
  <c r="BN57" i="1"/>
  <c r="BL57" i="1"/>
  <c r="BH57" i="1"/>
  <c r="BG57" i="1"/>
  <c r="BF57" i="1"/>
  <c r="BE57" i="1"/>
  <c r="BC57" i="1"/>
  <c r="AY57" i="1"/>
  <c r="AX57" i="1"/>
  <c r="AW57" i="1"/>
  <c r="AV57" i="1"/>
  <c r="AT57" i="1"/>
  <c r="AP57" i="1"/>
  <c r="AO57" i="1"/>
  <c r="AN57" i="1"/>
  <c r="AM57" i="1"/>
  <c r="AK57" i="1"/>
  <c r="AG57" i="1"/>
  <c r="AF57" i="1"/>
  <c r="AE57" i="1"/>
  <c r="AD57" i="1"/>
  <c r="AB57" i="1"/>
  <c r="X57" i="1"/>
  <c r="W57" i="1"/>
  <c r="V57" i="1"/>
  <c r="U57" i="1"/>
  <c r="S57" i="1"/>
  <c r="K57" i="1"/>
  <c r="J57" i="1"/>
  <c r="I57" i="1"/>
  <c r="CR56" i="1"/>
  <c r="CQ56" i="1"/>
  <c r="CP56" i="1"/>
  <c r="CO56" i="1"/>
  <c r="CM56" i="1"/>
  <c r="CI56" i="1"/>
  <c r="CH56" i="1"/>
  <c r="CG56" i="1"/>
  <c r="CF56" i="1"/>
  <c r="CD56" i="1"/>
  <c r="CC56" i="1"/>
  <c r="CB56" i="1"/>
  <c r="BZ56" i="1"/>
  <c r="BY56" i="1"/>
  <c r="BX56" i="1"/>
  <c r="BW56" i="1"/>
  <c r="BU56" i="1"/>
  <c r="BQ56" i="1"/>
  <c r="BP56" i="1"/>
  <c r="BO56" i="1"/>
  <c r="BN56" i="1"/>
  <c r="BL56" i="1"/>
  <c r="BH56" i="1"/>
  <c r="BG56" i="1"/>
  <c r="BF56" i="1"/>
  <c r="BE56" i="1"/>
  <c r="BC56" i="1"/>
  <c r="AY56" i="1"/>
  <c r="AX56" i="1"/>
  <c r="AW56" i="1"/>
  <c r="AV56" i="1"/>
  <c r="AT56" i="1"/>
  <c r="AP56" i="1"/>
  <c r="AO56" i="1"/>
  <c r="AN56" i="1"/>
  <c r="AM56" i="1"/>
  <c r="AK56" i="1"/>
  <c r="AG56" i="1"/>
  <c r="AF56" i="1"/>
  <c r="AE56" i="1"/>
  <c r="AD56" i="1"/>
  <c r="AB56" i="1"/>
  <c r="X56" i="1"/>
  <c r="W56" i="1"/>
  <c r="V56" i="1"/>
  <c r="U56" i="1"/>
  <c r="S56" i="1"/>
  <c r="K56" i="1"/>
  <c r="J56" i="1"/>
  <c r="I56" i="1"/>
  <c r="CR55" i="1"/>
  <c r="CQ55" i="1"/>
  <c r="CP55" i="1"/>
  <c r="CO55" i="1"/>
  <c r="CM55" i="1"/>
  <c r="CI55" i="1"/>
  <c r="CH55" i="1"/>
  <c r="CG55" i="1"/>
  <c r="CF55" i="1"/>
  <c r="CD55" i="1"/>
  <c r="CC55" i="1"/>
  <c r="CB55" i="1"/>
  <c r="BZ55" i="1"/>
  <c r="BY55" i="1"/>
  <c r="BX55" i="1"/>
  <c r="BW55" i="1"/>
  <c r="BU55" i="1"/>
  <c r="BQ55" i="1"/>
  <c r="BP55" i="1"/>
  <c r="BO55" i="1"/>
  <c r="BN55" i="1"/>
  <c r="BL55" i="1"/>
  <c r="BH55" i="1"/>
  <c r="BG55" i="1"/>
  <c r="BF55" i="1"/>
  <c r="BE55" i="1"/>
  <c r="BC55" i="1"/>
  <c r="AY55" i="1"/>
  <c r="AX55" i="1"/>
  <c r="AW55" i="1"/>
  <c r="AV55" i="1"/>
  <c r="AT55" i="1"/>
  <c r="AP55" i="1"/>
  <c r="AO55" i="1"/>
  <c r="AN55" i="1"/>
  <c r="AM55" i="1"/>
  <c r="AK55" i="1"/>
  <c r="AG55" i="1"/>
  <c r="AF55" i="1"/>
  <c r="AE55" i="1"/>
  <c r="AD55" i="1"/>
  <c r="AB55" i="1"/>
  <c r="X55" i="1"/>
  <c r="W55" i="1"/>
  <c r="V55" i="1"/>
  <c r="U55" i="1"/>
  <c r="S55" i="1"/>
  <c r="K55" i="1"/>
  <c r="J55" i="1"/>
  <c r="I55" i="1"/>
  <c r="CR54" i="1"/>
  <c r="CQ54" i="1"/>
  <c r="CP54" i="1"/>
  <c r="CO54" i="1"/>
  <c r="CM54" i="1"/>
  <c r="CI54" i="1"/>
  <c r="CH54" i="1"/>
  <c r="CG54" i="1"/>
  <c r="CF54" i="1"/>
  <c r="CD54" i="1"/>
  <c r="CC54" i="1"/>
  <c r="CB54" i="1"/>
  <c r="BZ54" i="1"/>
  <c r="BY54" i="1"/>
  <c r="BX54" i="1"/>
  <c r="BW54" i="1"/>
  <c r="BU54" i="1"/>
  <c r="BQ54" i="1"/>
  <c r="BP54" i="1"/>
  <c r="BO54" i="1"/>
  <c r="BN54" i="1"/>
  <c r="BL54" i="1"/>
  <c r="BH54" i="1"/>
  <c r="BG54" i="1"/>
  <c r="BF54" i="1"/>
  <c r="BE54" i="1"/>
  <c r="BC54" i="1"/>
  <c r="AY54" i="1"/>
  <c r="AX54" i="1"/>
  <c r="AW54" i="1"/>
  <c r="AV54" i="1"/>
  <c r="AT54" i="1"/>
  <c r="AP54" i="1"/>
  <c r="AO54" i="1"/>
  <c r="AN54" i="1"/>
  <c r="AM54" i="1"/>
  <c r="AK54" i="1"/>
  <c r="AG54" i="1"/>
  <c r="AF54" i="1"/>
  <c r="AE54" i="1"/>
  <c r="AD54" i="1"/>
  <c r="AB54" i="1"/>
  <c r="X54" i="1"/>
  <c r="W54" i="1"/>
  <c r="V54" i="1"/>
  <c r="U54" i="1"/>
  <c r="S54" i="1"/>
  <c r="K54" i="1"/>
  <c r="J54" i="1"/>
  <c r="I54" i="1"/>
  <c r="CR53" i="1"/>
  <c r="CQ53" i="1"/>
  <c r="CP53" i="1"/>
  <c r="CO53" i="1"/>
  <c r="CM53" i="1"/>
  <c r="CI53" i="1"/>
  <c r="CH53" i="1"/>
  <c r="CG53" i="1"/>
  <c r="CF53" i="1"/>
  <c r="CD53" i="1"/>
  <c r="CC53" i="1"/>
  <c r="CB53" i="1"/>
  <c r="BZ53" i="1"/>
  <c r="BY53" i="1"/>
  <c r="BX53" i="1"/>
  <c r="BW53" i="1"/>
  <c r="BU53" i="1"/>
  <c r="BQ53" i="1"/>
  <c r="BP53" i="1"/>
  <c r="BO53" i="1"/>
  <c r="BN53" i="1"/>
  <c r="BL53" i="1"/>
  <c r="BH53" i="1"/>
  <c r="BG53" i="1"/>
  <c r="BF53" i="1"/>
  <c r="BE53" i="1"/>
  <c r="BC53" i="1"/>
  <c r="AY53" i="1"/>
  <c r="AX53" i="1"/>
  <c r="AW53" i="1"/>
  <c r="AV53" i="1"/>
  <c r="AT53" i="1"/>
  <c r="AP53" i="1"/>
  <c r="AO53" i="1"/>
  <c r="AN53" i="1"/>
  <c r="AM53" i="1"/>
  <c r="AK53" i="1"/>
  <c r="AG53" i="1"/>
  <c r="AF53" i="1"/>
  <c r="AE53" i="1"/>
  <c r="AD53" i="1"/>
  <c r="AB53" i="1"/>
  <c r="X53" i="1"/>
  <c r="W53" i="1"/>
  <c r="V53" i="1"/>
  <c r="U53" i="1"/>
  <c r="S53" i="1"/>
  <c r="K53" i="1"/>
  <c r="J53" i="1"/>
  <c r="I53" i="1"/>
  <c r="CR52" i="1"/>
  <c r="CQ52" i="1"/>
  <c r="CP52" i="1"/>
  <c r="CO52" i="1"/>
  <c r="CM52" i="1"/>
  <c r="CI52" i="1"/>
  <c r="CH52" i="1"/>
  <c r="CG52" i="1"/>
  <c r="CF52" i="1"/>
  <c r="CD52" i="1"/>
  <c r="CC52" i="1"/>
  <c r="CB52" i="1"/>
  <c r="BZ52" i="1"/>
  <c r="BY52" i="1"/>
  <c r="BX52" i="1"/>
  <c r="BW52" i="1"/>
  <c r="BU52" i="1"/>
  <c r="BQ52" i="1"/>
  <c r="BP52" i="1"/>
  <c r="BO52" i="1"/>
  <c r="BN52" i="1"/>
  <c r="BL52" i="1"/>
  <c r="BH52" i="1"/>
  <c r="BG52" i="1"/>
  <c r="BF52" i="1"/>
  <c r="BE52" i="1"/>
  <c r="BC52" i="1"/>
  <c r="AY52" i="1"/>
  <c r="AX52" i="1"/>
  <c r="AW52" i="1"/>
  <c r="AV52" i="1"/>
  <c r="AT52" i="1"/>
  <c r="AP52" i="1"/>
  <c r="AO52" i="1"/>
  <c r="AN52" i="1"/>
  <c r="AM52" i="1"/>
  <c r="AK52" i="1"/>
  <c r="AG52" i="1"/>
  <c r="AF52" i="1"/>
  <c r="AE52" i="1"/>
  <c r="AD52" i="1"/>
  <c r="AB52" i="1"/>
  <c r="X52" i="1"/>
  <c r="W52" i="1"/>
  <c r="V52" i="1"/>
  <c r="U52" i="1"/>
  <c r="S52" i="1"/>
  <c r="K52" i="1"/>
  <c r="J52" i="1"/>
  <c r="I52" i="1"/>
  <c r="CL50" i="1"/>
  <c r="CC50" i="1"/>
  <c r="BT50" i="1"/>
  <c r="BS50" i="1"/>
  <c r="BK50" i="1"/>
  <c r="BJ50" i="1"/>
  <c r="BB50" i="1"/>
  <c r="BA50" i="1"/>
  <c r="AS50" i="1"/>
  <c r="AR50" i="1"/>
  <c r="AJ50" i="1"/>
  <c r="AI50" i="1"/>
  <c r="AA50" i="1"/>
  <c r="Z50" i="1"/>
  <c r="R50" i="1"/>
  <c r="Q50" i="1"/>
  <c r="D50" i="1"/>
  <c r="CM49" i="1"/>
  <c r="CK49" i="1"/>
  <c r="CD49" i="1"/>
  <c r="CB49" i="1"/>
  <c r="BU49" i="1"/>
  <c r="BS49" i="1"/>
  <c r="BL49" i="1"/>
  <c r="BJ49" i="1"/>
  <c r="BC49" i="1"/>
  <c r="BA49" i="1"/>
  <c r="AT49" i="1"/>
  <c r="AR49" i="1"/>
  <c r="AK49" i="1"/>
  <c r="AI49" i="1"/>
  <c r="AB49" i="1"/>
  <c r="Z49" i="1"/>
  <c r="S49" i="1"/>
  <c r="Q49" i="1"/>
  <c r="I49" i="1"/>
  <c r="E49" i="1"/>
  <c r="CK48" i="1"/>
  <c r="CB48" i="1"/>
  <c r="BS48" i="1"/>
  <c r="BJ48" i="1"/>
  <c r="BA48" i="1"/>
  <c r="AR48" i="1"/>
  <c r="AI48" i="1"/>
  <c r="Z48" i="1"/>
  <c r="Q48" i="1"/>
  <c r="E47" i="1"/>
  <c r="E46" i="1"/>
  <c r="CM42" i="1"/>
  <c r="CL42" i="1"/>
  <c r="CK42" i="1"/>
  <c r="CD42" i="1"/>
  <c r="CC42" i="1"/>
  <c r="CB42" i="1"/>
  <c r="BU42" i="1"/>
  <c r="BT42" i="1"/>
  <c r="BS42" i="1"/>
  <c r="BL42" i="1"/>
  <c r="BK42" i="1"/>
  <c r="BJ42" i="1"/>
  <c r="BC42" i="1"/>
  <c r="BB42" i="1"/>
  <c r="BA42" i="1"/>
  <c r="AT42" i="1"/>
  <c r="AS42" i="1"/>
  <c r="AR42" i="1"/>
  <c r="AK42" i="1"/>
  <c r="AJ42" i="1"/>
  <c r="AI42" i="1"/>
  <c r="AB42" i="1"/>
  <c r="AA42" i="1"/>
  <c r="Z42" i="1"/>
  <c r="S42" i="1"/>
  <c r="R42" i="1"/>
  <c r="Q42" i="1"/>
  <c r="K42" i="1"/>
  <c r="J42" i="1"/>
  <c r="I42" i="1"/>
  <c r="H42" i="1"/>
  <c r="F42" i="1"/>
  <c r="CR41" i="1"/>
  <c r="CQ41" i="1"/>
  <c r="CP41" i="1"/>
  <c r="CO41" i="1"/>
  <c r="CM41" i="1"/>
  <c r="CI41" i="1"/>
  <c r="CH41" i="1"/>
  <c r="CG41" i="1"/>
  <c r="CF41" i="1"/>
  <c r="CD41" i="1"/>
  <c r="CC41" i="1"/>
  <c r="CB41" i="1"/>
  <c r="BZ41" i="1"/>
  <c r="BY41" i="1"/>
  <c r="BX41" i="1"/>
  <c r="BW41" i="1"/>
  <c r="BU41" i="1"/>
  <c r="BQ41" i="1"/>
  <c r="BP41" i="1"/>
  <c r="BO41" i="1"/>
  <c r="BN41" i="1"/>
  <c r="BL41" i="1"/>
  <c r="BH41" i="1"/>
  <c r="BG41" i="1"/>
  <c r="BF41" i="1"/>
  <c r="BE41" i="1"/>
  <c r="BC41" i="1"/>
  <c r="AY41" i="1"/>
  <c r="AX41" i="1"/>
  <c r="AW41" i="1"/>
  <c r="AV41" i="1"/>
  <c r="AT41" i="1"/>
  <c r="AP41" i="1"/>
  <c r="AO41" i="1"/>
  <c r="AN41" i="1"/>
  <c r="AM41" i="1"/>
  <c r="AK41" i="1"/>
  <c r="AG41" i="1"/>
  <c r="AF41" i="1"/>
  <c r="AE41" i="1"/>
  <c r="AD41" i="1"/>
  <c r="AB41" i="1"/>
  <c r="X41" i="1"/>
  <c r="W41" i="1"/>
  <c r="V41" i="1"/>
  <c r="U41" i="1"/>
  <c r="S41" i="1"/>
  <c r="K41" i="1"/>
  <c r="J41" i="1"/>
  <c r="I41" i="1"/>
  <c r="CR40" i="1"/>
  <c r="CQ40" i="1"/>
  <c r="CP40" i="1"/>
  <c r="CO40" i="1"/>
  <c r="CM40" i="1"/>
  <c r="CI40" i="1"/>
  <c r="CH40" i="1"/>
  <c r="CG40" i="1"/>
  <c r="CF40" i="1"/>
  <c r="CD40" i="1"/>
  <c r="CC40" i="1"/>
  <c r="CB40" i="1"/>
  <c r="BZ40" i="1"/>
  <c r="BY40" i="1"/>
  <c r="BX40" i="1"/>
  <c r="BW40" i="1"/>
  <c r="BU40" i="1"/>
  <c r="BQ40" i="1"/>
  <c r="BP40" i="1"/>
  <c r="BO40" i="1"/>
  <c r="BN40" i="1"/>
  <c r="BL40" i="1"/>
  <c r="BH40" i="1"/>
  <c r="BG40" i="1"/>
  <c r="BF40" i="1"/>
  <c r="BE40" i="1"/>
  <c r="BC40" i="1"/>
  <c r="AY40" i="1"/>
  <c r="AX40" i="1"/>
  <c r="AW40" i="1"/>
  <c r="AV40" i="1"/>
  <c r="AT40" i="1"/>
  <c r="AP40" i="1"/>
  <c r="AO40" i="1"/>
  <c r="AN40" i="1"/>
  <c r="AM40" i="1"/>
  <c r="AK40" i="1"/>
  <c r="AG40" i="1"/>
  <c r="AF40" i="1"/>
  <c r="AE40" i="1"/>
  <c r="AD40" i="1"/>
  <c r="AB40" i="1"/>
  <c r="X40" i="1"/>
  <c r="W40" i="1"/>
  <c r="V40" i="1"/>
  <c r="U40" i="1"/>
  <c r="S40" i="1"/>
  <c r="K40" i="1"/>
  <c r="J40" i="1"/>
  <c r="I40" i="1"/>
  <c r="CR39" i="1"/>
  <c r="CQ39" i="1"/>
  <c r="CP39" i="1"/>
  <c r="CO39" i="1"/>
  <c r="CM39" i="1"/>
  <c r="CI39" i="1"/>
  <c r="CH39" i="1"/>
  <c r="CG39" i="1"/>
  <c r="CF39" i="1"/>
  <c r="CD39" i="1"/>
  <c r="CC39" i="1"/>
  <c r="CB39" i="1"/>
  <c r="BZ39" i="1"/>
  <c r="BY39" i="1"/>
  <c r="BX39" i="1"/>
  <c r="BW39" i="1"/>
  <c r="BU39" i="1"/>
  <c r="BQ39" i="1"/>
  <c r="BP39" i="1"/>
  <c r="BO39" i="1"/>
  <c r="BN39" i="1"/>
  <c r="BL39" i="1"/>
  <c r="BH39" i="1"/>
  <c r="BG39" i="1"/>
  <c r="BF39" i="1"/>
  <c r="BE39" i="1"/>
  <c r="BC39" i="1"/>
  <c r="AY39" i="1"/>
  <c r="AX39" i="1"/>
  <c r="AW39" i="1"/>
  <c r="AV39" i="1"/>
  <c r="AT39" i="1"/>
  <c r="AP39" i="1"/>
  <c r="AO39" i="1"/>
  <c r="AN39" i="1"/>
  <c r="AM39" i="1"/>
  <c r="AK39" i="1"/>
  <c r="AG39" i="1"/>
  <c r="AF39" i="1"/>
  <c r="AE39" i="1"/>
  <c r="AD39" i="1"/>
  <c r="AB39" i="1"/>
  <c r="X39" i="1"/>
  <c r="W39" i="1"/>
  <c r="V39" i="1"/>
  <c r="U39" i="1"/>
  <c r="S39" i="1"/>
  <c r="K39" i="1"/>
  <c r="J39" i="1"/>
  <c r="I39" i="1"/>
  <c r="CR38" i="1"/>
  <c r="CQ38" i="1"/>
  <c r="CP38" i="1"/>
  <c r="CO38" i="1"/>
  <c r="CM38" i="1"/>
  <c r="CI38" i="1"/>
  <c r="CH38" i="1"/>
  <c r="CG38" i="1"/>
  <c r="CF38" i="1"/>
  <c r="CD38" i="1"/>
  <c r="CC38" i="1"/>
  <c r="CB38" i="1"/>
  <c r="BZ38" i="1"/>
  <c r="BY38" i="1"/>
  <c r="BX38" i="1"/>
  <c r="BW38" i="1"/>
  <c r="BU38" i="1"/>
  <c r="BQ38" i="1"/>
  <c r="BP38" i="1"/>
  <c r="BO38" i="1"/>
  <c r="BN38" i="1"/>
  <c r="BL38" i="1"/>
  <c r="BH38" i="1"/>
  <c r="BG38" i="1"/>
  <c r="BF38" i="1"/>
  <c r="BE38" i="1"/>
  <c r="BC38" i="1"/>
  <c r="AY38" i="1"/>
  <c r="AX38" i="1"/>
  <c r="AW38" i="1"/>
  <c r="AV38" i="1"/>
  <c r="AT38" i="1"/>
  <c r="AP38" i="1"/>
  <c r="AO38" i="1"/>
  <c r="AN38" i="1"/>
  <c r="AM38" i="1"/>
  <c r="AK38" i="1"/>
  <c r="AG38" i="1"/>
  <c r="AF38" i="1"/>
  <c r="AE38" i="1"/>
  <c r="AD38" i="1"/>
  <c r="AB38" i="1"/>
  <c r="X38" i="1"/>
  <c r="W38" i="1"/>
  <c r="V38" i="1"/>
  <c r="U38" i="1"/>
  <c r="S38" i="1"/>
  <c r="K38" i="1"/>
  <c r="J38" i="1"/>
  <c r="I38" i="1"/>
  <c r="CR37" i="1"/>
  <c r="CQ37" i="1"/>
  <c r="CP37" i="1"/>
  <c r="CO37" i="1"/>
  <c r="CM37" i="1"/>
  <c r="CI37" i="1"/>
  <c r="CH37" i="1"/>
  <c r="CG37" i="1"/>
  <c r="CF37" i="1"/>
  <c r="CD37" i="1"/>
  <c r="CC37" i="1"/>
  <c r="CB37" i="1"/>
  <c r="BZ37" i="1"/>
  <c r="BY37" i="1"/>
  <c r="BX37" i="1"/>
  <c r="BW37" i="1"/>
  <c r="BU37" i="1"/>
  <c r="BQ37" i="1"/>
  <c r="BP37" i="1"/>
  <c r="BO37" i="1"/>
  <c r="BN37" i="1"/>
  <c r="BL37" i="1"/>
  <c r="BH37" i="1"/>
  <c r="BG37" i="1"/>
  <c r="BF37" i="1"/>
  <c r="BE37" i="1"/>
  <c r="BC37" i="1"/>
  <c r="AY37" i="1"/>
  <c r="AX37" i="1"/>
  <c r="AW37" i="1"/>
  <c r="AV37" i="1"/>
  <c r="AT37" i="1"/>
  <c r="AP37" i="1"/>
  <c r="AO37" i="1"/>
  <c r="AN37" i="1"/>
  <c r="AM37" i="1"/>
  <c r="AK37" i="1"/>
  <c r="AG37" i="1"/>
  <c r="AF37" i="1"/>
  <c r="AE37" i="1"/>
  <c r="AD37" i="1"/>
  <c r="AB37" i="1"/>
  <c r="X37" i="1"/>
  <c r="W37" i="1"/>
  <c r="V37" i="1"/>
  <c r="U37" i="1"/>
  <c r="S37" i="1"/>
  <c r="K37" i="1"/>
  <c r="J37" i="1"/>
  <c r="I37" i="1"/>
  <c r="CR36" i="1"/>
  <c r="CQ36" i="1"/>
  <c r="CP36" i="1"/>
  <c r="CO36" i="1"/>
  <c r="CM36" i="1"/>
  <c r="CI36" i="1"/>
  <c r="CH36" i="1"/>
  <c r="CG36" i="1"/>
  <c r="CF36" i="1"/>
  <c r="CD36" i="1"/>
  <c r="CC36" i="1"/>
  <c r="CB36" i="1"/>
  <c r="BZ36" i="1"/>
  <c r="BY36" i="1"/>
  <c r="BX36" i="1"/>
  <c r="BW36" i="1"/>
  <c r="BU36" i="1"/>
  <c r="BQ36" i="1"/>
  <c r="BP36" i="1"/>
  <c r="BO36" i="1"/>
  <c r="BN36" i="1"/>
  <c r="BL36" i="1"/>
  <c r="BH36" i="1"/>
  <c r="BG36" i="1"/>
  <c r="BF36" i="1"/>
  <c r="BE36" i="1"/>
  <c r="BC36" i="1"/>
  <c r="AY36" i="1"/>
  <c r="AX36" i="1"/>
  <c r="AW36" i="1"/>
  <c r="AV36" i="1"/>
  <c r="AT36" i="1"/>
  <c r="AP36" i="1"/>
  <c r="AO36" i="1"/>
  <c r="AN36" i="1"/>
  <c r="AM36" i="1"/>
  <c r="AK36" i="1"/>
  <c r="AG36" i="1"/>
  <c r="AF36" i="1"/>
  <c r="AE36" i="1"/>
  <c r="AD36" i="1"/>
  <c r="AB36" i="1"/>
  <c r="X36" i="1"/>
  <c r="W36" i="1"/>
  <c r="V36" i="1"/>
  <c r="U36" i="1"/>
  <c r="S36" i="1"/>
  <c r="K36" i="1"/>
  <c r="J36" i="1"/>
  <c r="I36" i="1"/>
  <c r="CR35" i="1"/>
  <c r="CQ35" i="1"/>
  <c r="CP35" i="1"/>
  <c r="CO35" i="1"/>
  <c r="CM35" i="1"/>
  <c r="CI35" i="1"/>
  <c r="CH35" i="1"/>
  <c r="CG35" i="1"/>
  <c r="CF35" i="1"/>
  <c r="CD35" i="1"/>
  <c r="CC35" i="1"/>
  <c r="CB35" i="1"/>
  <c r="BZ35" i="1"/>
  <c r="BY35" i="1"/>
  <c r="BX35" i="1"/>
  <c r="BW35" i="1"/>
  <c r="BU35" i="1"/>
  <c r="BQ35" i="1"/>
  <c r="BP35" i="1"/>
  <c r="BO35" i="1"/>
  <c r="BN35" i="1"/>
  <c r="BL35" i="1"/>
  <c r="BH35" i="1"/>
  <c r="BG35" i="1"/>
  <c r="BF35" i="1"/>
  <c r="BE35" i="1"/>
  <c r="BC35" i="1"/>
  <c r="AY35" i="1"/>
  <c r="AX35" i="1"/>
  <c r="AW35" i="1"/>
  <c r="AV35" i="1"/>
  <c r="AT35" i="1"/>
  <c r="AP35" i="1"/>
  <c r="AO35" i="1"/>
  <c r="AN35" i="1"/>
  <c r="AM35" i="1"/>
  <c r="AK35" i="1"/>
  <c r="AG35" i="1"/>
  <c r="AF35" i="1"/>
  <c r="AE35" i="1"/>
  <c r="AD35" i="1"/>
  <c r="AB35" i="1"/>
  <c r="X35" i="1"/>
  <c r="W35" i="1"/>
  <c r="V35" i="1"/>
  <c r="U35" i="1"/>
  <c r="S35" i="1"/>
  <c r="K35" i="1"/>
  <c r="J35" i="1"/>
  <c r="I35" i="1"/>
  <c r="CR34" i="1"/>
  <c r="CQ34" i="1"/>
  <c r="CP34" i="1"/>
  <c r="CO34" i="1"/>
  <c r="CM34" i="1"/>
  <c r="CI34" i="1"/>
  <c r="CH34" i="1"/>
  <c r="CG34" i="1"/>
  <c r="CF34" i="1"/>
  <c r="CD34" i="1"/>
  <c r="CC34" i="1"/>
  <c r="CB34" i="1"/>
  <c r="BZ34" i="1"/>
  <c r="BY34" i="1"/>
  <c r="BX34" i="1"/>
  <c r="BW34" i="1"/>
  <c r="BU34" i="1"/>
  <c r="BQ34" i="1"/>
  <c r="BP34" i="1"/>
  <c r="BO34" i="1"/>
  <c r="BN34" i="1"/>
  <c r="BL34" i="1"/>
  <c r="BH34" i="1"/>
  <c r="BG34" i="1"/>
  <c r="BF34" i="1"/>
  <c r="BE34" i="1"/>
  <c r="BC34" i="1"/>
  <c r="AY34" i="1"/>
  <c r="AX34" i="1"/>
  <c r="AW34" i="1"/>
  <c r="AV34" i="1"/>
  <c r="AT34" i="1"/>
  <c r="AP34" i="1"/>
  <c r="AO34" i="1"/>
  <c r="AN34" i="1"/>
  <c r="AM34" i="1"/>
  <c r="AK34" i="1"/>
  <c r="AG34" i="1"/>
  <c r="AF34" i="1"/>
  <c r="AE34" i="1"/>
  <c r="AD34" i="1"/>
  <c r="AB34" i="1"/>
  <c r="X34" i="1"/>
  <c r="W34" i="1"/>
  <c r="V34" i="1"/>
  <c r="U34" i="1"/>
  <c r="S34" i="1"/>
  <c r="K34" i="1"/>
  <c r="J34" i="1"/>
  <c r="I34" i="1"/>
  <c r="CR33" i="1"/>
  <c r="CQ33" i="1"/>
  <c r="CP33" i="1"/>
  <c r="CO33" i="1"/>
  <c r="CM33" i="1"/>
  <c r="CI33" i="1"/>
  <c r="CH33" i="1"/>
  <c r="CG33" i="1"/>
  <c r="CF33" i="1"/>
  <c r="CD33" i="1"/>
  <c r="CC33" i="1"/>
  <c r="CB33" i="1"/>
  <c r="BZ33" i="1"/>
  <c r="BY33" i="1"/>
  <c r="BX33" i="1"/>
  <c r="BW33" i="1"/>
  <c r="BU33" i="1"/>
  <c r="BQ33" i="1"/>
  <c r="BP33" i="1"/>
  <c r="BO33" i="1"/>
  <c r="BN33" i="1"/>
  <c r="BL33" i="1"/>
  <c r="BH33" i="1"/>
  <c r="BG33" i="1"/>
  <c r="BF33" i="1"/>
  <c r="BE33" i="1"/>
  <c r="BC33" i="1"/>
  <c r="AY33" i="1"/>
  <c r="AX33" i="1"/>
  <c r="AW33" i="1"/>
  <c r="AV33" i="1"/>
  <c r="AT33" i="1"/>
  <c r="AP33" i="1"/>
  <c r="AO33" i="1"/>
  <c r="AN33" i="1"/>
  <c r="AM33" i="1"/>
  <c r="AK33" i="1"/>
  <c r="AG33" i="1"/>
  <c r="AF33" i="1"/>
  <c r="AE33" i="1"/>
  <c r="AD33" i="1"/>
  <c r="AB33" i="1"/>
  <c r="X33" i="1"/>
  <c r="W33" i="1"/>
  <c r="V33" i="1"/>
  <c r="U33" i="1"/>
  <c r="S33" i="1"/>
  <c r="K33" i="1"/>
  <c r="J33" i="1"/>
  <c r="I33" i="1"/>
  <c r="CR32" i="1"/>
  <c r="CQ32" i="1"/>
  <c r="CP32" i="1"/>
  <c r="CO32" i="1"/>
  <c r="CM32" i="1"/>
  <c r="CI32" i="1"/>
  <c r="CH32" i="1"/>
  <c r="CG32" i="1"/>
  <c r="CF32" i="1"/>
  <c r="CD32" i="1"/>
  <c r="CC32" i="1"/>
  <c r="CB32" i="1"/>
  <c r="BZ32" i="1"/>
  <c r="BY32" i="1"/>
  <c r="BX32" i="1"/>
  <c r="BW32" i="1"/>
  <c r="BU32" i="1"/>
  <c r="BQ32" i="1"/>
  <c r="BP32" i="1"/>
  <c r="BO32" i="1"/>
  <c r="BN32" i="1"/>
  <c r="BL32" i="1"/>
  <c r="BH32" i="1"/>
  <c r="BG32" i="1"/>
  <c r="BF32" i="1"/>
  <c r="BE32" i="1"/>
  <c r="BC32" i="1"/>
  <c r="AY32" i="1"/>
  <c r="AX32" i="1"/>
  <c r="AW32" i="1"/>
  <c r="AV32" i="1"/>
  <c r="AT32" i="1"/>
  <c r="AP32" i="1"/>
  <c r="AO32" i="1"/>
  <c r="AN32" i="1"/>
  <c r="AM32" i="1"/>
  <c r="AK32" i="1"/>
  <c r="AG32" i="1"/>
  <c r="AF32" i="1"/>
  <c r="AE32" i="1"/>
  <c r="AD32" i="1"/>
  <c r="AB32" i="1"/>
  <c r="X32" i="1"/>
  <c r="W32" i="1"/>
  <c r="V32" i="1"/>
  <c r="U32" i="1"/>
  <c r="S32" i="1"/>
  <c r="K32" i="1"/>
  <c r="J32" i="1"/>
  <c r="I32" i="1"/>
  <c r="CR31" i="1"/>
  <c r="CQ31" i="1"/>
  <c r="CP31" i="1"/>
  <c r="CO31" i="1"/>
  <c r="CM31" i="1"/>
  <c r="CI31" i="1"/>
  <c r="CH31" i="1"/>
  <c r="CG31" i="1"/>
  <c r="CF31" i="1"/>
  <c r="CD31" i="1"/>
  <c r="CC31" i="1"/>
  <c r="CB31" i="1"/>
  <c r="BZ31" i="1"/>
  <c r="BY31" i="1"/>
  <c r="BX31" i="1"/>
  <c r="BW31" i="1"/>
  <c r="BU31" i="1"/>
  <c r="BQ31" i="1"/>
  <c r="BP31" i="1"/>
  <c r="BO31" i="1"/>
  <c r="BN31" i="1"/>
  <c r="BL31" i="1"/>
  <c r="BH31" i="1"/>
  <c r="BG31" i="1"/>
  <c r="BF31" i="1"/>
  <c r="BE31" i="1"/>
  <c r="BC31" i="1"/>
  <c r="AY31" i="1"/>
  <c r="AX31" i="1"/>
  <c r="AW31" i="1"/>
  <c r="AV31" i="1"/>
  <c r="AT31" i="1"/>
  <c r="AP31" i="1"/>
  <c r="AO31" i="1"/>
  <c r="AN31" i="1"/>
  <c r="AM31" i="1"/>
  <c r="AK31" i="1"/>
  <c r="AG31" i="1"/>
  <c r="AF31" i="1"/>
  <c r="AE31" i="1"/>
  <c r="AD31" i="1"/>
  <c r="AB31" i="1"/>
  <c r="X31" i="1"/>
  <c r="W31" i="1"/>
  <c r="V31" i="1"/>
  <c r="U31" i="1"/>
  <c r="S31" i="1"/>
  <c r="K31" i="1"/>
  <c r="J31" i="1"/>
  <c r="I31" i="1"/>
  <c r="CR30" i="1"/>
  <c r="CQ30" i="1"/>
  <c r="CP30" i="1"/>
  <c r="CO30" i="1"/>
  <c r="CM30" i="1"/>
  <c r="CI30" i="1"/>
  <c r="CH30" i="1"/>
  <c r="CG30" i="1"/>
  <c r="CF30" i="1"/>
  <c r="CD30" i="1"/>
  <c r="CC30" i="1"/>
  <c r="CB30" i="1"/>
  <c r="BZ30" i="1"/>
  <c r="BY30" i="1"/>
  <c r="BX30" i="1"/>
  <c r="BW30" i="1"/>
  <c r="BU30" i="1"/>
  <c r="BQ30" i="1"/>
  <c r="BP30" i="1"/>
  <c r="BO30" i="1"/>
  <c r="BN30" i="1"/>
  <c r="BL30" i="1"/>
  <c r="BH30" i="1"/>
  <c r="BG30" i="1"/>
  <c r="BF30" i="1"/>
  <c r="BE30" i="1"/>
  <c r="BC30" i="1"/>
  <c r="AY30" i="1"/>
  <c r="AX30" i="1"/>
  <c r="AW30" i="1"/>
  <c r="AV30" i="1"/>
  <c r="AT30" i="1"/>
  <c r="AP30" i="1"/>
  <c r="AO30" i="1"/>
  <c r="AN30" i="1"/>
  <c r="AM30" i="1"/>
  <c r="AK30" i="1"/>
  <c r="AG30" i="1"/>
  <c r="AF30" i="1"/>
  <c r="AE30" i="1"/>
  <c r="AD30" i="1"/>
  <c r="AB30" i="1"/>
  <c r="X30" i="1"/>
  <c r="W30" i="1"/>
  <c r="V30" i="1"/>
  <c r="U30" i="1"/>
  <c r="S30" i="1"/>
  <c r="K30" i="1"/>
  <c r="J30" i="1"/>
  <c r="I30" i="1"/>
  <c r="CL28" i="1"/>
  <c r="CC28" i="1"/>
  <c r="BT28" i="1"/>
  <c r="BS28" i="1"/>
  <c r="BK28" i="1"/>
  <c r="BJ28" i="1"/>
  <c r="BB28" i="1"/>
  <c r="BA28" i="1"/>
  <c r="AS28" i="1"/>
  <c r="AR28" i="1"/>
  <c r="AJ28" i="1"/>
  <c r="AI28" i="1"/>
  <c r="AA28" i="1"/>
  <c r="Z28" i="1"/>
  <c r="R28" i="1"/>
  <c r="Q28" i="1"/>
  <c r="D28" i="1"/>
  <c r="CM27" i="1"/>
  <c r="CK27" i="1"/>
  <c r="CD27" i="1"/>
  <c r="CB27" i="1"/>
  <c r="BU27" i="1"/>
  <c r="BS27" i="1"/>
  <c r="BL27" i="1"/>
  <c r="BJ27" i="1"/>
  <c r="BC27" i="1"/>
  <c r="BA27" i="1"/>
  <c r="AT27" i="1"/>
  <c r="AR27" i="1"/>
  <c r="AK27" i="1"/>
  <c r="AI27" i="1"/>
  <c r="AB27" i="1"/>
  <c r="Z27" i="1"/>
  <c r="S27" i="1"/>
  <c r="Q27" i="1"/>
  <c r="I27" i="1"/>
  <c r="E27" i="1"/>
  <c r="CK26" i="1"/>
  <c r="CB26" i="1"/>
  <c r="BS26" i="1"/>
  <c r="BJ26" i="1"/>
  <c r="BA26" i="1"/>
  <c r="AR26" i="1"/>
  <c r="AI26" i="1"/>
  <c r="Z26" i="1"/>
  <c r="Q26" i="1"/>
  <c r="E25" i="1"/>
  <c r="E24" i="1"/>
  <c r="CM20" i="1"/>
  <c r="CL20" i="1"/>
  <c r="CK20" i="1"/>
  <c r="CD20" i="1"/>
  <c r="CC20" i="1"/>
  <c r="CB20" i="1"/>
  <c r="BU20" i="1"/>
  <c r="BT20" i="1"/>
  <c r="BS20" i="1"/>
  <c r="BL20" i="1"/>
  <c r="BK20" i="1"/>
  <c r="BJ20" i="1"/>
  <c r="BC20" i="1"/>
  <c r="BB20" i="1"/>
  <c r="BA20" i="1"/>
  <c r="AT20" i="1"/>
  <c r="AS20" i="1"/>
  <c r="AR20" i="1"/>
  <c r="AK20" i="1"/>
  <c r="AJ20" i="1"/>
  <c r="AI20" i="1"/>
  <c r="AB20" i="1"/>
  <c r="AA20" i="1"/>
  <c r="Z20" i="1"/>
  <c r="S20" i="1"/>
  <c r="R20" i="1"/>
  <c r="Q20" i="1"/>
  <c r="K20" i="1"/>
  <c r="J20" i="1"/>
  <c r="I20" i="1"/>
  <c r="H20" i="1"/>
  <c r="F20" i="1"/>
  <c r="CR19" i="1"/>
  <c r="CQ19" i="1"/>
  <c r="CP19" i="1"/>
  <c r="CO19" i="1"/>
  <c r="CM19" i="1"/>
  <c r="CI19" i="1"/>
  <c r="CH19" i="1"/>
  <c r="CG19" i="1"/>
  <c r="CF19" i="1"/>
  <c r="CD19" i="1"/>
  <c r="CC19" i="1"/>
  <c r="CB19" i="1"/>
  <c r="BZ19" i="1"/>
  <c r="BY19" i="1"/>
  <c r="BX19" i="1"/>
  <c r="BW19" i="1"/>
  <c r="BU19" i="1"/>
  <c r="BQ19" i="1"/>
  <c r="BP19" i="1"/>
  <c r="BO19" i="1"/>
  <c r="BN19" i="1"/>
  <c r="BL19" i="1"/>
  <c r="BH19" i="1"/>
  <c r="BG19" i="1"/>
  <c r="BF19" i="1"/>
  <c r="BE19" i="1"/>
  <c r="BC19" i="1"/>
  <c r="AY19" i="1"/>
  <c r="AX19" i="1"/>
  <c r="AW19" i="1"/>
  <c r="AV19" i="1"/>
  <c r="AT19" i="1"/>
  <c r="AP19" i="1"/>
  <c r="AO19" i="1"/>
  <c r="AN19" i="1"/>
  <c r="AM19" i="1"/>
  <c r="AK19" i="1"/>
  <c r="AG19" i="1"/>
  <c r="AF19" i="1"/>
  <c r="AE19" i="1"/>
  <c r="AD19" i="1"/>
  <c r="AB19" i="1"/>
  <c r="X19" i="1"/>
  <c r="W19" i="1"/>
  <c r="V19" i="1"/>
  <c r="U19" i="1"/>
  <c r="S19" i="1"/>
  <c r="K19" i="1"/>
  <c r="J19" i="1"/>
  <c r="I19" i="1"/>
  <c r="CR18" i="1"/>
  <c r="CQ18" i="1"/>
  <c r="CP18" i="1"/>
  <c r="CO18" i="1"/>
  <c r="CM18" i="1"/>
  <c r="CI18" i="1"/>
  <c r="CH18" i="1"/>
  <c r="CG18" i="1"/>
  <c r="CF18" i="1"/>
  <c r="CD18" i="1"/>
  <c r="CC18" i="1"/>
  <c r="CB18" i="1"/>
  <c r="BZ18" i="1"/>
  <c r="BY18" i="1"/>
  <c r="BX18" i="1"/>
  <c r="BW18" i="1"/>
  <c r="BU18" i="1"/>
  <c r="BQ18" i="1"/>
  <c r="BP18" i="1"/>
  <c r="BO18" i="1"/>
  <c r="BN18" i="1"/>
  <c r="BL18" i="1"/>
  <c r="BH18" i="1"/>
  <c r="BG18" i="1"/>
  <c r="BF18" i="1"/>
  <c r="BE18" i="1"/>
  <c r="BC18" i="1"/>
  <c r="AY18" i="1"/>
  <c r="AX18" i="1"/>
  <c r="AW18" i="1"/>
  <c r="AV18" i="1"/>
  <c r="AT18" i="1"/>
  <c r="AP18" i="1"/>
  <c r="AO18" i="1"/>
  <c r="AN18" i="1"/>
  <c r="AM18" i="1"/>
  <c r="AK18" i="1"/>
  <c r="AG18" i="1"/>
  <c r="AF18" i="1"/>
  <c r="AE18" i="1"/>
  <c r="AD18" i="1"/>
  <c r="AB18" i="1"/>
  <c r="X18" i="1"/>
  <c r="W18" i="1"/>
  <c r="V18" i="1"/>
  <c r="U18" i="1"/>
  <c r="S18" i="1"/>
  <c r="K18" i="1"/>
  <c r="J18" i="1"/>
  <c r="I18" i="1"/>
  <c r="CR17" i="1"/>
  <c r="CQ17" i="1"/>
  <c r="CP17" i="1"/>
  <c r="CO17" i="1"/>
  <c r="CM17" i="1"/>
  <c r="CI17" i="1"/>
  <c r="CH17" i="1"/>
  <c r="CG17" i="1"/>
  <c r="CF17" i="1"/>
  <c r="CD17" i="1"/>
  <c r="CC17" i="1"/>
  <c r="CB17" i="1"/>
  <c r="BZ17" i="1"/>
  <c r="BY17" i="1"/>
  <c r="BX17" i="1"/>
  <c r="BW17" i="1"/>
  <c r="BU17" i="1"/>
  <c r="BQ17" i="1"/>
  <c r="BP17" i="1"/>
  <c r="BO17" i="1"/>
  <c r="BN17" i="1"/>
  <c r="BL17" i="1"/>
  <c r="BH17" i="1"/>
  <c r="BG17" i="1"/>
  <c r="BF17" i="1"/>
  <c r="BE17" i="1"/>
  <c r="BC17" i="1"/>
  <c r="AY17" i="1"/>
  <c r="AX17" i="1"/>
  <c r="AW17" i="1"/>
  <c r="AV17" i="1"/>
  <c r="AT17" i="1"/>
  <c r="AP17" i="1"/>
  <c r="AO17" i="1"/>
  <c r="AN17" i="1"/>
  <c r="AM17" i="1"/>
  <c r="AK17" i="1"/>
  <c r="AG17" i="1"/>
  <c r="AF17" i="1"/>
  <c r="AE17" i="1"/>
  <c r="AD17" i="1"/>
  <c r="AB17" i="1"/>
  <c r="X17" i="1"/>
  <c r="W17" i="1"/>
  <c r="V17" i="1"/>
  <c r="U17" i="1"/>
  <c r="S17" i="1"/>
  <c r="K17" i="1"/>
  <c r="J17" i="1"/>
  <c r="I17" i="1"/>
  <c r="CR16" i="1"/>
  <c r="CQ16" i="1"/>
  <c r="CP16" i="1"/>
  <c r="CO16" i="1"/>
  <c r="CM16" i="1"/>
  <c r="CI16" i="1"/>
  <c r="CH16" i="1"/>
  <c r="CG16" i="1"/>
  <c r="CF16" i="1"/>
  <c r="CD16" i="1"/>
  <c r="CC16" i="1"/>
  <c r="CB16" i="1"/>
  <c r="BZ16" i="1"/>
  <c r="BY16" i="1"/>
  <c r="BX16" i="1"/>
  <c r="BW16" i="1"/>
  <c r="BU16" i="1"/>
  <c r="BQ16" i="1"/>
  <c r="BP16" i="1"/>
  <c r="BO16" i="1"/>
  <c r="BN16" i="1"/>
  <c r="BL16" i="1"/>
  <c r="BH16" i="1"/>
  <c r="BG16" i="1"/>
  <c r="BF16" i="1"/>
  <c r="BE16" i="1"/>
  <c r="BC16" i="1"/>
  <c r="AY16" i="1"/>
  <c r="AX16" i="1"/>
  <c r="AW16" i="1"/>
  <c r="AV16" i="1"/>
  <c r="AT16" i="1"/>
  <c r="AP16" i="1"/>
  <c r="AO16" i="1"/>
  <c r="AN16" i="1"/>
  <c r="AM16" i="1"/>
  <c r="AK16" i="1"/>
  <c r="AG16" i="1"/>
  <c r="AF16" i="1"/>
  <c r="AE16" i="1"/>
  <c r="AD16" i="1"/>
  <c r="AB16" i="1"/>
  <c r="X16" i="1"/>
  <c r="W16" i="1"/>
  <c r="V16" i="1"/>
  <c r="U16" i="1"/>
  <c r="S16" i="1"/>
  <c r="K16" i="1"/>
  <c r="J16" i="1"/>
  <c r="I16" i="1"/>
  <c r="CR15" i="1"/>
  <c r="CQ15" i="1"/>
  <c r="CP15" i="1"/>
  <c r="CO15" i="1"/>
  <c r="CM15" i="1"/>
  <c r="CI15" i="1"/>
  <c r="CH15" i="1"/>
  <c r="CG15" i="1"/>
  <c r="CF15" i="1"/>
  <c r="CD15" i="1"/>
  <c r="CC15" i="1"/>
  <c r="CB15" i="1"/>
  <c r="BZ15" i="1"/>
  <c r="BY15" i="1"/>
  <c r="BX15" i="1"/>
  <c r="BW15" i="1"/>
  <c r="BU15" i="1"/>
  <c r="BQ15" i="1"/>
  <c r="BP15" i="1"/>
  <c r="BO15" i="1"/>
  <c r="BN15" i="1"/>
  <c r="BL15" i="1"/>
  <c r="BH15" i="1"/>
  <c r="BG15" i="1"/>
  <c r="BF15" i="1"/>
  <c r="BE15" i="1"/>
  <c r="BC15" i="1"/>
  <c r="AY15" i="1"/>
  <c r="AX15" i="1"/>
  <c r="AW15" i="1"/>
  <c r="AV15" i="1"/>
  <c r="AT15" i="1"/>
  <c r="AP15" i="1"/>
  <c r="AO15" i="1"/>
  <c r="AN15" i="1"/>
  <c r="AM15" i="1"/>
  <c r="AK15" i="1"/>
  <c r="AG15" i="1"/>
  <c r="AF15" i="1"/>
  <c r="AE15" i="1"/>
  <c r="AD15" i="1"/>
  <c r="AB15" i="1"/>
  <c r="X15" i="1"/>
  <c r="W15" i="1"/>
  <c r="V15" i="1"/>
  <c r="U15" i="1"/>
  <c r="S15" i="1"/>
  <c r="K15" i="1"/>
  <c r="J15" i="1"/>
  <c r="I15" i="1"/>
  <c r="CR14" i="1"/>
  <c r="CQ14" i="1"/>
  <c r="CP14" i="1"/>
  <c r="CO14" i="1"/>
  <c r="CM14" i="1"/>
  <c r="CI14" i="1"/>
  <c r="CH14" i="1"/>
  <c r="CG14" i="1"/>
  <c r="CF14" i="1"/>
  <c r="CD14" i="1"/>
  <c r="CC14" i="1"/>
  <c r="CB14" i="1"/>
  <c r="BZ14" i="1"/>
  <c r="BY14" i="1"/>
  <c r="BX14" i="1"/>
  <c r="BW14" i="1"/>
  <c r="BU14" i="1"/>
  <c r="BQ14" i="1"/>
  <c r="BP14" i="1"/>
  <c r="BO14" i="1"/>
  <c r="BN14" i="1"/>
  <c r="BL14" i="1"/>
  <c r="BH14" i="1"/>
  <c r="BG14" i="1"/>
  <c r="BF14" i="1"/>
  <c r="BE14" i="1"/>
  <c r="BC14" i="1"/>
  <c r="AY14" i="1"/>
  <c r="AX14" i="1"/>
  <c r="AW14" i="1"/>
  <c r="AV14" i="1"/>
  <c r="AT14" i="1"/>
  <c r="AP14" i="1"/>
  <c r="AO14" i="1"/>
  <c r="AN14" i="1"/>
  <c r="AM14" i="1"/>
  <c r="AK14" i="1"/>
  <c r="AG14" i="1"/>
  <c r="AF14" i="1"/>
  <c r="AE14" i="1"/>
  <c r="AD14" i="1"/>
  <c r="AB14" i="1"/>
  <c r="X14" i="1"/>
  <c r="W14" i="1"/>
  <c r="V14" i="1"/>
  <c r="U14" i="1"/>
  <c r="S14" i="1"/>
  <c r="K14" i="1"/>
  <c r="J14" i="1"/>
  <c r="I14" i="1"/>
  <c r="CR13" i="1"/>
  <c r="CQ13" i="1"/>
  <c r="CP13" i="1"/>
  <c r="CO13" i="1"/>
  <c r="CM13" i="1"/>
  <c r="CI13" i="1"/>
  <c r="CH13" i="1"/>
  <c r="CG13" i="1"/>
  <c r="CF13" i="1"/>
  <c r="CD13" i="1"/>
  <c r="CC13" i="1"/>
  <c r="CB13" i="1"/>
  <c r="BZ13" i="1"/>
  <c r="BY13" i="1"/>
  <c r="BX13" i="1"/>
  <c r="BW13" i="1"/>
  <c r="BU13" i="1"/>
  <c r="BQ13" i="1"/>
  <c r="BP13" i="1"/>
  <c r="BO13" i="1"/>
  <c r="BN13" i="1"/>
  <c r="BL13" i="1"/>
  <c r="BH13" i="1"/>
  <c r="BG13" i="1"/>
  <c r="BF13" i="1"/>
  <c r="BE13" i="1"/>
  <c r="BC13" i="1"/>
  <c r="AY13" i="1"/>
  <c r="AX13" i="1"/>
  <c r="AW13" i="1"/>
  <c r="AV13" i="1"/>
  <c r="AT13" i="1"/>
  <c r="AP13" i="1"/>
  <c r="AO13" i="1"/>
  <c r="AN13" i="1"/>
  <c r="AM13" i="1"/>
  <c r="AK13" i="1"/>
  <c r="AG13" i="1"/>
  <c r="AF13" i="1"/>
  <c r="AE13" i="1"/>
  <c r="AD13" i="1"/>
  <c r="AB13" i="1"/>
  <c r="X13" i="1"/>
  <c r="W13" i="1"/>
  <c r="V13" i="1"/>
  <c r="U13" i="1"/>
  <c r="S13" i="1"/>
  <c r="K13" i="1"/>
  <c r="J13" i="1"/>
  <c r="I13" i="1"/>
  <c r="CR12" i="1"/>
  <c r="CQ12" i="1"/>
  <c r="CP12" i="1"/>
  <c r="CO12" i="1"/>
  <c r="CM12" i="1"/>
  <c r="CI12" i="1"/>
  <c r="CH12" i="1"/>
  <c r="CG12" i="1"/>
  <c r="CF12" i="1"/>
  <c r="CD12" i="1"/>
  <c r="CC12" i="1"/>
  <c r="CB12" i="1"/>
  <c r="BZ12" i="1"/>
  <c r="BY12" i="1"/>
  <c r="BX12" i="1"/>
  <c r="BW12" i="1"/>
  <c r="BU12" i="1"/>
  <c r="BQ12" i="1"/>
  <c r="BP12" i="1"/>
  <c r="BO12" i="1"/>
  <c r="BN12" i="1"/>
  <c r="BL12" i="1"/>
  <c r="BH12" i="1"/>
  <c r="BG12" i="1"/>
  <c r="BF12" i="1"/>
  <c r="BE12" i="1"/>
  <c r="BC12" i="1"/>
  <c r="AY12" i="1"/>
  <c r="AX12" i="1"/>
  <c r="AW12" i="1"/>
  <c r="AV12" i="1"/>
  <c r="AT12" i="1"/>
  <c r="AP12" i="1"/>
  <c r="AO12" i="1"/>
  <c r="AN12" i="1"/>
  <c r="AM12" i="1"/>
  <c r="AK12" i="1"/>
  <c r="AG12" i="1"/>
  <c r="AF12" i="1"/>
  <c r="AE12" i="1"/>
  <c r="AD12" i="1"/>
  <c r="AB12" i="1"/>
  <c r="X12" i="1"/>
  <c r="W12" i="1"/>
  <c r="V12" i="1"/>
  <c r="U12" i="1"/>
  <c r="S12" i="1"/>
  <c r="K12" i="1"/>
  <c r="J12" i="1"/>
  <c r="I12" i="1"/>
  <c r="CR11" i="1"/>
  <c r="CQ11" i="1"/>
  <c r="CP11" i="1"/>
  <c r="CO11" i="1"/>
  <c r="CM11" i="1"/>
  <c r="CI11" i="1"/>
  <c r="CH11" i="1"/>
  <c r="CG11" i="1"/>
  <c r="CF11" i="1"/>
  <c r="CD11" i="1"/>
  <c r="CC11" i="1"/>
  <c r="CB11" i="1"/>
  <c r="BZ11" i="1"/>
  <c r="BY11" i="1"/>
  <c r="BX11" i="1"/>
  <c r="BW11" i="1"/>
  <c r="BU11" i="1"/>
  <c r="BQ11" i="1"/>
  <c r="BP11" i="1"/>
  <c r="BO11" i="1"/>
  <c r="BN11" i="1"/>
  <c r="BL11" i="1"/>
  <c r="BH11" i="1"/>
  <c r="BG11" i="1"/>
  <c r="BF11" i="1"/>
  <c r="BE11" i="1"/>
  <c r="BC11" i="1"/>
  <c r="AY11" i="1"/>
  <c r="AX11" i="1"/>
  <c r="AW11" i="1"/>
  <c r="AV11" i="1"/>
  <c r="AT11" i="1"/>
  <c r="AP11" i="1"/>
  <c r="AO11" i="1"/>
  <c r="AN11" i="1"/>
  <c r="AM11" i="1"/>
  <c r="AK11" i="1"/>
  <c r="AG11" i="1"/>
  <c r="AF11" i="1"/>
  <c r="AE11" i="1"/>
  <c r="AD11" i="1"/>
  <c r="AB11" i="1"/>
  <c r="X11" i="1"/>
  <c r="W11" i="1"/>
  <c r="V11" i="1"/>
  <c r="U11" i="1"/>
  <c r="S11" i="1"/>
  <c r="K11" i="1"/>
  <c r="J11" i="1"/>
  <c r="I11" i="1"/>
  <c r="CR10" i="1"/>
  <c r="CQ10" i="1"/>
  <c r="CP10" i="1"/>
  <c r="CO10" i="1"/>
  <c r="CM10" i="1"/>
  <c r="CI10" i="1"/>
  <c r="CH10" i="1"/>
  <c r="CG10" i="1"/>
  <c r="CF10" i="1"/>
  <c r="CD10" i="1"/>
  <c r="CC10" i="1"/>
  <c r="CB10" i="1"/>
  <c r="BZ10" i="1"/>
  <c r="BY10" i="1"/>
  <c r="BX10" i="1"/>
  <c r="BW10" i="1"/>
  <c r="BU10" i="1"/>
  <c r="BQ10" i="1"/>
  <c r="BP10" i="1"/>
  <c r="BO10" i="1"/>
  <c r="BN10" i="1"/>
  <c r="BL10" i="1"/>
  <c r="BH10" i="1"/>
  <c r="BG10" i="1"/>
  <c r="BF10" i="1"/>
  <c r="BE10" i="1"/>
  <c r="BC10" i="1"/>
  <c r="AY10" i="1"/>
  <c r="AX10" i="1"/>
  <c r="AW10" i="1"/>
  <c r="AV10" i="1"/>
  <c r="AT10" i="1"/>
  <c r="AP10" i="1"/>
  <c r="AO10" i="1"/>
  <c r="AN10" i="1"/>
  <c r="AM10" i="1"/>
  <c r="AK10" i="1"/>
  <c r="AG10" i="1"/>
  <c r="AF10" i="1"/>
  <c r="AE10" i="1"/>
  <c r="AD10" i="1"/>
  <c r="AB10" i="1"/>
  <c r="X10" i="1"/>
  <c r="W10" i="1"/>
  <c r="V10" i="1"/>
  <c r="U10" i="1"/>
  <c r="S10" i="1"/>
  <c r="K10" i="1"/>
  <c r="J10" i="1"/>
  <c r="I10" i="1"/>
  <c r="CR9" i="1"/>
  <c r="CQ9" i="1"/>
  <c r="CP9" i="1"/>
  <c r="CO9" i="1"/>
  <c r="CM9" i="1"/>
  <c r="CI9" i="1"/>
  <c r="CH9" i="1"/>
  <c r="CG9" i="1"/>
  <c r="CF9" i="1"/>
  <c r="CD9" i="1"/>
  <c r="CC9" i="1"/>
  <c r="CB9" i="1"/>
  <c r="BZ9" i="1"/>
  <c r="BY9" i="1"/>
  <c r="BX9" i="1"/>
  <c r="BW9" i="1"/>
  <c r="BU9" i="1"/>
  <c r="BQ9" i="1"/>
  <c r="BP9" i="1"/>
  <c r="BO9" i="1"/>
  <c r="BN9" i="1"/>
  <c r="BL9" i="1"/>
  <c r="BH9" i="1"/>
  <c r="BG9" i="1"/>
  <c r="BF9" i="1"/>
  <c r="BE9" i="1"/>
  <c r="BC9" i="1"/>
  <c r="AY9" i="1"/>
  <c r="AX9" i="1"/>
  <c r="AW9" i="1"/>
  <c r="AV9" i="1"/>
  <c r="AT9" i="1"/>
  <c r="AP9" i="1"/>
  <c r="AO9" i="1"/>
  <c r="AN9" i="1"/>
  <c r="AM9" i="1"/>
  <c r="AK9" i="1"/>
  <c r="AG9" i="1"/>
  <c r="AF9" i="1"/>
  <c r="AE9" i="1"/>
  <c r="AD9" i="1"/>
  <c r="AB9" i="1"/>
  <c r="X9" i="1"/>
  <c r="W9" i="1"/>
  <c r="V9" i="1"/>
  <c r="U9" i="1"/>
  <c r="S9" i="1"/>
  <c r="K9" i="1"/>
  <c r="J9" i="1"/>
  <c r="I9" i="1"/>
  <c r="CR8" i="1"/>
  <c r="CQ8" i="1"/>
  <c r="CP8" i="1"/>
  <c r="CO8" i="1"/>
  <c r="CM8" i="1"/>
  <c r="CI8" i="1"/>
  <c r="CH8" i="1"/>
  <c r="CG8" i="1"/>
  <c r="CF8" i="1"/>
  <c r="CD8" i="1"/>
  <c r="CC8" i="1"/>
  <c r="CB8" i="1"/>
  <c r="BZ8" i="1"/>
  <c r="BY8" i="1"/>
  <c r="BX8" i="1"/>
  <c r="BW8" i="1"/>
  <c r="BU8" i="1"/>
  <c r="BQ8" i="1"/>
  <c r="BP8" i="1"/>
  <c r="BO8" i="1"/>
  <c r="BN8" i="1"/>
  <c r="BL8" i="1"/>
  <c r="BH8" i="1"/>
  <c r="BG8" i="1"/>
  <c r="BF8" i="1"/>
  <c r="BE8" i="1"/>
  <c r="BC8" i="1"/>
  <c r="AY8" i="1"/>
  <c r="AX8" i="1"/>
  <c r="AW8" i="1"/>
  <c r="AV8" i="1"/>
  <c r="AT8" i="1"/>
  <c r="AP8" i="1"/>
  <c r="AO8" i="1"/>
  <c r="AN8" i="1"/>
  <c r="AM8" i="1"/>
  <c r="AK8" i="1"/>
  <c r="AG8" i="1"/>
  <c r="AF8" i="1"/>
  <c r="AE8" i="1"/>
  <c r="AD8" i="1"/>
  <c r="AB8" i="1"/>
  <c r="X8" i="1"/>
  <c r="W8" i="1"/>
  <c r="V8" i="1"/>
  <c r="U8" i="1"/>
  <c r="S8" i="1"/>
  <c r="K8" i="1"/>
  <c r="J8" i="1"/>
  <c r="I8" i="1"/>
  <c r="CL6" i="1"/>
  <c r="CC6" i="1"/>
  <c r="BT6" i="1"/>
  <c r="BS6" i="1"/>
  <c r="BK6" i="1"/>
  <c r="BJ6" i="1"/>
  <c r="BB6" i="1"/>
  <c r="BA6" i="1"/>
  <c r="AS6" i="1"/>
  <c r="AR6" i="1"/>
  <c r="AJ6" i="1"/>
  <c r="AI6" i="1"/>
  <c r="AA6" i="1"/>
  <c r="Z6" i="1"/>
  <c r="R6" i="1"/>
  <c r="Q6" i="1"/>
  <c r="E6" i="1"/>
  <c r="CM5" i="1"/>
  <c r="CK5" i="1"/>
  <c r="CD5" i="1"/>
  <c r="CB5" i="1"/>
  <c r="BU5" i="1"/>
  <c r="BS5" i="1"/>
  <c r="BL5" i="1"/>
  <c r="BJ5" i="1"/>
  <c r="BC5" i="1"/>
  <c r="BA5" i="1"/>
  <c r="AT5" i="1"/>
  <c r="AR5" i="1"/>
  <c r="AK5" i="1"/>
  <c r="AI5" i="1"/>
  <c r="AB5" i="1"/>
  <c r="Z5" i="1"/>
  <c r="S5" i="1"/>
  <c r="Q5" i="1"/>
  <c r="I5" i="1"/>
  <c r="E5" i="1"/>
  <c r="CK4" i="1"/>
  <c r="CB4" i="1"/>
  <c r="BS4" i="1"/>
  <c r="BJ4" i="1"/>
  <c r="BA4" i="1"/>
  <c r="AR4" i="1"/>
  <c r="AI4" i="1"/>
  <c r="Z4" i="1"/>
  <c r="Q4" i="1"/>
  <c r="V45" i="54" a="1"/>
  <c r="N32" i="54"/>
  <c r="L32" i="54"/>
  <c r="J32" i="54"/>
  <c r="H32" i="54"/>
  <c r="F32" i="54"/>
  <c r="D32" i="54"/>
  <c r="B32" i="54"/>
  <c r="P30" i="54"/>
  <c r="J30" i="54"/>
  <c r="P29" i="54"/>
  <c r="J29" i="54"/>
  <c r="R28" i="54"/>
  <c r="P28" i="54"/>
  <c r="J28" i="54"/>
  <c r="R27" i="54"/>
  <c r="P27" i="54"/>
  <c r="J27" i="54"/>
  <c r="R26" i="54"/>
  <c r="P26" i="54"/>
  <c r="J26" i="54"/>
  <c r="R25" i="54"/>
  <c r="P25" i="54"/>
  <c r="J25" i="54"/>
  <c r="R24" i="54"/>
  <c r="P24" i="54"/>
  <c r="J24" i="54"/>
  <c r="R23" i="54"/>
  <c r="P23" i="54"/>
  <c r="J23" i="54"/>
  <c r="R22" i="54"/>
  <c r="P22" i="54"/>
  <c r="J22" i="54"/>
  <c r="S21" i="54"/>
  <c r="R21" i="54"/>
  <c r="P21" i="54"/>
  <c r="L19" i="54"/>
  <c r="C19" i="54"/>
  <c r="B12" i="54"/>
  <c r="B2" i="54"/>
  <c r="R18" i="77"/>
  <c r="U13" i="77"/>
  <c r="T13" i="77"/>
  <c r="S13" i="77"/>
  <c r="M13" i="77"/>
  <c r="L13" i="77"/>
  <c r="K13" i="77"/>
  <c r="J13" i="77"/>
  <c r="I13" i="77"/>
  <c r="H13" i="77"/>
  <c r="G13" i="77"/>
  <c r="F13" i="77"/>
  <c r="U12" i="77"/>
  <c r="T12" i="77"/>
  <c r="S12" i="77"/>
  <c r="M12" i="77"/>
  <c r="L12" i="77"/>
  <c r="K12" i="77"/>
  <c r="J12" i="77"/>
  <c r="I12" i="77"/>
  <c r="H12" i="77"/>
  <c r="G12" i="77"/>
  <c r="F12" i="77"/>
  <c r="U11" i="77"/>
  <c r="T11" i="77"/>
  <c r="S11" i="77"/>
  <c r="M11" i="77"/>
  <c r="L11" i="77"/>
  <c r="K11" i="77"/>
  <c r="J11" i="77"/>
  <c r="I11" i="77"/>
  <c r="H11" i="77"/>
  <c r="G11" i="77"/>
  <c r="F11" i="77"/>
  <c r="U10" i="77"/>
  <c r="T10" i="77"/>
  <c r="S10" i="77"/>
  <c r="M10" i="77"/>
  <c r="L10" i="77"/>
  <c r="K10" i="77"/>
  <c r="J10" i="77"/>
  <c r="I10" i="77"/>
  <c r="H10" i="77"/>
  <c r="G10" i="77"/>
  <c r="F10" i="77"/>
  <c r="U9" i="77"/>
  <c r="T9" i="77"/>
  <c r="S9" i="77"/>
  <c r="M9" i="77"/>
  <c r="L9" i="77"/>
  <c r="K9" i="77"/>
  <c r="J9" i="77"/>
  <c r="I9" i="77"/>
  <c r="H9" i="77"/>
  <c r="G9" i="77"/>
  <c r="F9" i="77"/>
  <c r="U8" i="77"/>
  <c r="T8" i="77"/>
  <c r="S8" i="77"/>
  <c r="M8" i="77"/>
  <c r="L8" i="77"/>
  <c r="K8" i="77"/>
  <c r="J8" i="77"/>
  <c r="I8" i="77"/>
  <c r="H8" i="77"/>
  <c r="G8" i="77"/>
  <c r="F8" i="77"/>
  <c r="U7" i="77"/>
  <c r="T7" i="77"/>
  <c r="S7" i="77"/>
  <c r="M7" i="77"/>
  <c r="L7" i="77"/>
  <c r="K7" i="77"/>
  <c r="J7" i="77"/>
  <c r="I7" i="77"/>
  <c r="H7" i="77"/>
  <c r="G7" i="77"/>
  <c r="F7" i="77"/>
  <c r="U6" i="77"/>
  <c r="T6" i="77"/>
  <c r="S6" i="77"/>
  <c r="M6" i="77"/>
  <c r="L6" i="77"/>
  <c r="K6" i="77"/>
  <c r="J6" i="77"/>
  <c r="I6" i="77"/>
  <c r="H6" i="77"/>
  <c r="G6" i="77"/>
  <c r="F6" i="77"/>
  <c r="U5" i="77"/>
  <c r="T5" i="77"/>
  <c r="S5" i="77"/>
  <c r="M5" i="77"/>
  <c r="L5" i="77"/>
  <c r="K5" i="77"/>
  <c r="J5" i="77"/>
  <c r="I5" i="77"/>
  <c r="H5" i="77"/>
  <c r="G5" i="77"/>
  <c r="F5" i="77"/>
  <c r="U4" i="77"/>
  <c r="T4" i="77"/>
  <c r="S4" i="77"/>
  <c r="G2" i="46" l="1"/>
  <c r="G2" i="74"/>
  <c r="G2" i="73"/>
  <c r="G2" i="72"/>
  <c r="G2" i="71"/>
  <c r="G2" i="45"/>
  <c r="G2" i="70"/>
  <c r="F2" i="45"/>
  <c r="G2" i="69"/>
  <c r="E2" i="45"/>
  <c r="G2" i="68"/>
  <c r="D2" i="45"/>
  <c r="G2" i="67"/>
  <c r="F34" i="33"/>
  <c r="F32" i="33"/>
  <c r="B3" i="72"/>
  <c r="B3" i="71"/>
  <c r="A3" i="56"/>
  <c r="AL3" i="33" a="1"/>
  <c r="B3" i="69"/>
  <c r="B3" i="68"/>
  <c r="B3" i="70"/>
  <c r="P3" i="45"/>
  <c r="AA3" i="45" s="1"/>
  <c r="AL3" i="45" s="1"/>
  <c r="B3" i="46"/>
  <c r="B3" i="74"/>
  <c r="B3" i="73"/>
  <c r="B3" i="45"/>
  <c r="B3" i="67"/>
  <c r="I2" i="46" l="1"/>
  <c r="Q2" i="45"/>
  <c r="I2" i="74"/>
  <c r="Y2" i="45"/>
  <c r="I2" i="73"/>
  <c r="X2" i="45"/>
  <c r="I2" i="72"/>
  <c r="W2" i="45"/>
  <c r="I2" i="71"/>
  <c r="V2" i="45"/>
  <c r="I2" i="70"/>
  <c r="U2" i="45"/>
  <c r="I2" i="69"/>
  <c r="T2" i="45"/>
  <c r="I2" i="68"/>
  <c r="S2" i="45"/>
  <c r="I2" i="67"/>
  <c r="R2" i="45"/>
  <c r="C3" i="72"/>
  <c r="D3" i="72"/>
  <c r="E3" i="72"/>
  <c r="F3" i="72"/>
  <c r="H3" i="72"/>
  <c r="I3" i="45" s="1"/>
  <c r="C3" i="71"/>
  <c r="D3" i="71"/>
  <c r="E3" i="71"/>
  <c r="F3" i="71"/>
  <c r="H3" i="71"/>
  <c r="H3" i="45" s="1"/>
  <c r="AL4" i="33" a="1"/>
  <c r="B4" i="70"/>
  <c r="B4" i="45"/>
  <c r="P4" i="45"/>
  <c r="AA4" i="45" s="1"/>
  <c r="AL4" i="45" s="1"/>
  <c r="A4" i="56"/>
  <c r="B4" i="46"/>
  <c r="B4" i="67"/>
  <c r="B4" i="68"/>
  <c r="B4" i="69"/>
  <c r="B4" i="71"/>
  <c r="B4" i="72"/>
  <c r="B4" i="73"/>
  <c r="B4" i="74"/>
  <c r="C3" i="69"/>
  <c r="D3" i="69"/>
  <c r="E3" i="69"/>
  <c r="F3" i="69"/>
  <c r="H3" i="69"/>
  <c r="F3" i="45" s="1"/>
  <c r="C3" i="68"/>
  <c r="D3" i="68"/>
  <c r="E3" i="68"/>
  <c r="F3" i="68"/>
  <c r="H3" i="68"/>
  <c r="E3" i="45" s="1"/>
  <c r="C3" i="70"/>
  <c r="D3" i="70"/>
  <c r="E3" i="70"/>
  <c r="F3" i="70"/>
  <c r="H3" i="70"/>
  <c r="G3" i="45" s="1"/>
  <c r="C3" i="46"/>
  <c r="D3" i="46"/>
  <c r="E3" i="46"/>
  <c r="F3" i="46"/>
  <c r="H3" i="46"/>
  <c r="C3" i="45" s="1"/>
  <c r="C3" i="74"/>
  <c r="D3" i="74"/>
  <c r="E3" i="74"/>
  <c r="F3" i="74"/>
  <c r="H3" i="74"/>
  <c r="K3" i="45" s="1"/>
  <c r="C3" i="73"/>
  <c r="D3" i="73"/>
  <c r="E3" i="73"/>
  <c r="F3" i="73"/>
  <c r="H3" i="73"/>
  <c r="J3" i="45" s="1"/>
  <c r="C3" i="67"/>
  <c r="D3" i="67"/>
  <c r="E3" i="67"/>
  <c r="F3" i="67"/>
  <c r="H3" i="67"/>
  <c r="D3" i="45" s="1"/>
  <c r="AB2" i="45" l="1" a="1"/>
  <c r="AM2" i="45" a="1"/>
  <c r="G3" i="72"/>
  <c r="G3" i="71"/>
  <c r="AL5" i="33" a="1"/>
  <c r="B5" i="46"/>
  <c r="B5" i="67"/>
  <c r="B5" i="68"/>
  <c r="B5" i="70"/>
  <c r="B5" i="45"/>
  <c r="P5" i="45"/>
  <c r="AA5" i="45" s="1"/>
  <c r="AL5" i="45" s="1"/>
  <c r="A5" i="56"/>
  <c r="B5" i="69"/>
  <c r="B5" i="71"/>
  <c r="B5" i="72"/>
  <c r="B5" i="73"/>
  <c r="B5" i="74"/>
  <c r="C4" i="70"/>
  <c r="D4" i="70"/>
  <c r="E4" i="70"/>
  <c r="F4" i="70"/>
  <c r="H4" i="70"/>
  <c r="G4" i="45" s="1"/>
  <c r="C4" i="46"/>
  <c r="D4" i="46"/>
  <c r="E4" i="46"/>
  <c r="F4" i="46"/>
  <c r="H4" i="46"/>
  <c r="C4" i="67"/>
  <c r="D4" i="67"/>
  <c r="E4" i="67"/>
  <c r="F4" i="67"/>
  <c r="H4" i="67"/>
  <c r="D4" i="45" s="1"/>
  <c r="C4" i="68"/>
  <c r="D4" i="68"/>
  <c r="E4" i="68"/>
  <c r="F4" i="68"/>
  <c r="H4" i="68"/>
  <c r="C4" i="69"/>
  <c r="D4" i="69"/>
  <c r="E4" i="69"/>
  <c r="F4" i="69"/>
  <c r="H4" i="69"/>
  <c r="F4" i="45" s="1"/>
  <c r="C4" i="71"/>
  <c r="D4" i="71"/>
  <c r="E4" i="71"/>
  <c r="F4" i="71"/>
  <c r="H4" i="71"/>
  <c r="C4" i="72"/>
  <c r="D4" i="72"/>
  <c r="E4" i="72"/>
  <c r="F4" i="72"/>
  <c r="H4" i="72"/>
  <c r="C4" i="73"/>
  <c r="D4" i="73"/>
  <c r="E4" i="73"/>
  <c r="F4" i="73"/>
  <c r="H4" i="73"/>
  <c r="C4" i="74"/>
  <c r="D4" i="74"/>
  <c r="E4" i="74"/>
  <c r="F4" i="74"/>
  <c r="H4" i="74"/>
  <c r="G3" i="69"/>
  <c r="G3" i="68"/>
  <c r="G3" i="70"/>
  <c r="G3" i="46"/>
  <c r="G3" i="74"/>
  <c r="G3" i="73"/>
  <c r="G3" i="67"/>
  <c r="I3" i="72" l="1"/>
  <c r="W3" i="45"/>
  <c r="I3" i="71"/>
  <c r="V3" i="45"/>
  <c r="AL6" i="33" a="1"/>
  <c r="B6" i="46"/>
  <c r="B6" i="67"/>
  <c r="B6" i="70"/>
  <c r="B6" i="71"/>
  <c r="B6" i="45"/>
  <c r="P6" i="45"/>
  <c r="AA6" i="45" s="1"/>
  <c r="AL6" i="45" s="1"/>
  <c r="A6" i="56"/>
  <c r="B6" i="68"/>
  <c r="B6" i="69"/>
  <c r="B6" i="72"/>
  <c r="B6" i="73"/>
  <c r="B6" i="74"/>
  <c r="C5" i="46"/>
  <c r="D5" i="46"/>
  <c r="E5" i="46"/>
  <c r="F5" i="46"/>
  <c r="H5" i="46"/>
  <c r="C5" i="45" s="1"/>
  <c r="C5" i="67"/>
  <c r="D5" i="67"/>
  <c r="E5" i="67"/>
  <c r="F5" i="67"/>
  <c r="H5" i="67"/>
  <c r="C5" i="68"/>
  <c r="D5" i="68"/>
  <c r="E5" i="68"/>
  <c r="F5" i="68"/>
  <c r="H5" i="68"/>
  <c r="E5" i="45" s="1"/>
  <c r="C5" i="70"/>
  <c r="D5" i="70"/>
  <c r="E5" i="70"/>
  <c r="F5" i="70"/>
  <c r="H5" i="70"/>
  <c r="G5" i="45" s="1"/>
  <c r="D5" i="45"/>
  <c r="C5" i="69"/>
  <c r="D5" i="69"/>
  <c r="E5" i="69"/>
  <c r="F5" i="69"/>
  <c r="H5" i="69"/>
  <c r="F5" i="45" s="1"/>
  <c r="C5" i="71"/>
  <c r="D5" i="71"/>
  <c r="E5" i="71"/>
  <c r="F5" i="71"/>
  <c r="H5" i="71"/>
  <c r="H5" i="45" s="1"/>
  <c r="C5" i="72"/>
  <c r="D5" i="72"/>
  <c r="E5" i="72"/>
  <c r="F5" i="72"/>
  <c r="H5" i="72"/>
  <c r="I5" i="45" s="1"/>
  <c r="C5" i="73"/>
  <c r="D5" i="73"/>
  <c r="E5" i="73"/>
  <c r="F5" i="73"/>
  <c r="H5" i="73"/>
  <c r="J5" i="45" s="1"/>
  <c r="C5" i="74"/>
  <c r="D5" i="74"/>
  <c r="E5" i="74"/>
  <c r="F5" i="74"/>
  <c r="H5" i="74"/>
  <c r="K5" i="45" s="1"/>
  <c r="G4" i="46"/>
  <c r="I4" i="46" s="1"/>
  <c r="D58" i="55"/>
  <c r="I3" i="69"/>
  <c r="T3" i="45"/>
  <c r="I3" i="68"/>
  <c r="S3" i="45"/>
  <c r="I3" i="70"/>
  <c r="U3" i="45"/>
  <c r="I3" i="46"/>
  <c r="Q3" i="45"/>
  <c r="I3" i="74"/>
  <c r="Y3" i="45"/>
  <c r="I3" i="73"/>
  <c r="X3" i="45"/>
  <c r="I3" i="67"/>
  <c r="R3" i="45"/>
  <c r="G4" i="68"/>
  <c r="I4" i="68" s="1"/>
  <c r="G4" i="69"/>
  <c r="I4" i="69" s="1"/>
  <c r="G4" i="73"/>
  <c r="G4" i="70"/>
  <c r="I4" i="70" s="1"/>
  <c r="G4" i="67"/>
  <c r="G4" i="71"/>
  <c r="G4" i="72"/>
  <c r="G4" i="74"/>
  <c r="I4" i="74" s="1"/>
  <c r="C4" i="45"/>
  <c r="E4" i="45"/>
  <c r="H4" i="45"/>
  <c r="I4" i="45"/>
  <c r="J4" i="45"/>
  <c r="K4" i="45"/>
  <c r="AL7" i="33" l="1" a="1"/>
  <c r="B7" i="46"/>
  <c r="B7" i="70"/>
  <c r="B7" i="45"/>
  <c r="P7" i="45"/>
  <c r="AA7" i="45" s="1"/>
  <c r="AL7" i="45" s="1"/>
  <c r="A7" i="56"/>
  <c r="B7" i="67"/>
  <c r="B7" i="68"/>
  <c r="B7" i="69"/>
  <c r="B7" i="71"/>
  <c r="B7" i="72"/>
  <c r="B7" i="73"/>
  <c r="B7" i="74"/>
  <c r="C6" i="46"/>
  <c r="D6" i="46"/>
  <c r="E6" i="46"/>
  <c r="F6" i="46"/>
  <c r="H6" i="46"/>
  <c r="C6" i="45" s="1"/>
  <c r="C6" i="67"/>
  <c r="D6" i="67"/>
  <c r="E6" i="67"/>
  <c r="F6" i="67"/>
  <c r="H6" i="67"/>
  <c r="D6" i="45" s="1"/>
  <c r="C6" i="70"/>
  <c r="D6" i="70"/>
  <c r="E6" i="70"/>
  <c r="F6" i="70"/>
  <c r="H6" i="70"/>
  <c r="G6" i="45" s="1"/>
  <c r="C6" i="71"/>
  <c r="D6" i="71"/>
  <c r="E6" i="71"/>
  <c r="F6" i="71"/>
  <c r="H6" i="71"/>
  <c r="H6" i="45" s="1"/>
  <c r="C6" i="68"/>
  <c r="D6" i="68"/>
  <c r="E6" i="68"/>
  <c r="F6" i="68"/>
  <c r="H6" i="68"/>
  <c r="E6" i="45" s="1"/>
  <c r="C6" i="69"/>
  <c r="D6" i="69"/>
  <c r="E6" i="69"/>
  <c r="F6" i="69"/>
  <c r="H6" i="69"/>
  <c r="C6" i="72"/>
  <c r="D6" i="72"/>
  <c r="E6" i="72"/>
  <c r="F6" i="72"/>
  <c r="H6" i="72"/>
  <c r="I6" i="45" s="1"/>
  <c r="C6" i="73"/>
  <c r="D6" i="73"/>
  <c r="E6" i="73"/>
  <c r="F6" i="73"/>
  <c r="H6" i="73"/>
  <c r="J6" i="45" s="1"/>
  <c r="C6" i="74"/>
  <c r="D6" i="74"/>
  <c r="E6" i="74"/>
  <c r="F6" i="74"/>
  <c r="H6" i="74"/>
  <c r="K6" i="45" s="1"/>
  <c r="G5" i="46"/>
  <c r="I5" i="46" s="1"/>
  <c r="AL5" i="55" s="1"/>
  <c r="G5" i="67"/>
  <c r="G5" i="68"/>
  <c r="I5" i="68" s="1"/>
  <c r="AL7" i="55" s="1"/>
  <c r="G5" i="70"/>
  <c r="I5" i="70" s="1"/>
  <c r="AL9" i="55" s="1"/>
  <c r="G5" i="69"/>
  <c r="I5" i="69" s="1"/>
  <c r="AL8" i="55" s="1"/>
  <c r="G5" i="71"/>
  <c r="G5" i="72"/>
  <c r="G5" i="73"/>
  <c r="I5" i="73" s="1"/>
  <c r="AL12" i="55" s="1"/>
  <c r="G5" i="74"/>
  <c r="I5" i="74" s="1"/>
  <c r="AL13" i="55" s="1"/>
  <c r="Q4" i="45"/>
  <c r="AB3" i="45" a="1"/>
  <c r="AM3" i="45" a="1"/>
  <c r="S4" i="45"/>
  <c r="T4" i="45"/>
  <c r="X4" i="45"/>
  <c r="U4" i="45"/>
  <c r="R4" i="45"/>
  <c r="V4" i="45"/>
  <c r="W4" i="45"/>
  <c r="Y4" i="45"/>
  <c r="I4" i="73"/>
  <c r="I4" i="67"/>
  <c r="I4" i="71"/>
  <c r="I4" i="72"/>
  <c r="B8" i="68" l="1"/>
  <c r="B8" i="70"/>
  <c r="B8" i="71"/>
  <c r="AL8" i="33"/>
  <c r="B8" i="45"/>
  <c r="P8" i="45"/>
  <c r="AA8" i="45" s="1"/>
  <c r="AL8" i="45" s="1"/>
  <c r="A8" i="56"/>
  <c r="B8" i="46"/>
  <c r="B8" i="67"/>
  <c r="B8" i="69"/>
  <c r="B8" i="72"/>
  <c r="B8" i="73"/>
  <c r="B8" i="74"/>
  <c r="C7" i="46"/>
  <c r="D7" i="46"/>
  <c r="E7" i="46"/>
  <c r="F7" i="46"/>
  <c r="H7" i="46"/>
  <c r="C7" i="45" s="1"/>
  <c r="C7" i="70"/>
  <c r="D7" i="70"/>
  <c r="E7" i="70"/>
  <c r="F7" i="70"/>
  <c r="H7" i="70"/>
  <c r="G7" i="45" s="1"/>
  <c r="C7" i="67"/>
  <c r="D7" i="67"/>
  <c r="E7" i="67"/>
  <c r="F7" i="67"/>
  <c r="H7" i="67"/>
  <c r="D7" i="45" s="1"/>
  <c r="C7" i="68"/>
  <c r="D7" i="68"/>
  <c r="E7" i="68"/>
  <c r="F7" i="68"/>
  <c r="H7" i="68"/>
  <c r="E7" i="45" s="1"/>
  <c r="C7" i="69"/>
  <c r="D7" i="69"/>
  <c r="E7" i="69"/>
  <c r="F7" i="69"/>
  <c r="H7" i="69"/>
  <c r="F7" i="45" s="1"/>
  <c r="C7" i="71"/>
  <c r="D7" i="71"/>
  <c r="E7" i="71"/>
  <c r="F7" i="71"/>
  <c r="H7" i="71"/>
  <c r="H7" i="45" s="1"/>
  <c r="C7" i="72"/>
  <c r="D7" i="72"/>
  <c r="E7" i="72"/>
  <c r="F7" i="72"/>
  <c r="H7" i="72"/>
  <c r="I7" i="45" s="1"/>
  <c r="C7" i="73"/>
  <c r="D7" i="73"/>
  <c r="E7" i="73"/>
  <c r="F7" i="73"/>
  <c r="H7" i="73"/>
  <c r="J7" i="45" s="1"/>
  <c r="C7" i="74"/>
  <c r="D7" i="74"/>
  <c r="E7" i="74"/>
  <c r="F7" i="74"/>
  <c r="H7" i="74"/>
  <c r="K7" i="45" s="1"/>
  <c r="G6" i="46"/>
  <c r="I6" i="46" s="1"/>
  <c r="G6" i="71"/>
  <c r="I6" i="71" s="1"/>
  <c r="G6" i="72"/>
  <c r="I6" i="72" s="1"/>
  <c r="G6" i="73"/>
  <c r="I6" i="73" s="1"/>
  <c r="G6" i="74"/>
  <c r="Q5" i="45"/>
  <c r="R5" i="45"/>
  <c r="S5" i="45"/>
  <c r="U5" i="45"/>
  <c r="T5" i="45"/>
  <c r="V5" i="45"/>
  <c r="W5" i="45"/>
  <c r="X5" i="45"/>
  <c r="Y5" i="45"/>
  <c r="AB4" i="45" a="1"/>
  <c r="AM4" i="45" a="1"/>
  <c r="G6" i="70"/>
  <c r="G6" i="68"/>
  <c r="G6" i="69"/>
  <c r="G6" i="67"/>
  <c r="I6" i="67" s="1"/>
  <c r="F6" i="45"/>
  <c r="I5" i="67"/>
  <c r="AL6" i="55" s="1"/>
  <c r="I5" i="71"/>
  <c r="AL10" i="55" s="1"/>
  <c r="I5" i="72"/>
  <c r="AL11" i="55" s="1"/>
  <c r="C8" i="68" l="1"/>
  <c r="D8" i="68"/>
  <c r="E8" i="68"/>
  <c r="F8" i="68"/>
  <c r="H8" i="68"/>
  <c r="E8" i="45" s="1"/>
  <c r="C8" i="70"/>
  <c r="D8" i="70"/>
  <c r="E8" i="70"/>
  <c r="F8" i="70"/>
  <c r="H8" i="70"/>
  <c r="G8" i="45" s="1"/>
  <c r="C8" i="71"/>
  <c r="D8" i="71"/>
  <c r="E8" i="71"/>
  <c r="F8" i="71"/>
  <c r="H8" i="71"/>
  <c r="H8" i="45" s="1"/>
  <c r="AL9" i="33"/>
  <c r="B9" i="45"/>
  <c r="P9" i="45"/>
  <c r="AA9" i="45" s="1"/>
  <c r="AL9" i="45" s="1"/>
  <c r="A9" i="56"/>
  <c r="B9" i="67"/>
  <c r="B9" i="69"/>
  <c r="B9" i="71"/>
  <c r="B9" i="72"/>
  <c r="B9" i="73"/>
  <c r="B9" i="74"/>
  <c r="B9" i="46"/>
  <c r="B9" i="68"/>
  <c r="B9" i="70"/>
  <c r="C8" i="46"/>
  <c r="D8" i="46"/>
  <c r="E8" i="46"/>
  <c r="F8" i="46"/>
  <c r="H8" i="46"/>
  <c r="C8" i="45" s="1"/>
  <c r="C8" i="67"/>
  <c r="D8" i="67"/>
  <c r="E8" i="67"/>
  <c r="F8" i="67"/>
  <c r="H8" i="67"/>
  <c r="C8" i="69"/>
  <c r="D8" i="69"/>
  <c r="E8" i="69"/>
  <c r="F8" i="69"/>
  <c r="H8" i="69"/>
  <c r="F8" i="45" s="1"/>
  <c r="C8" i="72"/>
  <c r="D8" i="72"/>
  <c r="E8" i="72"/>
  <c r="F8" i="72"/>
  <c r="H8" i="72"/>
  <c r="I8" i="45" s="1"/>
  <c r="C8" i="73"/>
  <c r="D8" i="73"/>
  <c r="E8" i="73"/>
  <c r="F8" i="73"/>
  <c r="H8" i="73"/>
  <c r="J8" i="45" s="1"/>
  <c r="C8" i="74"/>
  <c r="D8" i="74"/>
  <c r="E8" i="74"/>
  <c r="F8" i="74"/>
  <c r="H8" i="74"/>
  <c r="K8" i="45" s="1"/>
  <c r="G7" i="46"/>
  <c r="I7" i="46" s="1"/>
  <c r="G7" i="70"/>
  <c r="I7" i="70" s="1"/>
  <c r="G7" i="67"/>
  <c r="I7" i="67" s="1"/>
  <c r="G7" i="68"/>
  <c r="I7" i="68" s="1"/>
  <c r="G7" i="69"/>
  <c r="I7" i="69" s="1"/>
  <c r="G7" i="71"/>
  <c r="I7" i="71" s="1"/>
  <c r="G7" i="72"/>
  <c r="I7" i="72" s="1"/>
  <c r="G7" i="73"/>
  <c r="I7" i="73" s="1"/>
  <c r="G7" i="74"/>
  <c r="I7" i="74" s="1"/>
  <c r="Q6" i="45"/>
  <c r="V6" i="45"/>
  <c r="W6" i="45"/>
  <c r="X6" i="45"/>
  <c r="Y6" i="45"/>
  <c r="AB5" i="45" a="1"/>
  <c r="AM5" i="45" a="1"/>
  <c r="U6" i="45"/>
  <c r="S6" i="45"/>
  <c r="T6" i="45"/>
  <c r="R6" i="45"/>
  <c r="I6" i="74"/>
  <c r="I6" i="70"/>
  <c r="I6" i="68"/>
  <c r="I6" i="69"/>
  <c r="G8" i="72" l="1"/>
  <c r="AL10" i="33"/>
  <c r="B10" i="45"/>
  <c r="P10" i="45"/>
  <c r="AA10" i="45" s="1"/>
  <c r="AL10" i="45" s="1"/>
  <c r="A10" i="56"/>
  <c r="B10" i="68"/>
  <c r="B10" i="69"/>
  <c r="B10" i="70"/>
  <c r="B10" i="72"/>
  <c r="B10" i="73"/>
  <c r="B10" i="74"/>
  <c r="B10" i="46"/>
  <c r="B10" i="67"/>
  <c r="B10" i="71"/>
  <c r="C9" i="67"/>
  <c r="D9" i="67"/>
  <c r="E9" i="67"/>
  <c r="F9" i="67"/>
  <c r="H9" i="67"/>
  <c r="C9" i="69"/>
  <c r="D9" i="69"/>
  <c r="E9" i="69"/>
  <c r="F9" i="69"/>
  <c r="H9" i="69"/>
  <c r="F9" i="45" s="1"/>
  <c r="C9" i="71"/>
  <c r="D9" i="71"/>
  <c r="E9" i="71"/>
  <c r="F9" i="71"/>
  <c r="H9" i="71"/>
  <c r="H9" i="45" s="1"/>
  <c r="C9" i="72"/>
  <c r="D9" i="72"/>
  <c r="E9" i="72"/>
  <c r="F9" i="72"/>
  <c r="H9" i="72"/>
  <c r="I9" i="45" s="1"/>
  <c r="C9" i="73"/>
  <c r="D9" i="73"/>
  <c r="E9" i="73"/>
  <c r="F9" i="73"/>
  <c r="H9" i="73"/>
  <c r="J9" i="45" s="1"/>
  <c r="C9" i="74"/>
  <c r="D9" i="74"/>
  <c r="E9" i="74"/>
  <c r="F9" i="74"/>
  <c r="H9" i="74"/>
  <c r="K9" i="45" s="1"/>
  <c r="D9" i="46"/>
  <c r="F9" i="46"/>
  <c r="H9" i="46"/>
  <c r="C9" i="45" s="1"/>
  <c r="C9" i="46"/>
  <c r="E9" i="46"/>
  <c r="D9" i="68"/>
  <c r="E9" i="68"/>
  <c r="F9" i="68"/>
  <c r="C9" i="68"/>
  <c r="H9" i="68"/>
  <c r="E9" i="45" s="1"/>
  <c r="C9" i="70"/>
  <c r="D9" i="70"/>
  <c r="E9" i="70"/>
  <c r="F9" i="70"/>
  <c r="H9" i="70"/>
  <c r="G9" i="45" s="1"/>
  <c r="G8" i="46"/>
  <c r="I8" i="46" s="1"/>
  <c r="G8" i="74"/>
  <c r="I8" i="74" s="1"/>
  <c r="Q7" i="45"/>
  <c r="U7" i="45"/>
  <c r="R7" i="45"/>
  <c r="S7" i="45"/>
  <c r="T7" i="45"/>
  <c r="V7" i="45"/>
  <c r="W7" i="45"/>
  <c r="X7" i="45"/>
  <c r="Y7" i="45"/>
  <c r="AB6" i="45" a="1"/>
  <c r="AM6" i="45" a="1"/>
  <c r="G8" i="68"/>
  <c r="I8" i="68" s="1"/>
  <c r="G8" i="70"/>
  <c r="I8" i="70" s="1"/>
  <c r="G8" i="71"/>
  <c r="I8" i="71" s="1"/>
  <c r="G8" i="73"/>
  <c r="I8" i="73" s="1"/>
  <c r="G8" i="67"/>
  <c r="G8" i="69"/>
  <c r="I8" i="69" s="1"/>
  <c r="D8" i="45"/>
  <c r="W8" i="45" l="1"/>
  <c r="I8" i="72"/>
  <c r="AL11" i="33"/>
  <c r="B11" i="45"/>
  <c r="P11" i="45"/>
  <c r="AA11" i="45" s="1"/>
  <c r="AL11" i="45" s="1"/>
  <c r="A11" i="56"/>
  <c r="B11" i="68"/>
  <c r="B11" i="69"/>
  <c r="B11" i="70"/>
  <c r="B11" i="71"/>
  <c r="B11" i="72"/>
  <c r="B11" i="73"/>
  <c r="B11" i="74"/>
  <c r="B11" i="46"/>
  <c r="B11" i="67"/>
  <c r="C10" i="68"/>
  <c r="D10" i="68"/>
  <c r="E10" i="68"/>
  <c r="F10" i="68"/>
  <c r="H10" i="68"/>
  <c r="E10" i="45" s="1"/>
  <c r="C10" i="69"/>
  <c r="D10" i="69"/>
  <c r="E10" i="69"/>
  <c r="F10" i="69"/>
  <c r="H10" i="69"/>
  <c r="F10" i="45" s="1"/>
  <c r="C10" i="70"/>
  <c r="D10" i="70"/>
  <c r="E10" i="70"/>
  <c r="F10" i="70"/>
  <c r="H10" i="70"/>
  <c r="G10" i="45" s="1"/>
  <c r="C10" i="72"/>
  <c r="D10" i="72"/>
  <c r="E10" i="72"/>
  <c r="F10" i="72"/>
  <c r="H10" i="72"/>
  <c r="I10" i="45" s="1"/>
  <c r="C10" i="73"/>
  <c r="D10" i="73"/>
  <c r="E10" i="73"/>
  <c r="F10" i="73"/>
  <c r="H10" i="73"/>
  <c r="J10" i="45" s="1"/>
  <c r="C10" i="74"/>
  <c r="D10" i="74"/>
  <c r="E10" i="74"/>
  <c r="F10" i="74"/>
  <c r="H10" i="74"/>
  <c r="K10" i="45" s="1"/>
  <c r="C10" i="46"/>
  <c r="D10" i="46"/>
  <c r="E10" i="46"/>
  <c r="F10" i="46"/>
  <c r="H10" i="46"/>
  <c r="C10" i="45" s="1"/>
  <c r="C10" i="67"/>
  <c r="D10" i="67"/>
  <c r="E10" i="67"/>
  <c r="F10" i="67"/>
  <c r="H10" i="67"/>
  <c r="C10" i="71"/>
  <c r="D10" i="71"/>
  <c r="E10" i="71"/>
  <c r="F10" i="71"/>
  <c r="H10" i="71"/>
  <c r="H10" i="45" s="1"/>
  <c r="G9" i="67"/>
  <c r="G9" i="69"/>
  <c r="I9" i="69" s="1"/>
  <c r="G9" i="71"/>
  <c r="I9" i="71" s="1"/>
  <c r="G9" i="72"/>
  <c r="G9" i="73"/>
  <c r="I9" i="73" s="1"/>
  <c r="G9" i="74"/>
  <c r="I9" i="74" s="1"/>
  <c r="G9" i="46"/>
  <c r="I9" i="46" s="1"/>
  <c r="G9" i="68"/>
  <c r="I9" i="68" s="1"/>
  <c r="G9" i="70"/>
  <c r="I9" i="70" s="1"/>
  <c r="Q8" i="45"/>
  <c r="Y8" i="45"/>
  <c r="AB7" i="45" a="1"/>
  <c r="AM7" i="45" a="1"/>
  <c r="S8" i="45"/>
  <c r="U8" i="45"/>
  <c r="V8" i="45"/>
  <c r="X8" i="45"/>
  <c r="R8" i="45"/>
  <c r="T8" i="45"/>
  <c r="D9" i="45"/>
  <c r="I8" i="67"/>
  <c r="G10" i="74" l="1"/>
  <c r="AL12" i="33"/>
  <c r="B12" i="45"/>
  <c r="P12" i="45"/>
  <c r="AA12" i="45" s="1"/>
  <c r="AL12" i="45" s="1"/>
  <c r="A12" i="56"/>
  <c r="B12" i="69"/>
  <c r="B12" i="71"/>
  <c r="B12" i="72"/>
  <c r="B12" i="73"/>
  <c r="B12" i="74"/>
  <c r="B12" i="46"/>
  <c r="B12" i="67"/>
  <c r="B12" i="68"/>
  <c r="B12" i="70"/>
  <c r="C11" i="68"/>
  <c r="D11" i="68"/>
  <c r="E11" i="68"/>
  <c r="F11" i="68"/>
  <c r="H11" i="68"/>
  <c r="E11" i="45" s="1"/>
  <c r="C11" i="69"/>
  <c r="D11" i="69"/>
  <c r="E11" i="69"/>
  <c r="F11" i="69"/>
  <c r="H11" i="69"/>
  <c r="F11" i="45" s="1"/>
  <c r="C11" i="70"/>
  <c r="D11" i="70"/>
  <c r="E11" i="70"/>
  <c r="F11" i="70"/>
  <c r="H11" i="70"/>
  <c r="G11" i="45" s="1"/>
  <c r="C11" i="71"/>
  <c r="D11" i="71"/>
  <c r="E11" i="71"/>
  <c r="F11" i="71"/>
  <c r="H11" i="71"/>
  <c r="H11" i="45" s="1"/>
  <c r="C11" i="72"/>
  <c r="D11" i="72"/>
  <c r="E11" i="72"/>
  <c r="F11" i="72"/>
  <c r="H11" i="72"/>
  <c r="I11" i="45" s="1"/>
  <c r="C11" i="73"/>
  <c r="D11" i="73"/>
  <c r="E11" i="73"/>
  <c r="F11" i="73"/>
  <c r="H11" i="73"/>
  <c r="J11" i="45" s="1"/>
  <c r="C11" i="74"/>
  <c r="D11" i="74"/>
  <c r="E11" i="74"/>
  <c r="F11" i="74"/>
  <c r="H11" i="74"/>
  <c r="K11" i="45" s="1"/>
  <c r="D11" i="46"/>
  <c r="E11" i="46"/>
  <c r="C11" i="46"/>
  <c r="F11" i="46"/>
  <c r="H11" i="46"/>
  <c r="C11" i="45" s="1"/>
  <c r="C11" i="67"/>
  <c r="D11" i="67"/>
  <c r="E11" i="67"/>
  <c r="F11" i="67"/>
  <c r="H11" i="67"/>
  <c r="D11" i="45" s="1"/>
  <c r="R9" i="45"/>
  <c r="T9" i="45"/>
  <c r="V9" i="45"/>
  <c r="I9" i="72"/>
  <c r="W9" i="45"/>
  <c r="X9" i="45"/>
  <c r="Y9" i="45"/>
  <c r="Q9" i="45"/>
  <c r="S9" i="45"/>
  <c r="U9" i="45"/>
  <c r="AB8" i="45" a="1"/>
  <c r="AM8" i="45" a="1"/>
  <c r="G10" i="70"/>
  <c r="I10" i="70" s="1"/>
  <c r="G10" i="72"/>
  <c r="I10" i="72" s="1"/>
  <c r="G10" i="73"/>
  <c r="I10" i="73" s="1"/>
  <c r="G10" i="68"/>
  <c r="I10" i="68" s="1"/>
  <c r="G10" i="69"/>
  <c r="I10" i="69" s="1"/>
  <c r="G10" i="46"/>
  <c r="I10" i="46" s="1"/>
  <c r="G10" i="67"/>
  <c r="I10" i="67" s="1"/>
  <c r="G10" i="71"/>
  <c r="I10" i="71" s="1"/>
  <c r="D10" i="45"/>
  <c r="I9" i="67"/>
  <c r="I10" i="74" l="1"/>
  <c r="Y10" i="45"/>
  <c r="G11" i="70"/>
  <c r="G11" i="71"/>
  <c r="AL13" i="33"/>
  <c r="B13" i="45"/>
  <c r="P13" i="45"/>
  <c r="AA13" i="45" s="1"/>
  <c r="AL13" i="45" s="1"/>
  <c r="A13" i="56"/>
  <c r="B13" i="68"/>
  <c r="B13" i="69"/>
  <c r="B13" i="70"/>
  <c r="B13" i="71"/>
  <c r="B13" i="72"/>
  <c r="B13" i="73"/>
  <c r="B13" i="74"/>
  <c r="B13" i="46"/>
  <c r="B13" i="67"/>
  <c r="C12" i="69"/>
  <c r="D12" i="69"/>
  <c r="E12" i="69"/>
  <c r="F12" i="69"/>
  <c r="H12" i="69"/>
  <c r="F12" i="45" s="1"/>
  <c r="C12" i="71"/>
  <c r="D12" i="71"/>
  <c r="E12" i="71"/>
  <c r="F12" i="71"/>
  <c r="H12" i="71"/>
  <c r="H12" i="45" s="1"/>
  <c r="C12" i="72"/>
  <c r="D12" i="72"/>
  <c r="E12" i="72"/>
  <c r="F12" i="72"/>
  <c r="H12" i="72"/>
  <c r="I12" i="45" s="1"/>
  <c r="C12" i="73"/>
  <c r="D12" i="73"/>
  <c r="E12" i="73"/>
  <c r="F12" i="73"/>
  <c r="H12" i="73"/>
  <c r="J12" i="45" s="1"/>
  <c r="C12" i="74"/>
  <c r="D12" i="74"/>
  <c r="E12" i="74"/>
  <c r="F12" i="74"/>
  <c r="H12" i="74"/>
  <c r="K12" i="45" s="1"/>
  <c r="C12" i="46"/>
  <c r="D12" i="46"/>
  <c r="E12" i="46"/>
  <c r="F12" i="46"/>
  <c r="H12" i="46"/>
  <c r="C12" i="45" s="1"/>
  <c r="C12" i="67"/>
  <c r="D12" i="67"/>
  <c r="E12" i="67"/>
  <c r="F12" i="67"/>
  <c r="H12" i="67"/>
  <c r="D12" i="45" s="1"/>
  <c r="C12" i="68"/>
  <c r="D12" i="68"/>
  <c r="E12" i="68"/>
  <c r="F12" i="68"/>
  <c r="H12" i="68"/>
  <c r="E12" i="45" s="1"/>
  <c r="C12" i="70"/>
  <c r="D12" i="70"/>
  <c r="E12" i="70"/>
  <c r="F12" i="70"/>
  <c r="H12" i="70"/>
  <c r="G12" i="45" s="1"/>
  <c r="AB9" i="45" a="1"/>
  <c r="AM9" i="45" a="1"/>
  <c r="U10" i="45"/>
  <c r="W10" i="45"/>
  <c r="X10" i="45"/>
  <c r="S10" i="45"/>
  <c r="T10" i="45"/>
  <c r="Q10" i="45"/>
  <c r="R10" i="45"/>
  <c r="V10" i="45"/>
  <c r="G11" i="67"/>
  <c r="I11" i="67" s="1"/>
  <c r="G11" i="68"/>
  <c r="I11" i="68" s="1"/>
  <c r="G11" i="72"/>
  <c r="I11" i="72" s="1"/>
  <c r="G11" i="73"/>
  <c r="I11" i="73" s="1"/>
  <c r="G11" i="46"/>
  <c r="I11" i="46" s="1"/>
  <c r="G11" i="69"/>
  <c r="I11" i="69" s="1"/>
  <c r="G11" i="74"/>
  <c r="I11" i="70" l="1"/>
  <c r="U11" i="45"/>
  <c r="I11" i="71"/>
  <c r="V11" i="45"/>
  <c r="AL14" i="33"/>
  <c r="B14" i="45"/>
  <c r="P14" i="45"/>
  <c r="AA14" i="45" s="1"/>
  <c r="AL14" i="45" s="1"/>
  <c r="A14" i="56"/>
  <c r="B14" i="72"/>
  <c r="B14" i="73"/>
  <c r="B14" i="74"/>
  <c r="B14" i="46"/>
  <c r="B14" i="67"/>
  <c r="B14" i="68"/>
  <c r="B14" i="69"/>
  <c r="B14" i="70"/>
  <c r="B14" i="71"/>
  <c r="C13" i="68"/>
  <c r="D13" i="68"/>
  <c r="E13" i="68"/>
  <c r="F13" i="68"/>
  <c r="H13" i="68"/>
  <c r="E13" i="45" s="1"/>
  <c r="C13" i="69"/>
  <c r="D13" i="69"/>
  <c r="E13" i="69"/>
  <c r="F13" i="69"/>
  <c r="H13" i="69"/>
  <c r="F13" i="45" s="1"/>
  <c r="C13" i="70"/>
  <c r="D13" i="70"/>
  <c r="E13" i="70"/>
  <c r="F13" i="70"/>
  <c r="H13" i="70"/>
  <c r="G13" i="45" s="1"/>
  <c r="C13" i="71"/>
  <c r="D13" i="71"/>
  <c r="E13" i="71"/>
  <c r="F13" i="71"/>
  <c r="H13" i="71"/>
  <c r="H13" i="45" s="1"/>
  <c r="C13" i="72"/>
  <c r="D13" i="72"/>
  <c r="E13" i="72"/>
  <c r="F13" i="72"/>
  <c r="H13" i="72"/>
  <c r="I13" i="45" s="1"/>
  <c r="C13" i="73"/>
  <c r="D13" i="73"/>
  <c r="E13" i="73"/>
  <c r="F13" i="73"/>
  <c r="H13" i="73"/>
  <c r="J13" i="45" s="1"/>
  <c r="C13" i="74"/>
  <c r="D13" i="74"/>
  <c r="E13" i="74"/>
  <c r="F13" i="74"/>
  <c r="H13" i="74"/>
  <c r="K13" i="45" s="1"/>
  <c r="C13" i="46"/>
  <c r="D13" i="46"/>
  <c r="E13" i="46"/>
  <c r="F13" i="46"/>
  <c r="H13" i="46"/>
  <c r="C13" i="45" s="1"/>
  <c r="C13" i="67"/>
  <c r="D13" i="67"/>
  <c r="E13" i="67"/>
  <c r="F13" i="67"/>
  <c r="H13" i="67"/>
  <c r="D13" i="45" s="1"/>
  <c r="AB10" i="45" a="1"/>
  <c r="AM10" i="45" a="1"/>
  <c r="R11" i="45"/>
  <c r="S11" i="45"/>
  <c r="W11" i="45"/>
  <c r="X11" i="45"/>
  <c r="Q11" i="45"/>
  <c r="T11" i="45"/>
  <c r="Y11" i="45"/>
  <c r="I11" i="74"/>
  <c r="G12" i="72"/>
  <c r="I12" i="72" s="1"/>
  <c r="G12" i="73"/>
  <c r="I12" i="73" s="1"/>
  <c r="G12" i="46"/>
  <c r="I12" i="46" s="1"/>
  <c r="G12" i="67"/>
  <c r="G12" i="68"/>
  <c r="I12" i="68" s="1"/>
  <c r="G12" i="70"/>
  <c r="G12" i="69"/>
  <c r="I12" i="69" s="1"/>
  <c r="G12" i="71"/>
  <c r="G12" i="74"/>
  <c r="I12" i="74" s="1"/>
  <c r="AL15" i="33" l="1"/>
  <c r="B15" i="45"/>
  <c r="P15" i="45"/>
  <c r="AA15" i="45" s="1"/>
  <c r="AL15" i="45" s="1"/>
  <c r="A15" i="56"/>
  <c r="B15" i="68"/>
  <c r="B15" i="71"/>
  <c r="B15" i="72"/>
  <c r="B15" i="73"/>
  <c r="B15" i="74"/>
  <c r="B15" i="46"/>
  <c r="B15" i="67"/>
  <c r="B15" i="69"/>
  <c r="B15" i="70"/>
  <c r="C14" i="72"/>
  <c r="D14" i="72"/>
  <c r="E14" i="72"/>
  <c r="F14" i="72"/>
  <c r="H14" i="72"/>
  <c r="I14" i="45" s="1"/>
  <c r="C14" i="73"/>
  <c r="D14" i="73"/>
  <c r="E14" i="73"/>
  <c r="F14" i="73"/>
  <c r="H14" i="73"/>
  <c r="J14" i="45" s="1"/>
  <c r="C14" i="74"/>
  <c r="D14" i="74"/>
  <c r="E14" i="74"/>
  <c r="F14" i="74"/>
  <c r="H14" i="74"/>
  <c r="K14" i="45" s="1"/>
  <c r="C14" i="46"/>
  <c r="D14" i="46"/>
  <c r="E14" i="46"/>
  <c r="F14" i="46"/>
  <c r="H14" i="46"/>
  <c r="C14" i="45" s="1"/>
  <c r="C14" i="67"/>
  <c r="D14" i="67"/>
  <c r="E14" i="67"/>
  <c r="F14" i="67"/>
  <c r="H14" i="67"/>
  <c r="D14" i="45" s="1"/>
  <c r="C14" i="68"/>
  <c r="D14" i="68"/>
  <c r="E14" i="68"/>
  <c r="F14" i="68"/>
  <c r="H14" i="68"/>
  <c r="E14" i="45" s="1"/>
  <c r="C14" i="69"/>
  <c r="D14" i="69"/>
  <c r="E14" i="69"/>
  <c r="F14" i="69"/>
  <c r="H14" i="69"/>
  <c r="F14" i="45" s="1"/>
  <c r="C14" i="70"/>
  <c r="D14" i="70"/>
  <c r="E14" i="70"/>
  <c r="F14" i="70"/>
  <c r="H14" i="70"/>
  <c r="G14" i="45" s="1"/>
  <c r="C14" i="71"/>
  <c r="D14" i="71"/>
  <c r="E14" i="71"/>
  <c r="F14" i="71"/>
  <c r="H14" i="71"/>
  <c r="H14" i="45" s="1"/>
  <c r="AB11" i="45" a="1"/>
  <c r="AM11" i="45" a="1"/>
  <c r="W12" i="45"/>
  <c r="X12" i="45"/>
  <c r="Q12" i="45"/>
  <c r="R12" i="45"/>
  <c r="S12" i="45"/>
  <c r="U12" i="45"/>
  <c r="I12" i="70"/>
  <c r="T12" i="45"/>
  <c r="V12" i="45"/>
  <c r="I12" i="71"/>
  <c r="Y12" i="45"/>
  <c r="G13" i="68"/>
  <c r="I13" i="68" s="1"/>
  <c r="G13" i="67"/>
  <c r="I13" i="67" s="1"/>
  <c r="G13" i="69"/>
  <c r="I13" i="69" s="1"/>
  <c r="G13" i="71"/>
  <c r="I13" i="71" s="1"/>
  <c r="G13" i="72"/>
  <c r="I13" i="72" s="1"/>
  <c r="G13" i="46"/>
  <c r="I13" i="46" s="1"/>
  <c r="G13" i="70"/>
  <c r="I13" i="70" s="1"/>
  <c r="G13" i="73"/>
  <c r="I13" i="73" s="1"/>
  <c r="G13" i="74"/>
  <c r="I13" i="74" s="1"/>
  <c r="I12" i="67"/>
  <c r="AL16" i="33" l="1"/>
  <c r="B16" i="45"/>
  <c r="P16" i="45"/>
  <c r="AA16" i="45" s="1"/>
  <c r="AL16" i="45" s="1"/>
  <c r="A16" i="56"/>
  <c r="B16" i="46"/>
  <c r="B16" i="67"/>
  <c r="B16" i="69"/>
  <c r="B16" i="70"/>
  <c r="B16" i="71"/>
  <c r="B16" i="72"/>
  <c r="B16" i="73"/>
  <c r="B16" i="74"/>
  <c r="B16" i="68"/>
  <c r="C15" i="68"/>
  <c r="D15" i="68"/>
  <c r="E15" i="68"/>
  <c r="F15" i="68"/>
  <c r="H15" i="68"/>
  <c r="E15" i="45" s="1"/>
  <c r="C15" i="71"/>
  <c r="D15" i="71"/>
  <c r="E15" i="71"/>
  <c r="F15" i="71"/>
  <c r="H15" i="71"/>
  <c r="H15" i="45" s="1"/>
  <c r="C15" i="72"/>
  <c r="D15" i="72"/>
  <c r="E15" i="72"/>
  <c r="F15" i="72"/>
  <c r="H15" i="72"/>
  <c r="I15" i="45" s="1"/>
  <c r="C15" i="73"/>
  <c r="D15" i="73"/>
  <c r="E15" i="73"/>
  <c r="F15" i="73"/>
  <c r="H15" i="73"/>
  <c r="J15" i="45" s="1"/>
  <c r="C15" i="74"/>
  <c r="D15" i="74"/>
  <c r="E15" i="74"/>
  <c r="F15" i="74"/>
  <c r="H15" i="74"/>
  <c r="K15" i="45" s="1"/>
  <c r="D15" i="46"/>
  <c r="E15" i="46"/>
  <c r="F15" i="46"/>
  <c r="C15" i="46"/>
  <c r="H15" i="46"/>
  <c r="C15" i="45" s="1"/>
  <c r="E15" i="67"/>
  <c r="F15" i="67"/>
  <c r="C15" i="67"/>
  <c r="D15" i="67"/>
  <c r="H15" i="67"/>
  <c r="D15" i="45" s="1"/>
  <c r="E15" i="69"/>
  <c r="C15" i="69"/>
  <c r="D15" i="69"/>
  <c r="F15" i="69"/>
  <c r="H15" i="69"/>
  <c r="F15" i="45" s="1"/>
  <c r="C15" i="70"/>
  <c r="D15" i="70"/>
  <c r="E15" i="70"/>
  <c r="F15" i="70"/>
  <c r="H15" i="70"/>
  <c r="G15" i="45" s="1"/>
  <c r="AB12" i="45" a="1"/>
  <c r="AM12" i="45" a="1"/>
  <c r="S13" i="45"/>
  <c r="R13" i="45"/>
  <c r="T13" i="45"/>
  <c r="V13" i="45"/>
  <c r="W13" i="45"/>
  <c r="Q13" i="45"/>
  <c r="U13" i="45"/>
  <c r="X13" i="45"/>
  <c r="Y13" i="45"/>
  <c r="G14" i="46"/>
  <c r="I14" i="46" s="1"/>
  <c r="G14" i="68"/>
  <c r="I14" i="68" s="1"/>
  <c r="G14" i="69"/>
  <c r="I14" i="69" s="1"/>
  <c r="G14" i="71"/>
  <c r="I14" i="71" s="1"/>
  <c r="G14" i="74"/>
  <c r="I14" i="74" s="1"/>
  <c r="G14" i="67"/>
  <c r="I14" i="67" s="1"/>
  <c r="G14" i="72"/>
  <c r="I14" i="72" s="1"/>
  <c r="G14" i="73"/>
  <c r="I14" i="73" s="1"/>
  <c r="G14" i="70"/>
  <c r="I14" i="70" s="1"/>
  <c r="G15" i="46" l="1"/>
  <c r="G15" i="69"/>
  <c r="AL17" i="33"/>
  <c r="B17" i="45"/>
  <c r="P17" i="45"/>
  <c r="AA17" i="45" s="1"/>
  <c r="AL17" i="45" s="1"/>
  <c r="A17" i="56"/>
  <c r="B17" i="46"/>
  <c r="B17" i="67"/>
  <c r="B17" i="68"/>
  <c r="B17" i="70"/>
  <c r="B17" i="72"/>
  <c r="B17" i="73"/>
  <c r="B17" i="74"/>
  <c r="B17" i="69"/>
  <c r="B17" i="71"/>
  <c r="C16" i="46"/>
  <c r="D16" i="46"/>
  <c r="E16" i="46"/>
  <c r="F16" i="46"/>
  <c r="H16" i="46"/>
  <c r="C16" i="45" s="1"/>
  <c r="C16" i="67"/>
  <c r="D16" i="67"/>
  <c r="E16" i="67"/>
  <c r="F16" i="67"/>
  <c r="H16" i="67"/>
  <c r="D16" i="45" s="1"/>
  <c r="C16" i="69"/>
  <c r="D16" i="69"/>
  <c r="E16" i="69"/>
  <c r="F16" i="69"/>
  <c r="H16" i="69"/>
  <c r="F16" i="45" s="1"/>
  <c r="C16" i="70"/>
  <c r="D16" i="70"/>
  <c r="E16" i="70"/>
  <c r="F16" i="70"/>
  <c r="H16" i="70"/>
  <c r="G16" i="45" s="1"/>
  <c r="C16" i="71"/>
  <c r="D16" i="71"/>
  <c r="E16" i="71"/>
  <c r="F16" i="71"/>
  <c r="H16" i="71"/>
  <c r="H16" i="45" s="1"/>
  <c r="C16" i="72"/>
  <c r="D16" i="72"/>
  <c r="E16" i="72"/>
  <c r="F16" i="72"/>
  <c r="H16" i="72"/>
  <c r="I16" i="45" s="1"/>
  <c r="C16" i="73"/>
  <c r="D16" i="73"/>
  <c r="E16" i="73"/>
  <c r="F16" i="73"/>
  <c r="H16" i="73"/>
  <c r="J16" i="45" s="1"/>
  <c r="C16" i="74"/>
  <c r="D16" i="74"/>
  <c r="E16" i="74"/>
  <c r="F16" i="74"/>
  <c r="H16" i="74"/>
  <c r="K16" i="45" s="1"/>
  <c r="C16" i="68"/>
  <c r="D16" i="68"/>
  <c r="E16" i="68"/>
  <c r="F16" i="68"/>
  <c r="H16" i="68"/>
  <c r="E16" i="45" s="1"/>
  <c r="AB13" i="45" a="1"/>
  <c r="AM13" i="45" a="1"/>
  <c r="Q14" i="45"/>
  <c r="S14" i="45"/>
  <c r="T14" i="45"/>
  <c r="V14" i="45"/>
  <c r="Y14" i="45"/>
  <c r="R14" i="45"/>
  <c r="W14" i="45"/>
  <c r="X14" i="45"/>
  <c r="U14" i="45"/>
  <c r="G15" i="71"/>
  <c r="I15" i="71" s="1"/>
  <c r="G15" i="74"/>
  <c r="I15" i="74" s="1"/>
  <c r="G15" i="67"/>
  <c r="G15" i="68"/>
  <c r="I15" i="68" s="1"/>
  <c r="G15" i="72"/>
  <c r="I15" i="72" s="1"/>
  <c r="G15" i="70"/>
  <c r="I15" i="70" s="1"/>
  <c r="G15" i="73"/>
  <c r="I15" i="73" s="1"/>
  <c r="I15" i="46" l="1"/>
  <c r="Q15" i="45"/>
  <c r="T15" i="45"/>
  <c r="I15" i="69"/>
  <c r="AL18" i="33"/>
  <c r="B18" i="45"/>
  <c r="P18" i="45"/>
  <c r="AA18" i="45" s="1"/>
  <c r="AL18" i="45" s="1"/>
  <c r="A18" i="56"/>
  <c r="B18" i="46"/>
  <c r="B18" i="67"/>
  <c r="B18" i="68"/>
  <c r="B18" i="72"/>
  <c r="B18" i="73"/>
  <c r="B18" i="74"/>
  <c r="B18" i="69"/>
  <c r="B18" i="70"/>
  <c r="B18" i="71"/>
  <c r="C17" i="46"/>
  <c r="D17" i="46"/>
  <c r="E17" i="46"/>
  <c r="F17" i="46"/>
  <c r="H17" i="46"/>
  <c r="C17" i="45" s="1"/>
  <c r="C17" i="67"/>
  <c r="D17" i="67"/>
  <c r="E17" i="67"/>
  <c r="F17" i="67"/>
  <c r="H17" i="67"/>
  <c r="D17" i="45" s="1"/>
  <c r="C17" i="68"/>
  <c r="D17" i="68"/>
  <c r="E17" i="68"/>
  <c r="F17" i="68"/>
  <c r="H17" i="68"/>
  <c r="E17" i="45" s="1"/>
  <c r="C17" i="70"/>
  <c r="D17" i="70"/>
  <c r="E17" i="70"/>
  <c r="F17" i="70"/>
  <c r="H17" i="70"/>
  <c r="G17" i="45" s="1"/>
  <c r="C17" i="72"/>
  <c r="D17" i="72"/>
  <c r="E17" i="72"/>
  <c r="F17" i="72"/>
  <c r="H17" i="72"/>
  <c r="I17" i="45" s="1"/>
  <c r="C17" i="73"/>
  <c r="D17" i="73"/>
  <c r="E17" i="73"/>
  <c r="F17" i="73"/>
  <c r="H17" i="73"/>
  <c r="J17" i="45" s="1"/>
  <c r="C17" i="74"/>
  <c r="D17" i="74"/>
  <c r="E17" i="74"/>
  <c r="F17" i="74"/>
  <c r="H17" i="74"/>
  <c r="K17" i="45" s="1"/>
  <c r="C17" i="69"/>
  <c r="D17" i="69"/>
  <c r="E17" i="69"/>
  <c r="F17" i="69"/>
  <c r="H17" i="69"/>
  <c r="F17" i="45" s="1"/>
  <c r="C17" i="71"/>
  <c r="D17" i="71"/>
  <c r="E17" i="71"/>
  <c r="F17" i="71"/>
  <c r="H17" i="71"/>
  <c r="H17" i="45" s="1"/>
  <c r="G16" i="69"/>
  <c r="AB14" i="45" a="1"/>
  <c r="AM14" i="45" a="1"/>
  <c r="V15" i="45"/>
  <c r="Y15" i="45"/>
  <c r="R15" i="45"/>
  <c r="S15" i="45"/>
  <c r="W15" i="45"/>
  <c r="U15" i="45"/>
  <c r="X15" i="45"/>
  <c r="G16" i="46"/>
  <c r="G16" i="72"/>
  <c r="I16" i="72" s="1"/>
  <c r="G16" i="73"/>
  <c r="I16" i="73" s="1"/>
  <c r="G16" i="74"/>
  <c r="I16" i="74" s="1"/>
  <c r="G16" i="68"/>
  <c r="I16" i="68" s="1"/>
  <c r="G16" i="70"/>
  <c r="I16" i="70" s="1"/>
  <c r="G16" i="71"/>
  <c r="I16" i="71" s="1"/>
  <c r="G16" i="67"/>
  <c r="I16" i="67" s="1"/>
  <c r="I15" i="67"/>
  <c r="AL19" i="33" l="1"/>
  <c r="B19" i="45"/>
  <c r="P19" i="45"/>
  <c r="AA19" i="45" s="1"/>
  <c r="AL19" i="45" s="1"/>
  <c r="A19" i="56"/>
  <c r="B19" i="46"/>
  <c r="B19" i="67"/>
  <c r="B19" i="69"/>
  <c r="B19" i="70"/>
  <c r="B19" i="71"/>
  <c r="B19" i="72"/>
  <c r="B19" i="73"/>
  <c r="B19" i="74"/>
  <c r="B19" i="68"/>
  <c r="C18" i="46"/>
  <c r="D18" i="46"/>
  <c r="E18" i="46"/>
  <c r="F18" i="46"/>
  <c r="H18" i="46"/>
  <c r="C18" i="45" s="1"/>
  <c r="C18" i="67"/>
  <c r="D18" i="67"/>
  <c r="E18" i="67"/>
  <c r="F18" i="67"/>
  <c r="H18" i="67"/>
  <c r="D18" i="45" s="1"/>
  <c r="C18" i="68"/>
  <c r="D18" i="68"/>
  <c r="E18" i="68"/>
  <c r="F18" i="68"/>
  <c r="H18" i="68"/>
  <c r="E18" i="45" s="1"/>
  <c r="C18" i="72"/>
  <c r="D18" i="72"/>
  <c r="E18" i="72"/>
  <c r="F18" i="72"/>
  <c r="H18" i="72"/>
  <c r="I18" i="45" s="1"/>
  <c r="C18" i="73"/>
  <c r="D18" i="73"/>
  <c r="E18" i="73"/>
  <c r="F18" i="73"/>
  <c r="H18" i="73"/>
  <c r="J18" i="45" s="1"/>
  <c r="C18" i="74"/>
  <c r="D18" i="74"/>
  <c r="E18" i="74"/>
  <c r="F18" i="74"/>
  <c r="H18" i="74"/>
  <c r="K18" i="45" s="1"/>
  <c r="C18" i="69"/>
  <c r="D18" i="69"/>
  <c r="E18" i="69"/>
  <c r="F18" i="69"/>
  <c r="H18" i="69"/>
  <c r="F18" i="45" s="1"/>
  <c r="C18" i="70"/>
  <c r="D18" i="70"/>
  <c r="E18" i="70"/>
  <c r="F18" i="70"/>
  <c r="H18" i="70"/>
  <c r="G18" i="45" s="1"/>
  <c r="C18" i="71"/>
  <c r="D18" i="71"/>
  <c r="E18" i="71"/>
  <c r="F18" i="71"/>
  <c r="H18" i="71"/>
  <c r="H18" i="45" s="1"/>
  <c r="I16" i="69"/>
  <c r="T16" i="45"/>
  <c r="Q16" i="45"/>
  <c r="I16" i="46"/>
  <c r="W16" i="45"/>
  <c r="X16" i="45"/>
  <c r="Y16" i="45"/>
  <c r="S16" i="45"/>
  <c r="U16" i="45"/>
  <c r="V16" i="45"/>
  <c r="R16" i="45"/>
  <c r="G17" i="68"/>
  <c r="I17" i="68" s="1"/>
  <c r="G17" i="70"/>
  <c r="I17" i="70" s="1"/>
  <c r="G17" i="73"/>
  <c r="I17" i="73" s="1"/>
  <c r="G17" i="74"/>
  <c r="I17" i="74" s="1"/>
  <c r="G17" i="69"/>
  <c r="I17" i="69" s="1"/>
  <c r="G17" i="71"/>
  <c r="I17" i="71" s="1"/>
  <c r="G17" i="67"/>
  <c r="I17" i="67" s="1"/>
  <c r="G17" i="46"/>
  <c r="I17" i="46" s="1"/>
  <c r="G17" i="72"/>
  <c r="I17" i="72" s="1"/>
  <c r="AB15" i="45" a="1"/>
  <c r="AM15" i="45" a="1"/>
  <c r="AL20" i="33" l="1"/>
  <c r="B20" i="45"/>
  <c r="P20" i="45"/>
  <c r="AA20" i="45" s="1"/>
  <c r="AL20" i="45" s="1"/>
  <c r="A20" i="56"/>
  <c r="B20" i="46"/>
  <c r="B20" i="67"/>
  <c r="B20" i="69"/>
  <c r="B20" i="72"/>
  <c r="B20" i="73"/>
  <c r="B20" i="74"/>
  <c r="B20" i="68"/>
  <c r="B20" i="70"/>
  <c r="B20" i="71"/>
  <c r="H19" i="46"/>
  <c r="C19" i="45" s="1"/>
  <c r="C19" i="46"/>
  <c r="D19" i="46"/>
  <c r="E19" i="46"/>
  <c r="F19" i="46"/>
  <c r="C19" i="67"/>
  <c r="D19" i="67"/>
  <c r="E19" i="67"/>
  <c r="F19" i="67"/>
  <c r="H19" i="67"/>
  <c r="D19" i="45" s="1"/>
  <c r="D19" i="69"/>
  <c r="E19" i="69"/>
  <c r="F19" i="69"/>
  <c r="H19" i="69"/>
  <c r="F19" i="45" s="1"/>
  <c r="C19" i="69"/>
  <c r="C19" i="70"/>
  <c r="D19" i="70"/>
  <c r="E19" i="70"/>
  <c r="F19" i="70"/>
  <c r="H19" i="70"/>
  <c r="G19" i="45" s="1"/>
  <c r="C19" i="71"/>
  <c r="D19" i="71"/>
  <c r="E19" i="71"/>
  <c r="F19" i="71"/>
  <c r="H19" i="71"/>
  <c r="H19" i="45" s="1"/>
  <c r="C19" i="72"/>
  <c r="D19" i="72"/>
  <c r="E19" i="72"/>
  <c r="F19" i="72"/>
  <c r="H19" i="72"/>
  <c r="I19" i="45" s="1"/>
  <c r="C19" i="73"/>
  <c r="D19" i="73"/>
  <c r="E19" i="73"/>
  <c r="F19" i="73"/>
  <c r="H19" i="73"/>
  <c r="J19" i="45" s="1"/>
  <c r="C19" i="74"/>
  <c r="D19" i="74"/>
  <c r="E19" i="74"/>
  <c r="F19" i="74"/>
  <c r="H19" i="74"/>
  <c r="K19" i="45" s="1"/>
  <c r="C19" i="68"/>
  <c r="D19" i="68"/>
  <c r="E19" i="68"/>
  <c r="F19" i="68"/>
  <c r="H19" i="68"/>
  <c r="E19" i="45" s="1"/>
  <c r="AB16" i="45" a="1"/>
  <c r="AM16" i="45" a="1"/>
  <c r="S17" i="45"/>
  <c r="U17" i="45"/>
  <c r="X17" i="45"/>
  <c r="Y17" i="45"/>
  <c r="T17" i="45"/>
  <c r="V17" i="45"/>
  <c r="R17" i="45"/>
  <c r="Q17" i="45"/>
  <c r="W17" i="45"/>
  <c r="G18" i="46"/>
  <c r="I18" i="46" s="1"/>
  <c r="G18" i="72"/>
  <c r="I18" i="72" s="1"/>
  <c r="G18" i="68"/>
  <c r="I18" i="68" s="1"/>
  <c r="G18" i="70"/>
  <c r="I18" i="70" s="1"/>
  <c r="G18" i="71"/>
  <c r="I18" i="71" s="1"/>
  <c r="G18" i="74"/>
  <c r="I18" i="74" s="1"/>
  <c r="G18" i="69"/>
  <c r="I18" i="69" s="1"/>
  <c r="G18" i="67"/>
  <c r="G18" i="73"/>
  <c r="I18" i="73" s="1"/>
  <c r="G19" i="69" l="1"/>
  <c r="AL21" i="33"/>
  <c r="B21" i="45"/>
  <c r="P21" i="45"/>
  <c r="AA21" i="45" s="1"/>
  <c r="AL21" i="45" s="1"/>
  <c r="A21" i="56"/>
  <c r="B21" i="46"/>
  <c r="B21" i="67"/>
  <c r="B21" i="68"/>
  <c r="B21" i="69"/>
  <c r="B21" i="70"/>
  <c r="B21" i="71"/>
  <c r="B21" i="72"/>
  <c r="B21" i="73"/>
  <c r="B21" i="74"/>
  <c r="C20" i="46"/>
  <c r="D20" i="46"/>
  <c r="E20" i="46"/>
  <c r="F20" i="46"/>
  <c r="H20" i="46"/>
  <c r="C20" i="45" s="1"/>
  <c r="C20" i="67"/>
  <c r="D20" i="67"/>
  <c r="E20" i="67"/>
  <c r="F20" i="67"/>
  <c r="H20" i="67"/>
  <c r="D20" i="45" s="1"/>
  <c r="C20" i="69"/>
  <c r="D20" i="69"/>
  <c r="E20" i="69"/>
  <c r="F20" i="69"/>
  <c r="H20" i="69"/>
  <c r="F20" i="45" s="1"/>
  <c r="C20" i="72"/>
  <c r="D20" i="72"/>
  <c r="E20" i="72"/>
  <c r="F20" i="72"/>
  <c r="H20" i="72"/>
  <c r="I20" i="45" s="1"/>
  <c r="C20" i="73"/>
  <c r="D20" i="73"/>
  <c r="E20" i="73"/>
  <c r="F20" i="73"/>
  <c r="H20" i="73"/>
  <c r="J20" i="45" s="1"/>
  <c r="C20" i="74"/>
  <c r="D20" i="74"/>
  <c r="E20" i="74"/>
  <c r="F20" i="74"/>
  <c r="H20" i="74"/>
  <c r="K20" i="45" s="1"/>
  <c r="C20" i="68"/>
  <c r="D20" i="68"/>
  <c r="E20" i="68"/>
  <c r="F20" i="68"/>
  <c r="H20" i="68"/>
  <c r="E20" i="45" s="1"/>
  <c r="C20" i="70"/>
  <c r="D20" i="70"/>
  <c r="E20" i="70"/>
  <c r="F20" i="70"/>
  <c r="H20" i="70"/>
  <c r="G20" i="45" s="1"/>
  <c r="C20" i="71"/>
  <c r="D20" i="71"/>
  <c r="E20" i="71"/>
  <c r="F20" i="71"/>
  <c r="H20" i="71"/>
  <c r="H20" i="45" s="1"/>
  <c r="AB17" i="45" a="1"/>
  <c r="AM17" i="45" a="1"/>
  <c r="Q18" i="45"/>
  <c r="W18" i="45"/>
  <c r="S18" i="45"/>
  <c r="U18" i="45"/>
  <c r="V18" i="45"/>
  <c r="Y18" i="45"/>
  <c r="T18" i="45"/>
  <c r="R18" i="45"/>
  <c r="X18" i="45"/>
  <c r="G19" i="72"/>
  <c r="I19" i="72" s="1"/>
  <c r="G19" i="46"/>
  <c r="I19" i="46" s="1"/>
  <c r="G19" i="73"/>
  <c r="I19" i="73" s="1"/>
  <c r="G19" i="70"/>
  <c r="I19" i="70" s="1"/>
  <c r="G19" i="71"/>
  <c r="I19" i="71" s="1"/>
  <c r="G19" i="74"/>
  <c r="I19" i="74" s="1"/>
  <c r="G19" i="68"/>
  <c r="I19" i="68" s="1"/>
  <c r="G19" i="67"/>
  <c r="I19" i="67" s="1"/>
  <c r="I18" i="67"/>
  <c r="T19" i="45" l="1"/>
  <c r="I19" i="69"/>
  <c r="G20" i="74"/>
  <c r="G20" i="71"/>
  <c r="AL22" i="33"/>
  <c r="B22" i="45"/>
  <c r="P22" i="45"/>
  <c r="AA22" i="45" s="1"/>
  <c r="AL22" i="45" s="1"/>
  <c r="A22" i="56"/>
  <c r="B22" i="46"/>
  <c r="B22" i="67"/>
  <c r="B22" i="68"/>
  <c r="B22" i="69"/>
  <c r="B22" i="70"/>
  <c r="B22" i="71"/>
  <c r="B22" i="72"/>
  <c r="B22" i="73"/>
  <c r="B22" i="74"/>
  <c r="C21" i="46"/>
  <c r="D21" i="46"/>
  <c r="E21" i="46"/>
  <c r="F21" i="46"/>
  <c r="H21" i="46"/>
  <c r="C21" i="45" s="1"/>
  <c r="C21" i="67"/>
  <c r="D21" i="67"/>
  <c r="E21" i="67"/>
  <c r="F21" i="67"/>
  <c r="H21" i="67"/>
  <c r="D21" i="45" s="1"/>
  <c r="C21" i="68"/>
  <c r="D21" i="68"/>
  <c r="E21" i="68"/>
  <c r="F21" i="68"/>
  <c r="H21" i="68"/>
  <c r="E21" i="45" s="1"/>
  <c r="C21" i="69"/>
  <c r="D21" i="69"/>
  <c r="E21" i="69"/>
  <c r="F21" i="69"/>
  <c r="H21" i="69"/>
  <c r="F21" i="45" s="1"/>
  <c r="C21" i="70"/>
  <c r="D21" i="70"/>
  <c r="E21" i="70"/>
  <c r="F21" i="70"/>
  <c r="H21" i="70"/>
  <c r="G21" i="45" s="1"/>
  <c r="C21" i="71"/>
  <c r="D21" i="71"/>
  <c r="E21" i="71"/>
  <c r="F21" i="71"/>
  <c r="H21" i="71"/>
  <c r="H21" i="45" s="1"/>
  <c r="C21" i="72"/>
  <c r="D21" i="72"/>
  <c r="E21" i="72"/>
  <c r="F21" i="72"/>
  <c r="H21" i="72"/>
  <c r="I21" i="45" s="1"/>
  <c r="C21" i="73"/>
  <c r="D21" i="73"/>
  <c r="E21" i="73"/>
  <c r="F21" i="73"/>
  <c r="H21" i="73"/>
  <c r="J21" i="45" s="1"/>
  <c r="C21" i="74"/>
  <c r="D21" i="74"/>
  <c r="E21" i="74"/>
  <c r="F21" i="74"/>
  <c r="H21" i="74"/>
  <c r="K21" i="45" s="1"/>
  <c r="G20" i="69"/>
  <c r="AB18" i="45" a="1"/>
  <c r="AM18" i="45" a="1"/>
  <c r="W19" i="45"/>
  <c r="Q19" i="45"/>
  <c r="X19" i="45"/>
  <c r="U19" i="45"/>
  <c r="V19" i="45"/>
  <c r="Y19" i="45"/>
  <c r="S19" i="45"/>
  <c r="R19" i="45"/>
  <c r="G20" i="73"/>
  <c r="I20" i="73" s="1"/>
  <c r="G20" i="46"/>
  <c r="I20" i="46" s="1"/>
  <c r="G20" i="67"/>
  <c r="I20" i="67" s="1"/>
  <c r="G20" i="72"/>
  <c r="I20" i="72" s="1"/>
  <c r="G20" i="68"/>
  <c r="I20" i="68" s="1"/>
  <c r="G20" i="70"/>
  <c r="I20" i="70" s="1"/>
  <c r="I20" i="74" l="1"/>
  <c r="Y20" i="45"/>
  <c r="V20" i="45"/>
  <c r="I20" i="71"/>
  <c r="AL23" i="33"/>
  <c r="B23" i="45"/>
  <c r="P23" i="45"/>
  <c r="AA23" i="45" s="1"/>
  <c r="AL23" i="45" s="1"/>
  <c r="A23" i="56"/>
  <c r="B23" i="46"/>
  <c r="B23" i="67"/>
  <c r="B23" i="68"/>
  <c r="B23" i="69"/>
  <c r="B23" i="72"/>
  <c r="B23" i="73"/>
  <c r="B23" i="74"/>
  <c r="B23" i="70"/>
  <c r="B23" i="71"/>
  <c r="C22" i="46"/>
  <c r="D22" i="46"/>
  <c r="E22" i="46"/>
  <c r="F22" i="46"/>
  <c r="H22" i="46"/>
  <c r="C22" i="45" s="1"/>
  <c r="C22" i="67"/>
  <c r="D22" i="67"/>
  <c r="E22" i="67"/>
  <c r="F22" i="67"/>
  <c r="H22" i="67"/>
  <c r="D22" i="45" s="1"/>
  <c r="C22" i="68"/>
  <c r="D22" i="68"/>
  <c r="E22" i="68"/>
  <c r="F22" i="68"/>
  <c r="H22" i="68"/>
  <c r="E22" i="45" s="1"/>
  <c r="C22" i="69"/>
  <c r="D22" i="69"/>
  <c r="E22" i="69"/>
  <c r="F22" i="69"/>
  <c r="H22" i="69"/>
  <c r="F22" i="45" s="1"/>
  <c r="C22" i="70"/>
  <c r="D22" i="70"/>
  <c r="E22" i="70"/>
  <c r="F22" i="70"/>
  <c r="H22" i="70"/>
  <c r="G22" i="45" s="1"/>
  <c r="C22" i="71"/>
  <c r="D22" i="71"/>
  <c r="E22" i="71"/>
  <c r="F22" i="71"/>
  <c r="H22" i="71"/>
  <c r="H22" i="45" s="1"/>
  <c r="C22" i="72"/>
  <c r="D22" i="72"/>
  <c r="E22" i="72"/>
  <c r="F22" i="72"/>
  <c r="H22" i="72"/>
  <c r="I22" i="45" s="1"/>
  <c r="C22" i="73"/>
  <c r="D22" i="73"/>
  <c r="E22" i="73"/>
  <c r="F22" i="73"/>
  <c r="H22" i="73"/>
  <c r="J22" i="45" s="1"/>
  <c r="C22" i="74"/>
  <c r="D22" i="74"/>
  <c r="E22" i="74"/>
  <c r="F22" i="74"/>
  <c r="H22" i="74"/>
  <c r="K22" i="45" s="1"/>
  <c r="I20" i="69"/>
  <c r="T20" i="45"/>
  <c r="AB19" i="45" a="1"/>
  <c r="AM19" i="45" a="1"/>
  <c r="X20" i="45"/>
  <c r="Q20" i="45"/>
  <c r="R20" i="45"/>
  <c r="W20" i="45"/>
  <c r="S20" i="45"/>
  <c r="U20" i="45"/>
  <c r="G21" i="69"/>
  <c r="I21" i="69" s="1"/>
  <c r="G21" i="70"/>
  <c r="I21" i="70" s="1"/>
  <c r="G21" i="73"/>
  <c r="I21" i="73" s="1"/>
  <c r="G21" i="46"/>
  <c r="I21" i="46" s="1"/>
  <c r="G21" i="67"/>
  <c r="G21" i="74"/>
  <c r="G21" i="68"/>
  <c r="I21" i="68" s="1"/>
  <c r="G21" i="71"/>
  <c r="G21" i="72"/>
  <c r="I21" i="72" s="1"/>
  <c r="G22" i="72" l="1"/>
  <c r="AL24" i="33"/>
  <c r="B24" i="45"/>
  <c r="P24" i="45"/>
  <c r="AA24" i="45" s="1"/>
  <c r="AL24" i="45" s="1"/>
  <c r="A24" i="56"/>
  <c r="B24" i="67"/>
  <c r="B24" i="68"/>
  <c r="B24" i="69"/>
  <c r="B24" i="72"/>
  <c r="B24" i="73"/>
  <c r="B24" i="74"/>
  <c r="B24" i="46"/>
  <c r="B24" i="70"/>
  <c r="B24" i="71"/>
  <c r="C23" i="46"/>
  <c r="D23" i="46"/>
  <c r="E23" i="46"/>
  <c r="F23" i="46"/>
  <c r="H23" i="46"/>
  <c r="C23" i="45" s="1"/>
  <c r="C23" i="67"/>
  <c r="D23" i="67"/>
  <c r="E23" i="67"/>
  <c r="F23" i="67"/>
  <c r="H23" i="67"/>
  <c r="D23" i="45" s="1"/>
  <c r="C23" i="68"/>
  <c r="D23" i="68"/>
  <c r="E23" i="68"/>
  <c r="F23" i="68"/>
  <c r="H23" i="68"/>
  <c r="E23" i="45" s="1"/>
  <c r="C23" i="69"/>
  <c r="D23" i="69"/>
  <c r="E23" i="69"/>
  <c r="F23" i="69"/>
  <c r="H23" i="69"/>
  <c r="F23" i="45" s="1"/>
  <c r="C23" i="72"/>
  <c r="D23" i="72"/>
  <c r="E23" i="72"/>
  <c r="F23" i="72"/>
  <c r="H23" i="72"/>
  <c r="I23" i="45" s="1"/>
  <c r="C23" i="73"/>
  <c r="D23" i="73"/>
  <c r="E23" i="73"/>
  <c r="F23" i="73"/>
  <c r="H23" i="73"/>
  <c r="J23" i="45" s="1"/>
  <c r="C23" i="74"/>
  <c r="D23" i="74"/>
  <c r="E23" i="74"/>
  <c r="F23" i="74"/>
  <c r="H23" i="74"/>
  <c r="K23" i="45" s="1"/>
  <c r="C23" i="70"/>
  <c r="D23" i="70"/>
  <c r="E23" i="70"/>
  <c r="F23" i="70"/>
  <c r="H23" i="70"/>
  <c r="G23" i="45" s="1"/>
  <c r="C23" i="71"/>
  <c r="D23" i="71"/>
  <c r="E23" i="71"/>
  <c r="F23" i="71"/>
  <c r="H23" i="71"/>
  <c r="H23" i="45" s="1"/>
  <c r="AB20" i="45" a="1"/>
  <c r="AM20" i="45" a="1"/>
  <c r="T21" i="45"/>
  <c r="U21" i="45"/>
  <c r="X21" i="45"/>
  <c r="Q21" i="45"/>
  <c r="R21" i="45"/>
  <c r="Y21" i="45"/>
  <c r="I21" i="74"/>
  <c r="S21" i="45"/>
  <c r="V21" i="45"/>
  <c r="I21" i="71"/>
  <c r="W21" i="45"/>
  <c r="G22" i="46"/>
  <c r="I22" i="46" s="1"/>
  <c r="G22" i="67"/>
  <c r="I22" i="67" s="1"/>
  <c r="G22" i="69"/>
  <c r="I22" i="69" s="1"/>
  <c r="G22" i="73"/>
  <c r="I22" i="73" s="1"/>
  <c r="G22" i="68"/>
  <c r="I22" i="68" s="1"/>
  <c r="G22" i="70"/>
  <c r="I22" i="70" s="1"/>
  <c r="G22" i="71"/>
  <c r="I22" i="71" s="1"/>
  <c r="G22" i="74"/>
  <c r="I22" i="74" s="1"/>
  <c r="I21" i="67"/>
  <c r="W22" i="45" l="1"/>
  <c r="I22" i="72"/>
  <c r="G23" i="69"/>
  <c r="G23" i="71"/>
  <c r="AL25" i="33"/>
  <c r="B25" i="45"/>
  <c r="P25" i="45"/>
  <c r="AA25" i="45" s="1"/>
  <c r="AL25" i="45" s="1"/>
  <c r="A25" i="56"/>
  <c r="B25" i="46"/>
  <c r="B25" i="67"/>
  <c r="B25" i="69"/>
  <c r="B25" i="70"/>
  <c r="B25" i="72"/>
  <c r="B25" i="73"/>
  <c r="B25" i="74"/>
  <c r="B25" i="68"/>
  <c r="B25" i="71"/>
  <c r="C24" i="67"/>
  <c r="D24" i="67"/>
  <c r="E24" i="67"/>
  <c r="F24" i="67"/>
  <c r="H24" i="67"/>
  <c r="D24" i="45" s="1"/>
  <c r="C24" i="68"/>
  <c r="D24" i="68"/>
  <c r="E24" i="68"/>
  <c r="F24" i="68"/>
  <c r="H24" i="68"/>
  <c r="E24" i="45" s="1"/>
  <c r="C24" i="69"/>
  <c r="D24" i="69"/>
  <c r="E24" i="69"/>
  <c r="F24" i="69"/>
  <c r="H24" i="69"/>
  <c r="F24" i="45" s="1"/>
  <c r="C24" i="72"/>
  <c r="D24" i="72"/>
  <c r="E24" i="72"/>
  <c r="F24" i="72"/>
  <c r="H24" i="72"/>
  <c r="I24" i="45" s="1"/>
  <c r="C24" i="73"/>
  <c r="D24" i="73"/>
  <c r="E24" i="73"/>
  <c r="F24" i="73"/>
  <c r="H24" i="73"/>
  <c r="J24" i="45" s="1"/>
  <c r="C24" i="74"/>
  <c r="D24" i="74"/>
  <c r="E24" i="74"/>
  <c r="F24" i="74"/>
  <c r="H24" i="74"/>
  <c r="K24" i="45" s="1"/>
  <c r="C24" i="46"/>
  <c r="D24" i="46"/>
  <c r="E24" i="46"/>
  <c r="F24" i="46"/>
  <c r="H24" i="46"/>
  <c r="C24" i="45" s="1"/>
  <c r="C24" i="70"/>
  <c r="D24" i="70"/>
  <c r="E24" i="70"/>
  <c r="F24" i="70"/>
  <c r="H24" i="70"/>
  <c r="G24" i="45" s="1"/>
  <c r="C24" i="71"/>
  <c r="D24" i="71"/>
  <c r="E24" i="71"/>
  <c r="F24" i="71"/>
  <c r="H24" i="71"/>
  <c r="H24" i="45" s="1"/>
  <c r="T23" i="45"/>
  <c r="AB21" i="45" a="1"/>
  <c r="AM21" i="45" a="1"/>
  <c r="Q22" i="45"/>
  <c r="R22" i="45"/>
  <c r="T22" i="45"/>
  <c r="I23" i="69"/>
  <c r="X22" i="45"/>
  <c r="S22" i="45"/>
  <c r="U22" i="45"/>
  <c r="V22" i="45"/>
  <c r="Y22" i="45"/>
  <c r="G23" i="46"/>
  <c r="I23" i="46" s="1"/>
  <c r="G23" i="68"/>
  <c r="I23" i="68" s="1"/>
  <c r="G23" i="73"/>
  <c r="I23" i="73" s="1"/>
  <c r="G23" i="74"/>
  <c r="I23" i="74" s="1"/>
  <c r="G23" i="67"/>
  <c r="I23" i="67" s="1"/>
  <c r="G23" i="72"/>
  <c r="G23" i="70"/>
  <c r="I23" i="70" s="1"/>
  <c r="I23" i="71" l="1"/>
  <c r="V23" i="45"/>
  <c r="G24" i="74"/>
  <c r="AL26" i="33"/>
  <c r="B26" i="45"/>
  <c r="P26" i="45"/>
  <c r="AA26" i="45" s="1"/>
  <c r="AL26" i="45" s="1"/>
  <c r="A26" i="56"/>
  <c r="B26" i="67"/>
  <c r="B26" i="68"/>
  <c r="B26" i="69"/>
  <c r="B26" i="70"/>
  <c r="B26" i="71"/>
  <c r="B26" i="72"/>
  <c r="B26" i="73"/>
  <c r="B26" i="74"/>
  <c r="B26" i="46"/>
  <c r="C25" i="46"/>
  <c r="D25" i="46"/>
  <c r="E25" i="46"/>
  <c r="F25" i="46"/>
  <c r="H25" i="46"/>
  <c r="C25" i="45" s="1"/>
  <c r="C25" i="67"/>
  <c r="D25" i="67"/>
  <c r="E25" i="67"/>
  <c r="F25" i="67"/>
  <c r="H25" i="67"/>
  <c r="D25" i="45" s="1"/>
  <c r="C25" i="69"/>
  <c r="D25" i="69"/>
  <c r="E25" i="69"/>
  <c r="F25" i="69"/>
  <c r="H25" i="69"/>
  <c r="F25" i="45" s="1"/>
  <c r="C25" i="70"/>
  <c r="D25" i="70"/>
  <c r="E25" i="70"/>
  <c r="F25" i="70"/>
  <c r="H25" i="70"/>
  <c r="G25" i="45" s="1"/>
  <c r="C25" i="72"/>
  <c r="D25" i="72"/>
  <c r="E25" i="72"/>
  <c r="F25" i="72"/>
  <c r="H25" i="72"/>
  <c r="I25" i="45" s="1"/>
  <c r="C25" i="73"/>
  <c r="D25" i="73"/>
  <c r="E25" i="73"/>
  <c r="F25" i="73"/>
  <c r="H25" i="73"/>
  <c r="J25" i="45" s="1"/>
  <c r="C25" i="74"/>
  <c r="D25" i="74"/>
  <c r="E25" i="74"/>
  <c r="F25" i="74"/>
  <c r="H25" i="74"/>
  <c r="K25" i="45" s="1"/>
  <c r="C25" i="68"/>
  <c r="D25" i="68"/>
  <c r="E25" i="68"/>
  <c r="F25" i="68"/>
  <c r="H25" i="68"/>
  <c r="E25" i="45" s="1"/>
  <c r="C25" i="71"/>
  <c r="D25" i="71"/>
  <c r="E25" i="71"/>
  <c r="F25" i="71"/>
  <c r="H25" i="71"/>
  <c r="H25" i="45" s="1"/>
  <c r="G24" i="69"/>
  <c r="AB22" i="45" a="1"/>
  <c r="AM22" i="45" a="1"/>
  <c r="Q23" i="45"/>
  <c r="S23" i="45"/>
  <c r="X23" i="45"/>
  <c r="Y23" i="45"/>
  <c r="R23" i="45"/>
  <c r="W23" i="45"/>
  <c r="I23" i="72"/>
  <c r="U23" i="45"/>
  <c r="G24" i="68"/>
  <c r="I24" i="68" s="1"/>
  <c r="G24" i="70"/>
  <c r="I24" i="70" s="1"/>
  <c r="G24" i="72"/>
  <c r="I24" i="72" s="1"/>
  <c r="G24" i="46"/>
  <c r="I24" i="46" s="1"/>
  <c r="G24" i="67"/>
  <c r="G24" i="73"/>
  <c r="I24" i="73" s="1"/>
  <c r="G24" i="71"/>
  <c r="Y24" i="45" l="1"/>
  <c r="I24" i="74"/>
  <c r="AL27" i="33"/>
  <c r="B27" i="45"/>
  <c r="P27" i="45"/>
  <c r="AA27" i="45" s="1"/>
  <c r="AL27" i="45" s="1"/>
  <c r="A27" i="56"/>
  <c r="B27" i="67"/>
  <c r="B27" i="72"/>
  <c r="B27" i="73"/>
  <c r="B27" i="74"/>
  <c r="B27" i="46"/>
  <c r="B27" i="68"/>
  <c r="B27" i="69"/>
  <c r="B27" i="70"/>
  <c r="B27" i="71"/>
  <c r="C26" i="67"/>
  <c r="D26" i="67"/>
  <c r="E26" i="67"/>
  <c r="F26" i="67"/>
  <c r="H26" i="67"/>
  <c r="D26" i="45" s="1"/>
  <c r="C26" i="68"/>
  <c r="D26" i="68"/>
  <c r="E26" i="68"/>
  <c r="F26" i="68"/>
  <c r="H26" i="68"/>
  <c r="E26" i="45" s="1"/>
  <c r="C26" i="69"/>
  <c r="D26" i="69"/>
  <c r="E26" i="69"/>
  <c r="F26" i="69"/>
  <c r="H26" i="69"/>
  <c r="F26" i="45" s="1"/>
  <c r="C26" i="70"/>
  <c r="D26" i="70"/>
  <c r="E26" i="70"/>
  <c r="F26" i="70"/>
  <c r="H26" i="70"/>
  <c r="G26" i="45" s="1"/>
  <c r="C26" i="71"/>
  <c r="D26" i="71"/>
  <c r="E26" i="71"/>
  <c r="F26" i="71"/>
  <c r="H26" i="71"/>
  <c r="H26" i="45" s="1"/>
  <c r="C26" i="72"/>
  <c r="D26" i="72"/>
  <c r="E26" i="72"/>
  <c r="F26" i="72"/>
  <c r="H26" i="72"/>
  <c r="I26" i="45" s="1"/>
  <c r="C26" i="73"/>
  <c r="D26" i="73"/>
  <c r="E26" i="73"/>
  <c r="F26" i="73"/>
  <c r="H26" i="73"/>
  <c r="J26" i="45" s="1"/>
  <c r="C26" i="74"/>
  <c r="D26" i="74"/>
  <c r="E26" i="74"/>
  <c r="F26" i="74"/>
  <c r="H26" i="74"/>
  <c r="K26" i="45" s="1"/>
  <c r="C26" i="46"/>
  <c r="D26" i="46"/>
  <c r="E26" i="46"/>
  <c r="F26" i="46"/>
  <c r="H26" i="46"/>
  <c r="C26" i="45" s="1"/>
  <c r="I24" i="69"/>
  <c r="T24" i="45"/>
  <c r="AB23" i="45" a="1"/>
  <c r="AM23" i="45" a="1"/>
  <c r="S24" i="45"/>
  <c r="U24" i="45"/>
  <c r="W24" i="45"/>
  <c r="Q24" i="45"/>
  <c r="R24" i="45"/>
  <c r="X24" i="45"/>
  <c r="V24" i="45"/>
  <c r="I24" i="71"/>
  <c r="G25" i="74"/>
  <c r="G25" i="46"/>
  <c r="I25" i="46" s="1"/>
  <c r="G25" i="67"/>
  <c r="G25" i="68"/>
  <c r="I25" i="68" s="1"/>
  <c r="G25" i="73"/>
  <c r="I25" i="73" s="1"/>
  <c r="G25" i="71"/>
  <c r="I25" i="71" s="1"/>
  <c r="G25" i="69"/>
  <c r="I25" i="69" s="1"/>
  <c r="G25" i="70"/>
  <c r="I25" i="70" s="1"/>
  <c r="G25" i="72"/>
  <c r="I25" i="72" s="1"/>
  <c r="I24" i="67"/>
  <c r="G26" i="46" l="1"/>
  <c r="AL28" i="33"/>
  <c r="B28" i="45"/>
  <c r="P28" i="45"/>
  <c r="AA28" i="45" s="1"/>
  <c r="AL28" i="45" s="1"/>
  <c r="A28" i="56"/>
  <c r="B28" i="67"/>
  <c r="B28" i="69"/>
  <c r="B28" i="70"/>
  <c r="B28" i="72"/>
  <c r="B28" i="73"/>
  <c r="B28" i="74"/>
  <c r="B28" i="46"/>
  <c r="B28" i="68"/>
  <c r="B28" i="71"/>
  <c r="C27" i="67"/>
  <c r="D27" i="67"/>
  <c r="E27" i="67"/>
  <c r="F27" i="67"/>
  <c r="H27" i="67"/>
  <c r="D27" i="45" s="1"/>
  <c r="C27" i="72"/>
  <c r="D27" i="72"/>
  <c r="E27" i="72"/>
  <c r="F27" i="72"/>
  <c r="H27" i="72"/>
  <c r="I27" i="45" s="1"/>
  <c r="C27" i="73"/>
  <c r="D27" i="73"/>
  <c r="E27" i="73"/>
  <c r="F27" i="73"/>
  <c r="H27" i="73"/>
  <c r="J27" i="45" s="1"/>
  <c r="C27" i="74"/>
  <c r="D27" i="74"/>
  <c r="E27" i="74"/>
  <c r="F27" i="74"/>
  <c r="H27" i="74"/>
  <c r="K27" i="45" s="1"/>
  <c r="H27" i="46"/>
  <c r="C27" i="45" s="1"/>
  <c r="C27" i="46"/>
  <c r="D27" i="46"/>
  <c r="E27" i="46"/>
  <c r="F27" i="46"/>
  <c r="C27" i="68"/>
  <c r="D27" i="68"/>
  <c r="E27" i="68"/>
  <c r="F27" i="68"/>
  <c r="H27" i="68"/>
  <c r="E27" i="45" s="1"/>
  <c r="C27" i="69"/>
  <c r="D27" i="69"/>
  <c r="E27" i="69"/>
  <c r="F27" i="69"/>
  <c r="H27" i="69"/>
  <c r="F27" i="45" s="1"/>
  <c r="C27" i="70"/>
  <c r="D27" i="70"/>
  <c r="E27" i="70"/>
  <c r="F27" i="70"/>
  <c r="H27" i="70"/>
  <c r="G27" i="45" s="1"/>
  <c r="C27" i="71"/>
  <c r="D27" i="71"/>
  <c r="E27" i="71"/>
  <c r="F27" i="71"/>
  <c r="H27" i="71"/>
  <c r="H27" i="45" s="1"/>
  <c r="AB24" i="45" a="1"/>
  <c r="AM24" i="45" a="1"/>
  <c r="Y25" i="45"/>
  <c r="I25" i="74"/>
  <c r="Q25" i="45"/>
  <c r="R25" i="45"/>
  <c r="S25" i="45"/>
  <c r="X25" i="45"/>
  <c r="V25" i="45"/>
  <c r="T25" i="45"/>
  <c r="U25" i="45"/>
  <c r="W25" i="45"/>
  <c r="G26" i="70"/>
  <c r="I26" i="70" s="1"/>
  <c r="G26" i="67"/>
  <c r="I26" i="67" s="1"/>
  <c r="G26" i="71"/>
  <c r="I26" i="71" s="1"/>
  <c r="G26" i="72"/>
  <c r="I26" i="72" s="1"/>
  <c r="G26" i="73"/>
  <c r="I26" i="73" s="1"/>
  <c r="G26" i="68"/>
  <c r="I26" i="68" s="1"/>
  <c r="G26" i="69"/>
  <c r="I26" i="69" s="1"/>
  <c r="G26" i="74"/>
  <c r="I26" i="74" s="1"/>
  <c r="I25" i="67"/>
  <c r="Q26" i="45" l="1"/>
  <c r="I26" i="46"/>
  <c r="AL29" i="33"/>
  <c r="B29" i="45"/>
  <c r="P29" i="45"/>
  <c r="AA29" i="45" s="1"/>
  <c r="AL29" i="45" s="1"/>
  <c r="A29" i="56"/>
  <c r="B29" i="46"/>
  <c r="B29" i="67"/>
  <c r="B29" i="68"/>
  <c r="B29" i="71"/>
  <c r="B29" i="72"/>
  <c r="B29" i="73"/>
  <c r="B29" i="74"/>
  <c r="B29" i="69"/>
  <c r="B29" i="70"/>
  <c r="C28" i="67"/>
  <c r="D28" i="67"/>
  <c r="E28" i="67"/>
  <c r="F28" i="67"/>
  <c r="H28" i="67"/>
  <c r="D28" i="45" s="1"/>
  <c r="C28" i="69"/>
  <c r="D28" i="69"/>
  <c r="E28" i="69"/>
  <c r="F28" i="69"/>
  <c r="H28" i="69"/>
  <c r="F28" i="45" s="1"/>
  <c r="C28" i="70"/>
  <c r="D28" i="70"/>
  <c r="E28" i="70"/>
  <c r="F28" i="70"/>
  <c r="H28" i="70"/>
  <c r="G28" i="45" s="1"/>
  <c r="C28" i="72"/>
  <c r="D28" i="72"/>
  <c r="E28" i="72"/>
  <c r="F28" i="72"/>
  <c r="H28" i="72"/>
  <c r="I28" i="45" s="1"/>
  <c r="C28" i="73"/>
  <c r="D28" i="73"/>
  <c r="E28" i="73"/>
  <c r="F28" i="73"/>
  <c r="H28" i="73"/>
  <c r="J28" i="45" s="1"/>
  <c r="C28" i="74"/>
  <c r="D28" i="74"/>
  <c r="E28" i="74"/>
  <c r="F28" i="74"/>
  <c r="H28" i="74"/>
  <c r="K28" i="45" s="1"/>
  <c r="C28" i="46"/>
  <c r="D28" i="46"/>
  <c r="E28" i="46"/>
  <c r="F28" i="46"/>
  <c r="H28" i="46"/>
  <c r="C28" i="45" s="1"/>
  <c r="E28" i="68"/>
  <c r="C28" i="68"/>
  <c r="D28" i="68"/>
  <c r="F28" i="68"/>
  <c r="H28" i="68"/>
  <c r="E28" i="45" s="1"/>
  <c r="C28" i="71"/>
  <c r="D28" i="71"/>
  <c r="E28" i="71"/>
  <c r="F28" i="71"/>
  <c r="H28" i="71"/>
  <c r="H28" i="45" s="1"/>
  <c r="G27" i="46"/>
  <c r="AB25" i="45" a="1"/>
  <c r="AM25" i="45" a="1"/>
  <c r="U26" i="45"/>
  <c r="R26" i="45"/>
  <c r="V26" i="45"/>
  <c r="W26" i="45"/>
  <c r="X26" i="45"/>
  <c r="S26" i="45"/>
  <c r="T26" i="45"/>
  <c r="Y26" i="45"/>
  <c r="G27" i="67"/>
  <c r="I27" i="67" s="1"/>
  <c r="G27" i="72"/>
  <c r="I27" i="72" s="1"/>
  <c r="G27" i="73"/>
  <c r="I27" i="73" s="1"/>
  <c r="G27" i="74"/>
  <c r="I27" i="74" s="1"/>
  <c r="G27" i="68"/>
  <c r="I27" i="68" s="1"/>
  <c r="G27" i="69"/>
  <c r="I27" i="69" s="1"/>
  <c r="G27" i="71"/>
  <c r="I27" i="71" s="1"/>
  <c r="G27" i="70"/>
  <c r="I27" i="70" s="1"/>
  <c r="G28" i="69" l="1"/>
  <c r="AL30" i="33"/>
  <c r="B30" i="45"/>
  <c r="P30" i="45"/>
  <c r="AA30" i="45" s="1"/>
  <c r="AL30" i="45" s="1"/>
  <c r="A30" i="56"/>
  <c r="B30" i="67"/>
  <c r="B30" i="68"/>
  <c r="B30" i="69"/>
  <c r="B30" i="70"/>
  <c r="B30" i="72"/>
  <c r="B30" i="73"/>
  <c r="B30" i="74"/>
  <c r="B30" i="46"/>
  <c r="B30" i="71"/>
  <c r="C29" i="46"/>
  <c r="D29" i="46"/>
  <c r="E29" i="46"/>
  <c r="F29" i="46"/>
  <c r="H29" i="46"/>
  <c r="C29" i="45" s="1"/>
  <c r="C29" i="67"/>
  <c r="D29" i="67"/>
  <c r="E29" i="67"/>
  <c r="F29" i="67"/>
  <c r="H29" i="67"/>
  <c r="D29" i="45" s="1"/>
  <c r="C29" i="68"/>
  <c r="D29" i="68"/>
  <c r="E29" i="68"/>
  <c r="F29" i="68"/>
  <c r="H29" i="68"/>
  <c r="E29" i="45" s="1"/>
  <c r="C29" i="71"/>
  <c r="D29" i="71"/>
  <c r="E29" i="71"/>
  <c r="F29" i="71"/>
  <c r="H29" i="71"/>
  <c r="H29" i="45" s="1"/>
  <c r="C29" i="72"/>
  <c r="D29" i="72"/>
  <c r="E29" i="72"/>
  <c r="F29" i="72"/>
  <c r="H29" i="72"/>
  <c r="I29" i="45" s="1"/>
  <c r="C29" i="73"/>
  <c r="D29" i="73"/>
  <c r="E29" i="73"/>
  <c r="F29" i="73"/>
  <c r="H29" i="73"/>
  <c r="J29" i="45" s="1"/>
  <c r="C29" i="74"/>
  <c r="D29" i="74"/>
  <c r="E29" i="74"/>
  <c r="F29" i="74"/>
  <c r="H29" i="74"/>
  <c r="K29" i="45" s="1"/>
  <c r="C29" i="69"/>
  <c r="D29" i="69"/>
  <c r="E29" i="69"/>
  <c r="F29" i="69"/>
  <c r="H29" i="69"/>
  <c r="F29" i="45" s="1"/>
  <c r="C29" i="70"/>
  <c r="D29" i="70"/>
  <c r="E29" i="70"/>
  <c r="F29" i="70"/>
  <c r="H29" i="70"/>
  <c r="G29" i="45" s="1"/>
  <c r="I27" i="46"/>
  <c r="Q27" i="45"/>
  <c r="R27" i="45"/>
  <c r="W27" i="45"/>
  <c r="X27" i="45"/>
  <c r="Y27" i="45"/>
  <c r="S27" i="45"/>
  <c r="T27" i="45"/>
  <c r="V27" i="45"/>
  <c r="U27" i="45"/>
  <c r="G28" i="67"/>
  <c r="G28" i="70"/>
  <c r="I28" i="70" s="1"/>
  <c r="G28" i="72"/>
  <c r="I28" i="72" s="1"/>
  <c r="G28" i="73"/>
  <c r="I28" i="73" s="1"/>
  <c r="G28" i="74"/>
  <c r="I28" i="74" s="1"/>
  <c r="G28" i="68"/>
  <c r="I28" i="68" s="1"/>
  <c r="G28" i="46"/>
  <c r="I28" i="46" s="1"/>
  <c r="G28" i="71"/>
  <c r="I28" i="71" s="1"/>
  <c r="AM26" i="45" a="1"/>
  <c r="AB26" i="45" a="1"/>
  <c r="T28" i="45" l="1"/>
  <c r="I28" i="69"/>
  <c r="AL31" i="33"/>
  <c r="B31" i="45"/>
  <c r="P31" i="45"/>
  <c r="AA31" i="45" s="1"/>
  <c r="AL31" i="45" s="1"/>
  <c r="A31" i="56"/>
  <c r="B31" i="67"/>
  <c r="B31" i="69"/>
  <c r="B31" i="71"/>
  <c r="B31" i="72"/>
  <c r="B31" i="73"/>
  <c r="B31" i="74"/>
  <c r="B31" i="46"/>
  <c r="B31" i="68"/>
  <c r="B31" i="70"/>
  <c r="C30" i="67"/>
  <c r="D30" i="67"/>
  <c r="E30" i="67"/>
  <c r="F30" i="67"/>
  <c r="H30" i="67"/>
  <c r="D30" i="45" s="1"/>
  <c r="C30" i="68"/>
  <c r="D30" i="68"/>
  <c r="E30" i="68"/>
  <c r="F30" i="68"/>
  <c r="H30" i="68"/>
  <c r="E30" i="45" s="1"/>
  <c r="C30" i="69"/>
  <c r="D30" i="69"/>
  <c r="E30" i="69"/>
  <c r="F30" i="69"/>
  <c r="H30" i="69"/>
  <c r="F30" i="45" s="1"/>
  <c r="C30" i="70"/>
  <c r="D30" i="70"/>
  <c r="E30" i="70"/>
  <c r="F30" i="70"/>
  <c r="H30" i="70"/>
  <c r="G30" i="45" s="1"/>
  <c r="C30" i="72"/>
  <c r="D30" i="72"/>
  <c r="E30" i="72"/>
  <c r="F30" i="72"/>
  <c r="H30" i="72"/>
  <c r="I30" i="45" s="1"/>
  <c r="C30" i="73"/>
  <c r="D30" i="73"/>
  <c r="E30" i="73"/>
  <c r="F30" i="73"/>
  <c r="H30" i="73"/>
  <c r="J30" i="45" s="1"/>
  <c r="C30" i="74"/>
  <c r="D30" i="74"/>
  <c r="E30" i="74"/>
  <c r="F30" i="74"/>
  <c r="H30" i="74"/>
  <c r="K30" i="45" s="1"/>
  <c r="C30" i="46"/>
  <c r="D30" i="46"/>
  <c r="E30" i="46"/>
  <c r="F30" i="46"/>
  <c r="H30" i="46"/>
  <c r="C30" i="45" s="1"/>
  <c r="C30" i="71"/>
  <c r="D30" i="71"/>
  <c r="E30" i="71"/>
  <c r="F30" i="71"/>
  <c r="H30" i="71"/>
  <c r="H30" i="45" s="1"/>
  <c r="AB27" i="45" a="1"/>
  <c r="AM27" i="45" a="1"/>
  <c r="R28" i="45"/>
  <c r="U28" i="45"/>
  <c r="W28" i="45"/>
  <c r="X28" i="45"/>
  <c r="Y28" i="45"/>
  <c r="S28" i="45"/>
  <c r="Q28" i="45"/>
  <c r="V28" i="45"/>
  <c r="G29" i="46"/>
  <c r="I29" i="46" s="1"/>
  <c r="G29" i="67"/>
  <c r="G29" i="68"/>
  <c r="I29" i="68" s="1"/>
  <c r="G29" i="71"/>
  <c r="I29" i="71" s="1"/>
  <c r="G29" i="72"/>
  <c r="I29" i="72" s="1"/>
  <c r="G29" i="73"/>
  <c r="I29" i="73" s="1"/>
  <c r="G29" i="69"/>
  <c r="G29" i="70"/>
  <c r="I29" i="70" s="1"/>
  <c r="G29" i="74"/>
  <c r="I29" i="74" s="1"/>
  <c r="I28" i="67"/>
  <c r="G30" i="67" l="1"/>
  <c r="AL32" i="33"/>
  <c r="B32" i="45"/>
  <c r="P32" i="45"/>
  <c r="AA32" i="45" s="1"/>
  <c r="AL32" i="45" s="1"/>
  <c r="A32" i="56"/>
  <c r="B32" i="46"/>
  <c r="B32" i="67"/>
  <c r="B32" i="69"/>
  <c r="B32" i="72"/>
  <c r="B32" i="73"/>
  <c r="B32" i="74"/>
  <c r="B32" i="68"/>
  <c r="B32" i="70"/>
  <c r="B32" i="71"/>
  <c r="C31" i="67"/>
  <c r="D31" i="67"/>
  <c r="E31" i="67"/>
  <c r="F31" i="67"/>
  <c r="H31" i="67"/>
  <c r="D31" i="45" s="1"/>
  <c r="C31" i="69"/>
  <c r="D31" i="69"/>
  <c r="E31" i="69"/>
  <c r="F31" i="69"/>
  <c r="H31" i="69"/>
  <c r="F31" i="45" s="1"/>
  <c r="C31" i="71"/>
  <c r="D31" i="71"/>
  <c r="E31" i="71"/>
  <c r="F31" i="71"/>
  <c r="H31" i="71"/>
  <c r="H31" i="45" s="1"/>
  <c r="C31" i="72"/>
  <c r="D31" i="72"/>
  <c r="E31" i="72"/>
  <c r="F31" i="72"/>
  <c r="H31" i="72"/>
  <c r="I31" i="45" s="1"/>
  <c r="C31" i="73"/>
  <c r="D31" i="73"/>
  <c r="E31" i="73"/>
  <c r="F31" i="73"/>
  <c r="H31" i="73"/>
  <c r="J31" i="45" s="1"/>
  <c r="C31" i="74"/>
  <c r="D31" i="74"/>
  <c r="E31" i="74"/>
  <c r="F31" i="74"/>
  <c r="H31" i="74"/>
  <c r="K31" i="45" s="1"/>
  <c r="C31" i="46"/>
  <c r="D31" i="46"/>
  <c r="E31" i="46"/>
  <c r="F31" i="46"/>
  <c r="H31" i="46"/>
  <c r="C31" i="45" s="1"/>
  <c r="C31" i="68"/>
  <c r="D31" i="68"/>
  <c r="E31" i="68"/>
  <c r="F31" i="68"/>
  <c r="H31" i="68"/>
  <c r="E31" i="45" s="1"/>
  <c r="H31" i="70"/>
  <c r="G31" i="45" s="1"/>
  <c r="C31" i="70"/>
  <c r="D31" i="70"/>
  <c r="E31" i="70"/>
  <c r="F31" i="70"/>
  <c r="AB28" i="45" a="1"/>
  <c r="AM28" i="45" a="1"/>
  <c r="Q29" i="45"/>
  <c r="R29" i="45"/>
  <c r="S29" i="45"/>
  <c r="V29" i="45"/>
  <c r="W29" i="45"/>
  <c r="X29" i="45"/>
  <c r="T29" i="45"/>
  <c r="I29" i="69"/>
  <c r="U29" i="45"/>
  <c r="Y29" i="45"/>
  <c r="G30" i="68"/>
  <c r="I30" i="68" s="1"/>
  <c r="G30" i="72"/>
  <c r="I30" i="72" s="1"/>
  <c r="G30" i="69"/>
  <c r="I30" i="69" s="1"/>
  <c r="G30" i="70"/>
  <c r="I30" i="70" s="1"/>
  <c r="G30" i="73"/>
  <c r="I30" i="73" s="1"/>
  <c r="G30" i="74"/>
  <c r="I30" i="74" s="1"/>
  <c r="G30" i="46"/>
  <c r="I30" i="46" s="1"/>
  <c r="G30" i="71"/>
  <c r="I30" i="71" s="1"/>
  <c r="I29" i="67"/>
  <c r="R30" i="45" l="1"/>
  <c r="I30" i="67"/>
  <c r="G31" i="67"/>
  <c r="G31" i="73"/>
  <c r="AL33" i="33"/>
  <c r="B33" i="45"/>
  <c r="P33" i="45"/>
  <c r="AA33" i="45" s="1"/>
  <c r="AL33" i="45" s="1"/>
  <c r="A33" i="56"/>
  <c r="B33" i="46"/>
  <c r="B33" i="67"/>
  <c r="B33" i="68"/>
  <c r="B33" i="69"/>
  <c r="B33" i="70"/>
  <c r="B33" i="71"/>
  <c r="B33" i="72"/>
  <c r="B33" i="73"/>
  <c r="B33" i="74"/>
  <c r="C32" i="46"/>
  <c r="D32" i="46"/>
  <c r="E32" i="46"/>
  <c r="F32" i="46"/>
  <c r="H32" i="46"/>
  <c r="C32" i="45" s="1"/>
  <c r="C32" i="67"/>
  <c r="D32" i="67"/>
  <c r="E32" i="67"/>
  <c r="F32" i="67"/>
  <c r="H32" i="67"/>
  <c r="D32" i="45" s="1"/>
  <c r="D32" i="69"/>
  <c r="H32" i="69"/>
  <c r="F32" i="45" s="1"/>
  <c r="C32" i="69"/>
  <c r="E32" i="69"/>
  <c r="F32" i="69"/>
  <c r="C32" i="72"/>
  <c r="D32" i="72"/>
  <c r="E32" i="72"/>
  <c r="F32" i="72"/>
  <c r="H32" i="72"/>
  <c r="I32" i="45" s="1"/>
  <c r="C32" i="73"/>
  <c r="D32" i="73"/>
  <c r="E32" i="73"/>
  <c r="F32" i="73"/>
  <c r="H32" i="73"/>
  <c r="J32" i="45" s="1"/>
  <c r="C32" i="74"/>
  <c r="D32" i="74"/>
  <c r="E32" i="74"/>
  <c r="F32" i="74"/>
  <c r="H32" i="74"/>
  <c r="K32" i="45" s="1"/>
  <c r="C32" i="68"/>
  <c r="D32" i="68"/>
  <c r="E32" i="68"/>
  <c r="F32" i="68"/>
  <c r="H32" i="68"/>
  <c r="E32" i="45" s="1"/>
  <c r="C32" i="70"/>
  <c r="D32" i="70"/>
  <c r="E32" i="70"/>
  <c r="F32" i="70"/>
  <c r="H32" i="70"/>
  <c r="G32" i="45" s="1"/>
  <c r="C32" i="71"/>
  <c r="D32" i="71"/>
  <c r="E32" i="71"/>
  <c r="F32" i="71"/>
  <c r="H32" i="71"/>
  <c r="H32" i="45" s="1"/>
  <c r="AB29" i="45" a="1"/>
  <c r="AM29" i="45" a="1"/>
  <c r="S30" i="45"/>
  <c r="W30" i="45"/>
  <c r="T30" i="45"/>
  <c r="U30" i="45"/>
  <c r="X30" i="45"/>
  <c r="Y30" i="45"/>
  <c r="Q30" i="45"/>
  <c r="V30" i="45"/>
  <c r="G31" i="69"/>
  <c r="I31" i="69" s="1"/>
  <c r="G31" i="71"/>
  <c r="I31" i="71" s="1"/>
  <c r="G31" i="72"/>
  <c r="I31" i="72" s="1"/>
  <c r="G31" i="74"/>
  <c r="I31" i="74" s="1"/>
  <c r="G31" i="46"/>
  <c r="I31" i="46" s="1"/>
  <c r="G31" i="68"/>
  <c r="I31" i="68" s="1"/>
  <c r="G31" i="70"/>
  <c r="I31" i="70" s="1"/>
  <c r="I31" i="67" l="1"/>
  <c r="R31" i="45"/>
  <c r="I31" i="73"/>
  <c r="X31" i="45"/>
  <c r="G32" i="46"/>
  <c r="AL34" i="33"/>
  <c r="B34" i="45"/>
  <c r="P34" i="45"/>
  <c r="AA34" i="45" s="1"/>
  <c r="AL34" i="45" s="1"/>
  <c r="A34" i="56"/>
  <c r="B34" i="67"/>
  <c r="B34" i="68"/>
  <c r="B34" i="69"/>
  <c r="B34" i="70"/>
  <c r="B34" i="71"/>
  <c r="B34" i="72"/>
  <c r="B34" i="73"/>
  <c r="B34" i="74"/>
  <c r="B34" i="46"/>
  <c r="C33" i="46"/>
  <c r="D33" i="46"/>
  <c r="E33" i="46"/>
  <c r="F33" i="46"/>
  <c r="H33" i="46"/>
  <c r="C33" i="45" s="1"/>
  <c r="C33" i="67"/>
  <c r="D33" i="67"/>
  <c r="E33" i="67"/>
  <c r="F33" i="67"/>
  <c r="H33" i="67"/>
  <c r="D33" i="45" s="1"/>
  <c r="C33" i="68"/>
  <c r="D33" i="68"/>
  <c r="E33" i="68"/>
  <c r="F33" i="68"/>
  <c r="H33" i="68"/>
  <c r="E33" i="45" s="1"/>
  <c r="C33" i="69"/>
  <c r="D33" i="69"/>
  <c r="E33" i="69"/>
  <c r="F33" i="69"/>
  <c r="H33" i="69"/>
  <c r="F33" i="45" s="1"/>
  <c r="C33" i="70"/>
  <c r="D33" i="70"/>
  <c r="E33" i="70"/>
  <c r="F33" i="70"/>
  <c r="H33" i="70"/>
  <c r="G33" i="45" s="1"/>
  <c r="C33" i="71"/>
  <c r="D33" i="71"/>
  <c r="E33" i="71"/>
  <c r="F33" i="71"/>
  <c r="H33" i="71"/>
  <c r="H33" i="45" s="1"/>
  <c r="C33" i="72"/>
  <c r="D33" i="72"/>
  <c r="E33" i="72"/>
  <c r="F33" i="72"/>
  <c r="H33" i="72"/>
  <c r="I33" i="45" s="1"/>
  <c r="C33" i="73"/>
  <c r="D33" i="73"/>
  <c r="E33" i="73"/>
  <c r="F33" i="73"/>
  <c r="H33" i="73"/>
  <c r="J33" i="45" s="1"/>
  <c r="C33" i="74"/>
  <c r="D33" i="74"/>
  <c r="E33" i="74"/>
  <c r="F33" i="74"/>
  <c r="H33" i="74"/>
  <c r="K33" i="45" s="1"/>
  <c r="AB30" i="45" a="1"/>
  <c r="AM30" i="45" a="1"/>
  <c r="T31" i="45"/>
  <c r="V31" i="45"/>
  <c r="W31" i="45"/>
  <c r="Y31" i="45"/>
  <c r="Q31" i="45"/>
  <c r="S31" i="45"/>
  <c r="U31" i="45"/>
  <c r="G32" i="67"/>
  <c r="G32" i="73"/>
  <c r="G32" i="69"/>
  <c r="I32" i="69" s="1"/>
  <c r="G32" i="72"/>
  <c r="I32" i="72" s="1"/>
  <c r="G32" i="74"/>
  <c r="I32" i="74" s="1"/>
  <c r="G32" i="68"/>
  <c r="I32" i="68" s="1"/>
  <c r="G32" i="70"/>
  <c r="I32" i="70" s="1"/>
  <c r="G32" i="71"/>
  <c r="I32" i="71" s="1"/>
  <c r="Q32" i="45" l="1"/>
  <c r="I32" i="46"/>
  <c r="G33" i="70"/>
  <c r="I33" i="70" s="1"/>
  <c r="AL35" i="33"/>
  <c r="B35" i="45"/>
  <c r="P35" i="45"/>
  <c r="AA35" i="45" s="1"/>
  <c r="AL35" i="45" s="1"/>
  <c r="A35" i="56"/>
  <c r="B35" i="67"/>
  <c r="B35" i="69"/>
  <c r="B35" i="71"/>
  <c r="B35" i="72"/>
  <c r="B35" i="73"/>
  <c r="B35" i="74"/>
  <c r="B35" i="46"/>
  <c r="B35" i="68"/>
  <c r="B35" i="70"/>
  <c r="C34" i="67"/>
  <c r="D34" i="67"/>
  <c r="E34" i="67"/>
  <c r="F34" i="67"/>
  <c r="H34" i="67"/>
  <c r="D34" i="45" s="1"/>
  <c r="C34" i="68"/>
  <c r="D34" i="68"/>
  <c r="E34" i="68"/>
  <c r="F34" i="68"/>
  <c r="H34" i="68"/>
  <c r="E34" i="45" s="1"/>
  <c r="C34" i="69"/>
  <c r="D34" i="69"/>
  <c r="E34" i="69"/>
  <c r="F34" i="69"/>
  <c r="H34" i="69"/>
  <c r="F34" i="45" s="1"/>
  <c r="C34" i="70"/>
  <c r="D34" i="70"/>
  <c r="E34" i="70"/>
  <c r="F34" i="70"/>
  <c r="H34" i="70"/>
  <c r="G34" i="45" s="1"/>
  <c r="C34" i="71"/>
  <c r="D34" i="71"/>
  <c r="E34" i="71"/>
  <c r="F34" i="71"/>
  <c r="H34" i="71"/>
  <c r="H34" i="45" s="1"/>
  <c r="C34" i="72"/>
  <c r="D34" i="72"/>
  <c r="E34" i="72"/>
  <c r="F34" i="72"/>
  <c r="H34" i="72"/>
  <c r="I34" i="45" s="1"/>
  <c r="C34" i="73"/>
  <c r="D34" i="73"/>
  <c r="E34" i="73"/>
  <c r="F34" i="73"/>
  <c r="H34" i="73"/>
  <c r="J34" i="45" s="1"/>
  <c r="C34" i="74"/>
  <c r="D34" i="74"/>
  <c r="E34" i="74"/>
  <c r="F34" i="74"/>
  <c r="H34" i="74"/>
  <c r="K34" i="45" s="1"/>
  <c r="C34" i="46"/>
  <c r="D34" i="46"/>
  <c r="E34" i="46"/>
  <c r="F34" i="46"/>
  <c r="H34" i="46"/>
  <c r="C34" i="45" s="1"/>
  <c r="G33" i="46"/>
  <c r="U33" i="45"/>
  <c r="AB31" i="45" a="1"/>
  <c r="AM31" i="45" a="1"/>
  <c r="R32" i="45"/>
  <c r="I32" i="67"/>
  <c r="X32" i="45"/>
  <c r="I32" i="73"/>
  <c r="T32" i="45"/>
  <c r="W32" i="45"/>
  <c r="Y32" i="45"/>
  <c r="S32" i="45"/>
  <c r="U32" i="45"/>
  <c r="V32" i="45"/>
  <c r="G33" i="67"/>
  <c r="G33" i="68"/>
  <c r="I33" i="68" s="1"/>
  <c r="G33" i="69"/>
  <c r="I33" i="69" s="1"/>
  <c r="G33" i="73"/>
  <c r="I33" i="73" s="1"/>
  <c r="G33" i="71"/>
  <c r="I33" i="71" s="1"/>
  <c r="G33" i="72"/>
  <c r="I33" i="72" s="1"/>
  <c r="G33" i="74"/>
  <c r="I33" i="74" s="1"/>
  <c r="G34" i="67" l="1"/>
  <c r="G34" i="72"/>
  <c r="AL36" i="33"/>
  <c r="B36" i="45"/>
  <c r="P36" i="45"/>
  <c r="AA36" i="45" s="1"/>
  <c r="AL36" i="45" s="1"/>
  <c r="A36" i="56"/>
  <c r="B36" i="67"/>
  <c r="B36" i="69"/>
  <c r="B36" i="70"/>
  <c r="B36" i="72"/>
  <c r="B36" i="73"/>
  <c r="B36" i="74"/>
  <c r="B36" i="46"/>
  <c r="B36" i="68"/>
  <c r="B36" i="71"/>
  <c r="C35" i="45"/>
  <c r="D35" i="45"/>
  <c r="E35" i="45"/>
  <c r="F35" i="45"/>
  <c r="G35" i="45"/>
  <c r="H35" i="45"/>
  <c r="I35" i="45"/>
  <c r="J35" i="45"/>
  <c r="K35" i="45"/>
  <c r="C35" i="67"/>
  <c r="D35" i="67"/>
  <c r="E35" i="67"/>
  <c r="F35" i="67"/>
  <c r="H35" i="67"/>
  <c r="C35" i="69"/>
  <c r="D35" i="69"/>
  <c r="E35" i="69"/>
  <c r="F35" i="69"/>
  <c r="H35" i="69"/>
  <c r="C35" i="71"/>
  <c r="D35" i="71"/>
  <c r="E35" i="71"/>
  <c r="F35" i="71"/>
  <c r="H35" i="71"/>
  <c r="C35" i="72"/>
  <c r="D35" i="72"/>
  <c r="E35" i="72"/>
  <c r="F35" i="72"/>
  <c r="H35" i="72"/>
  <c r="C35" i="73"/>
  <c r="D35" i="73"/>
  <c r="E35" i="73"/>
  <c r="F35" i="73"/>
  <c r="H35" i="73"/>
  <c r="C35" i="74"/>
  <c r="D35" i="74"/>
  <c r="E35" i="74"/>
  <c r="F35" i="74"/>
  <c r="H35" i="74"/>
  <c r="C35" i="46"/>
  <c r="D35" i="46"/>
  <c r="E35" i="46"/>
  <c r="F35" i="46"/>
  <c r="H35" i="46"/>
  <c r="C35" i="68"/>
  <c r="D35" i="68"/>
  <c r="E35" i="68"/>
  <c r="F35" i="68"/>
  <c r="H35" i="68"/>
  <c r="C35" i="70"/>
  <c r="D35" i="70"/>
  <c r="E35" i="70"/>
  <c r="F35" i="70"/>
  <c r="H35" i="70"/>
  <c r="I33" i="46"/>
  <c r="Q33" i="45"/>
  <c r="R33" i="45"/>
  <c r="S33" i="45"/>
  <c r="T33" i="45"/>
  <c r="X33" i="45"/>
  <c r="V33" i="45"/>
  <c r="W33" i="45"/>
  <c r="Y33" i="45"/>
  <c r="G34" i="68"/>
  <c r="I34" i="68" s="1"/>
  <c r="G34" i="46"/>
  <c r="I34" i="46" s="1"/>
  <c r="G34" i="69"/>
  <c r="I34" i="69" s="1"/>
  <c r="G34" i="70"/>
  <c r="G34" i="71"/>
  <c r="I34" i="71" s="1"/>
  <c r="G34" i="73"/>
  <c r="I34" i="73" s="1"/>
  <c r="G34" i="74"/>
  <c r="I34" i="74" s="1"/>
  <c r="AM32" i="45" a="1"/>
  <c r="AB32" i="45" a="1"/>
  <c r="I33" i="67"/>
  <c r="R34" i="45" l="1"/>
  <c r="I34" i="67"/>
  <c r="I34" i="72"/>
  <c r="W34" i="45"/>
  <c r="AL37" i="33"/>
  <c r="B37" i="45"/>
  <c r="P37" i="45"/>
  <c r="AA37" i="45" s="1"/>
  <c r="AL37" i="45" s="1"/>
  <c r="A37" i="56"/>
  <c r="B37" i="67"/>
  <c r="B37" i="69"/>
  <c r="B37" i="72"/>
  <c r="B37" i="73"/>
  <c r="B37" i="74"/>
  <c r="B37" i="46"/>
  <c r="B37" i="68"/>
  <c r="B37" i="70"/>
  <c r="B37" i="71"/>
  <c r="C36" i="45"/>
  <c r="D36" i="45"/>
  <c r="E36" i="45"/>
  <c r="F36" i="45"/>
  <c r="G36" i="45"/>
  <c r="H36" i="45"/>
  <c r="I36" i="45"/>
  <c r="J36" i="45"/>
  <c r="K36" i="45"/>
  <c r="C36" i="67"/>
  <c r="D36" i="67"/>
  <c r="E36" i="67"/>
  <c r="F36" i="67"/>
  <c r="H36" i="67"/>
  <c r="C36" i="69"/>
  <c r="D36" i="69"/>
  <c r="E36" i="69"/>
  <c r="F36" i="69"/>
  <c r="H36" i="69"/>
  <c r="C36" i="70"/>
  <c r="D36" i="70"/>
  <c r="E36" i="70"/>
  <c r="F36" i="70"/>
  <c r="H36" i="70"/>
  <c r="C36" i="72"/>
  <c r="D36" i="72"/>
  <c r="E36" i="72"/>
  <c r="F36" i="72"/>
  <c r="H36" i="72"/>
  <c r="C36" i="73"/>
  <c r="D36" i="73"/>
  <c r="E36" i="73"/>
  <c r="F36" i="73"/>
  <c r="H36" i="73"/>
  <c r="C36" i="74"/>
  <c r="D36" i="74"/>
  <c r="E36" i="74"/>
  <c r="F36" i="74"/>
  <c r="H36" i="74"/>
  <c r="C36" i="46"/>
  <c r="D36" i="46"/>
  <c r="E36" i="46"/>
  <c r="F36" i="46"/>
  <c r="H36" i="46"/>
  <c r="C36" i="68"/>
  <c r="D36" i="68"/>
  <c r="E36" i="68"/>
  <c r="F36" i="68"/>
  <c r="H36" i="68"/>
  <c r="C36" i="71"/>
  <c r="D36" i="71"/>
  <c r="E36" i="71"/>
  <c r="F36" i="71"/>
  <c r="H36" i="71"/>
  <c r="AB33" i="45" a="1"/>
  <c r="AM33" i="45" a="1"/>
  <c r="S34" i="45"/>
  <c r="Q34" i="45"/>
  <c r="T34" i="45"/>
  <c r="U34" i="45"/>
  <c r="I34" i="70"/>
  <c r="V34" i="45"/>
  <c r="X34" i="45"/>
  <c r="Y34" i="45"/>
  <c r="G35" i="46"/>
  <c r="I35" i="46" s="1"/>
  <c r="G35" i="70"/>
  <c r="I35" i="70" s="1"/>
  <c r="G35" i="67"/>
  <c r="G35" i="69"/>
  <c r="I35" i="69" s="1"/>
  <c r="G35" i="68"/>
  <c r="I35" i="68" s="1"/>
  <c r="G35" i="71"/>
  <c r="I35" i="71" s="1"/>
  <c r="G35" i="72"/>
  <c r="G35" i="73"/>
  <c r="I35" i="73" s="1"/>
  <c r="G35" i="74"/>
  <c r="I35" i="74" s="1"/>
  <c r="AL38" i="33" l="1"/>
  <c r="B38" i="45"/>
  <c r="P38" i="45"/>
  <c r="AA38" i="45" s="1"/>
  <c r="AL38" i="45" s="1"/>
  <c r="A38" i="56"/>
  <c r="B38" i="46"/>
  <c r="B38" i="67"/>
  <c r="B38" i="68"/>
  <c r="B38" i="69"/>
  <c r="B38" i="72"/>
  <c r="B38" i="73"/>
  <c r="B38" i="74"/>
  <c r="B38" i="70"/>
  <c r="B38" i="71"/>
  <c r="C37" i="45"/>
  <c r="D37" i="45"/>
  <c r="E37" i="45"/>
  <c r="F37" i="45"/>
  <c r="G37" i="45"/>
  <c r="H37" i="45"/>
  <c r="I37" i="45"/>
  <c r="J37" i="45"/>
  <c r="K37" i="45"/>
  <c r="C37" i="67"/>
  <c r="D37" i="67"/>
  <c r="E37" i="67"/>
  <c r="F37" i="67"/>
  <c r="H37" i="67"/>
  <c r="C37" i="69"/>
  <c r="D37" i="69"/>
  <c r="E37" i="69"/>
  <c r="F37" i="69"/>
  <c r="H37" i="69"/>
  <c r="C37" i="72"/>
  <c r="D37" i="72"/>
  <c r="E37" i="72"/>
  <c r="F37" i="72"/>
  <c r="H37" i="72"/>
  <c r="C37" i="73"/>
  <c r="D37" i="73"/>
  <c r="E37" i="73"/>
  <c r="F37" i="73"/>
  <c r="H37" i="73"/>
  <c r="C37" i="74"/>
  <c r="D37" i="74"/>
  <c r="E37" i="74"/>
  <c r="F37" i="74"/>
  <c r="H37" i="74"/>
  <c r="C37" i="46"/>
  <c r="D37" i="46"/>
  <c r="E37" i="46"/>
  <c r="F37" i="46"/>
  <c r="H37" i="46"/>
  <c r="C37" i="68"/>
  <c r="D37" i="68"/>
  <c r="E37" i="68"/>
  <c r="F37" i="68"/>
  <c r="H37" i="68"/>
  <c r="C37" i="70"/>
  <c r="D37" i="70"/>
  <c r="E37" i="70"/>
  <c r="F37" i="70"/>
  <c r="H37" i="70"/>
  <c r="C37" i="71"/>
  <c r="D37" i="71"/>
  <c r="E37" i="71"/>
  <c r="F37" i="71"/>
  <c r="H37" i="71"/>
  <c r="AB34" i="45" a="1"/>
  <c r="AM34" i="45" a="1"/>
  <c r="Q35" i="45"/>
  <c r="U35" i="45"/>
  <c r="R35" i="45"/>
  <c r="I35" i="67"/>
  <c r="T35" i="45"/>
  <c r="S35" i="45"/>
  <c r="V35" i="45"/>
  <c r="W35" i="45"/>
  <c r="I35" i="72"/>
  <c r="X35" i="45"/>
  <c r="Y35" i="45"/>
  <c r="G36" i="67"/>
  <c r="G36" i="69"/>
  <c r="I36" i="69" s="1"/>
  <c r="G36" i="70"/>
  <c r="I36" i="70" s="1"/>
  <c r="G36" i="72"/>
  <c r="I36" i="72" s="1"/>
  <c r="G36" i="73"/>
  <c r="I36" i="73" s="1"/>
  <c r="G36" i="74"/>
  <c r="I36" i="74" s="1"/>
  <c r="G36" i="46"/>
  <c r="I36" i="46" s="1"/>
  <c r="G36" i="68"/>
  <c r="I36" i="68" s="1"/>
  <c r="G36" i="71"/>
  <c r="I36" i="71" s="1"/>
  <c r="AL39" i="33" l="1"/>
  <c r="B39" i="45"/>
  <c r="P39" i="45"/>
  <c r="AA39" i="45" s="1"/>
  <c r="AL39" i="45" s="1"/>
  <c r="A39" i="56"/>
  <c r="B39" i="67"/>
  <c r="B39" i="69"/>
  <c r="B39" i="71"/>
  <c r="B39" i="72"/>
  <c r="B39" i="73"/>
  <c r="B39" i="74"/>
  <c r="B39" i="46"/>
  <c r="B39" i="68"/>
  <c r="B39" i="70"/>
  <c r="C38" i="45"/>
  <c r="D38" i="45"/>
  <c r="E38" i="45"/>
  <c r="F38" i="45"/>
  <c r="G38" i="45"/>
  <c r="H38" i="45"/>
  <c r="I38" i="45"/>
  <c r="J38" i="45"/>
  <c r="K38" i="45"/>
  <c r="C38" i="46"/>
  <c r="D38" i="46"/>
  <c r="E38" i="46"/>
  <c r="F38" i="46"/>
  <c r="H38" i="46"/>
  <c r="C38" i="67"/>
  <c r="D38" i="67"/>
  <c r="E38" i="67"/>
  <c r="F38" i="67"/>
  <c r="H38" i="67"/>
  <c r="C38" i="68"/>
  <c r="D38" i="68"/>
  <c r="E38" i="68"/>
  <c r="F38" i="68"/>
  <c r="H38" i="68"/>
  <c r="C38" i="69"/>
  <c r="D38" i="69"/>
  <c r="E38" i="69"/>
  <c r="F38" i="69"/>
  <c r="H38" i="69"/>
  <c r="C38" i="72"/>
  <c r="D38" i="72"/>
  <c r="E38" i="72"/>
  <c r="F38" i="72"/>
  <c r="H38" i="72"/>
  <c r="C38" i="73"/>
  <c r="D38" i="73"/>
  <c r="E38" i="73"/>
  <c r="F38" i="73"/>
  <c r="H38" i="73"/>
  <c r="C38" i="74"/>
  <c r="D38" i="74"/>
  <c r="E38" i="74"/>
  <c r="F38" i="74"/>
  <c r="H38" i="74"/>
  <c r="C38" i="70"/>
  <c r="D38" i="70"/>
  <c r="E38" i="70"/>
  <c r="F38" i="70"/>
  <c r="H38" i="70"/>
  <c r="C38" i="71"/>
  <c r="D38" i="71"/>
  <c r="E38" i="71"/>
  <c r="F38" i="71"/>
  <c r="H38" i="71"/>
  <c r="AB35" i="45" a="1"/>
  <c r="AM35" i="45" a="1"/>
  <c r="R36" i="45"/>
  <c r="T36" i="45"/>
  <c r="U36" i="45"/>
  <c r="W36" i="45"/>
  <c r="X36" i="45"/>
  <c r="Y36" i="45"/>
  <c r="Q36" i="45"/>
  <c r="S36" i="45"/>
  <c r="V36" i="45"/>
  <c r="G37" i="67"/>
  <c r="I37" i="67" s="1"/>
  <c r="G37" i="69"/>
  <c r="I37" i="69" s="1"/>
  <c r="G37" i="72"/>
  <c r="I37" i="72" s="1"/>
  <c r="G37" i="73"/>
  <c r="I37" i="73" s="1"/>
  <c r="G37" i="74"/>
  <c r="I37" i="74" s="1"/>
  <c r="G37" i="46"/>
  <c r="I37" i="46" s="1"/>
  <c r="G37" i="68"/>
  <c r="I37" i="68" s="1"/>
  <c r="G37" i="70"/>
  <c r="I37" i="70" s="1"/>
  <c r="G37" i="71"/>
  <c r="I37" i="71" s="1"/>
  <c r="I36" i="67"/>
  <c r="AL40" i="33" l="1"/>
  <c r="B40" i="45"/>
  <c r="P40" i="45"/>
  <c r="AA40" i="45" s="1"/>
  <c r="AL40" i="45" s="1"/>
  <c r="A40" i="56"/>
  <c r="B40" i="68"/>
  <c r="B40" i="69"/>
  <c r="B40" i="70"/>
  <c r="B40" i="71"/>
  <c r="B40" i="72"/>
  <c r="B40" i="73"/>
  <c r="B40" i="74"/>
  <c r="B40" i="46"/>
  <c r="B40" i="67"/>
  <c r="C39" i="45"/>
  <c r="D39" i="45"/>
  <c r="E39" i="45"/>
  <c r="F39" i="45"/>
  <c r="G39" i="45"/>
  <c r="H39" i="45"/>
  <c r="I39" i="45"/>
  <c r="J39" i="45"/>
  <c r="K39" i="45"/>
  <c r="C39" i="67"/>
  <c r="D39" i="67"/>
  <c r="E39" i="67"/>
  <c r="F39" i="67"/>
  <c r="H39" i="67"/>
  <c r="C39" i="69"/>
  <c r="D39" i="69"/>
  <c r="E39" i="69"/>
  <c r="F39" i="69"/>
  <c r="H39" i="69"/>
  <c r="D39" i="71"/>
  <c r="F39" i="71"/>
  <c r="H39" i="71"/>
  <c r="C39" i="71"/>
  <c r="E39" i="71"/>
  <c r="C39" i="72"/>
  <c r="D39" i="72"/>
  <c r="E39" i="72"/>
  <c r="F39" i="72"/>
  <c r="H39" i="72"/>
  <c r="C39" i="73"/>
  <c r="D39" i="73"/>
  <c r="E39" i="73"/>
  <c r="F39" i="73"/>
  <c r="H39" i="73"/>
  <c r="C39" i="74"/>
  <c r="D39" i="74"/>
  <c r="E39" i="74"/>
  <c r="F39" i="74"/>
  <c r="H39" i="74"/>
  <c r="C39" i="46"/>
  <c r="D39" i="46"/>
  <c r="E39" i="46"/>
  <c r="F39" i="46"/>
  <c r="H39" i="46"/>
  <c r="C39" i="68"/>
  <c r="D39" i="68"/>
  <c r="E39" i="68"/>
  <c r="F39" i="68"/>
  <c r="H39" i="68"/>
  <c r="C39" i="70"/>
  <c r="D39" i="70"/>
  <c r="E39" i="70"/>
  <c r="F39" i="70"/>
  <c r="H39" i="70"/>
  <c r="AB36" i="45" a="1"/>
  <c r="AM36" i="45" a="1"/>
  <c r="R37" i="45"/>
  <c r="T37" i="45"/>
  <c r="W37" i="45"/>
  <c r="X37" i="45"/>
  <c r="Y37" i="45"/>
  <c r="Q37" i="45"/>
  <c r="S37" i="45"/>
  <c r="U37" i="45"/>
  <c r="V37" i="45"/>
  <c r="G38" i="46"/>
  <c r="I38" i="46" s="1"/>
  <c r="G38" i="67"/>
  <c r="I38" i="67" s="1"/>
  <c r="G38" i="68"/>
  <c r="I38" i="68" s="1"/>
  <c r="G38" i="69"/>
  <c r="I38" i="69" s="1"/>
  <c r="G38" i="72"/>
  <c r="I38" i="72" s="1"/>
  <c r="G38" i="73"/>
  <c r="I38" i="73" s="1"/>
  <c r="G38" i="74"/>
  <c r="I38" i="74" s="1"/>
  <c r="G38" i="70"/>
  <c r="I38" i="70" s="1"/>
  <c r="G38" i="71"/>
  <c r="I38" i="71" s="1"/>
  <c r="G39" i="67" l="1"/>
  <c r="G39" i="71"/>
  <c r="G39" i="70"/>
  <c r="G39" i="69"/>
  <c r="AL41" i="33"/>
  <c r="B41" i="45"/>
  <c r="P41" i="45"/>
  <c r="AA41" i="45" s="1"/>
  <c r="AL41" i="45" s="1"/>
  <c r="A41" i="56"/>
  <c r="B41" i="67"/>
  <c r="B41" i="69"/>
  <c r="B41" i="70"/>
  <c r="B41" i="72"/>
  <c r="B41" i="73"/>
  <c r="B41" i="74"/>
  <c r="B41" i="46"/>
  <c r="B41" i="68"/>
  <c r="B41" i="71"/>
  <c r="C40" i="45"/>
  <c r="D40" i="45"/>
  <c r="E40" i="45"/>
  <c r="F40" i="45"/>
  <c r="G40" i="45"/>
  <c r="H40" i="45"/>
  <c r="I40" i="45"/>
  <c r="J40" i="45"/>
  <c r="K40" i="45"/>
  <c r="C40" i="68"/>
  <c r="D40" i="68"/>
  <c r="E40" i="68"/>
  <c r="F40" i="68"/>
  <c r="H40" i="68"/>
  <c r="C40" i="69"/>
  <c r="D40" i="69"/>
  <c r="E40" i="69"/>
  <c r="F40" i="69"/>
  <c r="H40" i="69"/>
  <c r="C40" i="70"/>
  <c r="D40" i="70"/>
  <c r="E40" i="70"/>
  <c r="F40" i="70"/>
  <c r="H40" i="70"/>
  <c r="C40" i="71"/>
  <c r="D40" i="71"/>
  <c r="E40" i="71"/>
  <c r="F40" i="71"/>
  <c r="H40" i="71"/>
  <c r="C40" i="72"/>
  <c r="D40" i="72"/>
  <c r="E40" i="72"/>
  <c r="F40" i="72"/>
  <c r="H40" i="72"/>
  <c r="C40" i="73"/>
  <c r="D40" i="73"/>
  <c r="E40" i="73"/>
  <c r="F40" i="73"/>
  <c r="H40" i="73"/>
  <c r="C40" i="74"/>
  <c r="D40" i="74"/>
  <c r="E40" i="74"/>
  <c r="F40" i="74"/>
  <c r="H40" i="74"/>
  <c r="C40" i="46"/>
  <c r="D40" i="46"/>
  <c r="E40" i="46"/>
  <c r="F40" i="46"/>
  <c r="H40" i="46"/>
  <c r="C40" i="67"/>
  <c r="D40" i="67"/>
  <c r="E40" i="67"/>
  <c r="F40" i="67"/>
  <c r="H40" i="67"/>
  <c r="AB37" i="45" a="1"/>
  <c r="AM37" i="45" a="1"/>
  <c r="Q38" i="45"/>
  <c r="R38" i="45"/>
  <c r="S38" i="45"/>
  <c r="T38" i="45"/>
  <c r="W38" i="45"/>
  <c r="X38" i="45"/>
  <c r="Y38" i="45"/>
  <c r="U38" i="45"/>
  <c r="V38" i="45"/>
  <c r="G39" i="74"/>
  <c r="I39" i="74" s="1"/>
  <c r="G39" i="72"/>
  <c r="I39" i="72" s="1"/>
  <c r="G39" i="73"/>
  <c r="I39" i="73" s="1"/>
  <c r="G39" i="46"/>
  <c r="I39" i="46" s="1"/>
  <c r="G39" i="68"/>
  <c r="I39" i="68" s="1"/>
  <c r="I39" i="67" l="1"/>
  <c r="R39" i="45"/>
  <c r="I39" i="71"/>
  <c r="V39" i="45"/>
  <c r="I39" i="70"/>
  <c r="U39" i="45"/>
  <c r="I39" i="69"/>
  <c r="T39" i="45"/>
  <c r="G40" i="67"/>
  <c r="I40" i="67" s="1"/>
  <c r="G40" i="68"/>
  <c r="AL42" i="33"/>
  <c r="B42" i="45"/>
  <c r="P42" i="45"/>
  <c r="AA42" i="45" s="1"/>
  <c r="AL42" i="45" s="1"/>
  <c r="A42" i="56"/>
  <c r="B42" i="67"/>
  <c r="B42" i="69"/>
  <c r="B42" i="72"/>
  <c r="B42" i="73"/>
  <c r="B42" i="74"/>
  <c r="B42" i="46"/>
  <c r="B42" i="68"/>
  <c r="B42" i="70"/>
  <c r="B42" i="71"/>
  <c r="C41" i="45"/>
  <c r="D41" i="45"/>
  <c r="E41" i="45"/>
  <c r="F41" i="45"/>
  <c r="G41" i="45"/>
  <c r="H41" i="45"/>
  <c r="I41" i="45"/>
  <c r="J41" i="45"/>
  <c r="K41" i="45"/>
  <c r="C41" i="67"/>
  <c r="D41" i="67"/>
  <c r="E41" i="67"/>
  <c r="F41" i="67"/>
  <c r="H41" i="67"/>
  <c r="C41" i="69"/>
  <c r="D41" i="69"/>
  <c r="E41" i="69"/>
  <c r="F41" i="69"/>
  <c r="H41" i="69"/>
  <c r="C41" i="70"/>
  <c r="D41" i="70"/>
  <c r="E41" i="70"/>
  <c r="F41" i="70"/>
  <c r="H41" i="70"/>
  <c r="C41" i="72"/>
  <c r="D41" i="72"/>
  <c r="E41" i="72"/>
  <c r="F41" i="72"/>
  <c r="H41" i="72"/>
  <c r="C41" i="73"/>
  <c r="D41" i="73"/>
  <c r="E41" i="73"/>
  <c r="F41" i="73"/>
  <c r="H41" i="73"/>
  <c r="C41" i="74"/>
  <c r="D41" i="74"/>
  <c r="E41" i="74"/>
  <c r="F41" i="74"/>
  <c r="H41" i="74"/>
  <c r="C41" i="46"/>
  <c r="D41" i="46"/>
  <c r="E41" i="46"/>
  <c r="F41" i="46"/>
  <c r="H41" i="46"/>
  <c r="C41" i="68"/>
  <c r="D41" i="68"/>
  <c r="E41" i="68"/>
  <c r="F41" i="68"/>
  <c r="H41" i="68"/>
  <c r="C41" i="71"/>
  <c r="D41" i="71"/>
  <c r="E41" i="71"/>
  <c r="F41" i="71"/>
  <c r="H41" i="71"/>
  <c r="G40" i="69"/>
  <c r="R40" i="45"/>
  <c r="AB38" i="45" a="1"/>
  <c r="AM38" i="45" a="1"/>
  <c r="Y39" i="45"/>
  <c r="W39" i="45"/>
  <c r="X39" i="45"/>
  <c r="Q39" i="45"/>
  <c r="S39" i="45"/>
  <c r="G40" i="73"/>
  <c r="I40" i="73" s="1"/>
  <c r="G40" i="74"/>
  <c r="I40" i="74" s="1"/>
  <c r="G40" i="46"/>
  <c r="I40" i="46" s="1"/>
  <c r="G40" i="70"/>
  <c r="G40" i="71"/>
  <c r="G40" i="72"/>
  <c r="I40" i="72" s="1"/>
  <c r="I40" i="68" l="1"/>
  <c r="S40" i="45"/>
  <c r="G41" i="69"/>
  <c r="G41" i="72"/>
  <c r="G41" i="74"/>
  <c r="AL43" i="33"/>
  <c r="C52" i="64"/>
  <c r="C42" i="45"/>
  <c r="D42" i="45"/>
  <c r="E42" i="45"/>
  <c r="F42" i="45"/>
  <c r="G42" i="45"/>
  <c r="H42" i="45"/>
  <c r="I42" i="45"/>
  <c r="J42" i="45"/>
  <c r="K42" i="45"/>
  <c r="C42" i="67"/>
  <c r="D42" i="67"/>
  <c r="E42" i="67"/>
  <c r="F42" i="67"/>
  <c r="H42" i="67"/>
  <c r="C42" i="69"/>
  <c r="D42" i="69"/>
  <c r="E42" i="69"/>
  <c r="F42" i="69"/>
  <c r="H42" i="69"/>
  <c r="C42" i="72"/>
  <c r="D42" i="72"/>
  <c r="E42" i="72"/>
  <c r="F42" i="72"/>
  <c r="H42" i="72"/>
  <c r="C42" i="73"/>
  <c r="D42" i="73"/>
  <c r="E42" i="73"/>
  <c r="F42" i="73"/>
  <c r="H42" i="73"/>
  <c r="C42" i="74"/>
  <c r="D42" i="74"/>
  <c r="E42" i="74"/>
  <c r="F42" i="74"/>
  <c r="H42" i="74"/>
  <c r="C42" i="46"/>
  <c r="D42" i="46"/>
  <c r="E42" i="46"/>
  <c r="F42" i="46"/>
  <c r="H42" i="46"/>
  <c r="C42" i="68"/>
  <c r="D42" i="68"/>
  <c r="E42" i="68"/>
  <c r="F42" i="68"/>
  <c r="H42" i="68"/>
  <c r="C42" i="70"/>
  <c r="D42" i="70"/>
  <c r="E42" i="70"/>
  <c r="F42" i="70"/>
  <c r="H42" i="70"/>
  <c r="C42" i="71"/>
  <c r="D42" i="71"/>
  <c r="E42" i="71"/>
  <c r="F42" i="71"/>
  <c r="H42" i="71"/>
  <c r="I40" i="69"/>
  <c r="T40" i="45"/>
  <c r="AB39" i="45" a="1"/>
  <c r="AM39" i="45" a="1"/>
  <c r="X40" i="45"/>
  <c r="Y40" i="45"/>
  <c r="Q40" i="45"/>
  <c r="U40" i="45"/>
  <c r="I40" i="70"/>
  <c r="V40" i="45"/>
  <c r="I40" i="71"/>
  <c r="W40" i="45"/>
  <c r="G41" i="67"/>
  <c r="G41" i="70"/>
  <c r="I41" i="70" s="1"/>
  <c r="G41" i="46"/>
  <c r="I41" i="46" s="1"/>
  <c r="G41" i="73"/>
  <c r="I41" i="73" s="1"/>
  <c r="G41" i="68"/>
  <c r="G41" i="71"/>
  <c r="I41" i="71" s="1"/>
  <c r="W41" i="45" l="1"/>
  <c r="I41" i="72"/>
  <c r="Y41" i="45"/>
  <c r="I41" i="74"/>
  <c r="I41" i="69"/>
  <c r="T41" i="45"/>
  <c r="AL44" i="33"/>
  <c r="C53" i="64"/>
  <c r="P6" i="77"/>
  <c r="P5" i="55"/>
  <c r="J41" i="54" s="1"/>
  <c r="K41" i="54" s="1"/>
  <c r="D46" i="55"/>
  <c r="D65" i="76"/>
  <c r="L42" i="67"/>
  <c r="AH6" i="55"/>
  <c r="G42" i="67"/>
  <c r="Q6" i="77"/>
  <c r="E46" i="55"/>
  <c r="S11" i="55"/>
  <c r="E65" i="76"/>
  <c r="AI6" i="55"/>
  <c r="L43" i="67"/>
  <c r="R6" i="77"/>
  <c r="W11" i="55"/>
  <c r="F46" i="55"/>
  <c r="F65" i="76"/>
  <c r="L44" i="67"/>
  <c r="AJ6" i="55"/>
  <c r="N6" i="77"/>
  <c r="X6" i="77"/>
  <c r="D6" i="77" s="1"/>
  <c r="O6" i="77" s="1"/>
  <c r="AB5" i="55"/>
  <c r="AA5" i="55" s="1"/>
  <c r="G46" i="55"/>
  <c r="G65" i="76"/>
  <c r="L45" i="67"/>
  <c r="K2" i="56" a="1"/>
  <c r="AF19" i="55"/>
  <c r="E6" i="77"/>
  <c r="AB19" i="55"/>
  <c r="AA19" i="55"/>
  <c r="AE19" i="55"/>
  <c r="V6" i="77"/>
  <c r="W6" i="77" s="1"/>
  <c r="Y19" i="55"/>
  <c r="AC19" i="55"/>
  <c r="AG19" i="55"/>
  <c r="I65" i="76"/>
  <c r="Z19" i="55"/>
  <c r="AD19" i="55"/>
  <c r="L41" i="67"/>
  <c r="BJ5" i="55" a="1"/>
  <c r="P8" i="77"/>
  <c r="D48" i="55"/>
  <c r="P11" i="55"/>
  <c r="D67" i="76"/>
  <c r="L42" i="69"/>
  <c r="AH8" i="55"/>
  <c r="G42" i="69"/>
  <c r="S6" i="55"/>
  <c r="E48" i="55"/>
  <c r="Q8" i="77"/>
  <c r="E67" i="76"/>
  <c r="AI8" i="55"/>
  <c r="L43" i="69"/>
  <c r="W8" i="55"/>
  <c r="F67" i="76"/>
  <c r="R8" i="77"/>
  <c r="F48" i="55"/>
  <c r="AJ8" i="55"/>
  <c r="L44" i="69"/>
  <c r="AB7" i="55"/>
  <c r="AA7" i="55" s="1"/>
  <c r="X8" i="77"/>
  <c r="D8" i="77" s="1"/>
  <c r="O8" i="77" s="1"/>
  <c r="G48" i="55"/>
  <c r="N8" i="77"/>
  <c r="G67" i="76"/>
  <c r="L45" i="69"/>
  <c r="AA21" i="55"/>
  <c r="AE21" i="55"/>
  <c r="E8" i="77"/>
  <c r="V8" i="77"/>
  <c r="W8" i="77" s="1"/>
  <c r="Z21" i="55"/>
  <c r="AC21" i="55"/>
  <c r="AD21" i="55"/>
  <c r="AG21" i="55"/>
  <c r="I67" i="76"/>
  <c r="Y21" i="55"/>
  <c r="AB21" i="55"/>
  <c r="AF21" i="55"/>
  <c r="L41" i="69"/>
  <c r="P13" i="55"/>
  <c r="P11" i="77"/>
  <c r="D51" i="55"/>
  <c r="D70" i="76"/>
  <c r="L42" i="72"/>
  <c r="AH11" i="55"/>
  <c r="G42" i="72"/>
  <c r="Q11" i="77"/>
  <c r="S7" i="55"/>
  <c r="E51" i="55"/>
  <c r="E70" i="76"/>
  <c r="AI11" i="55"/>
  <c r="L43" i="72"/>
  <c r="R11" i="77"/>
  <c r="W9" i="55"/>
  <c r="F51" i="55"/>
  <c r="F70" i="76"/>
  <c r="AJ11" i="55"/>
  <c r="L44" i="72"/>
  <c r="N11" i="77"/>
  <c r="X11" i="77"/>
  <c r="D11" i="77" s="1"/>
  <c r="O11" i="77" s="1"/>
  <c r="AB6" i="55"/>
  <c r="AA6" i="55" s="1"/>
  <c r="G51" i="55"/>
  <c r="G70" i="76"/>
  <c r="L45" i="72"/>
  <c r="E11" i="77"/>
  <c r="V11" i="77"/>
  <c r="W11" i="77" s="1"/>
  <c r="Y24" i="55"/>
  <c r="Z24" i="55"/>
  <c r="AA24" i="55"/>
  <c r="AB24" i="55"/>
  <c r="AC24" i="55"/>
  <c r="AD24" i="55"/>
  <c r="AE24" i="55"/>
  <c r="AF24" i="55"/>
  <c r="AG24" i="55"/>
  <c r="I70" i="76"/>
  <c r="L41" i="72"/>
  <c r="P12" i="77"/>
  <c r="P7" i="55"/>
  <c r="D52" i="55"/>
  <c r="D71" i="76"/>
  <c r="L42" i="73"/>
  <c r="AH12" i="55"/>
  <c r="G42" i="73"/>
  <c r="I42" i="73" s="1"/>
  <c r="Q12" i="77"/>
  <c r="S12" i="55"/>
  <c r="E52" i="55"/>
  <c r="E71" i="76"/>
  <c r="L43" i="73"/>
  <c r="AI12" i="55"/>
  <c r="R12" i="77"/>
  <c r="W10" i="55"/>
  <c r="F52" i="55"/>
  <c r="F71" i="76"/>
  <c r="AJ12" i="55"/>
  <c r="L44" i="73"/>
  <c r="N12" i="77"/>
  <c r="X12" i="77"/>
  <c r="D12" i="77" s="1"/>
  <c r="O12" i="77" s="1"/>
  <c r="AB13" i="55"/>
  <c r="AA13" i="55" s="1"/>
  <c r="G52" i="55"/>
  <c r="G71" i="76"/>
  <c r="L45" i="73"/>
  <c r="E12" i="77"/>
  <c r="V12" i="77"/>
  <c r="W12" i="77" s="1"/>
  <c r="Y25" i="55"/>
  <c r="Z25" i="55"/>
  <c r="AA25" i="55"/>
  <c r="AB25" i="55"/>
  <c r="AC25" i="55"/>
  <c r="AD25" i="55"/>
  <c r="AE25" i="55"/>
  <c r="AF25" i="55"/>
  <c r="AG25" i="55"/>
  <c r="I71" i="76"/>
  <c r="L41" i="73"/>
  <c r="P13" i="77"/>
  <c r="P9" i="55"/>
  <c r="D53" i="55"/>
  <c r="D72" i="76"/>
  <c r="AH13" i="55"/>
  <c r="L42" i="74"/>
  <c r="G42" i="74"/>
  <c r="Q13" i="77"/>
  <c r="S9" i="55"/>
  <c r="E53" i="55"/>
  <c r="E72" i="76"/>
  <c r="AI13" i="55"/>
  <c r="L43" i="74"/>
  <c r="R13" i="77"/>
  <c r="W7" i="55"/>
  <c r="F53" i="55"/>
  <c r="F72" i="76"/>
  <c r="AJ13" i="55"/>
  <c r="L44" i="74"/>
  <c r="N13" i="77"/>
  <c r="X13" i="77"/>
  <c r="D13" i="77" s="1"/>
  <c r="O13" i="77" s="1"/>
  <c r="AB12" i="55"/>
  <c r="AA12" i="55" s="1"/>
  <c r="G53" i="55"/>
  <c r="G72" i="76"/>
  <c r="L45" i="74"/>
  <c r="E13" i="77"/>
  <c r="V13" i="77"/>
  <c r="W13" i="77" s="1"/>
  <c r="Y26" i="55"/>
  <c r="Z26" i="55"/>
  <c r="AA26" i="55"/>
  <c r="AB26" i="55"/>
  <c r="AC26" i="55"/>
  <c r="AD26" i="55"/>
  <c r="AE26" i="55"/>
  <c r="AF26" i="55"/>
  <c r="AG26" i="55"/>
  <c r="I72" i="76"/>
  <c r="L41" i="74"/>
  <c r="P5" i="77"/>
  <c r="Q16" i="77" s="1"/>
  <c r="D45" i="55"/>
  <c r="P10" i="55"/>
  <c r="D64" i="76"/>
  <c r="L42" i="46"/>
  <c r="D5" i="75"/>
  <c r="AH5" i="55"/>
  <c r="G42" i="46"/>
  <c r="I42" i="46" s="1"/>
  <c r="Q5" i="77"/>
  <c r="E45" i="55"/>
  <c r="E64" i="76"/>
  <c r="S5" i="55"/>
  <c r="L41" i="54" s="1"/>
  <c r="M41" i="54" s="1"/>
  <c r="AI5" i="55"/>
  <c r="D6" i="75"/>
  <c r="L43" i="46"/>
  <c r="R5" i="77"/>
  <c r="F45" i="55"/>
  <c r="W13" i="55"/>
  <c r="F64" i="76"/>
  <c r="L44" i="46"/>
  <c r="AJ5" i="55"/>
  <c r="D7" i="75"/>
  <c r="N5" i="77"/>
  <c r="X5" i="77"/>
  <c r="D5" i="77" s="1"/>
  <c r="O5" i="77" s="1"/>
  <c r="G45" i="55"/>
  <c r="AB8" i="55"/>
  <c r="AA8" i="55" s="1"/>
  <c r="L45" i="46"/>
  <c r="D8" i="75"/>
  <c r="AE18" i="55"/>
  <c r="AG18" i="55"/>
  <c r="E5" i="77"/>
  <c r="Y18" i="55"/>
  <c r="I64" i="76"/>
  <c r="AD18" i="55"/>
  <c r="AA18" i="55"/>
  <c r="AB18" i="55"/>
  <c r="V5" i="77"/>
  <c r="AC18" i="55"/>
  <c r="AF18" i="55"/>
  <c r="Z18" i="55"/>
  <c r="L41" i="46"/>
  <c r="P7" i="77"/>
  <c r="P8" i="55"/>
  <c r="D47" i="55"/>
  <c r="D66" i="76"/>
  <c r="L42" i="68"/>
  <c r="AH7" i="55"/>
  <c r="G42" i="68"/>
  <c r="I42" i="68" s="1"/>
  <c r="Q7" i="77"/>
  <c r="S8" i="55"/>
  <c r="E47" i="55"/>
  <c r="E66" i="76"/>
  <c r="AI7" i="55"/>
  <c r="L43" i="68"/>
  <c r="R7" i="77"/>
  <c r="W12" i="55"/>
  <c r="F47" i="55"/>
  <c r="F66" i="76"/>
  <c r="AJ7" i="55"/>
  <c r="L44" i="68"/>
  <c r="N7" i="77"/>
  <c r="X7" i="77"/>
  <c r="D7" i="77" s="1"/>
  <c r="O7" i="77" s="1"/>
  <c r="AB9" i="55"/>
  <c r="AA9" i="55" s="1"/>
  <c r="G47" i="55"/>
  <c r="G66" i="76"/>
  <c r="L45" i="68"/>
  <c r="Y20" i="55"/>
  <c r="E7" i="77"/>
  <c r="AA20" i="55"/>
  <c r="I66" i="76"/>
  <c r="AD20" i="55"/>
  <c r="AG20" i="55"/>
  <c r="AB20" i="55"/>
  <c r="V7" i="77"/>
  <c r="W7" i="77" s="1"/>
  <c r="AE20" i="55"/>
  <c r="Z20" i="55"/>
  <c r="AC20" i="55"/>
  <c r="AF20" i="55"/>
  <c r="L41" i="68"/>
  <c r="P9" i="77"/>
  <c r="P6" i="55"/>
  <c r="D49" i="55"/>
  <c r="D68" i="76"/>
  <c r="AH9" i="55"/>
  <c r="L42" i="70"/>
  <c r="G42" i="70"/>
  <c r="I42" i="70" s="1"/>
  <c r="Q9" i="77"/>
  <c r="E49" i="55"/>
  <c r="E68" i="76"/>
  <c r="S13" i="55"/>
  <c r="L43" i="70"/>
  <c r="AI9" i="55"/>
  <c r="W6" i="55"/>
  <c r="F68" i="76"/>
  <c r="R9" i="77"/>
  <c r="F49" i="55"/>
  <c r="L44" i="70"/>
  <c r="AJ9" i="55"/>
  <c r="X9" i="77"/>
  <c r="D9" i="77" s="1"/>
  <c r="O9" i="77" s="1"/>
  <c r="N9" i="77"/>
  <c r="AB10" i="55"/>
  <c r="AA10" i="55" s="1"/>
  <c r="G49" i="55"/>
  <c r="G68" i="76"/>
  <c r="L45" i="70"/>
  <c r="E9" i="77"/>
  <c r="V9" i="77"/>
  <c r="W9" i="77" s="1"/>
  <c r="Y22" i="55"/>
  <c r="Z22" i="55"/>
  <c r="AA22" i="55"/>
  <c r="AB22" i="55"/>
  <c r="AC22" i="55"/>
  <c r="AD22" i="55"/>
  <c r="AE22" i="55"/>
  <c r="AF22" i="55"/>
  <c r="AG22" i="55"/>
  <c r="I68" i="76"/>
  <c r="L41" i="70"/>
  <c r="P10" i="77"/>
  <c r="P12" i="55"/>
  <c r="D50" i="55"/>
  <c r="D69" i="76"/>
  <c r="AH10" i="55"/>
  <c r="L42" i="71"/>
  <c r="G42" i="71"/>
  <c r="I42" i="71" s="1"/>
  <c r="Q10" i="77"/>
  <c r="S10" i="55"/>
  <c r="E50" i="55"/>
  <c r="E69" i="76"/>
  <c r="AI10" i="55"/>
  <c r="L43" i="71"/>
  <c r="R10" i="77"/>
  <c r="W5" i="55"/>
  <c r="N41" i="54" s="1"/>
  <c r="O41" i="54" s="1"/>
  <c r="F50" i="55"/>
  <c r="F69" i="76"/>
  <c r="AJ10" i="55"/>
  <c r="L44" i="71"/>
  <c r="N10" i="77"/>
  <c r="X10" i="77"/>
  <c r="D10" i="77" s="1"/>
  <c r="O10" i="77" s="1"/>
  <c r="AB11" i="55"/>
  <c r="AA11" i="55" s="1"/>
  <c r="G50" i="55"/>
  <c r="G69" i="76"/>
  <c r="L45" i="71"/>
  <c r="E10" i="77"/>
  <c r="V10" i="77"/>
  <c r="W10" i="77" s="1"/>
  <c r="Y23" i="55"/>
  <c r="Z23" i="55"/>
  <c r="AA23" i="55"/>
  <c r="AB23" i="55"/>
  <c r="AC23" i="55"/>
  <c r="AD23" i="55"/>
  <c r="AE23" i="55"/>
  <c r="AF23" i="55"/>
  <c r="AG23" i="55"/>
  <c r="I69" i="76"/>
  <c r="L41" i="71"/>
  <c r="AB40" i="45" a="1"/>
  <c r="AM40" i="45" a="1"/>
  <c r="R41" i="45"/>
  <c r="I41" i="67"/>
  <c r="U41" i="45"/>
  <c r="Q41" i="45"/>
  <c r="X41" i="45"/>
  <c r="S41" i="45"/>
  <c r="I41" i="68"/>
  <c r="V41" i="45"/>
  <c r="I42" i="67" l="1"/>
  <c r="I2" i="56" a="1"/>
  <c r="AL45" i="33"/>
  <c r="C54" i="64"/>
  <c r="P19" i="55"/>
  <c r="H11" i="55"/>
  <c r="D19" i="55"/>
  <c r="H65" i="76"/>
  <c r="J65" i="76" s="1"/>
  <c r="L18" i="55"/>
  <c r="F19" i="55"/>
  <c r="E19" i="55"/>
  <c r="D6" i="55"/>
  <c r="H46" i="55"/>
  <c r="S18" i="55"/>
  <c r="D33" i="54"/>
  <c r="AM6" i="55"/>
  <c r="AK6" i="55"/>
  <c r="L46" i="67"/>
  <c r="R42" i="45"/>
  <c r="I42" i="69"/>
  <c r="P23" i="55"/>
  <c r="AM8" i="55"/>
  <c r="S23" i="55"/>
  <c r="U23" i="55" s="1"/>
  <c r="H48" i="55"/>
  <c r="D21" i="55"/>
  <c r="E21" i="55"/>
  <c r="F21" i="55"/>
  <c r="H33" i="54"/>
  <c r="D8" i="55"/>
  <c r="H12" i="55"/>
  <c r="L23" i="55"/>
  <c r="Q27" i="54" s="1"/>
  <c r="H67" i="76"/>
  <c r="J67" i="76" s="1"/>
  <c r="AK8" i="55"/>
  <c r="L46" i="69"/>
  <c r="T42" i="45"/>
  <c r="I42" i="72"/>
  <c r="P21" i="55"/>
  <c r="D24" i="55"/>
  <c r="H13" i="55"/>
  <c r="F24" i="55"/>
  <c r="H51" i="55"/>
  <c r="N33" i="54"/>
  <c r="D11" i="55"/>
  <c r="AM11" i="55"/>
  <c r="E24" i="55"/>
  <c r="L26" i="55"/>
  <c r="Q30" i="54" s="1"/>
  <c r="S26" i="55"/>
  <c r="U26" i="55" s="1"/>
  <c r="H70" i="76"/>
  <c r="J70" i="76" s="1"/>
  <c r="AK11" i="55"/>
  <c r="L46" i="72"/>
  <c r="W42" i="45"/>
  <c r="P24" i="55"/>
  <c r="K28" i="54" s="1"/>
  <c r="P33" i="54"/>
  <c r="E25" i="55"/>
  <c r="AM12" i="55"/>
  <c r="D25" i="55"/>
  <c r="H71" i="76"/>
  <c r="J71" i="76" s="1"/>
  <c r="D13" i="55"/>
  <c r="S20" i="55"/>
  <c r="U20" i="55" s="1"/>
  <c r="H52" i="55"/>
  <c r="H7" i="55"/>
  <c r="L20" i="55"/>
  <c r="Q24" i="54" s="1"/>
  <c r="F25" i="55"/>
  <c r="AK12" i="55"/>
  <c r="L46" i="73"/>
  <c r="X42" i="45"/>
  <c r="I42" i="74"/>
  <c r="P25" i="55"/>
  <c r="K29" i="54" s="1"/>
  <c r="L22" i="55"/>
  <c r="Q26" i="54" s="1"/>
  <c r="R33" i="54"/>
  <c r="AM13" i="55"/>
  <c r="H5" i="55"/>
  <c r="F41" i="54" s="1"/>
  <c r="G41" i="54" s="1"/>
  <c r="D12" i="55"/>
  <c r="S22" i="55"/>
  <c r="U22" i="55" s="1"/>
  <c r="E26" i="55"/>
  <c r="F26" i="55"/>
  <c r="H72" i="76"/>
  <c r="J72" i="76" s="1"/>
  <c r="D26" i="55"/>
  <c r="H53" i="55"/>
  <c r="L46" i="74"/>
  <c r="AK13" i="55"/>
  <c r="Y42" i="45"/>
  <c r="BD5" i="55" a="1"/>
  <c r="P20" i="55"/>
  <c r="D9" i="75"/>
  <c r="L46" i="46"/>
  <c r="AK5" i="55"/>
  <c r="D18" i="55"/>
  <c r="F18" i="55"/>
  <c r="B33" i="54"/>
  <c r="AM5" i="55"/>
  <c r="H6" i="55"/>
  <c r="S25" i="55"/>
  <c r="U25" i="55" s="1"/>
  <c r="H45" i="55"/>
  <c r="E18" i="55"/>
  <c r="D5" i="55"/>
  <c r="F40" i="54" s="1"/>
  <c r="G40" i="54" s="1"/>
  <c r="L25" i="55"/>
  <c r="Q29" i="54" s="1"/>
  <c r="H64" i="76"/>
  <c r="J64" i="76" s="1"/>
  <c r="Q42" i="45"/>
  <c r="W5" i="77"/>
  <c r="P16" i="77"/>
  <c r="P22" i="55"/>
  <c r="D20" i="55"/>
  <c r="F33" i="54"/>
  <c r="D7" i="55"/>
  <c r="AM7" i="55"/>
  <c r="H8" i="55"/>
  <c r="E20" i="55"/>
  <c r="L24" i="55"/>
  <c r="Q28" i="54" s="1"/>
  <c r="H66" i="76"/>
  <c r="J66" i="76" s="1"/>
  <c r="S24" i="55"/>
  <c r="U24" i="55" s="1"/>
  <c r="H47" i="55"/>
  <c r="F20" i="55"/>
  <c r="AK7" i="55"/>
  <c r="L46" i="68"/>
  <c r="S42" i="45"/>
  <c r="AQ5" i="55" a="1"/>
  <c r="P26" i="55"/>
  <c r="S19" i="55"/>
  <c r="U19" i="55" s="1"/>
  <c r="AM9" i="55"/>
  <c r="H10" i="55"/>
  <c r="E22" i="55"/>
  <c r="H49" i="55"/>
  <c r="H68" i="76"/>
  <c r="J68" i="76" s="1"/>
  <c r="L19" i="55"/>
  <c r="Q23" i="54" s="1"/>
  <c r="J33" i="54"/>
  <c r="D9" i="55"/>
  <c r="D22" i="55"/>
  <c r="F22" i="55"/>
  <c r="L46" i="70"/>
  <c r="AK9" i="55"/>
  <c r="U42" i="45"/>
  <c r="P18" i="55"/>
  <c r="L21" i="55"/>
  <c r="Q25" i="54" s="1"/>
  <c r="S21" i="55"/>
  <c r="U21" i="55" s="1"/>
  <c r="H9" i="55"/>
  <c r="L33" i="54"/>
  <c r="D10" i="55"/>
  <c r="D23" i="55"/>
  <c r="E23" i="55"/>
  <c r="F23" i="55"/>
  <c r="H50" i="55"/>
  <c r="AM10" i="55"/>
  <c r="H69" i="76"/>
  <c r="J69" i="76" s="1"/>
  <c r="AK10" i="55"/>
  <c r="L46" i="71"/>
  <c r="V42" i="45"/>
  <c r="AB41" i="45" a="1"/>
  <c r="AM41" i="45" a="1"/>
  <c r="P5" i="56" l="1"/>
  <c r="P6" i="56"/>
  <c r="H7" i="56"/>
  <c r="J7" i="56" s="1"/>
  <c r="H8" i="56"/>
  <c r="J8" i="56" s="1"/>
  <c r="P8" i="56"/>
  <c r="O9" i="56"/>
  <c r="H10" i="56"/>
  <c r="J10" i="56" s="1"/>
  <c r="P10" i="56"/>
  <c r="O11" i="56"/>
  <c r="H12" i="56"/>
  <c r="J12" i="56" s="1"/>
  <c r="P12" i="56"/>
  <c r="P13" i="56"/>
  <c r="O14" i="56"/>
  <c r="P14" i="56"/>
  <c r="O15" i="56"/>
  <c r="H16" i="56"/>
  <c r="J16" i="56" s="1"/>
  <c r="H17" i="56"/>
  <c r="J17" i="56" s="1"/>
  <c r="P17" i="56"/>
  <c r="O18" i="56"/>
  <c r="H19" i="56"/>
  <c r="J19" i="56" s="1"/>
  <c r="P19" i="56"/>
  <c r="H20" i="56"/>
  <c r="J20" i="56" s="1"/>
  <c r="O21" i="56"/>
  <c r="H22" i="56"/>
  <c r="J22" i="56" s="1"/>
  <c r="H6" i="56"/>
  <c r="J6" i="56" s="1"/>
  <c r="O6" i="56"/>
  <c r="O7" i="56"/>
  <c r="P7" i="56"/>
  <c r="O8" i="56"/>
  <c r="H9" i="56"/>
  <c r="J9" i="56" s="1"/>
  <c r="P9" i="56"/>
  <c r="O10" i="56"/>
  <c r="H11" i="56"/>
  <c r="J11" i="56" s="1"/>
  <c r="P11" i="56"/>
  <c r="O12" i="56"/>
  <c r="H13" i="56"/>
  <c r="J13" i="56" s="1"/>
  <c r="O13" i="56"/>
  <c r="H14" i="56"/>
  <c r="J14" i="56" s="1"/>
  <c r="H15" i="56"/>
  <c r="J15" i="56" s="1"/>
  <c r="P15" i="56"/>
  <c r="O16" i="56"/>
  <c r="P16" i="56"/>
  <c r="O17" i="56"/>
  <c r="H18" i="56"/>
  <c r="J18" i="56" s="1"/>
  <c r="P18" i="56"/>
  <c r="O19" i="56"/>
  <c r="O20" i="56"/>
  <c r="H21" i="56"/>
  <c r="J21" i="56" s="1"/>
  <c r="P21" i="56"/>
  <c r="P20" i="56"/>
  <c r="O2" i="56"/>
  <c r="P2" i="56"/>
  <c r="H3" i="56"/>
  <c r="J3" i="56" s="1"/>
  <c r="O3" i="56"/>
  <c r="P3" i="56"/>
  <c r="H4" i="56"/>
  <c r="J4" i="56" s="1"/>
  <c r="O4" i="56"/>
  <c r="P4" i="56"/>
  <c r="H5" i="56"/>
  <c r="J5" i="56" s="1"/>
  <c r="O5" i="56"/>
  <c r="O22" i="56"/>
  <c r="P22" i="56"/>
  <c r="H23" i="56"/>
  <c r="J23" i="56" s="1"/>
  <c r="O23" i="56"/>
  <c r="P23" i="56"/>
  <c r="H24" i="56"/>
  <c r="J24" i="56" s="1"/>
  <c r="O24" i="56"/>
  <c r="P24" i="56"/>
  <c r="H25" i="56"/>
  <c r="J25" i="56" s="1"/>
  <c r="O25" i="56"/>
  <c r="P25" i="56"/>
  <c r="H26" i="56"/>
  <c r="J26" i="56" s="1"/>
  <c r="O26" i="56"/>
  <c r="P26" i="56"/>
  <c r="H27" i="56"/>
  <c r="J27" i="56" s="1"/>
  <c r="O27" i="56"/>
  <c r="P27" i="56"/>
  <c r="H28" i="56"/>
  <c r="J28" i="56" s="1"/>
  <c r="O28" i="56"/>
  <c r="P28" i="56"/>
  <c r="H29" i="56"/>
  <c r="J29" i="56" s="1"/>
  <c r="O29" i="56"/>
  <c r="P29" i="56"/>
  <c r="H30" i="56"/>
  <c r="J30" i="56" s="1"/>
  <c r="O30" i="56"/>
  <c r="P30" i="56"/>
  <c r="H31" i="56"/>
  <c r="J31" i="56" s="1"/>
  <c r="O31" i="56"/>
  <c r="P31" i="56"/>
  <c r="H32" i="56"/>
  <c r="J32" i="56" s="1"/>
  <c r="O32" i="56"/>
  <c r="P32" i="56"/>
  <c r="H33" i="56"/>
  <c r="J33" i="56" s="1"/>
  <c r="O33" i="56"/>
  <c r="P33" i="56"/>
  <c r="H34" i="56"/>
  <c r="J34" i="56" s="1"/>
  <c r="O34" i="56"/>
  <c r="P34" i="56"/>
  <c r="H35" i="56"/>
  <c r="J35" i="56" s="1"/>
  <c r="O35" i="56"/>
  <c r="P35" i="56"/>
  <c r="H36" i="56"/>
  <c r="J36" i="56" s="1"/>
  <c r="O36" i="56"/>
  <c r="O39" i="56"/>
  <c r="H40" i="56"/>
  <c r="J40" i="56" s="1"/>
  <c r="P40" i="56"/>
  <c r="O41" i="56"/>
  <c r="H42" i="56"/>
  <c r="J42" i="56" s="1"/>
  <c r="P42" i="56"/>
  <c r="P36" i="56"/>
  <c r="H37" i="56"/>
  <c r="J37" i="56" s="1"/>
  <c r="O37" i="56"/>
  <c r="P37" i="56"/>
  <c r="H38" i="56"/>
  <c r="J38" i="56" s="1"/>
  <c r="O38" i="56"/>
  <c r="P38" i="56"/>
  <c r="H39" i="56"/>
  <c r="J39" i="56" s="1"/>
  <c r="P39" i="56"/>
  <c r="O40" i="56"/>
  <c r="H41" i="56"/>
  <c r="J41" i="56" s="1"/>
  <c r="P41" i="56"/>
  <c r="O42" i="56"/>
  <c r="H2" i="56"/>
  <c r="J2" i="56" s="1"/>
  <c r="K69" i="76"/>
  <c r="AL46" i="33"/>
  <c r="C55" i="64"/>
  <c r="K23" i="54"/>
  <c r="Y34" i="55"/>
  <c r="Q22" i="54"/>
  <c r="P41" i="54"/>
  <c r="T21" i="55"/>
  <c r="T18" i="55"/>
  <c r="U18" i="55"/>
  <c r="T19" i="55"/>
  <c r="Q20" i="54"/>
  <c r="S22" i="54"/>
  <c r="T20" i="55"/>
  <c r="T22" i="55"/>
  <c r="T23" i="55"/>
  <c r="T24" i="55"/>
  <c r="T25" i="55"/>
  <c r="T26" i="55"/>
  <c r="K27" i="54"/>
  <c r="Y33" i="55"/>
  <c r="K25" i="54"/>
  <c r="Y35" i="55"/>
  <c r="K24" i="54"/>
  <c r="Y30" i="55"/>
  <c r="AB42" i="45" a="1"/>
  <c r="AM42" i="45" a="1"/>
  <c r="Q17" i="77"/>
  <c r="R16" i="77"/>
  <c r="R17" i="77" s="1"/>
  <c r="P17" i="77" a="1"/>
  <c r="K26" i="54"/>
  <c r="Y31" i="55"/>
  <c r="BC20" i="55"/>
  <c r="BC17" i="55"/>
  <c r="BC16" i="55"/>
  <c r="BC14" i="55"/>
  <c r="BC12" i="55"/>
  <c r="BC45" i="55"/>
  <c r="BC44" i="55"/>
  <c r="BC43" i="55"/>
  <c r="BC42" i="55"/>
  <c r="BC41" i="55"/>
  <c r="BC40" i="55"/>
  <c r="BC39" i="55"/>
  <c r="BC38" i="55"/>
  <c r="BC37" i="55"/>
  <c r="BC36" i="55"/>
  <c r="BC35" i="55"/>
  <c r="BC34" i="55"/>
  <c r="BC33" i="55"/>
  <c r="BC32" i="55"/>
  <c r="BC31" i="55"/>
  <c r="BC30" i="55"/>
  <c r="BC29" i="55"/>
  <c r="BC28" i="55"/>
  <c r="BC27" i="55"/>
  <c r="BC26" i="55"/>
  <c r="BC25" i="55"/>
  <c r="BC24" i="55"/>
  <c r="BC23" i="55"/>
  <c r="BC22" i="55"/>
  <c r="BC21" i="55"/>
  <c r="BC19" i="55"/>
  <c r="BC13" i="55"/>
  <c r="BC11" i="55"/>
  <c r="BC10" i="55"/>
  <c r="BC9" i="55"/>
  <c r="BC8" i="55"/>
  <c r="BC7" i="55"/>
  <c r="BC6" i="55"/>
  <c r="BC5" i="55"/>
  <c r="BC18" i="55"/>
  <c r="BC15" i="55"/>
  <c r="K30" i="54"/>
  <c r="Y36" i="55"/>
  <c r="K22" i="54"/>
  <c r="Y32" i="55"/>
  <c r="K70" i="76"/>
  <c r="K71" i="76"/>
  <c r="K72" i="76"/>
  <c r="K64" i="76"/>
  <c r="K68" i="76"/>
  <c r="K65" i="76"/>
  <c r="K67" i="76"/>
  <c r="K66" i="76"/>
  <c r="AL47" i="33" l="1"/>
  <c r="C56" i="64"/>
  <c r="I26" i="55"/>
  <c r="I21" i="55"/>
  <c r="I22" i="55"/>
  <c r="I23" i="55"/>
  <c r="I25" i="55"/>
  <c r="I20" i="55"/>
  <c r="I24" i="55"/>
  <c r="I19" i="55"/>
  <c r="I18" i="55"/>
  <c r="L10" i="55"/>
  <c r="L6" i="55"/>
  <c r="L7" i="55"/>
  <c r="L12" i="55"/>
  <c r="L13" i="55"/>
  <c r="L9" i="55"/>
  <c r="L5" i="55"/>
  <c r="L11" i="55"/>
  <c r="L8" i="55"/>
  <c r="N64" i="76"/>
  <c r="N65" i="76"/>
  <c r="N66" i="76"/>
  <c r="N67" i="76"/>
  <c r="N68" i="76"/>
  <c r="N69" i="76"/>
  <c r="N70" i="76"/>
  <c r="N71" i="76"/>
  <c r="N72" i="76"/>
  <c r="W40" i="54" l="1"/>
  <c r="AL48" i="33"/>
  <c r="C57" i="64"/>
  <c r="O64" i="76"/>
  <c r="P64" i="76"/>
  <c r="Q64" i="76"/>
  <c r="R64" i="76"/>
  <c r="S64" i="76"/>
  <c r="T64" i="76"/>
  <c r="O65" i="76"/>
  <c r="P65" i="76"/>
  <c r="Q65" i="76"/>
  <c r="R65" i="76"/>
  <c r="S65" i="76"/>
  <c r="T65" i="76"/>
  <c r="O66" i="76"/>
  <c r="P66" i="76"/>
  <c r="Q66" i="76"/>
  <c r="R66" i="76"/>
  <c r="S66" i="76"/>
  <c r="T66" i="76"/>
  <c r="O67" i="76"/>
  <c r="P67" i="76"/>
  <c r="Q67" i="76"/>
  <c r="R67" i="76"/>
  <c r="S67" i="76"/>
  <c r="T67" i="76"/>
  <c r="O68" i="76"/>
  <c r="P68" i="76"/>
  <c r="Q68" i="76"/>
  <c r="R68" i="76"/>
  <c r="S68" i="76"/>
  <c r="T68" i="76"/>
  <c r="O69" i="76"/>
  <c r="P69" i="76"/>
  <c r="Q69" i="76"/>
  <c r="R69" i="76"/>
  <c r="S69" i="76"/>
  <c r="T69" i="76"/>
  <c r="O70" i="76"/>
  <c r="P70" i="76"/>
  <c r="Q70" i="76"/>
  <c r="R70" i="76"/>
  <c r="S70" i="76"/>
  <c r="T70" i="76"/>
  <c r="O71" i="76"/>
  <c r="P71" i="76"/>
  <c r="Q71" i="76"/>
  <c r="R71" i="76"/>
  <c r="S71" i="76"/>
  <c r="T71" i="76"/>
  <c r="O72" i="76"/>
  <c r="P72" i="76"/>
  <c r="Q72" i="76"/>
  <c r="R72" i="76"/>
  <c r="S72" i="76"/>
  <c r="T72" i="76"/>
  <c r="W41" i="54"/>
  <c r="AL49" i="33" l="1"/>
  <c r="C58" i="64"/>
  <c r="AL50" i="33" l="1"/>
  <c r="C59" i="64"/>
  <c r="AL51" i="33" l="1"/>
  <c r="C60" i="64"/>
  <c r="AL52" i="33" l="1"/>
  <c r="C61" i="64"/>
  <c r="AL53" i="33" l="1"/>
  <c r="C62" i="64"/>
  <c r="AL54" i="33" l="1"/>
  <c r="C63" i="64"/>
  <c r="AL55" i="33" l="1"/>
  <c r="C64" i="64"/>
  <c r="AL56" i="33" l="1"/>
  <c r="C65" i="64"/>
  <c r="AL57" i="33" l="1"/>
  <c r="C66" i="64"/>
  <c r="AL58" i="33" l="1"/>
  <c r="C67" i="64"/>
  <c r="AL59" i="33" l="1"/>
  <c r="C68" i="64"/>
  <c r="AL60" i="33" l="1"/>
  <c r="C69" i="64"/>
  <c r="AL61" i="33" l="1"/>
  <c r="C70" i="64"/>
  <c r="AL62" i="33" l="1"/>
  <c r="C71" i="64"/>
  <c r="AL63" i="33" l="1"/>
  <c r="C72" i="64"/>
  <c r="AL64" i="33" l="1"/>
  <c r="C73" i="64"/>
  <c r="AL65" i="33" l="1"/>
  <c r="C74" i="64"/>
  <c r="AL66" i="33" l="1"/>
  <c r="C75" i="64"/>
  <c r="AL67" i="33" l="1"/>
  <c r="C76" i="64"/>
  <c r="AL68" i="33" l="1"/>
  <c r="C77" i="64"/>
  <c r="AL69" i="33" l="1"/>
  <c r="C78" i="64"/>
  <c r="AL70" i="33" l="1"/>
  <c r="C79" i="64"/>
  <c r="AL71" i="33" l="1"/>
  <c r="C80" i="64"/>
  <c r="AL72" i="33" l="1"/>
  <c r="C81" i="64"/>
  <c r="AL73" i="33" l="1"/>
  <c r="C82" i="64"/>
  <c r="AL74" i="33" l="1"/>
  <c r="C83" i="64"/>
  <c r="AL75" i="33" l="1"/>
  <c r="C84" i="64"/>
  <c r="AL76" i="33" l="1"/>
  <c r="C85" i="64"/>
  <c r="AL77" i="33" l="1"/>
  <c r="C86" i="64"/>
  <c r="AL78" i="33" l="1"/>
  <c r="C87" i="64"/>
  <c r="AL79" i="33" l="1"/>
  <c r="C88" i="64"/>
  <c r="AL80" i="33" l="1"/>
  <c r="C89" i="64"/>
  <c r="AL81" i="33" l="1"/>
  <c r="C90" i="64"/>
  <c r="AL82" i="33" l="1"/>
  <c r="C91" i="64"/>
  <c r="AL83" i="33" l="1"/>
  <c r="C92" i="64"/>
  <c r="AL84" i="33" l="1"/>
  <c r="C93" i="64"/>
  <c r="AL85" i="33" l="1"/>
  <c r="C94" i="64"/>
  <c r="AL86" i="33" l="1"/>
  <c r="C95" i="64"/>
  <c r="AL87" i="33" l="1"/>
  <c r="C96" i="64"/>
  <c r="AL88" i="33" l="1"/>
  <c r="C97" i="64"/>
  <c r="AL89" i="33" l="1"/>
  <c r="C98" i="64"/>
  <c r="AL90" i="33" l="1"/>
  <c r="C99" i="64"/>
  <c r="AL91" i="33" l="1"/>
  <c r="C100" i="64"/>
  <c r="AL92" i="33" l="1"/>
  <c r="C101" i="64"/>
  <c r="AL93" i="33" l="1"/>
  <c r="C102" i="64"/>
  <c r="AL94" i="33" l="1"/>
  <c r="C103" i="64"/>
  <c r="AL95" i="33" l="1"/>
  <c r="C104" i="64"/>
  <c r="AL96" i="33" l="1"/>
  <c r="C105" i="64"/>
  <c r="AL97" i="33" l="1"/>
  <c r="C106" i="64"/>
  <c r="AL98" i="33" l="1"/>
  <c r="C107" i="64"/>
  <c r="AL99" i="33" l="1"/>
  <c r="C108" i="64"/>
  <c r="AL100" i="33" l="1"/>
  <c r="C109" i="64"/>
  <c r="AL101" i="33" l="1"/>
  <c r="C110" i="64"/>
  <c r="AL102" i="33" l="1"/>
  <c r="C111" i="64"/>
  <c r="AL103" i="33" l="1"/>
  <c r="C112" i="64"/>
  <c r="AL104" i="33" l="1"/>
  <c r="C113" i="64"/>
  <c r="AL105" i="33" l="1"/>
  <c r="C114" i="64"/>
  <c r="AL106" i="33" l="1"/>
  <c r="C115" i="64"/>
  <c r="AL107" i="33" l="1"/>
  <c r="C116" i="64"/>
  <c r="AL108" i="33" l="1"/>
  <c r="C117" i="64"/>
  <c r="AL109" i="33" l="1"/>
  <c r="C118" i="64"/>
  <c r="AL110" i="33" l="1"/>
  <c r="C119" i="64"/>
  <c r="AL111" i="33" l="1"/>
  <c r="C120" i="64"/>
  <c r="AL112" i="33" l="1"/>
  <c r="C121" i="64"/>
  <c r="AL113" i="33" l="1"/>
  <c r="C122" i="64"/>
  <c r="AL114" i="33" l="1"/>
  <c r="C123" i="64"/>
  <c r="AL115" i="33" l="1"/>
  <c r="C124" i="64"/>
  <c r="AL116" i="33" l="1"/>
  <c r="C125" i="64"/>
  <c r="AL117" i="33" l="1"/>
  <c r="C126" i="64"/>
  <c r="AL118" i="33" l="1"/>
  <c r="C127" i="64"/>
  <c r="AL119" i="33" l="1"/>
  <c r="C128" i="64"/>
  <c r="AL120" i="33" l="1"/>
  <c r="C129" i="64"/>
  <c r="AL121" i="33" l="1"/>
  <c r="C130" i="64"/>
  <c r="AL122" i="33" l="1"/>
  <c r="C131" i="64"/>
  <c r="AL123" i="33" l="1"/>
  <c r="C132" i="64"/>
  <c r="AL124" i="33" l="1"/>
  <c r="C133" i="64"/>
  <c r="AL125" i="33" l="1"/>
  <c r="C134" i="64"/>
  <c r="AL126" i="33" l="1"/>
  <c r="C135" i="64"/>
  <c r="AL127" i="33" l="1"/>
  <c r="C136" i="64"/>
  <c r="AL128" i="33" l="1"/>
  <c r="C137" i="64"/>
  <c r="AL129" i="33" l="1"/>
  <c r="C138" i="64"/>
  <c r="AL130" i="33" l="1"/>
  <c r="C139" i="64"/>
  <c r="AL131" i="33" l="1"/>
  <c r="C140" i="64"/>
  <c r="AL132" i="33" l="1"/>
  <c r="C141" i="64"/>
  <c r="AL133" i="33" l="1"/>
  <c r="C142" i="64"/>
  <c r="AL134" i="33" l="1"/>
  <c r="C143" i="64"/>
  <c r="AL135" i="33" l="1"/>
  <c r="C144" i="64"/>
  <c r="AL136" i="33" l="1"/>
  <c r="C145" i="64"/>
  <c r="AL137" i="33" l="1"/>
  <c r="C146" i="64"/>
  <c r="AL138" i="33" l="1"/>
  <c r="C147" i="64"/>
  <c r="AL139" i="33" l="1"/>
  <c r="C148" i="64"/>
  <c r="AL140" i="33" l="1"/>
  <c r="C149" i="64"/>
  <c r="AL141" i="33" l="1"/>
  <c r="C150" i="64"/>
  <c r="AL142" i="33" l="1"/>
  <c r="C151" i="64"/>
  <c r="AL143" i="33" l="1"/>
  <c r="C152" i="64"/>
  <c r="AL144" i="33" l="1"/>
  <c r="C153" i="64"/>
  <c r="AL145" i="33" l="1"/>
  <c r="C154" i="64"/>
  <c r="AL146" i="33" l="1"/>
  <c r="C155" i="64"/>
  <c r="AL147" i="33" l="1"/>
  <c r="C156" i="64"/>
  <c r="AL148" i="33" l="1"/>
  <c r="C157" i="64"/>
  <c r="AL149" i="33" l="1"/>
  <c r="C158" i="64"/>
  <c r="AL150" i="33" l="1"/>
  <c r="C159" i="64"/>
  <c r="AL151" i="33" l="1"/>
  <c r="C160" i="64"/>
  <c r="AL152" i="33" l="1"/>
  <c r="C161" i="64"/>
  <c r="AL153" i="33" l="1"/>
  <c r="C162" i="64"/>
  <c r="AL154" i="33" l="1"/>
  <c r="C163" i="64"/>
  <c r="AL155" i="33" l="1"/>
  <c r="C164" i="64"/>
  <c r="AL156" i="33" l="1"/>
  <c r="C165" i="64"/>
  <c r="AL157" i="33" l="1"/>
  <c r="AL158" i="33" s="1"/>
  <c r="AL159" i="33" s="1"/>
  <c r="AL160" i="33" s="1"/>
  <c r="AL161" i="33" s="1"/>
  <c r="AL162" i="33" s="1"/>
  <c r="AL163" i="33" s="1"/>
  <c r="AL164" i="33" s="1"/>
  <c r="AL165" i="33" s="1"/>
  <c r="AL166" i="33" s="1"/>
  <c r="AL167" i="33" s="1"/>
  <c r="AL168" i="33" s="1"/>
  <c r="AL169" i="33" s="1"/>
  <c r="AL170" i="33" s="1"/>
  <c r="AL171" i="33" s="1"/>
  <c r="AL172" i="33" s="1"/>
  <c r="AL173" i="33" s="1"/>
  <c r="AL174" i="33" s="1"/>
  <c r="AL175" i="33" s="1"/>
  <c r="AL176" i="33" s="1"/>
  <c r="AL177" i="33" s="1"/>
  <c r="AL178" i="33" s="1"/>
  <c r="AL179" i="33" s="1"/>
  <c r="AL180" i="33" s="1"/>
  <c r="AL181" i="33" s="1"/>
  <c r="AL182" i="33" s="1"/>
  <c r="AL183" i="33" s="1"/>
  <c r="AL184" i="33" s="1"/>
  <c r="AL185" i="33" s="1"/>
  <c r="AL186" i="33" s="1"/>
  <c r="AL187" i="33" s="1"/>
  <c r="AL188" i="33" s="1"/>
  <c r="AL189" i="33" s="1"/>
  <c r="AL190" i="33" s="1"/>
  <c r="AL191" i="33" s="1"/>
  <c r="AL192" i="33" s="1"/>
  <c r="AL193" i="33" s="1"/>
  <c r="AL194" i="33" s="1"/>
  <c r="AL195" i="33" s="1"/>
  <c r="AL196" i="33" s="1"/>
  <c r="AL197" i="33" s="1"/>
  <c r="AL198" i="33" s="1"/>
  <c r="AL199" i="33" s="1"/>
  <c r="AL200" i="33" s="1"/>
  <c r="AL201" i="33" s="1"/>
  <c r="AL202" i="33" s="1"/>
  <c r="AL203" i="33" s="1"/>
  <c r="AL204" i="33" s="1"/>
  <c r="AL205" i="33" s="1"/>
  <c r="AL206" i="33" s="1"/>
  <c r="AL207" i="33" s="1"/>
  <c r="AL208" i="33" s="1"/>
  <c r="AL209" i="33" s="1"/>
  <c r="AL210" i="33" s="1"/>
  <c r="AL211" i="33" s="1"/>
  <c r="AL212" i="33" s="1"/>
  <c r="AL213" i="33" s="1"/>
  <c r="AL214" i="33" s="1"/>
  <c r="AL215" i="33" s="1"/>
  <c r="AL216" i="33" s="1"/>
  <c r="AL217" i="33" s="1"/>
  <c r="AL218" i="33" s="1"/>
  <c r="AL219" i="33" s="1"/>
  <c r="AL220" i="33" s="1"/>
  <c r="AL221" i="33" s="1"/>
  <c r="AL222" i="33" s="1"/>
  <c r="AL223" i="33" s="1"/>
  <c r="AL224" i="33" s="1"/>
  <c r="AL225" i="33" s="1"/>
  <c r="AL226" i="33" s="1"/>
  <c r="AL227" i="33" s="1"/>
  <c r="AL228" i="33" s="1"/>
  <c r="AL229" i="33" s="1"/>
  <c r="AL230" i="33" s="1"/>
  <c r="AL231" i="33" s="1"/>
  <c r="AL232" i="33" s="1"/>
  <c r="AL233" i="33" s="1"/>
  <c r="AL234" i="33" s="1"/>
  <c r="AL235" i="33" s="1"/>
  <c r="AL236" i="33" s="1"/>
  <c r="AL237" i="33" s="1"/>
  <c r="AL238" i="33" s="1"/>
  <c r="AL239" i="33" s="1"/>
  <c r="AL240" i="33" s="1"/>
  <c r="AL241" i="33" s="1"/>
  <c r="AL242" i="33" s="1"/>
  <c r="AL243" i="33" s="1"/>
  <c r="AL244" i="33" s="1"/>
  <c r="AL245" i="33" s="1"/>
  <c r="AL246" i="33" s="1"/>
  <c r="AL247" i="33" s="1"/>
  <c r="AL248" i="33" s="1"/>
  <c r="AL249" i="33" s="1"/>
  <c r="AL250" i="33" s="1"/>
  <c r="AL251" i="33" s="1"/>
  <c r="AL252" i="33" s="1"/>
  <c r="AL253" i="33" s="1"/>
  <c r="AL254" i="33" s="1"/>
  <c r="AL255" i="33" s="1"/>
  <c r="AL256" i="33" s="1"/>
  <c r="AL257" i="33" s="1"/>
  <c r="AL258" i="33" s="1"/>
  <c r="AL259" i="33" s="1"/>
  <c r="AL260" i="33" s="1"/>
  <c r="AL261" i="33" s="1"/>
  <c r="AL262" i="33" s="1"/>
  <c r="AL263" i="33" s="1"/>
  <c r="AL264" i="33" s="1"/>
  <c r="AL265" i="33" s="1"/>
  <c r="AL266" i="33" s="1"/>
  <c r="AL267" i="33" s="1"/>
  <c r="AL268" i="33" s="1"/>
  <c r="AL269" i="33" s="1"/>
  <c r="AL270" i="33" s="1"/>
  <c r="AL271" i="33" s="1"/>
  <c r="AL272" i="33" s="1"/>
  <c r="AL273" i="33" s="1"/>
  <c r="AL274" i="33" s="1"/>
  <c r="AL275" i="33" s="1"/>
  <c r="AL276" i="33" s="1"/>
  <c r="AL277" i="33" s="1"/>
  <c r="AL278" i="33" s="1"/>
  <c r="AL279" i="33" s="1"/>
  <c r="AL280" i="33" s="1"/>
  <c r="AL281" i="33" s="1"/>
  <c r="AL282" i="33" s="1"/>
  <c r="AL283" i="33" s="1"/>
  <c r="AL284" i="33" s="1"/>
  <c r="AL285" i="33" s="1"/>
  <c r="AL286" i="33" s="1"/>
  <c r="AL287" i="33" s="1"/>
  <c r="AL288" i="33" s="1"/>
  <c r="AL289" i="33" s="1"/>
  <c r="AL290" i="33" s="1"/>
  <c r="AL291" i="33" s="1"/>
  <c r="AL292" i="33" s="1"/>
  <c r="AL293" i="33" s="1"/>
  <c r="AL294" i="33" s="1"/>
  <c r="AL295" i="33" s="1"/>
  <c r="AL296" i="33" s="1"/>
  <c r="AL297" i="33" s="1"/>
  <c r="AL298" i="33" s="1"/>
  <c r="AL299" i="33" s="1"/>
  <c r="AL300" i="33" s="1"/>
  <c r="AL301" i="33" s="1"/>
  <c r="AL302" i="33" s="1"/>
  <c r="AL303" i="33" s="1"/>
  <c r="AL304" i="33" s="1"/>
  <c r="AL305" i="33" s="1"/>
  <c r="AL306" i="33" s="1"/>
  <c r="AL307" i="33" s="1"/>
  <c r="AL308" i="33" s="1"/>
  <c r="AL309" i="33" s="1"/>
  <c r="AL310" i="33" s="1"/>
  <c r="AL311" i="33" s="1"/>
  <c r="AL312" i="33" s="1"/>
  <c r="AL313" i="33" s="1"/>
  <c r="AL314" i="33" s="1"/>
  <c r="AL315" i="33" s="1"/>
  <c r="AL316" i="33" s="1"/>
  <c r="AL317" i="33" s="1"/>
  <c r="AL318" i="33" s="1"/>
  <c r="AL319" i="33" s="1"/>
  <c r="AL320" i="33" s="1"/>
  <c r="AL321" i="33" s="1"/>
  <c r="AL322" i="33" s="1"/>
  <c r="AL323" i="33" s="1"/>
  <c r="AL324" i="33" s="1"/>
  <c r="AL325" i="33" s="1"/>
  <c r="AL326" i="33" s="1"/>
  <c r="AL327" i="33" s="1"/>
  <c r="AL328" i="33" s="1"/>
  <c r="AL329" i="33" s="1"/>
  <c r="AL330" i="33" s="1"/>
  <c r="AL331" i="33" s="1"/>
  <c r="AL332" i="33" s="1"/>
  <c r="AL333" i="33" s="1"/>
  <c r="AL334" i="33" s="1"/>
  <c r="AL335" i="33" s="1"/>
  <c r="AL336" i="33" s="1"/>
  <c r="AL337" i="33" s="1"/>
  <c r="AL338" i="33" s="1"/>
  <c r="AL339" i="33" s="1"/>
  <c r="AL340" i="33" s="1"/>
  <c r="AL341" i="33" s="1"/>
  <c r="AL342" i="33" s="1"/>
  <c r="AL343" i="33" s="1"/>
  <c r="AL344" i="33" s="1"/>
  <c r="AL345" i="33" s="1"/>
  <c r="AL346" i="33" s="1"/>
  <c r="AL347" i="33" s="1"/>
  <c r="AL348" i="33" s="1"/>
  <c r="AL349" i="33" s="1"/>
  <c r="AL350" i="33" s="1"/>
  <c r="AL351" i="33" s="1"/>
  <c r="AL352" i="33" s="1"/>
  <c r="AL353" i="33" s="1"/>
  <c r="AL354" i="33" s="1"/>
  <c r="AL355" i="33" s="1"/>
  <c r="AL356" i="33" s="1"/>
  <c r="AL357" i="33" s="1"/>
  <c r="AL358" i="33" s="1"/>
  <c r="AL359" i="33" s="1"/>
  <c r="AL360" i="33" s="1"/>
  <c r="AL361" i="33" s="1"/>
  <c r="AL362" i="33" s="1"/>
  <c r="AL363" i="33" s="1"/>
  <c r="AL364" i="33" s="1"/>
  <c r="AL365" i="33" s="1"/>
  <c r="AL366" i="33" s="1"/>
  <c r="AL367" i="33" s="1"/>
  <c r="AL368" i="33" s="1"/>
  <c r="AL369" i="33" s="1"/>
  <c r="AL370" i="33" s="1"/>
  <c r="AL371" i="33" s="1"/>
  <c r="AL372" i="33" s="1"/>
  <c r="AL373" i="33" s="1"/>
  <c r="AL374" i="33" s="1"/>
  <c r="AL375" i="33" s="1"/>
  <c r="AL376" i="33" s="1"/>
  <c r="AL377" i="33" s="1"/>
  <c r="AL378" i="33" s="1"/>
  <c r="AL379" i="33" s="1"/>
  <c r="AL380" i="33" s="1"/>
  <c r="C166" i="6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Alf-Henrik Håker</author>
  </authors>
  <commentList>
    <comment ref="L11" authorId="0" shapeId="0" xr:uid="{0C10DD49-1CB1-41A4-AEF6-794961B87366}">
      <text>
        <r>
          <rPr>
            <b/>
            <sz val="9"/>
            <color indexed="81"/>
            <rFont val="Tahoma"/>
            <family val="2"/>
          </rPr>
          <t>Alf-Henrik Håker:</t>
        </r>
        <r>
          <rPr>
            <sz val="9"/>
            <color indexed="81"/>
            <rFont val="Tahoma"/>
            <family val="2"/>
          </rPr>
          <t xml:space="preserve">
Overført fra Cognac-kassa som nå er satt i null. Det er samtidig slutt på kr 10,- i straff for de som ikke er ukevinner!</t>
        </r>
      </text>
    </comment>
    <comment ref="Q11" authorId="0" shapeId="0" xr:uid="{710AB673-990F-4482-8093-74B782288236}">
      <text>
        <r>
          <rPr>
            <b/>
            <sz val="9"/>
            <color indexed="81"/>
            <rFont val="Tahoma"/>
            <family val="2"/>
          </rPr>
          <t>Alf-Henrik Håker:</t>
        </r>
        <r>
          <rPr>
            <sz val="9"/>
            <color indexed="81"/>
            <rFont val="Tahoma"/>
            <family val="2"/>
          </rPr>
          <t xml:space="preserve">
1 pk. kaffe og 3 pk. kjeks</t>
        </r>
      </text>
    </comment>
    <comment ref="Q21" authorId="0" shapeId="0" xr:uid="{A794B235-D58D-445A-B1EF-930CD65EC3B0}">
      <text>
        <r>
          <rPr>
            <b/>
            <sz val="9"/>
            <color indexed="81"/>
            <rFont val="Tahoma"/>
            <family val="2"/>
          </rPr>
          <t>Alf-Henrik Håker:</t>
        </r>
        <r>
          <rPr>
            <sz val="9"/>
            <color indexed="81"/>
            <rFont val="Tahoma"/>
            <family val="2"/>
          </rPr>
          <t xml:space="preserve">
1 pk. kaffe = kr 76,00
1 fl. Solo    = kr 35,00</t>
        </r>
      </text>
    </comment>
    <comment ref="Q22" authorId="0" shapeId="0" xr:uid="{D0860965-94C1-4DCD-B62E-8E0713E0B15F}">
      <text>
        <r>
          <rPr>
            <b/>
            <sz val="9"/>
            <color indexed="81"/>
            <rFont val="Tahoma"/>
            <family val="2"/>
          </rPr>
          <t>Alf-Henrik Håker:</t>
        </r>
        <r>
          <rPr>
            <sz val="9"/>
            <color indexed="81"/>
            <rFont val="Tahoma"/>
            <family val="2"/>
          </rPr>
          <t xml:space="preserve">
1 pk. Safari kjeks</t>
        </r>
      </text>
    </comment>
    <comment ref="L24" authorId="0" shapeId="0" xr:uid="{846C137B-6EFE-4148-98BC-300EFD280431}">
      <text>
        <r>
          <rPr>
            <b/>
            <sz val="9"/>
            <color indexed="81"/>
            <rFont val="Tahoma"/>
            <family val="2"/>
          </rPr>
          <t>Alf-Henrik Håker:</t>
        </r>
        <r>
          <rPr>
            <sz val="9"/>
            <color indexed="81"/>
            <rFont val="Tahoma"/>
            <family val="2"/>
          </rPr>
          <t xml:space="preserve">
08.11.2025 AHH 500,-
08.11.2025 JH    500,-
08.11.2025 ØG   500,-
10.11.2025 EB    500,-
13.11.2025 KAF  500,-
13.11.2025 RB    500,-
14.11.2025 TOH  500,-
</t>
        </r>
      </text>
    </comment>
    <comment ref="Q38" authorId="0" shapeId="0" xr:uid="{62D9B0B4-BECB-42BB-84DA-13E0E0F40F2E}">
      <text>
        <r>
          <rPr>
            <b/>
            <sz val="9"/>
            <color indexed="81"/>
            <rFont val="Tahoma"/>
            <family val="2"/>
          </rPr>
          <t>Alf-Henrik Håker:</t>
        </r>
        <r>
          <rPr>
            <sz val="9"/>
            <color indexed="81"/>
            <rFont val="Tahoma"/>
            <family val="2"/>
          </rPr>
          <t xml:space="preserve">
Delicate Sea Salt-kjeks
</t>
        </r>
      </text>
    </comment>
    <comment ref="L39" authorId="0" shapeId="0" xr:uid="{3F662421-1009-4C6E-908B-60A6FBEFED1E}">
      <text>
        <r>
          <rPr>
            <b/>
            <sz val="9"/>
            <color indexed="81"/>
            <rFont val="Tahoma"/>
            <family val="2"/>
          </rPr>
          <t>Alf-Henrik Håker:</t>
        </r>
        <r>
          <rPr>
            <sz val="9"/>
            <color indexed="81"/>
            <rFont val="Tahoma"/>
            <family val="2"/>
          </rPr>
          <t xml:space="preserve">
21.02.2026 AHH 500,-
22.02.2026 JH    500,-
22.02.2026 ØG   500,-
25.02.2026 EB    500,-
25.02.2026 KAF  500,-
25.02.2026 RB    500,-
25.02.2026 TOH  500,-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<sst xmlns="http://schemas.openxmlformats.org/spreadsheetml/2006/main" count="3505" uniqueCount="921">
  <si>
    <t>Årsavslutning 2023-2024 sesongen Skorgen Tippelag</t>
  </si>
  <si>
    <t>ST Medlemmer</t>
  </si>
  <si>
    <t>Poeng</t>
  </si>
  <si>
    <t>Rang</t>
  </si>
  <si>
    <t>PoengAntall</t>
  </si>
  <si>
    <t>Straff</t>
  </si>
  <si>
    <t>Rangering</t>
  </si>
  <si>
    <t>Hjemmepoeng</t>
  </si>
  <si>
    <t>Uavgjortpoeng</t>
  </si>
  <si>
    <t>Bortepoeng</t>
  </si>
  <si>
    <t>Hjemmetreff</t>
  </si>
  <si>
    <t>Uavgjorttreff</t>
  </si>
  <si>
    <t>Bortetreff</t>
  </si>
  <si>
    <t>Antalll koponger</t>
  </si>
  <si>
    <t>Poengtap</t>
  </si>
  <si>
    <t>straff</t>
  </si>
  <si>
    <t>hp</t>
  </si>
  <si>
    <t>up</t>
  </si>
  <si>
    <t>bp</t>
  </si>
  <si>
    <t>AHH</t>
  </si>
  <si>
    <t>RB</t>
  </si>
  <si>
    <t>EB</t>
  </si>
  <si>
    <t>KAF</t>
  </si>
  <si>
    <t>ØG</t>
  </si>
  <si>
    <t>JH</t>
  </si>
  <si>
    <t>TOH</t>
  </si>
  <si>
    <t>UTG</t>
  </si>
  <si>
    <t>LEV</t>
  </si>
  <si>
    <t>Max poeng</t>
  </si>
  <si>
    <t>Poenghøst</t>
  </si>
  <si>
    <t>%</t>
  </si>
  <si>
    <t>Mest</t>
  </si>
  <si>
    <t>Best</t>
  </si>
  <si>
    <t>Flest</t>
  </si>
  <si>
    <t>Siste uke</t>
  </si>
  <si>
    <t>All Time High</t>
  </si>
  <si>
    <t>Hjemme</t>
  </si>
  <si>
    <t>Uavgjort</t>
  </si>
  <si>
    <t>Borte</t>
  </si>
  <si>
    <t>Poengsnitt</t>
  </si>
  <si>
    <t>Ukeseire</t>
  </si>
  <si>
    <t>All Time Low</t>
  </si>
  <si>
    <t>Ukens Jumbo</t>
  </si>
  <si>
    <t>STPS 2026</t>
  </si>
  <si>
    <t>Skorgen Tippelag</t>
  </si>
  <si>
    <t>H</t>
  </si>
  <si>
    <t>U</t>
  </si>
  <si>
    <t>B</t>
  </si>
  <si>
    <t xml:space="preserve">Wolverhampton – Manchester City </t>
  </si>
  <si>
    <t>-</t>
  </si>
  <si>
    <t xml:space="preserve">Brighton – Fulham </t>
  </si>
  <si>
    <t xml:space="preserve">Sunderland – West Ham </t>
  </si>
  <si>
    <t xml:space="preserve">Tottenham – Burnley </t>
  </si>
  <si>
    <t xml:space="preserve">Blackburn – Birmingham </t>
  </si>
  <si>
    <t xml:space="preserve">Bristol City – Charlton </t>
  </si>
  <si>
    <t xml:space="preserve">Millwall – Middlesbrough </t>
  </si>
  <si>
    <t xml:space="preserve">Preston – Leicester </t>
  </si>
  <si>
    <t xml:space="preserve">Sheffield Wed – Stoke </t>
  </si>
  <si>
    <t xml:space="preserve">Swansea – Sheffield Utd </t>
  </si>
  <si>
    <t xml:space="preserve">Watford – Queens PR </t>
  </si>
  <si>
    <t>Lillestrøm – Start</t>
  </si>
  <si>
    <t>lørdag</t>
  </si>
  <si>
    <t>Arsenal-Leeds</t>
  </si>
  <si>
    <t>Bournemouth-Wolverhampton</t>
  </si>
  <si>
    <t>Burnley-Sunderland</t>
  </si>
  <si>
    <t>Brentford-Aston Villa</t>
  </si>
  <si>
    <t>Start-Aalesund</t>
  </si>
  <si>
    <t>Egersund-Åsane</t>
  </si>
  <si>
    <t>Mjøndalen-Hødd</t>
  </si>
  <si>
    <t>Odd-Kongsvinger</t>
  </si>
  <si>
    <t>Ranheim-Stabæk</t>
  </si>
  <si>
    <t>Raufoss-Lillestrøm</t>
  </si>
  <si>
    <t>Skeid-Lyn</t>
  </si>
  <si>
    <t>Sogndal-Moss</t>
  </si>
  <si>
    <t xml:space="preserve">Fulham – Brentford </t>
  </si>
  <si>
    <t xml:space="preserve">Manchester Utd – Chelsea </t>
  </si>
  <si>
    <t>Brighton – Tottenham</t>
  </si>
  <si>
    <t xml:space="preserve">Burnley – Nottingham </t>
  </si>
  <si>
    <t>West Ham – Crystal Palace</t>
  </si>
  <si>
    <t>Wolverhampton – Leeds</t>
  </si>
  <si>
    <t>Vålerenga – KFUM Oslo</t>
  </si>
  <si>
    <t>Sandefjord – Brann</t>
  </si>
  <si>
    <t>Start – Ranheim</t>
  </si>
  <si>
    <t>Aalesund – Skeid</t>
  </si>
  <si>
    <t>Lillestrøm – Mjøndalen</t>
  </si>
  <si>
    <t>Åsane – Odd</t>
  </si>
  <si>
    <t>Tottenham – Wolverhampton</t>
  </si>
  <si>
    <t>Nottingham F – Sunderland</t>
  </si>
  <si>
    <t>Chelsea – Brighton</t>
  </si>
  <si>
    <t>Crystal Palace – Liverpool</t>
  </si>
  <si>
    <t>Leeds – Bournemouth</t>
  </si>
  <si>
    <t>Manchester City – Burnley</t>
  </si>
  <si>
    <t>Sarpsborg 08 – Viking</t>
  </si>
  <si>
    <t>Egersund – Start</t>
  </si>
  <si>
    <t>Ipswich Town – Portsmouth</t>
  </si>
  <si>
    <t>Stoke – Norwich</t>
  </si>
  <si>
    <t>Southampton – Middlesbrough</t>
  </si>
  <si>
    <t>Preston – Bristol City</t>
  </si>
  <si>
    <t>Chelsea – Liverpool</t>
  </si>
  <si>
    <t>Arsenal – West Ham</t>
  </si>
  <si>
    <t>Manchester Utd – Sunderland</t>
  </si>
  <si>
    <t>Kristiansund – Molde</t>
  </si>
  <si>
    <t>Sandefjord – Bryne</t>
  </si>
  <si>
    <t>Aalesund – Sogndal</t>
  </si>
  <si>
    <t>Kongsvinger – Skeid</t>
  </si>
  <si>
    <t>Lillestrøm – Hødd</t>
  </si>
  <si>
    <t>Ranheim – Egersund</t>
  </si>
  <si>
    <t>Start – Raufoss</t>
  </si>
  <si>
    <t>Åsane – Mjøndalen</t>
  </si>
  <si>
    <t>Swansea – Leicester</t>
  </si>
  <si>
    <t>Norge – Israel</t>
  </si>
  <si>
    <t>Estland – Italia</t>
  </si>
  <si>
    <t>Bulgaria – Tyrkia</t>
  </si>
  <si>
    <t>Spania – Georgia</t>
  </si>
  <si>
    <t>Ungarn – Armenia</t>
  </si>
  <si>
    <t>Portugal – Irland</t>
  </si>
  <si>
    <t>Serbia – Albania</t>
  </si>
  <si>
    <t>Sandviken – Jerv</t>
  </si>
  <si>
    <t>Levanger – Alta</t>
  </si>
  <si>
    <t>Chesterfield – Salford City</t>
  </si>
  <si>
    <t>Bristol Rovers – Milton Keynes Dons</t>
  </si>
  <si>
    <t>Grimsby Town – Colchester United</t>
  </si>
  <si>
    <t>Brann-Haugesund</t>
  </si>
  <si>
    <t>Bryne-Rosenborg</t>
  </si>
  <si>
    <t>Mjøndalen-Aalesund</t>
  </si>
  <si>
    <t>Moss-Kongsvinger</t>
  </si>
  <si>
    <t>Odd-Ranheim</t>
  </si>
  <si>
    <t>Sogndal-Start</t>
  </si>
  <si>
    <t>Fulham-Arsenal</t>
  </si>
  <si>
    <t>Brighton-Newcastle</t>
  </si>
  <si>
    <t>Burnley-Leeds</t>
  </si>
  <si>
    <t>Crystal Palace-Bournemouth</t>
  </si>
  <si>
    <t>Manchester City-Everton</t>
  </si>
  <si>
    <t>Sunderland-Wolverhampton</t>
  </si>
  <si>
    <t>Sarpsborg 08-KFUM Oslo</t>
  </si>
  <si>
    <t>Viking-Bryne</t>
  </si>
  <si>
    <t>Hødd-Stabæk</t>
  </si>
  <si>
    <t>Lillestrøm-Ranheim</t>
  </si>
  <si>
    <t>Lyn-Kongsvinger</t>
  </si>
  <si>
    <t>Moss-Aalesund</t>
  </si>
  <si>
    <t>Sogndal-Egersund</t>
  </si>
  <si>
    <t>Åsane-Start</t>
  </si>
  <si>
    <t>Chelsea-Sunderland</t>
  </si>
  <si>
    <t>Newcastle-Fulham</t>
  </si>
  <si>
    <t>Manchester Utd-Brighton</t>
  </si>
  <si>
    <t>Brentford-Liverpool</t>
  </si>
  <si>
    <t>Molde-Rosenborg</t>
  </si>
  <si>
    <t>Vålerenga-Bodø/Glimt</t>
  </si>
  <si>
    <t>Kongsvinger-Lillestrøm</t>
  </si>
  <si>
    <t>Start-Moss</t>
  </si>
  <si>
    <t>Aalesund-Åsane</t>
  </si>
  <si>
    <t>Burnley-Arsenal</t>
  </si>
  <si>
    <t>Brighton-Leeds</t>
  </si>
  <si>
    <t>Nottingham F-Manchester Utd</t>
  </si>
  <si>
    <t>Crystal Palace-Brentford</t>
  </si>
  <si>
    <t>Fulham-Wolverhampton</t>
  </si>
  <si>
    <t>Tottenham-Chelsea</t>
  </si>
  <si>
    <t>Liverpool-Aston Villa</t>
  </si>
  <si>
    <t>Viking-HamKam</t>
  </si>
  <si>
    <t>Hødd-Aalesund</t>
  </si>
  <si>
    <t>Lillestrøm-Stabæk</t>
  </si>
  <si>
    <t>Lyn-Start</t>
  </si>
  <si>
    <t>Moss-Raufoss</t>
  </si>
  <si>
    <t>Sogndal-Ranheim</t>
  </si>
  <si>
    <t>Åsane-Kongsvinger</t>
  </si>
  <si>
    <t>Mjøndalen-Egersund</t>
  </si>
  <si>
    <t>Everton-Fulham</t>
  </si>
  <si>
    <t>West Ham-Burnley</t>
  </si>
  <si>
    <t>Sunderland-Arsenal</t>
  </si>
  <si>
    <t>Chelsea-Wolverhampton</t>
  </si>
  <si>
    <t>Kypros-Østerrike</t>
  </si>
  <si>
    <t>Georgia-Spania</t>
  </si>
  <si>
    <t>Tyrkia-Bulgaria</t>
  </si>
  <si>
    <t>Bosnia-Hercegovina-Romania</t>
  </si>
  <si>
    <t>Hellas-Skottland</t>
  </si>
  <si>
    <t>Slovenia-Kosovo</t>
  </si>
  <si>
    <t>Sveits-Sverige</t>
  </si>
  <si>
    <t>Cambridge United-Barnet</t>
  </si>
  <si>
    <t>Fleetwood Town-Swindon Town</t>
  </si>
  <si>
    <t>Grimsby Town-Chesterfield</t>
  </si>
  <si>
    <t>Milton Keynes Dons-Salford City</t>
  </si>
  <si>
    <t>Oldham Athletic-Crewe Alexandra</t>
  </si>
  <si>
    <t>KAH</t>
  </si>
  <si>
    <t>Molde-Brann</t>
  </si>
  <si>
    <t>Strømsgodset-Sandefjord</t>
  </si>
  <si>
    <t>Vålerenga-Kristiansund</t>
  </si>
  <si>
    <t>Egersund-Ranheim</t>
  </si>
  <si>
    <t>Newcastle-Manchester City</t>
  </si>
  <si>
    <t>Liverpool-Nottingham F</t>
  </si>
  <si>
    <t>Fulham-Sunderland</t>
  </si>
  <si>
    <t>Brighton-Brentford</t>
  </si>
  <si>
    <t>Wolverhampton-Crystal Palace</t>
  </si>
  <si>
    <t>Bournemouth-West Ham</t>
  </si>
  <si>
    <t>Leicester-Stoke</t>
  </si>
  <si>
    <t>Ipswich Town-Wrexham</t>
  </si>
  <si>
    <t>Tottenham-Fulham</t>
  </si>
  <si>
    <t>Everton-Newcastle</t>
  </si>
  <si>
    <t>Brentford-Burnley</t>
  </si>
  <si>
    <t>Manchester City-Leeds</t>
  </si>
  <si>
    <t>Sunderland-Bournemouth</t>
  </si>
  <si>
    <t>Coventry-Charlton</t>
  </si>
  <si>
    <t>Middlesbrough-Derby</t>
  </si>
  <si>
    <t>Millwall-Southampton</t>
  </si>
  <si>
    <t>Norwich-Queens PR</t>
  </si>
  <si>
    <t>Sheffield Wed-Preston</t>
  </si>
  <si>
    <t>West Bromwich-Swansea</t>
  </si>
  <si>
    <t>Wrexham-Blackburn</t>
  </si>
  <si>
    <t>Lillestrøm-Sarpsborg 08</t>
  </si>
  <si>
    <t>Leeds-Liverpool</t>
  </si>
  <si>
    <t>Bournemouth-Chelsea</t>
  </si>
  <si>
    <t>Everton-Nottingham F</t>
  </si>
  <si>
    <t>Manchester City-Sunderland</t>
  </si>
  <si>
    <t>Newcastle-Burnley</t>
  </si>
  <si>
    <t>Tottenham-Brentford</t>
  </si>
  <si>
    <t>Ipswich Town-Coventry</t>
  </si>
  <si>
    <t>Preston-Wrexham</t>
  </si>
  <si>
    <t>Queens PR-West Bromwich</t>
  </si>
  <si>
    <t>Sheffield Utd-Stoke</t>
  </si>
  <si>
    <t>Southampton-Birmingham</t>
  </si>
  <si>
    <t>Arsenal-Wolverhampton</t>
  </si>
  <si>
    <t>Burnley-Fulham</t>
  </si>
  <si>
    <t>Chelsea-Everton</t>
  </si>
  <si>
    <t>Liverpool-Brighton</t>
  </si>
  <si>
    <t>Birmingham-Charlton</t>
  </si>
  <si>
    <t>Coventry-Bristol City</t>
  </si>
  <si>
    <t>Leicester-Ipswich Town</t>
  </si>
  <si>
    <t>Middlesbrough-Queens PR</t>
  </si>
  <si>
    <t>Millwall-Hull</t>
  </si>
  <si>
    <t>Portsmouth-Blackburn</t>
  </si>
  <si>
    <t>Wrexham-Watford</t>
  </si>
  <si>
    <t>Cardiff-Doncaster Rovers</t>
  </si>
  <si>
    <t>God Jul!</t>
  </si>
  <si>
    <t>Charlton-Chelsea</t>
  </si>
  <si>
    <t>Bristol City-Watford</t>
  </si>
  <si>
    <t>Cambridge United-Birmingham</t>
  </si>
  <si>
    <t>Tottenham-Aston Villa</t>
  </si>
  <si>
    <t>Burnley-Millwall</t>
  </si>
  <si>
    <t>Doncaster Rovers-Southampton</t>
  </si>
  <si>
    <t>Fulham-Middlesbrough</t>
  </si>
  <si>
    <t>Ipswich Town-Blackpool</t>
  </si>
  <si>
    <t>Newcastle-Bournemouth</t>
  </si>
  <si>
    <t>Stoke-Coventry</t>
  </si>
  <si>
    <t>Leyton Orient-Cardiff</t>
  </si>
  <si>
    <t>Peterborough Utd-Bolton Wanderers</t>
  </si>
  <si>
    <t>Nottingham F-Arsenal</t>
  </si>
  <si>
    <t>Liverpool-Burnley</t>
  </si>
  <si>
    <t>Chelsea-Brentford</t>
  </si>
  <si>
    <t>Tottenham-West Ham</t>
  </si>
  <si>
    <t>Leeds-Fulham</t>
  </si>
  <si>
    <t>Sunderland-Crystal Palace</t>
  </si>
  <si>
    <t>Swansea-Birmingham</t>
  </si>
  <si>
    <t>Preston-Derby</t>
  </si>
  <si>
    <t>Southampton-Hull</t>
  </si>
  <si>
    <t>Stoke-Queens PR</t>
  </si>
  <si>
    <t>Charlton-Sheffield Utd</t>
  </si>
  <si>
    <t>Oxford United-Bristol City</t>
  </si>
  <si>
    <t xml:space="preserve"> </t>
  </si>
  <si>
    <t>Bournemouth-Liverpool</t>
  </si>
  <si>
    <t>Burnley-Tottenham</t>
  </si>
  <si>
    <t>Fulham-Brighton</t>
  </si>
  <si>
    <t>Manchester City-Wolverhampton</t>
  </si>
  <si>
    <t>Birmingham-Stoke</t>
  </si>
  <si>
    <t>Blackburn-Watford</t>
  </si>
  <si>
    <t>Hull-Swansea</t>
  </si>
  <si>
    <t>Leicester-Oxford United</t>
  </si>
  <si>
    <t>Queens PR-Wrexham</t>
  </si>
  <si>
    <t>Sheffield Utd-Ipswich Town</t>
  </si>
  <si>
    <t>Bolton Wanderers-Leyton Orient</t>
  </si>
  <si>
    <t>Reading-Barnsley</t>
  </si>
  <si>
    <t>Liverpool-Newcastle</t>
  </si>
  <si>
    <t>Chelsea-West Ham</t>
  </si>
  <si>
    <t>Wolverhampton-Bournemouth</t>
  </si>
  <si>
    <t>Leeds-Arsenal</t>
  </si>
  <si>
    <t>Brighton-Everton</t>
  </si>
  <si>
    <t>Blackburn-Hull</t>
  </si>
  <si>
    <t>Millwall-Sheffield Utd</t>
  </si>
  <si>
    <t>Queens PR-Coventry</t>
  </si>
  <si>
    <t>Portsmouth-West Bromwich</t>
  </si>
  <si>
    <t>Middlesbrough-Norwich</t>
  </si>
  <si>
    <t>Ipswich Town-Preston</t>
  </si>
  <si>
    <t>Watford-Swansea</t>
  </si>
  <si>
    <t>Newcastle-Brentford</t>
  </si>
  <si>
    <t>Arsenal-Sunderland</t>
  </si>
  <si>
    <t>Bournemouth-Aston Villa</t>
  </si>
  <si>
    <t>Burnley-West Ham</t>
  </si>
  <si>
    <t>Fulham-Everton</t>
  </si>
  <si>
    <t>Wolverhampton-Chelsea</t>
  </si>
  <si>
    <t>Birmingham-Leicester</t>
  </si>
  <si>
    <t>Coventry-Oxford United</t>
  </si>
  <si>
    <t>Hull-Bristol City</t>
  </si>
  <si>
    <t>Preston-Portsmouth</t>
  </si>
  <si>
    <t>West Bromwich-Stoke</t>
  </si>
  <si>
    <t>Wrexham-Millwall</t>
  </si>
  <si>
    <t>Aston Villa-Newcastle</t>
  </si>
  <si>
    <t>Southampton-Leicester</t>
  </si>
  <si>
    <t>Norwich-West Bromwich</t>
  </si>
  <si>
    <t>Port Vale-Bristol City</t>
  </si>
  <si>
    <t>tr</t>
  </si>
  <si>
    <t>Derby-Swansea</t>
  </si>
  <si>
    <t>Preston-Watford</t>
  </si>
  <si>
    <t>Queens PR-Blackburn</t>
  </si>
  <si>
    <t>Portsmouth-Sheffield Utd</t>
  </si>
  <si>
    <t>Cardiff-Luton</t>
  </si>
  <si>
    <t>Lincoln City-Bolton Wanderers</t>
  </si>
  <si>
    <t>Bradford City-Peterborough Utd</t>
  </si>
  <si>
    <t>Manchester City-Newcastle</t>
  </si>
  <si>
    <t>West Ham-Bournemouth</t>
  </si>
  <si>
    <t>Aston Villa-Leeds</t>
  </si>
  <si>
    <t>Brentford-Brighton</t>
  </si>
  <si>
    <t>Chelsea-Burnley</t>
  </si>
  <si>
    <t>Middlesbrough-Oxford United</t>
  </si>
  <si>
    <t>Millwall-Portsmouth</t>
  </si>
  <si>
    <t>Norwich-Birmingham</t>
  </si>
  <si>
    <t>Southampton-Charlton</t>
  </si>
  <si>
    <t>Watford-Derby</t>
  </si>
  <si>
    <t>Wrexham-Ipswich Town</t>
  </si>
  <si>
    <t>Bolton Wanderers-Blackpool</t>
  </si>
  <si>
    <t>Leeds-Manchester City</t>
  </si>
  <si>
    <t>Burnley-Brentford</t>
  </si>
  <si>
    <t>Liverpool-West Ham</t>
  </si>
  <si>
    <t>Newcastle-Everton</t>
  </si>
  <si>
    <t>Charlton-Wrexham</t>
  </si>
  <si>
    <t>Coventry-Stoke</t>
  </si>
  <si>
    <t>Ipswich Town-Swansea</t>
  </si>
  <si>
    <t>Oxford United-West Bromwich</t>
  </si>
  <si>
    <t>Preston-Millwall</t>
  </si>
  <si>
    <t>Queens PR-Sheffield Utd</t>
  </si>
  <si>
    <t>Reading-Bradford City</t>
  </si>
  <si>
    <t>Borussia Dortmund-Bayern München</t>
  </si>
  <si>
    <t>Wrexham-Chelsea</t>
  </si>
  <si>
    <t>Bristol City-Coventry</t>
  </si>
  <si>
    <t>Charlton-Birmingham</t>
  </si>
  <si>
    <t>Ipswich Town-Leicester</t>
  </si>
  <si>
    <t>Sheffield Utd-West Bromwich</t>
  </si>
  <si>
    <t>Swansea-Stoke</t>
  </si>
  <si>
    <t>Barnsley-Exeter City</t>
  </si>
  <si>
    <t>Bolton Wanderers-Wycombe Wanderers</t>
  </si>
  <si>
    <t>Luton-Reading</t>
  </si>
  <si>
    <t>Bjarg-Viking</t>
  </si>
  <si>
    <t>HamKam-Lillestrøm</t>
  </si>
  <si>
    <t>HamKam-Viking</t>
  </si>
  <si>
    <t>West Ham-Manchester City</t>
  </si>
  <si>
    <t>Arsenal-Everton</t>
  </si>
  <si>
    <t>Chelsea-Newcastle</t>
  </si>
  <si>
    <t>Sunderland-Brighton</t>
  </si>
  <si>
    <t>Burnley-Bournemouth</t>
  </si>
  <si>
    <t>Millwall-Blackburn</t>
  </si>
  <si>
    <t>West Bromwich-Hull</t>
  </si>
  <si>
    <t>Birmingham-Sheffield Utd</t>
  </si>
  <si>
    <t>Leicester-Queens PR</t>
  </si>
  <si>
    <t>Stoke-Watford</t>
  </si>
  <si>
    <t>Viking-Molde</t>
  </si>
  <si>
    <t>Leeds-Brentford</t>
  </si>
  <si>
    <t>Everton-Chelsea</t>
  </si>
  <si>
    <t>Fulham-Burnley</t>
  </si>
  <si>
    <t>Bristol City-West Bromwich</t>
  </si>
  <si>
    <t>Charlton-Norwich</t>
  </si>
  <si>
    <t>Queens PR-Portsmouth</t>
  </si>
  <si>
    <t>Sheffield Utd-Wrexham</t>
  </si>
  <si>
    <t>Southampton-Oxford United</t>
  </si>
  <si>
    <t>Watford-Leicester</t>
  </si>
  <si>
    <t>Swansea-Coventry</t>
  </si>
  <si>
    <t>Brann Kvinner-Rosenborg Kvinner</t>
  </si>
  <si>
    <t>Blackpool-Burton Albion</t>
  </si>
  <si>
    <t>Wycombe Wanderers-Port Vale</t>
  </si>
  <si>
    <t>Barnet-Cambridge United</t>
  </si>
  <si>
    <t>Barrow FC-Bromley FC</t>
  </si>
  <si>
    <t>Bristol Rovers-Accrington Stanley</t>
  </si>
  <si>
    <t>Colchester United-Walsall</t>
  </si>
  <si>
    <t>Crawley Town-Gillingham</t>
  </si>
  <si>
    <t>Crewe Alexandra-Oldham Athletic</t>
  </si>
  <si>
    <t>Newport County-Shrewsbury Town</t>
  </si>
  <si>
    <t>Salford City-Milton Keynes Dons</t>
  </si>
  <si>
    <t>Swindon Town-Fleetwood Town</t>
  </si>
  <si>
    <t>Brentford-Everton</t>
  </si>
  <si>
    <t>Burnley-Brighton</t>
  </si>
  <si>
    <t>Tromsø-Kristiansund</t>
  </si>
  <si>
    <t>Viking-Bodø/Glimt</t>
  </si>
  <si>
    <t>Charlton-Preston</t>
  </si>
  <si>
    <t>Leicester-Swansea</t>
  </si>
  <si>
    <t>Middlesbrough-Portsmouth</t>
  </si>
  <si>
    <t>Oxford United-Watford</t>
  </si>
  <si>
    <t>Sheffield Utd-Hull</t>
  </si>
  <si>
    <t>Southampton-Derby</t>
  </si>
  <si>
    <t>Stoke-Blackburn</t>
  </si>
  <si>
    <t>Tast inn ukenr,</t>
  </si>
  <si>
    <t>TipperOversikt</t>
  </si>
  <si>
    <t>Tipperprestasjoner</t>
  </si>
  <si>
    <t>Sammenligne to tippere</t>
  </si>
  <si>
    <t>Tipper 1</t>
  </si>
  <si>
    <t>Tipper 2</t>
  </si>
  <si>
    <t>All time high</t>
  </si>
  <si>
    <t>Jumbo</t>
  </si>
  <si>
    <t>Antall</t>
  </si>
  <si>
    <t>trekk</t>
  </si>
  <si>
    <t>Hp</t>
  </si>
  <si>
    <t>Up</t>
  </si>
  <si>
    <t>Bp</t>
  </si>
  <si>
    <t>Tp</t>
  </si>
  <si>
    <t>Endring</t>
  </si>
  <si>
    <t>Velg Spiller</t>
  </si>
  <si>
    <t>Dato</t>
  </si>
  <si>
    <t>Treff på 80%</t>
  </si>
  <si>
    <t>3 Beste</t>
  </si>
  <si>
    <t>Ukens poeng</t>
  </si>
  <si>
    <t>Sammendraget</t>
  </si>
  <si>
    <t>PBL</t>
  </si>
  <si>
    <t>PBTF</t>
  </si>
  <si>
    <t>Plass</t>
  </si>
  <si>
    <t>Medlem</t>
  </si>
  <si>
    <t>Treff</t>
  </si>
  <si>
    <t>Tips</t>
  </si>
  <si>
    <t>%-treff</t>
  </si>
  <si>
    <t>Tast inn …</t>
  </si>
  <si>
    <t>Ukens poenger</t>
  </si>
  <si>
    <t>treff</t>
  </si>
  <si>
    <t>lev</t>
  </si>
  <si>
    <t>Poeengfangst</t>
  </si>
  <si>
    <t>Rangert</t>
  </si>
  <si>
    <t xml:space="preserve">  </t>
  </si>
  <si>
    <t>Bare tipperne</t>
  </si>
  <si>
    <t>Regnskap sesongen 2025/2026</t>
  </si>
  <si>
    <t>Premier</t>
  </si>
  <si>
    <t>Antall Gevinster</t>
  </si>
  <si>
    <t>Innbetalt</t>
  </si>
  <si>
    <t>Kost</t>
  </si>
  <si>
    <t>Inntekt</t>
  </si>
  <si>
    <t>Div.</t>
  </si>
  <si>
    <t>Saldo</t>
  </si>
  <si>
    <t>utg.</t>
  </si>
  <si>
    <t>Premie</t>
  </si>
  <si>
    <t>Uke nr</t>
  </si>
  <si>
    <t>IB</t>
  </si>
  <si>
    <t>Jackpot</t>
  </si>
  <si>
    <t>inn</t>
  </si>
  <si>
    <t>ut</t>
  </si>
  <si>
    <t>Kasse</t>
  </si>
  <si>
    <t>UB</t>
  </si>
  <si>
    <t xml:space="preserve">Restsaldo fordelt på medlemmer: </t>
  </si>
  <si>
    <t>=</t>
  </si>
  <si>
    <t>Ikke spilt pga ferie o.l.</t>
  </si>
  <si>
    <t>Leverte</t>
  </si>
  <si>
    <t>Gjennomsnitt</t>
  </si>
  <si>
    <t>Oppnådd:</t>
  </si>
  <si>
    <t>Rang1</t>
  </si>
  <si>
    <t>Rang 2</t>
  </si>
  <si>
    <t>Analyse</t>
  </si>
  <si>
    <t>Under utvikling!</t>
  </si>
  <si>
    <t>Tippemedlemmenes innbyrdes rangering</t>
  </si>
  <si>
    <t>tp</t>
  </si>
  <si>
    <t>Rank</t>
  </si>
  <si>
    <t>Rank1</t>
  </si>
  <si>
    <t>Rank2</t>
  </si>
  <si>
    <t>Snitt Rank</t>
  </si>
  <si>
    <t>Versjonene 2002 - 2010</t>
  </si>
  <si>
    <t>Regnarket har vært i stadig utvikling siden 2002</t>
  </si>
  <si>
    <t>Det gjelder grafikk og ikke minst peongfordeligen.</t>
  </si>
  <si>
    <t>STPS versjon 2010 er veldig god slik sett.</t>
  </si>
  <si>
    <t>Versjonsbetegnelsen går på året sesongen den ble tatt i bruk avsluttes</t>
  </si>
  <si>
    <t>Versjon 2011 (tas i bruk høsten 2010)</t>
  </si>
  <si>
    <t>Lagt inn differensiert poengberegning for tre faste kamper. 20 for fast hjemmetreff, 30 for fast uavgjorttreff og 28 for fast bortetreff</t>
  </si>
  <si>
    <t>Implementert nye tabeller for faste tips.</t>
  </si>
  <si>
    <t>Finere formatering av navneraden</t>
  </si>
  <si>
    <t>Lagt inn farge grønn på fyll i navneraden der tippere oppnår 10 rette eller mer.</t>
  </si>
  <si>
    <t>Lagt inn registrering av snitt uke poengsum og laget tabell.</t>
  </si>
  <si>
    <t>Lagt inn treffsnitt på ukekupong</t>
  </si>
  <si>
    <t>Lagt inn tabell for treffsnitt</t>
  </si>
  <si>
    <t>Lagt inn sjekk på antall F for faste</t>
  </si>
  <si>
    <t>Lagt inn sjekk for antall helgarderinger</t>
  </si>
  <si>
    <t>Lagt inn sjekk for antall halvgarderinger</t>
  </si>
  <si>
    <t>Lagt inn sjekk for antall single tegn levert</t>
  </si>
  <si>
    <t>Endret tabellene for sammenligning med folkerekka og UTG til ikke å vise mer enn tolv rette</t>
  </si>
  <si>
    <t>Lagt inn telling av antall foreslåtte sikre i hver kamp.</t>
  </si>
  <si>
    <t>Lagt inn betinget formatering som gir rød font ved treff</t>
  </si>
  <si>
    <t>Lagt datosjekk på poengvisningen på toppen av rekkene i kupong -arket</t>
  </si>
  <si>
    <t>Lagt inn bare på de to første kupongene, så husk og kopiere nedover…</t>
  </si>
  <si>
    <t>Kosmetikk få tabellen for fasttreff</t>
  </si>
  <si>
    <t>Hvis-betingelser lagt inn i disse</t>
  </si>
  <si>
    <t>Implementert ny sjekk for t, s, f, og G, H</t>
  </si>
  <si>
    <t>Løst problemet med registrering av treff på innleverte faste</t>
  </si>
  <si>
    <t>Rettet opp feil i formler for telling av ukeseiere.</t>
  </si>
  <si>
    <t>Lagt til fanen Tomme siden kupongene i butikken kommer uten ligliste. Dette for å skive ut underlag til tippekveldene selv.</t>
  </si>
  <si>
    <t>Rette opp feil i utregningen av faste hjemmetreff hos tipperne EB, KAF og ØG. Feilen dukket først opp i spilleuke 14/2013. Er nå rettet over hele regnearket.</t>
  </si>
  <si>
    <t>Lagt inn kontroll på antall tippetegn i fanen Tomme.</t>
  </si>
  <si>
    <t>2015, fredag 07 august 13:11:25</t>
  </si>
  <si>
    <t>Forbereder regnearket til sesongstart</t>
  </si>
  <si>
    <t>Nye formler for prosentfordelingen som avrunder til nærmeste tier.</t>
  </si>
  <si>
    <t>Lik formatering av hele regnearket Kuponger</t>
  </si>
  <si>
    <t>Fikset låste celler som ikke skulle være låst</t>
  </si>
  <si>
    <t>Makroen som sletter innholdet i alle celler som ikke er låst ser ut til å fungere godt</t>
  </si>
  <si>
    <t>2016 fredag 14 oktober 23:49:25</t>
  </si>
  <si>
    <t>Fikset prosentutregningen til å samsvare med våre krav</t>
  </si>
  <si>
    <t>Fikset fasteforslagene så de tar kun hensyn til kamper der alle har samme tegn, og maksimalt ett gardert tegn i tillegg.</t>
  </si>
  <si>
    <t>2016 torsdag 20 oktober 15:21:52</t>
  </si>
  <si>
    <t>Versjon 2017</t>
  </si>
  <si>
    <t>Nye formater på utsende</t>
  </si>
  <si>
    <t>Rettet opp en del feil i ulike rapporteringer</t>
  </si>
  <si>
    <t>2016 søndag 30 oktober 14:16:01</t>
  </si>
  <si>
    <t>Endret summeringen i fordelingen slik at bare "x" blir telt og ikke noen andre tegn</t>
  </si>
  <si>
    <t>2016 torsdag 03 november 14:52:51</t>
  </si>
  <si>
    <t>Lagt til tabell for antall ulike resultat i kampnummeret på kupongen</t>
  </si>
  <si>
    <t>2017 søndag 02 april 00:10:33</t>
  </si>
  <si>
    <t>Lagt til poeng for 10, 11 og 12 rette. 50 for 10 rette, 100 for elve rette og 300 for 12 rette.</t>
  </si>
  <si>
    <t>Tatt bort kontroll for faste tips.</t>
  </si>
  <si>
    <t>Lagt til kontroll for bombetreff</t>
  </si>
  <si>
    <t>Lagt til poeng for bombetreff.</t>
  </si>
  <si>
    <t>Maks poeng oppnåelig er nå 1099 poeng, ved treff på 12 uavgjorte kamper</t>
  </si>
  <si>
    <t>Minimun poengsum er null, da poengene for helgarderingen nå er tatt bort.</t>
  </si>
  <si>
    <t>Endret fasteforslagene til sikreforslag</t>
  </si>
  <si>
    <t xml:space="preserve">Endret kontrollsum fra 21 faste tegn til 7 bomber. </t>
  </si>
  <si>
    <t>Endret betinget formatering på bombekontrollen</t>
  </si>
  <si>
    <t>2017 lørdag 08 april 22:39:00</t>
  </si>
  <si>
    <t>Startet implementeringen av poengberegning av bombetipsene.</t>
  </si>
  <si>
    <t>2017 søndag 16 april 14:43:55</t>
  </si>
  <si>
    <t>Ferdigstilt implementeringen av poengberegningen av bombetipsene</t>
  </si>
  <si>
    <t>Lagt inn tasteruter for E-rekka</t>
  </si>
  <si>
    <t>Litt kosmtetikk, med maaaaange klikk</t>
  </si>
  <si>
    <t>2017 søndag 09 juli 09:26:56</t>
  </si>
  <si>
    <t>Ferdigstillelse av versjon 2018</t>
  </si>
  <si>
    <t>2017 lørdag 09 september 22:24:05</t>
  </si>
  <si>
    <t>Fjernet faste og lagt inn bombedata i oppsumeringen</t>
  </si>
  <si>
    <t>Endret utregningen av bomber. Ikke feil i  utregnet poeng, men feil i registrering av antall bomber levert og turfne.</t>
  </si>
  <si>
    <t>2017 søndag 15 oktober 11:05:56</t>
  </si>
  <si>
    <t>Endret på plasseringen av de ulike tabellene. Slettet tabeller for fastetips m.m. Noen grafer også. Savnes noen så si i fra til IT-sjefen.</t>
  </si>
  <si>
    <t>Endret summeringen av b-tipsene på hver enkelt kupong</t>
  </si>
  <si>
    <t>Det viste seg at hele systemet måtte gjennomgåes og rettes på, da en del formeler som hadde med bombetreff å gjøre, regnet feil, eller ikke regnet poeng i det hele tatt. Ingen av de som har fått inn bomber hittils i sesongen 17/18 var berørt.</t>
  </si>
  <si>
    <t>Dette tok flere timer. Og så krasja vannkjølinga på min stasjonære, og jeg måtte sette inn den gamle viften. Hadde ikke prosessorpasta, men benyttet Alovera i stedet. Funker som bar F…</t>
  </si>
  <si>
    <t>Aloveraen tørket fort opp og nytt krasj oppsto. Bruker nå Solidoxc Total Beskyttelse. Det må da gjøre susen. Tempen ligge rnå stødig rundt 50 grader. Midt i blinken!</t>
  </si>
  <si>
    <t>Har nå holdt på i tolv timer med regnearket og den forbaska prosessoren som atil stadighet overhetes så maskina krasjer uventet og brått slik at alt det jeg har gjort forvinner. Det har skjedd fire ganger i dag.</t>
  </si>
  <si>
    <t>Men nå er jeg asjour, og klar til å laste opp, når jeg for den fordømrade router'n på tirsdag. Forhåpentligvis.</t>
  </si>
  <si>
    <t>Har lagt inn varsel om feil i rekkene på hver enkelt spiller. Tallene blir røde hvis det mangler eller er for mange av en tegnkombinasjon.</t>
  </si>
  <si>
    <t>Har også endret på varslene for totalsummene til høyre.</t>
  </si>
  <si>
    <t>Har også gjort det slik at varslene ikke trer i kraft før datoen for kupongene er der.</t>
  </si>
  <si>
    <t>2017 fredag 27 oktober 20:55:53</t>
  </si>
  <si>
    <t xml:space="preserve">Rettet feil i summering fra uke 43 og utover. </t>
  </si>
  <si>
    <t>2017 fredag 03 november 22:30:35</t>
  </si>
  <si>
    <t>Fjernet helgarderingene fra beregningen av fordelingen</t>
  </si>
  <si>
    <t>Oppgradert summeringsområdet</t>
  </si>
  <si>
    <t>2017 lørdag 04 november 23:38:35</t>
  </si>
  <si>
    <t>Overhalt summeringsområdet</t>
  </si>
  <si>
    <t>Versjonen RTM 2017 lørdag 04 november 23:39:28</t>
  </si>
  <si>
    <t>2017 lørdag 02 desember 18:50:35</t>
  </si>
  <si>
    <t>Lagt betinget formatering for mulige bomber på resultat-matrisen</t>
  </si>
  <si>
    <t>Lagt inn variablene Single, halvgardering og helgardering i arket Data</t>
  </si>
  <si>
    <t>ØG -2018 søndag 02 september 16:59:38</t>
  </si>
  <si>
    <t>Ordnet med Ukeseire og Ukens Jumbo der flere har samme poengesum.</t>
  </si>
  <si>
    <t>2019 søndag 17 mars 14:50:41</t>
  </si>
  <si>
    <t>Rettet opp en del feil i beregnignene av premiene</t>
  </si>
  <si>
    <t>Modifisert STPS til enkelt rekker.</t>
  </si>
  <si>
    <t>2019 søndag 11 august 10:53:07</t>
  </si>
  <si>
    <t>Endret SRF slik at bare enkle tegn brukes mest mulig, og ingen tegn vises før minst ett regn er innlevert på en kamp</t>
  </si>
  <si>
    <t>Lagt inn datoinfo på DATA arket</t>
  </si>
  <si>
    <t>Rearrangert Rankinglista</t>
  </si>
  <si>
    <t>Endret sorteringsknappen i Tabeller-arket</t>
  </si>
  <si>
    <t>Straffe-cella gitt ny farge.</t>
  </si>
  <si>
    <t>Cella med antall tegn gitt ny farge</t>
  </si>
  <si>
    <t>Kolonnene med fordeling viser nå intet ved tom kupong</t>
  </si>
  <si>
    <t>2019 fredag 16 august 23:29:34</t>
  </si>
  <si>
    <t>Fikset flere feil i beregningen av rankingen.</t>
  </si>
  <si>
    <t>2019 søndag 18 august 08:53:42</t>
  </si>
  <si>
    <t>Endret straffferuta så en kan skrive -50 i den.</t>
  </si>
  <si>
    <t>Lagt tabellene Kupongsnitt og Farget Rute til sorteringen av tabellene</t>
  </si>
  <si>
    <t>Lagt sortering på alle relevante tabeller i fanen Tabeller</t>
  </si>
  <si>
    <t>2019 fredag 23 august 09:17:16</t>
  </si>
  <si>
    <t>Endret rekkesjekken slik at den viser grønn rute når en eller flere komplette rekker er registrert</t>
  </si>
  <si>
    <t>2019 fredag 23 august 23:19:15</t>
  </si>
  <si>
    <t>Lagt til varsel om hvilken spillers rekke en eventuell feil er i</t>
  </si>
  <si>
    <t>2019 lørdag 24 august 20:38:26</t>
  </si>
  <si>
    <t>Lagt til Sist Lagret i øverste høyre hjørne i fanen Kuponger</t>
  </si>
  <si>
    <t>2019 lørdag 19 oktober 22:02:35</t>
  </si>
  <si>
    <t>Fikset feil i snitt-tabellen.</t>
  </si>
  <si>
    <t>2019 fredag 01 november 22:05:12</t>
  </si>
  <si>
    <t>Fikset et urlite problem i prosent-fordelingen. Ved fordeling 3-4-0 fikk alternativet for U 10% for lite vekt. Dette er nå endret fra 40% til 50%. Dette har med fordelingen å gjøre, og intet med poengutregningen.</t>
  </si>
  <si>
    <t>Dette gjorde at B-forslaget fikk 20% i stedet for 10%, selv når ingen tipper hadde tippet B her.</t>
  </si>
  <si>
    <t>Har tatt  bort en enkelt innlagt HVIS()-funksjon i en formel i utregningen av sammendraget til tipperen JH.</t>
  </si>
  <si>
    <t>Heller ikke her medførte endringen feil i poengutregningen.</t>
  </si>
  <si>
    <t>2019 lørdag 09 november 18:37:12</t>
  </si>
  <si>
    <t>Fikset feil i straffeutregningen. Flere uker der ingen var straffet, ble ikke poengene fratrukket.</t>
  </si>
  <si>
    <t>2020 mandag 10 februar 11:13:21</t>
  </si>
  <si>
    <t>Ordnet opp i tabellene. Nye plasseringer og nye farger</t>
  </si>
  <si>
    <t>Lagt til en tabell som viser antall ganger på ulike ukesplasseringer.</t>
  </si>
  <si>
    <t>Differanse mellom Ukens Jumbo og antall ganger på 7.ende plass skyldes ulike antall delt sisteplasser.</t>
  </si>
  <si>
    <t>Fikset Rankingen så den viser et mer sannere uttrykk</t>
  </si>
  <si>
    <t>Fikset de personlige fanene</t>
  </si>
  <si>
    <t>fredag 19 november 00:18:06</t>
  </si>
  <si>
    <t>Snart to år siden sist notert endringer.</t>
  </si>
  <si>
    <t>Litt latskap og litt korona.</t>
  </si>
  <si>
    <t xml:space="preserve">Har siden sist lagt om hele arbeidsboka. </t>
  </si>
  <si>
    <t>Bruker i dag en bedre løsning med tabeller for hver tipper.</t>
  </si>
  <si>
    <t>Noe barnesykdommer vedrørende utregning av poenger, men det flyter godt nå.</t>
  </si>
  <si>
    <t>2021 fredag 19 november 00:21:20</t>
  </si>
  <si>
    <t>Tatt bort at spillerne som harlevert rekke blir registret med null rette før kampene er spilt.</t>
  </si>
  <si>
    <t>Løsningen kan medføre at om spilleren virkelig får null rette etter at kampene er feridigspilt, ikke får det registert.</t>
  </si>
  <si>
    <t>2021 fredag 10 desember 18:57:32</t>
  </si>
  <si>
    <t>Lagt til prosenter på hver rekke som viser prosent av maks opnnådde poeng</t>
  </si>
  <si>
    <t>2021 søndag 26 desember 13:28:11</t>
  </si>
  <si>
    <t>Introdusertr fane Heder &amp; Ære</t>
  </si>
  <si>
    <t>Lagt inn mulighet for å vise resultatet fra ulike uker i Dashboard 2</t>
  </si>
  <si>
    <t>Laget graf med trendlinje for alle tipperene i ST</t>
  </si>
  <si>
    <t>2022 fredag 29 april 02:14:22</t>
  </si>
  <si>
    <t>Legger om til prosentregistrering</t>
  </si>
  <si>
    <t>2022 fredag 29 april 16:20:43</t>
  </si>
  <si>
    <t>Prosentvesrjonen er klar til test.</t>
  </si>
  <si>
    <t>AHH tester</t>
  </si>
  <si>
    <t>Link avsendt</t>
  </si>
  <si>
    <t>2022 søndag 01 mai 12:37:29</t>
  </si>
  <si>
    <t>Straff tastes i ruten til høyre for tipperens initialer</t>
  </si>
  <si>
    <t>Hvis verdien i cellen er større enn null, blir cellen formatert med gul skrift på rød bakgrunn</t>
  </si>
  <si>
    <t>Lagt inn varsel om feil i prosentfordelingen for hver tipper</t>
  </si>
  <si>
    <t>2022 torsdag 05 mai 22:15:59</t>
  </si>
  <si>
    <t>Renset for formler fra gamle versjonen med enkelt tegn</t>
  </si>
  <si>
    <t>Ordnet betinge formatiering med rød tekst for høyeste prosentforslag for hver enkelt kamp og tipper</t>
  </si>
  <si>
    <t>Lagt til automatisk summering av siste kolonne i rekkene</t>
  </si>
  <si>
    <t>Lagt inn LEV i tabellene</t>
  </si>
  <si>
    <t>Pluss en ukjent mengde  med andre ting</t>
  </si>
  <si>
    <t>Fikset snittpoeng til å reflektere alle ni rekkene</t>
  </si>
  <si>
    <t>STPS Prosenter er frigitt til testing</t>
  </si>
  <si>
    <t>2022 fredag 06 mai 16:52:40</t>
  </si>
  <si>
    <t>Rettet feil i utregningen av hjemme- uavgjort- og bortepoeng til LEV</t>
  </si>
  <si>
    <t>Straff tastes med et positivt tall.</t>
  </si>
  <si>
    <t>2022 lørdag 07 mai 14:52:19</t>
  </si>
  <si>
    <t>Lagt til makroer for å skule og beskytte regnark</t>
  </si>
  <si>
    <t>2022 søndag 15 mai 19:33:10</t>
  </si>
  <si>
    <t>Lagt til grønn farge på poengene ved treff</t>
  </si>
  <si>
    <t>2022 lørdag 28 mai 23:05:09</t>
  </si>
  <si>
    <t>Endre slik at en kan taste inn den daoten en vil, og dermed kan spille på alle ukens kuponger.</t>
  </si>
  <si>
    <t>2022 søndag 29 mai 11:08:03</t>
  </si>
  <si>
    <t>Fjernet advarsler om deling av personlige data gjemt i filen.</t>
  </si>
  <si>
    <t>Utvidet til 156 kuponger. 52 x 3 = 156. Tre kuponger i uka. Lørdag- Søndag- og Midtukekupong</t>
  </si>
  <si>
    <t>Nummerert kupongene fra 1 til 156</t>
  </si>
  <si>
    <t>Rettet feil hos RB som fikk negativ sum på bortetreffene.</t>
  </si>
  <si>
    <t>Sendt til sjekk hos AHH</t>
  </si>
  <si>
    <t>2022 tirsdag 31 mai 07:42:13</t>
  </si>
  <si>
    <t>Fikset ønsket om bestemt bevegelse på markør under inntasting av prosenter og antall mål</t>
  </si>
  <si>
    <t>Tilpasset fanen Regnskap156 til antall mulige kuponger</t>
  </si>
  <si>
    <t>Fjernet kobling som ga feilmelding ved oppstart</t>
  </si>
  <si>
    <t>2022 onsdag 01 juni 19:09:35</t>
  </si>
  <si>
    <t>Fikset det slik at bare utfylte og denne ukens kupong vises på skjermen</t>
  </si>
  <si>
    <t>Løsningen ble forkastet</t>
  </si>
  <si>
    <t>2022 torsdag 02 juni 07:03:54</t>
  </si>
  <si>
    <t>Rettet opp mange feil i personlge data faner</t>
  </si>
  <si>
    <t>2022 tirsdag 07 juni 19:59:54</t>
  </si>
  <si>
    <t>Ordnet det slik at bare tidligere, denne og neste ukes kuponger vises.</t>
  </si>
  <si>
    <t>Løsningen ser bra ut</t>
  </si>
  <si>
    <t>2022 fredag 10 juni 09:56:11</t>
  </si>
  <si>
    <t>Det ser ut til at fanene ikke bør beskyttes, for å unngå feilmeldingen ved oppstart</t>
  </si>
  <si>
    <t>2022 søndag 12 juni 13:49:36</t>
  </si>
  <si>
    <t>Fikset grafen på Dashboard til å vise kun vitale tall</t>
  </si>
  <si>
    <t>Fikset tabellene til hver enkelt spiller, de viste feil på Dashboard når de ikke hadde poeng</t>
  </si>
  <si>
    <t>Det tok nesten fire timer å finne frem til løsningen der Excel renget med tomme celler i ett scenario, og i andre ikke.</t>
  </si>
  <si>
    <t>2022 tirsdag 14 juni 13:42:57</t>
  </si>
  <si>
    <t>Laget makro for å hide og unhide arkene</t>
  </si>
  <si>
    <t>2022 torsdag 14 juli 20:25:05</t>
  </si>
  <si>
    <t>Rettet feil i  poengberegningen for f_utg og f_lev</t>
  </si>
  <si>
    <t>Rettet feil i tabell Bortepoeng som ikke viste firesifrede tall</t>
  </si>
  <si>
    <t>2022 mandag 15 august 20:13:03</t>
  </si>
  <si>
    <t>Rettet feil i utregningen av antall ukeseiere ved tipper TOH</t>
  </si>
  <si>
    <t>2022 lørdag 03 september 21:02:57</t>
  </si>
  <si>
    <t xml:space="preserve">Rettet kosmetisk inkurie i rangeringen. </t>
  </si>
  <si>
    <t>Endret sesongen fra begynnelsen av August til ut Juli</t>
  </si>
  <si>
    <t>Rettet på grafene i Dashboard</t>
  </si>
  <si>
    <t>2022 fredag 21 oktober 11:43:47</t>
  </si>
  <si>
    <t>Lagt til tabell for prosenttreff</t>
  </si>
  <si>
    <t>Lagt til rangering for prosenttreff</t>
  </si>
  <si>
    <t>2022 søndag 23 oktober 21:21:03</t>
  </si>
  <si>
    <t>Lagt om tippertabellene of rettet en feil i summeringen på tabellen over treff. Ingen tippere berørt.</t>
  </si>
  <si>
    <t>Summerer h-u-b under hver tipper</t>
  </si>
  <si>
    <t>2022 lørdag 29 oktober 23:06:54</t>
  </si>
  <si>
    <t>Rettet feil ved antall for EB i tabellen for andel treff.</t>
  </si>
  <si>
    <t>2022 søndag 13 november 20:23:30</t>
  </si>
  <si>
    <t>Rettet feil i tabellen for ukeseire.</t>
  </si>
  <si>
    <t>Utvidet til 35 uker med kuponger</t>
  </si>
  <si>
    <t>2023 lørdag 22 april 15:39:42</t>
  </si>
  <si>
    <t>Gjort litt kosmetikk</t>
  </si>
  <si>
    <t>Gjort klar STPS 24</t>
  </si>
  <si>
    <t>2023 søndag 23 april 12:55:16</t>
  </si>
  <si>
    <t>STPS klargjøres for 2024</t>
  </si>
  <si>
    <t>Slanket bort unødvendige formler, celler og ark</t>
  </si>
  <si>
    <t>STPS har nå kun kuponger fra sesongstart i august til rett før 17.mai året etter.</t>
  </si>
  <si>
    <t>Endre antall uker etter dette</t>
  </si>
  <si>
    <t>Tatt bort en del dobbelt utregninger</t>
  </si>
  <si>
    <t>Lagt til en kolonnne for ukennrummer i statistikkarkene</t>
  </si>
  <si>
    <t>Laget graf over hver enkelt spillers poengutvikling</t>
  </si>
  <si>
    <t>Piffet opp utseende på regnskapet</t>
  </si>
  <si>
    <t>Byttet ut bildet av meg med en knapp</t>
  </si>
  <si>
    <t>Rettet opp flere tastefeil i UTG-rekka</t>
  </si>
  <si>
    <t>2023 søndag 30 april 16:10:38</t>
  </si>
  <si>
    <t>Laget en tabell som viser poengsummen til alle i valgt uke</t>
  </si>
  <si>
    <t>Fikset problemer med #I/T ved å fjerne denne fra formelene</t>
  </si>
  <si>
    <t>Fikset jumbotabellen. Funket ikke om jumboplassen var flere tippere, og høyere plassering. Funker nå uansett anttl tippere og sluttsum</t>
  </si>
  <si>
    <t>Fikset hvaa som vises på Dashboard</t>
  </si>
  <si>
    <t>Bruk strafferuta på LEV til initialene til den som laget rekken</t>
  </si>
  <si>
    <t>Fikset litt kosmetikk på Kongerekka</t>
  </si>
  <si>
    <t>2023 mandag 01 mai 07:46:17</t>
  </si>
  <si>
    <t>Lagt til kolonne for endringer i poeng fra forrige uke.</t>
  </si>
  <si>
    <t>Lagt til en tabell som viser alt for valgt spiller</t>
  </si>
  <si>
    <t>Laget til en tabell hvor to spillere kan sammenlignes</t>
  </si>
  <si>
    <t>2023 tirsdag 02 mai 18:04:22</t>
  </si>
  <si>
    <t>Ordnet med plass til 1-9 ukesvinnere og/eller 1-9 jumboere</t>
  </si>
  <si>
    <t>Utvidet oversikten for ukesplasseringer fra 7 til 9</t>
  </si>
  <si>
    <t>Lagtinn kolonne for dato ved sammenligningen</t>
  </si>
  <si>
    <t>Lagt til UTG og LEV på listen over ukevinnere</t>
  </si>
  <si>
    <t>Fikset tabellen så de ike viser null-verdier</t>
  </si>
  <si>
    <t>2023 tirsdag 02 mai 22:25:11</t>
  </si>
  <si>
    <t>Pynta litt på Dashboard</t>
  </si>
  <si>
    <t>Fikset på enkelttippernes tabeller</t>
  </si>
  <si>
    <t>Fikset grafene på Dashboard</t>
  </si>
  <si>
    <t>Fikset feil visning på AllTimeHigh og AllTimeLow</t>
  </si>
  <si>
    <t>2023 onsdag 03 mai 20:50:26</t>
  </si>
  <si>
    <t>Gjort teksten i Dashboard!C19 transparent</t>
  </si>
  <si>
    <t>2023 lørdag 16 september 19:15:20</t>
  </si>
  <si>
    <t>Lagt til telling av treff på høeste ttippeet poengsum</t>
  </si>
  <si>
    <t>2023 lørdag 04 november 20:32:31</t>
  </si>
  <si>
    <t>Begynt utviklingen av et analyseark</t>
  </si>
  <si>
    <t>2024, 14.september - 15:49:02</t>
  </si>
  <si>
    <t>Forberedt 2025 versjonen</t>
  </si>
  <si>
    <t>2024, 25.oktober - 11:13:38</t>
  </si>
  <si>
    <t>Lagt til tabellen Treff på høyeste tips</t>
  </si>
  <si>
    <t>21:35 søndag 21. september 2025</t>
  </si>
  <si>
    <t>Her etter tastes kun ukenummret inn i kolonne D</t>
  </si>
  <si>
    <t>Ukene tastes inn fortløpende</t>
  </si>
  <si>
    <t>Kongerekka</t>
  </si>
  <si>
    <t>Kongerekka STPS</t>
  </si>
  <si>
    <t>'02/03</t>
  </si>
  <si>
    <t>'03/04</t>
  </si>
  <si>
    <t>'04/05</t>
  </si>
  <si>
    <t>'05/06</t>
  </si>
  <si>
    <t>'06/07</t>
  </si>
  <si>
    <t>'07/08</t>
  </si>
  <si>
    <t>'08/09</t>
  </si>
  <si>
    <t>'09/10</t>
  </si>
  <si>
    <t>'10/11</t>
  </si>
  <si>
    <t>'11/12</t>
  </si>
  <si>
    <t>'12/13</t>
  </si>
  <si>
    <t>'13/14</t>
  </si>
  <si>
    <t>'14/15</t>
  </si>
  <si>
    <t>'15/16</t>
  </si>
  <si>
    <t>'16/17</t>
  </si>
  <si>
    <t>'17/18</t>
  </si>
  <si>
    <t>'18/19</t>
  </si>
  <si>
    <t>'19/20</t>
  </si>
  <si>
    <t>'20/21</t>
  </si>
  <si>
    <t>'21/22</t>
  </si>
  <si>
    <t>22/23</t>
  </si>
  <si>
    <t>23/24</t>
  </si>
  <si>
    <t>24/25</t>
  </si>
  <si>
    <t>25/26</t>
  </si>
  <si>
    <t>Uker</t>
  </si>
  <si>
    <t>Maks poeng</t>
  </si>
  <si>
    <t>Data</t>
  </si>
  <si>
    <t>Antall omganger spilt</t>
  </si>
  <si>
    <t>granberg@tresfjording.no</t>
  </si>
  <si>
    <t>Øyvind Granberg</t>
  </si>
  <si>
    <t>Poengnøkkel</t>
  </si>
  <si>
    <t>©</t>
  </si>
  <si>
    <t>sh</t>
  </si>
  <si>
    <t>su</t>
  </si>
  <si>
    <t>sb</t>
  </si>
  <si>
    <t>l</t>
  </si>
  <si>
    <t>Medlemmer</t>
  </si>
  <si>
    <t>Alf Henrik Håker</t>
  </si>
  <si>
    <t>callisto@mimer.no</t>
  </si>
  <si>
    <t>f_ahh</t>
  </si>
  <si>
    <t>t_ahh</t>
  </si>
  <si>
    <t>Rune Bjermeland</t>
  </si>
  <si>
    <t>runebjermr@hotmail.com</t>
  </si>
  <si>
    <t>f_rb</t>
  </si>
  <si>
    <t>t_rb</t>
  </si>
  <si>
    <t>Endre Brekkhus</t>
  </si>
  <si>
    <t>ebrekkhu@online.no</t>
  </si>
  <si>
    <t>f_eb</t>
  </si>
  <si>
    <t>t_eb</t>
  </si>
  <si>
    <t>Karl-Arne Frantzen</t>
  </si>
  <si>
    <t>kar-fran@stayon.no</t>
  </si>
  <si>
    <t>f_kaf</t>
  </si>
  <si>
    <t>t_kaf</t>
  </si>
  <si>
    <t>f_øg</t>
  </si>
  <si>
    <t>t_øg</t>
  </si>
  <si>
    <t>Jim Holm</t>
  </si>
  <si>
    <t>wizard@mimer.no</t>
  </si>
  <si>
    <t>f_jh</t>
  </si>
  <si>
    <t>t_jh</t>
  </si>
  <si>
    <t>Tor Olav Håker</t>
  </si>
  <si>
    <t>torolavpetersen@hotmail.com</t>
  </si>
  <si>
    <t>f_toh</t>
  </si>
  <si>
    <t>t_toh</t>
  </si>
  <si>
    <t>Utgangsrekka</t>
  </si>
  <si>
    <t>f_utg</t>
  </si>
  <si>
    <t>t_utg</t>
  </si>
  <si>
    <t>Levert Rekke</t>
  </si>
  <si>
    <t>f_lev</t>
  </si>
  <si>
    <t>t_lev</t>
  </si>
  <si>
    <t>Faste</t>
  </si>
  <si>
    <t>Antall tegn</t>
  </si>
  <si>
    <t>Antall Single</t>
  </si>
  <si>
    <t>Antall Halvgarderinger</t>
  </si>
  <si>
    <t>Antall Helgarderinger</t>
  </si>
  <si>
    <t>For sen levering</t>
  </si>
  <si>
    <t>I dag</t>
  </si>
  <si>
    <t>Ukedag</t>
  </si>
  <si>
    <t>Dag nr.</t>
  </si>
  <si>
    <t>Måned</t>
  </si>
  <si>
    <t>Ukenr.</t>
  </si>
  <si>
    <t>År</t>
  </si>
  <si>
    <t>ahh</t>
  </si>
  <si>
    <t>rb</t>
  </si>
  <si>
    <t>eb</t>
  </si>
  <si>
    <t>kaf</t>
  </si>
  <si>
    <t>øg</t>
  </si>
  <si>
    <t>jh</t>
  </si>
  <si>
    <t>toh</t>
  </si>
  <si>
    <t>utg</t>
  </si>
  <si>
    <t>Ukens Vinner</t>
  </si>
  <si>
    <t>Dynamisk graf TP</t>
  </si>
  <si>
    <t>Dynamisk graf Plassering</t>
  </si>
  <si>
    <t>Rank graf</t>
  </si>
  <si>
    <t>Sum graf</t>
  </si>
  <si>
    <t>Sheetlist</t>
  </si>
  <si>
    <t>All Time High 2025</t>
  </si>
  <si>
    <t>All time high 2024</t>
  </si>
  <si>
    <t>All time high 2023</t>
  </si>
  <si>
    <t>All time high 2022</t>
  </si>
  <si>
    <t>All Time High 2021</t>
  </si>
  <si>
    <t>All time high 2020</t>
  </si>
  <si>
    <t>All time high 2019</t>
  </si>
  <si>
    <t>All time high 2018</t>
  </si>
  <si>
    <t>All time high 2017</t>
  </si>
  <si>
    <t>All time high 2016</t>
  </si>
  <si>
    <t>All time high 2015</t>
  </si>
  <si>
    <t>All time high 2014</t>
  </si>
  <si>
    <t>All time high 2013</t>
  </si>
  <si>
    <t>All time high 2012</t>
  </si>
  <si>
    <t>All time high 2011</t>
  </si>
  <si>
    <t>All time high 2010</t>
  </si>
  <si>
    <t>Straffepoeng</t>
  </si>
  <si>
    <t>TotalePoeng</t>
  </si>
  <si>
    <t>LB</t>
  </si>
  <si>
    <t>Tippere</t>
  </si>
  <si>
    <t>Navn</t>
  </si>
  <si>
    <t>Totalt</t>
  </si>
  <si>
    <t>2010 - 2025 årlige ATH</t>
  </si>
  <si>
    <t>Antall årlige ATH</t>
  </si>
  <si>
    <t>Høyeste Årlige ATH</t>
  </si>
  <si>
    <t>BLT</t>
  </si>
  <si>
    <t>Høyest poengsum</t>
  </si>
  <si>
    <t>All time High sortert</t>
  </si>
  <si>
    <t>Ukenr</t>
  </si>
  <si>
    <t>endring</t>
  </si>
  <si>
    <t>Antall Leverte</t>
  </si>
  <si>
    <t>Hjemmetips</t>
  </si>
  <si>
    <t>Uavgjorttips</t>
  </si>
  <si>
    <t>Bortetips</t>
  </si>
  <si>
    <t>Antall Treff</t>
  </si>
  <si>
    <t>Antall misser</t>
  </si>
  <si>
    <t>Treff poeng</t>
  </si>
  <si>
    <t>Misset poeng</t>
  </si>
  <si>
    <t>Treff på høyeste tips</t>
  </si>
  <si>
    <t>Analyse:</t>
  </si>
  <si>
    <t>Leverte mest</t>
  </si>
  <si>
    <t>Traff mest</t>
  </si>
  <si>
    <t>Misser mest</t>
  </si>
  <si>
    <t>Snitt plassering</t>
  </si>
  <si>
    <t>Snitt hp</t>
  </si>
  <si>
    <t>Snitt up</t>
  </si>
  <si>
    <t>Snitt bp</t>
  </si>
  <si>
    <t>Snitt straff</t>
  </si>
  <si>
    <t>Snitt totale poeng</t>
  </si>
  <si>
    <t>Poengandel innhentet</t>
  </si>
  <si>
    <t>Poengandel</t>
  </si>
  <si>
    <t>CF</t>
  </si>
  <si>
    <t>CG</t>
  </si>
  <si>
    <t>CH</t>
  </si>
  <si>
    <t xml:space="preserve">Liverpool-Fulham </t>
  </si>
  <si>
    <t>Viking-Brann</t>
  </si>
  <si>
    <t>Sandefjord-Rosenborg</t>
  </si>
  <si>
    <t>Chelsea-Manchester Utd</t>
  </si>
  <si>
    <t>Tottenham-Brighton</t>
  </si>
  <si>
    <t>Leeds-Wolverhampton</t>
  </si>
  <si>
    <t>Bristol City-Norwich</t>
  </si>
  <si>
    <t>Hull-Birmingham</t>
  </si>
  <si>
    <t>Preston-West Bromwich</t>
  </si>
  <si>
    <t>Swansea-Southampton</t>
  </si>
  <si>
    <t>Watford-Sheffield Utd</t>
  </si>
  <si>
    <t>Wrexham-Stoke</t>
  </si>
  <si>
    <t>Rosenborg-Brann</t>
  </si>
  <si>
    <t>Fredrikstad-Viking</t>
  </si>
  <si>
    <t>Arsenal-Newcastle</t>
  </si>
  <si>
    <t>Liverpool-Crystal Palace</t>
  </si>
  <si>
    <t>West Ham-Everton</t>
  </si>
  <si>
    <t>Wolverhampton-Tottenham</t>
  </si>
  <si>
    <t>Manchester City-Southampton</t>
  </si>
  <si>
    <t>Birmingham-Bristol City</t>
  </si>
  <si>
    <t>Norwich-Swansea</t>
  </si>
  <si>
    <t>Queens PR-Derby</t>
  </si>
  <si>
    <t>Sheffield Utd-Preston</t>
  </si>
  <si>
    <t>Stoke-Portsmouth</t>
  </si>
  <si>
    <t>Navn:</t>
  </si>
  <si>
    <t>Brann-Fredrikstad</t>
  </si>
  <si>
    <t>Arsenal-Fulham</t>
  </si>
  <si>
    <t>Brentford-West Ham</t>
  </si>
  <si>
    <t>Newcastle-Brighton</t>
  </si>
  <si>
    <t>Wolverhampton-Sunderland</t>
  </si>
  <si>
    <t>AFC Wimbledon-Huddersfield</t>
  </si>
  <si>
    <t>Barnsley-Stockport County</t>
  </si>
  <si>
    <t>Bolton Wanderers-Luton</t>
  </si>
  <si>
    <t>Exeter City-Bradford City</t>
  </si>
  <si>
    <t>Leyton Orient-Burton Albion</t>
  </si>
  <si>
    <t>Reading-Blackpool</t>
  </si>
  <si>
    <t>Stevenage-Wigan</t>
  </si>
  <si>
    <t>Bodø/Glimt-Brann</t>
  </si>
  <si>
    <t>Manchester City-Brentford</t>
  </si>
  <si>
    <t>Sunderland-Manchester Utd</t>
  </si>
  <si>
    <t>Fulham-Bournemouth</t>
  </si>
  <si>
    <t>Brighton-Wolverhampton</t>
  </si>
  <si>
    <t>Real Sociedad-Real Betis</t>
  </si>
  <si>
    <t>Atletico Madrid-Celta Vigo</t>
  </si>
  <si>
    <t>Sevilla-Espanyol</t>
  </si>
  <si>
    <t>Lecce-Juventus</t>
  </si>
  <si>
    <t>Lazio-Inter</t>
  </si>
  <si>
    <t>VfL Wolfsburg-Bayern München</t>
  </si>
  <si>
    <t>Falkirk-Hibernian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</si>
</sst>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kr&quot;\ #,##0;&quot;kr&quot;\ \-#,##0"/>
    <numFmt numFmtId="164" formatCode="_-&quot;kr&quot;\ * #,##0.00_-;\-&quot;kr&quot;\ * #,##0.00_-;_-&quot;kr&quot;\ * &quot;-&quot;??_-;_-@_-"/>
    <numFmt numFmtId="165" formatCode="_-* #,##0.00_-;\-* #,##0.00_-;_-* &quot;-&quot;??_-;_-@_-"/>
    <numFmt numFmtId="166" formatCode="_(* #,##0.00_);_(* \(#,##0.00\);_(* &quot;-&quot;??_);_(@_)"/>
    <numFmt numFmtId="167" formatCode="dddd"/>
    <numFmt numFmtId="168" formatCode="dddd\ d\ mmmm\ yyyy\ \-\ h:mm:ss"/>
    <numFmt numFmtId="169" formatCode="&quot;kr&quot;\ #,##0"/>
    <numFmt numFmtId="170" formatCode="&quot;kr&quot;\ #,##0.00"/>
    <numFmt numFmtId="171" formatCode="0.0"/>
    <numFmt numFmtId="172" formatCode="_(&quot;kr&quot;\ * #,##0.00_);_(&quot;kr&quot;\ * \(#,##0.00\);_(&quot;kr&quot;\ * &quot;-&quot;??_);_(@_)"/>
    <numFmt numFmtId="173" formatCode="0;;;"/>
    <numFmt numFmtId="174" formatCode="[$-F800]dddd\,\ mmmm\ dd\,\ yyyy"/>
    <numFmt numFmtId="175" formatCode=";;;"/>
    <numFmt numFmtId="176" formatCode="_-* #,##0_-;\-* #,##0_-;_-* &quot;-&quot;??_-;_-@_-"/>
    <numFmt numFmtId="177" formatCode="0;;"/>
  </numFmts>
  <fonts count="130"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8"/>
      <name val="Arial"/>
      <family val="2"/>
    </font>
    <font>
      <b/>
      <sz val="10"/>
      <name val="Arial"/>
      <family val="2"/>
    </font>
    <font>
      <i/>
      <sz val="10"/>
      <name val="Arial"/>
      <family val="2"/>
    </font>
    <font>
      <b/>
      <sz val="8"/>
      <name val="Arial"/>
      <family val="2"/>
    </font>
    <font>
      <i/>
      <sz val="8"/>
      <name val="Arial"/>
      <family val="2"/>
    </font>
    <font>
      <u/>
      <sz val="10"/>
      <color indexed="12"/>
      <name val="Arial"/>
      <family val="2"/>
    </font>
    <font>
      <sz val="9"/>
      <name val="Arial"/>
      <family val="2"/>
    </font>
    <font>
      <sz val="8"/>
      <color rgb="FFFFFF99"/>
      <name val="Arial"/>
      <family val="2"/>
    </font>
    <font>
      <sz val="10"/>
      <color theme="0"/>
      <name val="Arial"/>
      <family val="2"/>
    </font>
    <font>
      <b/>
      <sz val="16"/>
      <name val="Arial"/>
      <family val="2"/>
    </font>
    <font>
      <b/>
      <sz val="10"/>
      <color theme="0"/>
      <name val="Arial"/>
      <family val="2"/>
    </font>
    <font>
      <sz val="8"/>
      <color indexed="10"/>
      <name val="Arial"/>
      <family val="2"/>
    </font>
    <font>
      <b/>
      <sz val="14"/>
      <name val="Arial"/>
      <family val="2"/>
    </font>
    <font>
      <sz val="6"/>
      <name val="Arial"/>
      <family val="2"/>
    </font>
    <font>
      <sz val="7"/>
      <name val="Arial"/>
      <family val="2"/>
    </font>
    <font>
      <sz val="7"/>
      <color rgb="FFFFFF99"/>
      <name val="Arial"/>
      <family val="2"/>
    </font>
    <font>
      <sz val="10"/>
      <name val="Arial"/>
      <family val="2"/>
    </font>
    <font>
      <sz val="8"/>
      <name val="Arial"/>
      <family val="2"/>
    </font>
    <font>
      <sz val="8"/>
      <name val="Arial Black"/>
      <family val="2"/>
    </font>
    <font>
      <sz val="6"/>
      <name val="Arial Black"/>
      <family val="2"/>
    </font>
    <font>
      <sz val="10"/>
      <name val="Arial Black"/>
      <family val="2"/>
    </font>
    <font>
      <sz val="16"/>
      <color rgb="FFCCCCFF"/>
      <name val="Arial"/>
      <family val="2"/>
    </font>
    <font>
      <sz val="10"/>
      <color rgb="FFCCCCFF"/>
      <name val="Arial"/>
      <family val="2"/>
    </font>
    <font>
      <sz val="8"/>
      <color rgb="FFCCCCFF"/>
      <name val="Arial"/>
      <family val="2"/>
    </font>
    <font>
      <sz val="10"/>
      <color rgb="FFFFFF99"/>
      <name val="Arial"/>
      <family val="2"/>
    </font>
    <font>
      <b/>
      <sz val="6"/>
      <name val="Arial"/>
      <family val="2"/>
    </font>
    <font>
      <sz val="7"/>
      <color rgb="FFCCCCFF"/>
      <name val="Arial"/>
      <family val="2"/>
    </font>
    <font>
      <sz val="10"/>
      <color indexed="8"/>
      <name val="Arial"/>
      <family val="2"/>
    </font>
    <font>
      <sz val="10"/>
      <color rgb="FFFFFFCC"/>
      <name val="Arial"/>
      <family val="2"/>
    </font>
    <font>
      <sz val="10"/>
      <color theme="0" tint="-0.499984740745262"/>
      <name val="Arial"/>
      <family val="2"/>
    </font>
    <font>
      <sz val="10"/>
      <color theme="1"/>
      <name val="Arial"/>
      <family val="2"/>
    </font>
    <font>
      <sz val="6"/>
      <color theme="1"/>
      <name val="Arial"/>
      <family val="2"/>
    </font>
    <font>
      <b/>
      <sz val="8"/>
      <color theme="1"/>
      <name val="Arial"/>
      <family val="2"/>
    </font>
    <font>
      <sz val="11"/>
      <name val="Arial"/>
      <family val="2"/>
    </font>
    <font>
      <b/>
      <sz val="10"/>
      <color rgb="FFFF0000"/>
      <name val="Arial"/>
      <family val="2"/>
    </font>
    <font>
      <b/>
      <sz val="8"/>
      <color theme="3" tint="-0.249977111117893"/>
      <name val="Arial"/>
      <family val="2"/>
    </font>
    <font>
      <i/>
      <sz val="8"/>
      <color theme="3" tint="-0.249977111117893"/>
      <name val="Arial"/>
      <family val="2"/>
    </font>
    <font>
      <sz val="8"/>
      <color theme="3" tint="0.79998168889431442"/>
      <name val="Arial"/>
      <family val="2"/>
    </font>
    <font>
      <i/>
      <sz val="9"/>
      <color theme="3" tint="-0.499984740745262"/>
      <name val="Arial"/>
      <family val="2"/>
    </font>
    <font>
      <i/>
      <sz val="9"/>
      <name val="Arial"/>
      <family val="2"/>
    </font>
    <font>
      <sz val="9"/>
      <color rgb="FF00B0F0"/>
      <name val="Arial"/>
      <family val="2"/>
    </font>
    <font>
      <sz val="14"/>
      <name val="Arial"/>
      <family val="2"/>
    </font>
    <font>
      <sz val="22"/>
      <name val="Arial"/>
      <family val="2"/>
    </font>
    <font>
      <sz val="72"/>
      <color theme="3" tint="-0.499984740745262"/>
      <name val="Arial"/>
      <family val="2"/>
    </font>
    <font>
      <b/>
      <i/>
      <sz val="150"/>
      <color theme="3" tint="0.59999389629810485"/>
      <name val="Arial"/>
      <family val="2"/>
    </font>
    <font>
      <b/>
      <sz val="16"/>
      <color rgb="FF0070C0"/>
      <name val="Arial"/>
      <family val="2"/>
    </font>
    <font>
      <b/>
      <sz val="8"/>
      <color theme="0"/>
      <name val="Arial"/>
      <family val="2"/>
    </font>
    <font>
      <sz val="8"/>
      <color theme="0"/>
      <name val="Arial"/>
      <family val="2"/>
    </font>
    <font>
      <b/>
      <sz val="8"/>
      <color theme="4" tint="-0.249977111117893"/>
      <name val="Arial"/>
      <family val="2"/>
    </font>
    <font>
      <i/>
      <sz val="8"/>
      <color theme="4" tint="-0.249977111117893"/>
      <name val="Arial"/>
      <family val="2"/>
    </font>
    <font>
      <sz val="8"/>
      <color theme="4" tint="-0.499984740745262"/>
      <name val="Arial"/>
      <family val="2"/>
    </font>
    <font>
      <sz val="8"/>
      <color theme="3" tint="-0.249977111117893"/>
      <name val="Arial"/>
      <family val="2"/>
    </font>
    <font>
      <i/>
      <sz val="8"/>
      <color theme="0"/>
      <name val="Arial"/>
      <family val="2"/>
    </font>
    <font>
      <sz val="6"/>
      <color theme="0"/>
      <name val="Arial"/>
      <family val="2"/>
    </font>
    <font>
      <i/>
      <sz val="7"/>
      <name val="Arial"/>
      <family val="2"/>
    </font>
    <font>
      <sz val="7"/>
      <color theme="0"/>
      <name val="Arial"/>
      <family val="2"/>
    </font>
    <font>
      <sz val="12"/>
      <color rgb="FF0070C0"/>
      <name val="Arial"/>
      <family val="2"/>
    </font>
    <font>
      <i/>
      <sz val="9"/>
      <color rgb="FF004DFD"/>
      <name val="Arial"/>
      <family val="2"/>
    </font>
    <font>
      <sz val="11"/>
      <name val="Times New Roman"/>
      <family val="1"/>
    </font>
    <font>
      <b/>
      <sz val="11"/>
      <name val="Times New Roman"/>
      <family val="1"/>
    </font>
    <font>
      <i/>
      <sz val="11"/>
      <name val="Times New Roman"/>
      <family val="1"/>
    </font>
    <font>
      <b/>
      <sz val="11"/>
      <color rgb="FFFF0000"/>
      <name val="Times New Roman"/>
      <family val="1"/>
    </font>
    <font>
      <sz val="8"/>
      <color theme="3" tint="0.39997558519241921"/>
      <name val="Arial Black"/>
      <family val="2"/>
    </font>
    <font>
      <b/>
      <sz val="16"/>
      <color theme="3" tint="0.39997558519241921"/>
      <name val="Arial"/>
      <family val="2"/>
    </font>
    <font>
      <sz val="9"/>
      <color theme="3" tint="0.39997558519241921"/>
      <name val="Arial"/>
      <family val="2"/>
    </font>
    <font>
      <sz val="7"/>
      <color theme="3" tint="0.39997558519241921"/>
      <name val="Arial"/>
      <family val="2"/>
    </font>
    <font>
      <sz val="10"/>
      <color theme="3" tint="0.39997558519241921"/>
      <name val="Arial"/>
      <family val="2"/>
    </font>
    <font>
      <sz val="10"/>
      <color theme="4" tint="0.39997558519241921"/>
      <name val="Arial"/>
      <family val="2"/>
    </font>
    <font>
      <b/>
      <sz val="10"/>
      <color theme="3" tint="-0.249977111117893"/>
      <name val="Arial"/>
      <family val="2"/>
    </font>
    <font>
      <sz val="10"/>
      <color theme="3" tint="0.59999389629810485"/>
      <name val="Arial"/>
      <family val="2"/>
    </font>
    <font>
      <sz val="11"/>
      <color theme="3" tint="0.59999389629810485"/>
      <name val="Arial"/>
      <family val="2"/>
    </font>
    <font>
      <i/>
      <sz val="11"/>
      <color theme="4" tint="0.39997558519241921"/>
      <name val="Arial"/>
      <family val="2"/>
    </font>
    <font>
      <b/>
      <sz val="16"/>
      <color rgb="FFCC6600"/>
      <name val="Arial"/>
      <family val="2"/>
    </font>
    <font>
      <sz val="10"/>
      <color rgb="FFCC6600"/>
      <name val="Arial"/>
      <family val="2"/>
    </font>
    <font>
      <sz val="6"/>
      <color theme="4" tint="0.79998168889431442"/>
      <name val="Arial"/>
      <family val="2"/>
    </font>
    <font>
      <sz val="36"/>
      <color rgb="FFC00000"/>
      <name val="Arial"/>
      <family val="2"/>
    </font>
    <font>
      <sz val="100"/>
      <color rgb="FFC00000"/>
      <name val="Arial"/>
      <family val="2"/>
    </font>
    <font>
      <b/>
      <i/>
      <sz val="20"/>
      <color rgb="FFC00000"/>
      <name val="Arial"/>
      <family val="2"/>
    </font>
    <font>
      <b/>
      <sz val="28"/>
      <color rgb="FFC00000"/>
      <name val="Arial"/>
      <family val="2"/>
    </font>
    <font>
      <b/>
      <sz val="16"/>
      <color rgb="FF00B0F0"/>
      <name val="Arial"/>
      <family val="2"/>
    </font>
    <font>
      <sz val="8"/>
      <color rgb="FFCC6600"/>
      <name val="Arial"/>
      <family val="2"/>
    </font>
    <font>
      <sz val="10"/>
      <color theme="4" tint="0.59999389629810485"/>
      <name val="Arial"/>
      <family val="2"/>
    </font>
    <font>
      <sz val="10"/>
      <name val="Arial"/>
      <family val="2"/>
    </font>
    <font>
      <sz val="9"/>
      <color theme="3" tint="-0.249977111117893"/>
      <name val="Arial"/>
      <family val="2"/>
    </font>
    <font>
      <sz val="10"/>
      <color rgb="FFC00000"/>
      <name val="Arial"/>
      <family val="2"/>
    </font>
    <font>
      <b/>
      <sz val="12"/>
      <color rgb="FF00B0F0"/>
      <name val="Arial"/>
      <family val="2"/>
    </font>
    <font>
      <b/>
      <i/>
      <sz val="96"/>
      <color theme="3" tint="0.59999389629810485"/>
      <name val="Arial"/>
      <family val="2"/>
    </font>
    <font>
      <b/>
      <sz val="14"/>
      <color theme="3" tint="0.59999389629810485"/>
      <name val="Arial"/>
      <family val="2"/>
    </font>
    <font>
      <sz val="14"/>
      <color theme="3" tint="0.59999389629810485"/>
      <name val="Arial"/>
      <family val="2"/>
    </font>
    <font>
      <sz val="16"/>
      <color theme="3" tint="0.59999389629810485"/>
      <name val="Arial"/>
      <family val="2"/>
    </font>
    <font>
      <sz val="8"/>
      <color rgb="FF3399FF"/>
      <name val="Arial"/>
      <family val="2"/>
    </font>
    <font>
      <i/>
      <sz val="10"/>
      <color rgb="FFFF0000"/>
      <name val="Arial"/>
      <family val="2"/>
    </font>
    <font>
      <sz val="72"/>
      <color theme="3" tint="-0.499984740745262"/>
      <name val="Consolas"/>
      <family val="3"/>
    </font>
    <font>
      <sz val="72"/>
      <color rgb="FFFFC000"/>
      <name val="Consolas"/>
      <family val="3"/>
    </font>
    <font>
      <b/>
      <sz val="16"/>
      <color theme="9" tint="-0.249977111117893"/>
      <name val="Arial"/>
      <family val="2"/>
    </font>
    <font>
      <b/>
      <sz val="11"/>
      <color theme="0"/>
      <name val="Arial"/>
      <family val="2"/>
    </font>
    <font>
      <sz val="8"/>
      <color rgb="FF538DD5"/>
      <name val="Arial"/>
      <family val="2"/>
    </font>
    <font>
      <sz val="7"/>
      <color rgb="FF00B050"/>
      <name val="Arial"/>
      <family val="2"/>
    </font>
    <font>
      <b/>
      <sz val="10"/>
      <color rgb="FFC00000"/>
      <name val="Arial"/>
      <family val="2"/>
    </font>
    <font>
      <sz val="9"/>
      <color theme="0"/>
      <name val="Arial"/>
      <family val="2"/>
    </font>
    <font>
      <b/>
      <sz val="9"/>
      <name val="Arial"/>
      <family val="2"/>
    </font>
    <font>
      <i/>
      <sz val="9"/>
      <color theme="0"/>
      <name val="Arial"/>
      <family val="2"/>
    </font>
    <font>
      <sz val="9"/>
      <color theme="6" tint="-0.499984740745262"/>
      <name val="Arial"/>
      <family val="2"/>
    </font>
    <font>
      <sz val="9"/>
      <color rgb="FFFFFF99"/>
      <name val="Arial"/>
      <family val="2"/>
    </font>
    <font>
      <b/>
      <sz val="16"/>
      <color theme="3" tint="0.59999389629810485"/>
      <name val="Arial"/>
      <family val="2"/>
    </font>
    <font>
      <b/>
      <u/>
      <sz val="12"/>
      <color rgb="FFFF0000"/>
      <name val="Arial"/>
      <family val="2"/>
    </font>
    <font>
      <b/>
      <sz val="20"/>
      <name val="Arial"/>
      <family val="2"/>
    </font>
    <font>
      <b/>
      <sz val="11"/>
      <name val="Arial"/>
      <family val="2"/>
    </font>
    <font>
      <sz val="12"/>
      <name val="Consolas"/>
      <family val="3"/>
    </font>
    <font>
      <sz val="12"/>
      <color theme="0"/>
      <name val="Consolas"/>
      <family val="3"/>
    </font>
    <font>
      <b/>
      <sz val="9"/>
      <color indexed="81"/>
      <name val="Tahoma"/>
      <family val="2"/>
    </font>
    <font>
      <sz val="9"/>
      <color indexed="81"/>
      <name val="Tahoma"/>
      <family val="2"/>
    </font>
    <font>
      <sz val="10"/>
      <color rgb="FF002060"/>
      <name val="Arial"/>
      <family val="2"/>
    </font>
    <font>
      <i/>
      <u/>
      <sz val="8"/>
      <name val="Arial"/>
      <family val="2"/>
    </font>
    <font>
      <b/>
      <sz val="9"/>
      <color theme="0"/>
      <name val="Arial"/>
      <family val="2"/>
    </font>
    <font>
      <b/>
      <sz val="9"/>
      <color theme="3" tint="-0.249977111117893"/>
      <name val="Arial"/>
      <family val="2"/>
    </font>
    <font>
      <b/>
      <sz val="14"/>
      <color rgb="FFC00000"/>
      <name val="Arial"/>
      <family val="2"/>
    </font>
    <font>
      <sz val="14"/>
      <color theme="0" tint="-4.9989318521683403E-2"/>
      <name val="Arial"/>
      <family val="2"/>
    </font>
    <font>
      <sz val="5"/>
      <name val="Arial"/>
      <family val="2"/>
    </font>
    <font>
      <u/>
      <sz val="10"/>
      <name val="Arial"/>
      <family val="2"/>
    </font>
    <font>
      <b/>
      <i/>
      <sz val="72"/>
      <color theme="3" tint="0.59999389629810485"/>
      <name val="Arial"/>
      <family val="2"/>
    </font>
    <font>
      <sz val="28"/>
      <color rgb="FF800000"/>
      <name val="Consolas"/>
      <family val="3"/>
    </font>
    <font>
      <sz val="10"/>
      <color rgb="FF000000"/>
      <name val="Arial"/>
      <family val="2"/>
    </font>
    <font>
      <sz val="12"/>
      <color indexed="8"/>
      <name val="Arial"/>
      <family val="2"/>
    </font>
  </fonts>
  <fills count="26">
    <fill>
      <patternFill patternType="none"/>
    </fill>
    <fill>
      <patternFill patternType="gray125"/>
    </fill>
    <fill>
      <patternFill patternType="solid">
        <fgColor theme="0"/>
        <bgColor indexed="64"/>
      </patternFill>
    </fill>
    <fill>
      <patternFill patternType="solid">
        <fgColor rgb="FFFFFFCC"/>
        <bgColor indexed="64"/>
      </patternFill>
    </fill>
    <fill>
      <patternFill patternType="solid">
        <fgColor theme="1"/>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indexed="41"/>
        <bgColor indexed="64"/>
      </patternFill>
    </fill>
    <fill>
      <patternFill patternType="solid">
        <fgColor indexed="47"/>
        <bgColor indexed="64"/>
      </patternFill>
    </fill>
    <fill>
      <patternFill patternType="solid">
        <fgColor indexed="45"/>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39994506668294322"/>
        <bgColor indexed="64"/>
      </patternFill>
    </fill>
    <fill>
      <patternFill patternType="solid">
        <fgColor theme="4" tint="0.79995117038483843"/>
        <bgColor indexed="64"/>
      </patternFill>
    </fill>
    <fill>
      <patternFill patternType="solid">
        <fgColor theme="8" tint="-0.24994659260841701"/>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4"/>
        <bgColor theme="4"/>
      </patternFill>
    </fill>
    <fill>
      <patternFill patternType="solid">
        <fgColor rgb="FFCCFFCC"/>
        <bgColor indexed="64"/>
      </patternFill>
    </fill>
    <fill>
      <patternFill patternType="solid">
        <fgColor theme="7" tint="0.59999389629810485"/>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5" tint="0.79998168889431442"/>
        <bgColor indexed="64"/>
      </patternFill>
    </fill>
    <fill>
      <patternFill patternType="solid">
        <fgColor theme="3" tint="-0.249977111117893"/>
        <bgColor indexed="64"/>
      </patternFill>
    </fill>
  </fills>
  <borders count="184">
    <border>
      <left/>
      <right/>
      <top/>
      <bottom/>
      <diagonal/>
    </border>
    <border>
      <left/>
      <right/>
      <top/>
      <bottom style="thin">
        <color indexed="64"/>
      </bottom>
      <diagonal/>
    </border>
    <border>
      <left style="dotted">
        <color indexed="64"/>
      </left>
      <right style="thin">
        <color indexed="64"/>
      </right>
      <top style="dotted">
        <color indexed="64"/>
      </top>
      <bottom style="dotted">
        <color indexed="64"/>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10"/>
      </left>
      <right/>
      <top style="medium">
        <color indexed="10"/>
      </top>
      <bottom style="dotted">
        <color indexed="10"/>
      </bottom>
      <diagonal/>
    </border>
    <border>
      <left style="medium">
        <color indexed="10"/>
      </left>
      <right style="dotted">
        <color indexed="10"/>
      </right>
      <top style="medium">
        <color indexed="10"/>
      </top>
      <bottom style="dotted">
        <color indexed="10"/>
      </bottom>
      <diagonal/>
    </border>
    <border>
      <left style="dotted">
        <color indexed="10"/>
      </left>
      <right style="medium">
        <color indexed="10"/>
      </right>
      <top style="medium">
        <color indexed="10"/>
      </top>
      <bottom style="dotted">
        <color indexed="10"/>
      </bottom>
      <diagonal/>
    </border>
    <border>
      <left style="dotted">
        <color indexed="10"/>
      </left>
      <right style="dotted">
        <color indexed="10"/>
      </right>
      <top style="medium">
        <color indexed="10"/>
      </top>
      <bottom style="dotted">
        <color indexed="10"/>
      </bottom>
      <diagonal/>
    </border>
    <border>
      <left style="medium">
        <color indexed="10"/>
      </left>
      <right/>
      <top style="dotted">
        <color indexed="10"/>
      </top>
      <bottom style="dotted">
        <color indexed="10"/>
      </bottom>
      <diagonal/>
    </border>
    <border>
      <left style="medium">
        <color indexed="10"/>
      </left>
      <right style="dotted">
        <color indexed="10"/>
      </right>
      <top style="dotted">
        <color indexed="10"/>
      </top>
      <bottom style="dotted">
        <color indexed="10"/>
      </bottom>
      <diagonal/>
    </border>
    <border>
      <left style="dotted">
        <color indexed="10"/>
      </left>
      <right style="medium">
        <color indexed="10"/>
      </right>
      <top style="dotted">
        <color indexed="10"/>
      </top>
      <bottom style="dotted">
        <color indexed="10"/>
      </bottom>
      <diagonal/>
    </border>
    <border>
      <left style="dotted">
        <color indexed="10"/>
      </left>
      <right style="dotted">
        <color indexed="10"/>
      </right>
      <top style="dotted">
        <color indexed="10"/>
      </top>
      <bottom style="dotted">
        <color indexed="10"/>
      </bottom>
      <diagonal/>
    </border>
    <border>
      <left style="medium">
        <color indexed="10"/>
      </left>
      <right/>
      <top style="dotted">
        <color indexed="10"/>
      </top>
      <bottom style="medium">
        <color indexed="10"/>
      </bottom>
      <diagonal/>
    </border>
    <border>
      <left style="medium">
        <color indexed="10"/>
      </left>
      <right style="dotted">
        <color indexed="10"/>
      </right>
      <top style="dotted">
        <color indexed="10"/>
      </top>
      <bottom style="medium">
        <color indexed="10"/>
      </bottom>
      <diagonal/>
    </border>
    <border>
      <left style="dotted">
        <color indexed="10"/>
      </left>
      <right style="medium">
        <color indexed="10"/>
      </right>
      <top style="dotted">
        <color indexed="10"/>
      </top>
      <bottom style="medium">
        <color indexed="10"/>
      </bottom>
      <diagonal/>
    </border>
    <border>
      <left style="dotted">
        <color indexed="10"/>
      </left>
      <right style="dotted">
        <color indexed="10"/>
      </right>
      <top style="dotted">
        <color indexed="10"/>
      </top>
      <bottom style="medium">
        <color indexed="10"/>
      </bottom>
      <diagonal/>
    </border>
    <border>
      <left style="medium">
        <color indexed="10"/>
      </left>
      <right/>
      <top/>
      <bottom style="dotted">
        <color indexed="10"/>
      </bottom>
      <diagonal/>
    </border>
    <border>
      <left/>
      <right/>
      <top style="medium">
        <color indexed="10"/>
      </top>
      <bottom style="thin">
        <color indexed="64"/>
      </bottom>
      <diagonal/>
    </border>
    <border>
      <left style="medium">
        <color indexed="10"/>
      </left>
      <right/>
      <top style="medium">
        <color indexed="10"/>
      </top>
      <bottom style="medium">
        <color indexed="10"/>
      </bottom>
      <diagonal/>
    </border>
    <border>
      <left/>
      <right/>
      <top style="medium">
        <color indexed="10"/>
      </top>
      <bottom style="medium">
        <color indexed="10"/>
      </bottom>
      <diagonal/>
    </border>
    <border>
      <left/>
      <right style="medium">
        <color indexed="10"/>
      </right>
      <top style="medium">
        <color indexed="10"/>
      </top>
      <bottom style="medium">
        <color indexed="10"/>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ck">
        <color rgb="FFCC6600"/>
      </left>
      <right/>
      <top style="thick">
        <color rgb="FFCC6600"/>
      </top>
      <bottom/>
      <diagonal/>
    </border>
    <border>
      <left/>
      <right/>
      <top style="thick">
        <color rgb="FFCC6600"/>
      </top>
      <bottom/>
      <diagonal/>
    </border>
    <border>
      <left/>
      <right style="thick">
        <color rgb="FFCC6600"/>
      </right>
      <top style="thick">
        <color rgb="FFCC6600"/>
      </top>
      <bottom/>
      <diagonal/>
    </border>
    <border>
      <left/>
      <right style="thick">
        <color rgb="FFCC6600"/>
      </right>
      <top/>
      <bottom/>
      <diagonal/>
    </border>
    <border>
      <left style="thick">
        <color rgb="FFCC6600"/>
      </left>
      <right/>
      <top/>
      <bottom/>
      <diagonal/>
    </border>
    <border>
      <left style="thick">
        <color rgb="FFCC6600"/>
      </left>
      <right/>
      <top/>
      <bottom style="thick">
        <color rgb="FFCC6600"/>
      </bottom>
      <diagonal/>
    </border>
    <border>
      <left/>
      <right/>
      <top/>
      <bottom style="thick">
        <color rgb="FFCC6600"/>
      </bottom>
      <diagonal/>
    </border>
    <border>
      <left/>
      <right style="thick">
        <color rgb="FFCC6600"/>
      </right>
      <top/>
      <bottom style="thick">
        <color rgb="FFCC6600"/>
      </bottom>
      <diagonal/>
    </border>
    <border>
      <left style="thin">
        <color indexed="10"/>
      </left>
      <right/>
      <top style="thin">
        <color indexed="10"/>
      </top>
      <bottom style="medium">
        <color indexed="10"/>
      </bottom>
      <diagonal/>
    </border>
    <border>
      <left/>
      <right/>
      <top/>
      <bottom style="medium">
        <color indexed="10"/>
      </bottom>
      <diagonal/>
    </border>
    <border>
      <left/>
      <right style="medium">
        <color indexed="10"/>
      </right>
      <top style="medium">
        <color indexed="10"/>
      </top>
      <bottom style="dotted">
        <color indexed="10"/>
      </bottom>
      <diagonal/>
    </border>
    <border>
      <left/>
      <right style="medium">
        <color indexed="10"/>
      </right>
      <top style="dotted">
        <color indexed="10"/>
      </top>
      <bottom style="dotted">
        <color indexed="10"/>
      </bottom>
      <diagonal/>
    </border>
    <border>
      <left/>
      <right style="medium">
        <color indexed="10"/>
      </right>
      <top style="dotted">
        <color indexed="10"/>
      </top>
      <bottom style="medium">
        <color indexed="10"/>
      </bottom>
      <diagonal/>
    </border>
    <border>
      <left/>
      <right style="medium">
        <color indexed="10"/>
      </right>
      <top/>
      <bottom style="dotted">
        <color indexed="10"/>
      </bottom>
      <diagonal/>
    </border>
    <border>
      <left/>
      <right/>
      <top style="medium">
        <color indexed="10"/>
      </top>
      <bottom style="dotted">
        <color indexed="10"/>
      </bottom>
      <diagonal/>
    </border>
    <border>
      <left/>
      <right/>
      <top style="dotted">
        <color indexed="10"/>
      </top>
      <bottom style="dotted">
        <color indexed="10"/>
      </bottom>
      <diagonal/>
    </border>
    <border>
      <left/>
      <right/>
      <top style="dotted">
        <color indexed="10"/>
      </top>
      <bottom style="medium">
        <color indexed="10"/>
      </bottom>
      <diagonal/>
    </border>
    <border>
      <left/>
      <right/>
      <top/>
      <bottom style="dotted">
        <color indexed="10"/>
      </bottom>
      <diagonal/>
    </border>
    <border>
      <left/>
      <right style="thin">
        <color indexed="10"/>
      </right>
      <top style="thin">
        <color indexed="10"/>
      </top>
      <bottom style="medium">
        <color indexed="10"/>
      </bottom>
      <diagonal/>
    </border>
    <border>
      <left style="medium">
        <color auto="1"/>
      </left>
      <right/>
      <top/>
      <bottom/>
      <diagonal/>
    </border>
    <border>
      <left/>
      <right/>
      <top/>
      <bottom style="medium">
        <color indexed="64"/>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auto="1"/>
      </left>
      <right style="medium">
        <color auto="1"/>
      </right>
      <top/>
      <bottom/>
      <diagonal/>
    </border>
    <border>
      <left/>
      <right/>
      <top style="medium">
        <color indexed="64"/>
      </top>
      <bottom style="thin">
        <color indexed="64"/>
      </bottom>
      <diagonal/>
    </border>
    <border>
      <left style="thin">
        <color indexed="64"/>
      </left>
      <right style="dotted">
        <color indexed="64"/>
      </right>
      <top style="thin">
        <color indexed="64"/>
      </top>
      <bottom style="medium">
        <color indexed="64"/>
      </bottom>
      <diagonal/>
    </border>
    <border>
      <left style="dotted">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bottom style="dotted">
        <color indexed="64"/>
      </bottom>
      <diagonal/>
    </border>
    <border>
      <left style="medium">
        <color indexed="64"/>
      </left>
      <right style="medium">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dotted">
        <color indexed="64"/>
      </left>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top style="dotted">
        <color indexed="64"/>
      </top>
      <bottom style="dotted">
        <color indexed="64"/>
      </bottom>
      <diagonal/>
    </border>
    <border>
      <left/>
      <right style="dotted">
        <color indexed="64"/>
      </right>
      <top style="dotted">
        <color indexed="64"/>
      </top>
      <bottom style="dotted">
        <color indexed="64"/>
      </bottom>
      <diagonal/>
    </border>
    <border>
      <left style="medium">
        <color indexed="64"/>
      </left>
      <right style="medium">
        <color indexed="64"/>
      </right>
      <top/>
      <bottom style="medium">
        <color indexed="64"/>
      </bottom>
      <diagonal/>
    </border>
    <border>
      <left style="medium">
        <color indexed="64"/>
      </left>
      <right style="dotted">
        <color indexed="64"/>
      </right>
      <top/>
      <bottom style="medium">
        <color indexed="64"/>
      </bottom>
      <diagonal/>
    </border>
    <border>
      <left style="dotted">
        <color indexed="64"/>
      </left>
      <right style="dotted">
        <color indexed="64"/>
      </right>
      <top/>
      <bottom style="medium">
        <color indexed="64"/>
      </bottom>
      <diagonal/>
    </border>
    <border>
      <left style="dotted">
        <color indexed="64"/>
      </left>
      <right style="medium">
        <color indexed="64"/>
      </right>
      <top/>
      <bottom style="medium">
        <color indexed="64"/>
      </bottom>
      <diagonal/>
    </border>
    <border>
      <left/>
      <right/>
      <top/>
      <bottom style="thin">
        <color rgb="FFC00000"/>
      </bottom>
      <diagonal/>
    </border>
    <border>
      <left/>
      <right/>
      <top style="thin">
        <color rgb="FFC00000"/>
      </top>
      <bottom/>
      <diagonal/>
    </border>
    <border>
      <left style="thick">
        <color rgb="FFCC6600"/>
      </left>
      <right style="thick">
        <color rgb="FFCC6600"/>
      </right>
      <top/>
      <bottom style="thick">
        <color rgb="FFCC6600"/>
      </bottom>
      <diagonal/>
    </border>
    <border>
      <left style="thick">
        <color rgb="FFCC6600"/>
      </left>
      <right style="thick">
        <color rgb="FFCC6600"/>
      </right>
      <top style="thick">
        <color rgb="FFCC6600"/>
      </top>
      <bottom/>
      <diagonal/>
    </border>
    <border>
      <left/>
      <right/>
      <top/>
      <bottom style="thin">
        <color indexed="10"/>
      </bottom>
      <diagonal/>
    </border>
    <border>
      <left style="thin">
        <color rgb="FFC00000"/>
      </left>
      <right/>
      <top style="thin">
        <color rgb="FFC00000"/>
      </top>
      <bottom/>
      <diagonal/>
    </border>
    <border>
      <left/>
      <right style="thin">
        <color rgb="FFC00000"/>
      </right>
      <top style="thin">
        <color rgb="FFC00000"/>
      </top>
      <bottom/>
      <diagonal/>
    </border>
    <border>
      <left style="thin">
        <color rgb="FFC00000"/>
      </left>
      <right/>
      <top/>
      <bottom style="thin">
        <color rgb="FFC00000"/>
      </bottom>
      <diagonal/>
    </border>
    <border>
      <left/>
      <right style="thin">
        <color rgb="FFC00000"/>
      </right>
      <top/>
      <bottom style="thin">
        <color rgb="FFC00000"/>
      </bottom>
      <diagonal/>
    </border>
    <border>
      <left style="thin">
        <color indexed="10"/>
      </left>
      <right style="thin">
        <color indexed="10"/>
      </right>
      <top style="thin">
        <color indexed="10"/>
      </top>
      <bottom style="medium">
        <color indexed="10"/>
      </bottom>
      <diagonal/>
    </border>
    <border>
      <left/>
      <right/>
      <top style="medium">
        <color indexed="10"/>
      </top>
      <bottom/>
      <diagonal/>
    </border>
    <border>
      <left style="thin">
        <color indexed="64"/>
      </left>
      <right/>
      <top style="medium">
        <color indexed="10"/>
      </top>
      <bottom style="thin">
        <color indexed="64"/>
      </bottom>
      <diagonal/>
    </border>
    <border>
      <left/>
      <right style="thin">
        <color indexed="64"/>
      </right>
      <top style="medium">
        <color indexed="10"/>
      </top>
      <bottom style="thin">
        <color indexed="64"/>
      </bottom>
      <diagonal/>
    </border>
    <border>
      <left style="thick">
        <color rgb="FFCC6600"/>
      </left>
      <right style="thick">
        <color rgb="FFCC6600"/>
      </right>
      <top/>
      <bottom/>
      <diagonal/>
    </border>
    <border>
      <left style="medium">
        <color indexed="10"/>
      </left>
      <right style="hair">
        <color indexed="10"/>
      </right>
      <top style="medium">
        <color indexed="10"/>
      </top>
      <bottom style="hair">
        <color indexed="10"/>
      </bottom>
      <diagonal/>
    </border>
    <border>
      <left style="hair">
        <color indexed="10"/>
      </left>
      <right style="hair">
        <color indexed="10"/>
      </right>
      <top style="medium">
        <color indexed="10"/>
      </top>
      <bottom style="hair">
        <color indexed="10"/>
      </bottom>
      <diagonal/>
    </border>
    <border>
      <left style="hair">
        <color indexed="10"/>
      </left>
      <right style="medium">
        <color indexed="10"/>
      </right>
      <top style="medium">
        <color indexed="10"/>
      </top>
      <bottom style="hair">
        <color indexed="10"/>
      </bottom>
      <diagonal/>
    </border>
    <border>
      <left style="medium">
        <color indexed="10"/>
      </left>
      <right style="hair">
        <color indexed="10"/>
      </right>
      <top style="hair">
        <color indexed="10"/>
      </top>
      <bottom style="hair">
        <color indexed="10"/>
      </bottom>
      <diagonal/>
    </border>
    <border>
      <left style="hair">
        <color indexed="10"/>
      </left>
      <right style="hair">
        <color indexed="10"/>
      </right>
      <top style="hair">
        <color indexed="10"/>
      </top>
      <bottom style="hair">
        <color indexed="10"/>
      </bottom>
      <diagonal/>
    </border>
    <border>
      <left style="hair">
        <color indexed="10"/>
      </left>
      <right style="medium">
        <color indexed="10"/>
      </right>
      <top style="hair">
        <color indexed="10"/>
      </top>
      <bottom style="hair">
        <color indexed="10"/>
      </bottom>
      <diagonal/>
    </border>
    <border>
      <left style="medium">
        <color indexed="10"/>
      </left>
      <right style="hair">
        <color indexed="10"/>
      </right>
      <top style="hair">
        <color indexed="10"/>
      </top>
      <bottom style="medium">
        <color indexed="10"/>
      </bottom>
      <diagonal/>
    </border>
    <border>
      <left style="hair">
        <color indexed="10"/>
      </left>
      <right style="hair">
        <color indexed="10"/>
      </right>
      <top style="hair">
        <color indexed="10"/>
      </top>
      <bottom style="medium">
        <color indexed="10"/>
      </bottom>
      <diagonal/>
    </border>
    <border>
      <left style="hair">
        <color indexed="10"/>
      </left>
      <right style="medium">
        <color indexed="10"/>
      </right>
      <top style="hair">
        <color indexed="10"/>
      </top>
      <bottom style="medium">
        <color indexed="10"/>
      </bottom>
      <diagonal/>
    </border>
    <border>
      <left style="medium">
        <color indexed="10"/>
      </left>
      <right style="hair">
        <color indexed="10"/>
      </right>
      <top style="hair">
        <color indexed="10"/>
      </top>
      <bottom/>
      <diagonal/>
    </border>
    <border>
      <left style="hair">
        <color indexed="10"/>
      </left>
      <right style="hair">
        <color indexed="10"/>
      </right>
      <top style="hair">
        <color indexed="10"/>
      </top>
      <bottom/>
      <diagonal/>
    </border>
    <border>
      <left style="hair">
        <color indexed="10"/>
      </left>
      <right style="medium">
        <color indexed="10"/>
      </right>
      <top style="hair">
        <color indexed="10"/>
      </top>
      <bottom/>
      <diagonal/>
    </border>
    <border>
      <left style="medium">
        <color indexed="10"/>
      </left>
      <right style="hair">
        <color indexed="10"/>
      </right>
      <top/>
      <bottom style="hair">
        <color indexed="10"/>
      </bottom>
      <diagonal/>
    </border>
    <border>
      <left style="hair">
        <color indexed="10"/>
      </left>
      <right style="hair">
        <color indexed="10"/>
      </right>
      <top/>
      <bottom style="hair">
        <color indexed="10"/>
      </bottom>
      <diagonal/>
    </border>
    <border>
      <left style="hair">
        <color indexed="10"/>
      </left>
      <right style="medium">
        <color indexed="10"/>
      </right>
      <top/>
      <bottom style="hair">
        <color indexed="10"/>
      </bottom>
      <diagonal/>
    </border>
    <border>
      <left/>
      <right/>
      <top/>
      <bottom style="hair">
        <color auto="1"/>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style="medium">
        <color indexed="64"/>
      </left>
      <right style="hair">
        <color indexed="64"/>
      </right>
      <top style="hair">
        <color indexed="64"/>
      </top>
      <bottom style="hair">
        <color indexed="64"/>
      </bottom>
      <diagonal/>
    </border>
    <border>
      <left style="medium">
        <color indexed="64"/>
      </left>
      <right style="hair">
        <color indexed="64"/>
      </right>
      <top style="hair">
        <color indexed="64"/>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thin">
        <color theme="0"/>
      </left>
      <right/>
      <top/>
      <bottom style="thick">
        <color theme="0"/>
      </bottom>
      <diagonal/>
    </border>
    <border>
      <left style="thin">
        <color rgb="FFC00000"/>
      </left>
      <right/>
      <top style="thin">
        <color rgb="FFC00000"/>
      </top>
      <bottom style="thin">
        <color rgb="FFC00000"/>
      </bottom>
      <diagonal/>
    </border>
    <border>
      <left/>
      <right/>
      <top style="thin">
        <color rgb="FFC00000"/>
      </top>
      <bottom style="thin">
        <color rgb="FFC00000"/>
      </bottom>
      <diagonal/>
    </border>
    <border>
      <left/>
      <right style="thin">
        <color rgb="FFC00000"/>
      </right>
      <top style="thin">
        <color rgb="FFC00000"/>
      </top>
      <bottom style="thin">
        <color rgb="FFC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auto="1"/>
      </bottom>
      <diagonal/>
    </border>
    <border>
      <left/>
      <right style="thin">
        <color indexed="64"/>
      </right>
      <top style="thin">
        <color indexed="64"/>
      </top>
      <bottom style="medium">
        <color auto="1"/>
      </bottom>
      <diagonal/>
    </border>
    <border>
      <left/>
      <right style="dotted">
        <color indexed="64"/>
      </right>
      <top style="thin">
        <color indexed="64"/>
      </top>
      <bottom style="medium">
        <color indexed="64"/>
      </bottom>
      <diagonal/>
    </border>
    <border>
      <left style="dotted">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hair">
        <color indexed="64"/>
      </right>
      <top/>
      <bottom style="hair">
        <color indexed="64"/>
      </bottom>
      <diagonal/>
    </border>
    <border>
      <left style="hair">
        <color indexed="64"/>
      </left>
      <right style="medium">
        <color indexed="64"/>
      </right>
      <top/>
      <bottom style="hair">
        <color indexed="64"/>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style="thin">
        <color indexed="64"/>
      </right>
      <top/>
      <bottom style="dotted">
        <color indexed="64"/>
      </bottom>
      <diagonal/>
    </border>
    <border>
      <left style="thin">
        <color indexed="64"/>
      </left>
      <right style="dotted">
        <color indexed="64"/>
      </right>
      <top/>
      <bottom style="dotted">
        <color indexed="64"/>
      </bottom>
      <diagonal/>
    </border>
    <border>
      <left style="thin">
        <color indexed="64"/>
      </left>
      <right style="thin">
        <color indexed="64"/>
      </right>
      <top/>
      <bottom style="dotted">
        <color indexed="64"/>
      </bottom>
      <diagonal/>
    </border>
    <border>
      <left style="medium">
        <color indexed="64"/>
      </left>
      <right/>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style="thin">
        <color indexed="64"/>
      </right>
      <top style="dotted">
        <color indexed="64"/>
      </top>
      <bottom/>
      <diagonal/>
    </border>
    <border>
      <left style="thin">
        <color indexed="64"/>
      </left>
      <right style="dotted">
        <color indexed="64"/>
      </right>
      <top style="dotted">
        <color indexed="64"/>
      </top>
      <bottom/>
      <diagonal/>
    </border>
    <border>
      <left style="thin">
        <color indexed="64"/>
      </left>
      <right style="thin">
        <color indexed="64"/>
      </right>
      <top style="dotted">
        <color indexed="64"/>
      </top>
      <bottom/>
      <diagonal/>
    </border>
    <border>
      <left style="dotted">
        <color indexed="64"/>
      </left>
      <right/>
      <top style="dotted">
        <color indexed="64"/>
      </top>
      <bottom/>
      <diagonal/>
    </border>
    <border>
      <left style="thin">
        <color indexed="64"/>
      </left>
      <right style="medium">
        <color indexed="64"/>
      </right>
      <top style="dotted">
        <color indexed="64"/>
      </top>
      <bottom/>
      <diagonal/>
    </border>
    <border>
      <left style="medium">
        <color indexed="64"/>
      </left>
      <right style="medium">
        <color indexed="64"/>
      </right>
      <top style="dotted">
        <color indexed="64"/>
      </top>
      <bottom/>
      <diagonal/>
    </border>
    <border>
      <left style="hair">
        <color indexed="64"/>
      </left>
      <right/>
      <top style="hair">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thin">
        <color theme="1"/>
      </left>
      <right style="medium">
        <color theme="0"/>
      </right>
      <top style="thin">
        <color theme="1"/>
      </top>
      <bottom style="medium">
        <color theme="0"/>
      </bottom>
      <diagonal/>
    </border>
    <border>
      <left style="medium">
        <color theme="0"/>
      </left>
      <right style="medium">
        <color theme="0"/>
      </right>
      <top style="thin">
        <color theme="1"/>
      </top>
      <bottom style="medium">
        <color theme="0"/>
      </bottom>
      <diagonal/>
    </border>
    <border>
      <left style="medium">
        <color theme="0"/>
      </left>
      <right style="thin">
        <color theme="1"/>
      </right>
      <top style="thin">
        <color theme="1"/>
      </top>
      <bottom style="medium">
        <color theme="0"/>
      </bottom>
      <diagonal/>
    </border>
    <border>
      <left style="thin">
        <color theme="1"/>
      </left>
      <right style="medium">
        <color theme="0"/>
      </right>
      <top style="medium">
        <color theme="0"/>
      </top>
      <bottom style="medium">
        <color theme="0"/>
      </bottom>
      <diagonal/>
    </border>
    <border>
      <left style="medium">
        <color theme="0"/>
      </left>
      <right style="thin">
        <color theme="1"/>
      </right>
      <top style="medium">
        <color theme="0"/>
      </top>
      <bottom style="medium">
        <color theme="0"/>
      </bottom>
      <diagonal/>
    </border>
    <border>
      <left style="thin">
        <color theme="1"/>
      </left>
      <right style="medium">
        <color theme="0"/>
      </right>
      <top style="medium">
        <color theme="0"/>
      </top>
      <bottom style="thin">
        <color theme="1"/>
      </bottom>
      <diagonal/>
    </border>
    <border>
      <left style="medium">
        <color theme="0"/>
      </left>
      <right style="medium">
        <color theme="0"/>
      </right>
      <top style="medium">
        <color theme="0"/>
      </top>
      <bottom style="thin">
        <color theme="1"/>
      </bottom>
      <diagonal/>
    </border>
    <border>
      <left style="medium">
        <color theme="0"/>
      </left>
      <right style="thin">
        <color theme="1"/>
      </right>
      <top style="medium">
        <color theme="0"/>
      </top>
      <bottom style="thin">
        <color theme="1"/>
      </bottom>
      <diagonal/>
    </border>
    <border>
      <left style="thin">
        <color indexed="64"/>
      </left>
      <right style="medium">
        <color theme="0"/>
      </right>
      <top style="thin">
        <color theme="1"/>
      </top>
      <bottom style="medium">
        <color theme="0"/>
      </bottom>
      <diagonal/>
    </border>
    <border>
      <left style="medium">
        <color theme="0"/>
      </left>
      <right style="thin">
        <color indexed="64"/>
      </right>
      <top style="thin">
        <color theme="1"/>
      </top>
      <bottom style="medium">
        <color theme="0"/>
      </bottom>
      <diagonal/>
    </border>
    <border>
      <left style="thin">
        <color indexed="64"/>
      </left>
      <right style="medium">
        <color theme="0"/>
      </right>
      <top style="medium">
        <color theme="0"/>
      </top>
      <bottom style="medium">
        <color theme="0"/>
      </bottom>
      <diagonal/>
    </border>
    <border>
      <left style="medium">
        <color theme="0"/>
      </left>
      <right style="thin">
        <color indexed="64"/>
      </right>
      <top style="medium">
        <color theme="0"/>
      </top>
      <bottom style="medium">
        <color theme="0"/>
      </bottom>
      <diagonal/>
    </border>
    <border>
      <left style="thin">
        <color indexed="64"/>
      </left>
      <right style="medium">
        <color theme="0"/>
      </right>
      <top style="medium">
        <color theme="0"/>
      </top>
      <bottom style="thin">
        <color theme="1"/>
      </bottom>
      <diagonal/>
    </border>
    <border>
      <left style="medium">
        <color theme="0"/>
      </left>
      <right style="thin">
        <color indexed="64"/>
      </right>
      <top style="medium">
        <color theme="0"/>
      </top>
      <bottom style="thin">
        <color theme="1"/>
      </bottom>
      <diagonal/>
    </border>
    <border>
      <left style="thin">
        <color indexed="64"/>
      </left>
      <right style="medium">
        <color theme="0"/>
      </right>
      <top style="medium">
        <color theme="0"/>
      </top>
      <bottom style="thin">
        <color indexed="64"/>
      </bottom>
      <diagonal/>
    </border>
    <border>
      <left style="medium">
        <color theme="0"/>
      </left>
      <right style="medium">
        <color theme="0"/>
      </right>
      <top style="medium">
        <color theme="0"/>
      </top>
      <bottom style="thin">
        <color indexed="64"/>
      </bottom>
      <diagonal/>
    </border>
    <border>
      <left style="medium">
        <color theme="0"/>
      </left>
      <right style="thin">
        <color indexed="64"/>
      </right>
      <top style="medium">
        <color theme="0"/>
      </top>
      <bottom style="thin">
        <color indexed="64"/>
      </bottom>
      <diagonal/>
    </border>
    <border>
      <left style="thin">
        <color theme="0"/>
      </left>
      <right/>
      <top style="thick">
        <color theme="0"/>
      </top>
      <bottom style="thin">
        <color theme="0"/>
      </bottom>
      <diagonal/>
    </border>
    <border>
      <left style="thin">
        <color theme="0"/>
      </left>
      <right style="thin">
        <color theme="0"/>
      </right>
      <top style="thick">
        <color theme="0"/>
      </top>
      <bottom style="thin">
        <color theme="0"/>
      </bottom>
      <diagonal/>
    </border>
    <border>
      <left style="thin">
        <color theme="0"/>
      </left>
      <right style="thin">
        <color theme="0"/>
      </right>
      <top style="thick">
        <color theme="0"/>
      </top>
      <bottom/>
      <diagonal/>
    </border>
    <border>
      <left style="thin">
        <color indexed="64"/>
      </left>
      <right/>
      <top style="thin">
        <color indexed="64"/>
      </top>
      <bottom style="thin">
        <color theme="1"/>
      </bottom>
      <diagonal/>
    </border>
    <border>
      <left style="thin">
        <color rgb="FFC00000"/>
      </left>
      <right/>
      <top/>
      <bottom/>
      <diagonal/>
    </border>
    <border>
      <left/>
      <right style="thin">
        <color rgb="FFC00000"/>
      </right>
      <top/>
      <bottom/>
      <diagonal/>
    </border>
    <border>
      <left style="medium">
        <color indexed="64"/>
      </left>
      <right style="dotted">
        <color indexed="64"/>
      </right>
      <top style="dotted">
        <color indexed="64"/>
      </top>
      <bottom style="dotted">
        <color indexed="64"/>
      </bottom>
      <diagonal/>
    </border>
    <border>
      <left style="thin">
        <color theme="0"/>
      </left>
      <right/>
      <top style="thin">
        <color indexed="64"/>
      </top>
      <bottom/>
      <diagonal/>
    </border>
    <border>
      <left/>
      <right style="thin">
        <color theme="0"/>
      </right>
      <top style="thin">
        <color indexed="64"/>
      </top>
      <bottom/>
      <diagonal/>
    </border>
    <border>
      <left/>
      <right style="thin">
        <color theme="0"/>
      </right>
      <top/>
      <bottom/>
      <diagonal/>
    </border>
    <border>
      <left style="thin">
        <color theme="0"/>
      </left>
      <right/>
      <top/>
      <bottom style="thin">
        <color indexed="64"/>
      </bottom>
      <diagonal/>
    </border>
    <border>
      <left/>
      <right style="thin">
        <color theme="0"/>
      </right>
      <top/>
      <bottom style="thin">
        <color indexed="64"/>
      </bottom>
      <diagonal/>
    </border>
    <border>
      <left style="thin">
        <color theme="0"/>
      </left>
      <right style="thin">
        <color theme="0"/>
      </right>
      <top/>
      <bottom/>
      <diagonal/>
    </border>
  </borders>
  <cellStyleXfs count="11">
    <xf numFmtId="0" fontId="0" fillId="0" borderId="0"/>
    <xf numFmtId="0" fontId="11" fillId="0" borderId="0" applyNumberFormat="0" applyFill="0" applyBorder="0" applyAlignment="0" applyProtection="0">
      <alignment vertical="top"/>
      <protection locked="0"/>
    </xf>
    <xf numFmtId="0" fontId="5" fillId="0" borderId="0"/>
    <xf numFmtId="0" fontId="4" fillId="0" borderId="0"/>
    <xf numFmtId="0" fontId="3" fillId="0" borderId="0"/>
    <xf numFmtId="0" fontId="2" fillId="0" borderId="0"/>
    <xf numFmtId="0" fontId="1" fillId="0" borderId="0"/>
    <xf numFmtId="0" fontId="1" fillId="0" borderId="0"/>
    <xf numFmtId="0" fontId="1" fillId="0" borderId="0"/>
    <xf numFmtId="9" fontId="88" fillId="0" borderId="0" applyFont="0" applyFill="0" applyBorder="0" applyAlignment="0" applyProtection="0"/>
    <xf numFmtId="165" fontId="5" fillId="0" borderId="0" applyFont="0" applyFill="0" applyBorder="0" applyAlignment="0" applyProtection="0"/>
  </cellStyleXfs>
  <cellXfs count="964">
    <xf numFmtId="0" fontId="0" fillId="0" borderId="0" xfId="0"/>
    <xf numFmtId="0" fontId="0" fillId="0" borderId="0" xfId="0" applyAlignment="1">
      <alignment horizontal="center" vertical="center"/>
    </xf>
    <xf numFmtId="0" fontId="7" fillId="0" borderId="0" xfId="0" applyFont="1"/>
    <xf numFmtId="0" fontId="0" fillId="0" borderId="0" xfId="0" applyAlignment="1">
      <alignment horizontal="center"/>
    </xf>
    <xf numFmtId="0" fontId="5" fillId="0" borderId="0" xfId="0" applyFont="1"/>
    <xf numFmtId="0" fontId="35" fillId="0" borderId="0" xfId="0" applyFont="1" applyAlignment="1">
      <alignment horizontal="left" vertical="center"/>
    </xf>
    <xf numFmtId="14" fontId="36" fillId="0" borderId="0" xfId="0" applyNumberFormat="1" applyFont="1"/>
    <xf numFmtId="0" fontId="36" fillId="0" borderId="0" xfId="0" applyFont="1"/>
    <xf numFmtId="0" fontId="36" fillId="0" borderId="0" xfId="0" applyFont="1" applyAlignment="1">
      <alignment horizontal="left" vertical="center"/>
    </xf>
    <xf numFmtId="0" fontId="36" fillId="0" borderId="0" xfId="0" applyFont="1" applyAlignment="1">
      <alignment horizontal="right"/>
    </xf>
    <xf numFmtId="167" fontId="36" fillId="0" borderId="0" xfId="0" applyNumberFormat="1" applyFont="1" applyAlignment="1">
      <alignment horizontal="right"/>
    </xf>
    <xf numFmtId="0" fontId="36" fillId="0" borderId="0" xfId="0" applyFont="1" applyAlignment="1">
      <alignment horizontal="right" vertical="center"/>
    </xf>
    <xf numFmtId="0" fontId="8" fillId="0" borderId="12" xfId="0" applyFont="1" applyBorder="1" applyAlignment="1">
      <alignment horizontal="center"/>
    </xf>
    <xf numFmtId="0" fontId="9" fillId="0" borderId="5" xfId="0" applyFont="1" applyBorder="1" applyAlignment="1">
      <alignment horizontal="left"/>
    </xf>
    <xf numFmtId="0" fontId="9" fillId="0" borderId="6" xfId="0" applyFont="1" applyBorder="1" applyAlignment="1">
      <alignment horizontal="left"/>
    </xf>
    <xf numFmtId="0" fontId="5" fillId="0" borderId="0" xfId="0" applyFont="1" applyAlignment="1">
      <alignment horizontal="center"/>
    </xf>
    <xf numFmtId="0" fontId="5" fillId="0" borderId="1" xfId="0" applyFont="1" applyBorder="1" applyAlignment="1">
      <alignment horizontal="center"/>
    </xf>
    <xf numFmtId="0" fontId="6" fillId="0" borderId="12" xfId="0" applyFont="1" applyBorder="1" applyAlignment="1">
      <alignment horizontal="center"/>
    </xf>
    <xf numFmtId="0" fontId="11" fillId="0" borderId="0" xfId="1" applyAlignment="1" applyProtection="1"/>
    <xf numFmtId="22" fontId="0" fillId="0" borderId="0" xfId="0" applyNumberFormat="1"/>
    <xf numFmtId="0" fontId="0" fillId="0" borderId="0" xfId="0" applyAlignment="1">
      <alignment horizontal="right"/>
    </xf>
    <xf numFmtId="1" fontId="0" fillId="0" borderId="0" xfId="0" applyNumberFormat="1"/>
    <xf numFmtId="14" fontId="0" fillId="0" borderId="0" xfId="0" applyNumberFormat="1"/>
    <xf numFmtId="0" fontId="39" fillId="0" borderId="0" xfId="0" applyFont="1" applyAlignment="1">
      <alignment horizontal="right"/>
    </xf>
    <xf numFmtId="0" fontId="39" fillId="0" borderId="0" xfId="0" applyFont="1" applyAlignment="1">
      <alignment horizontal="center"/>
    </xf>
    <xf numFmtId="0" fontId="39" fillId="0" borderId="0" xfId="0" applyFont="1"/>
    <xf numFmtId="0" fontId="51" fillId="0" borderId="0" xfId="1" applyFont="1" applyAlignment="1" applyProtection="1"/>
    <xf numFmtId="0" fontId="5" fillId="0" borderId="0" xfId="2"/>
    <xf numFmtId="0" fontId="5" fillId="0" borderId="0" xfId="2" applyAlignment="1">
      <alignment horizontal="right"/>
    </xf>
    <xf numFmtId="0" fontId="14" fillId="0" borderId="0" xfId="2" applyFont="1" applyAlignment="1">
      <alignment horizontal="left"/>
    </xf>
    <xf numFmtId="0" fontId="5" fillId="0" borderId="0" xfId="2" applyAlignment="1">
      <alignment horizontal="left"/>
    </xf>
    <xf numFmtId="0" fontId="5" fillId="4" borderId="0" xfId="2" applyFill="1"/>
    <xf numFmtId="0" fontId="9" fillId="0" borderId="0" xfId="2" applyFont="1"/>
    <xf numFmtId="0" fontId="9" fillId="0" borderId="0" xfId="2" applyFont="1" applyAlignment="1">
      <alignment horizontal="center" vertical="center"/>
    </xf>
    <xf numFmtId="0" fontId="52" fillId="0" borderId="0" xfId="2" applyFont="1" applyAlignment="1">
      <alignment horizontal="right" vertical="center"/>
    </xf>
    <xf numFmtId="0" fontId="52" fillId="0" borderId="0" xfId="2" applyFont="1" applyAlignment="1">
      <alignment horizontal="left" vertical="center"/>
    </xf>
    <xf numFmtId="0" fontId="52" fillId="0" borderId="0" xfId="2" applyFont="1" applyAlignment="1">
      <alignment vertical="center"/>
    </xf>
    <xf numFmtId="0" fontId="52" fillId="0" borderId="0" xfId="2" applyFont="1" applyAlignment="1">
      <alignment horizontal="center" vertical="center"/>
    </xf>
    <xf numFmtId="0" fontId="52" fillId="0" borderId="0" xfId="2" applyFont="1" applyAlignment="1">
      <alignment horizontal="right" vertical="center" indent="1"/>
    </xf>
    <xf numFmtId="0" fontId="52" fillId="0" borderId="0" xfId="2" applyFont="1" applyAlignment="1">
      <alignment horizontal="left" vertical="center" indent="1"/>
    </xf>
    <xf numFmtId="0" fontId="53" fillId="0" borderId="0" xfId="2" applyFont="1" applyAlignment="1">
      <alignment horizontal="center" vertical="center"/>
    </xf>
    <xf numFmtId="0" fontId="5" fillId="0" borderId="0" xfId="2" applyAlignment="1">
      <alignment horizontal="left" vertical="center"/>
    </xf>
    <xf numFmtId="0" fontId="17" fillId="0" borderId="0" xfId="2" applyFont="1"/>
    <xf numFmtId="0" fontId="5" fillId="0" borderId="55" xfId="2" applyBorder="1"/>
    <xf numFmtId="0" fontId="6" fillId="0" borderId="0" xfId="2" applyFont="1" applyAlignment="1">
      <alignment horizontal="left" indent="1"/>
    </xf>
    <xf numFmtId="0" fontId="6" fillId="0" borderId="0" xfId="2" applyFont="1" applyAlignment="1">
      <alignment vertical="center"/>
    </xf>
    <xf numFmtId="0" fontId="6" fillId="0" borderId="0" xfId="2" applyFont="1" applyAlignment="1">
      <alignment horizontal="center" vertical="center"/>
    </xf>
    <xf numFmtId="0" fontId="5" fillId="0" borderId="0" xfId="2" applyAlignment="1">
      <alignment horizontal="center"/>
    </xf>
    <xf numFmtId="0" fontId="47" fillId="0" borderId="0" xfId="2" applyFont="1"/>
    <xf numFmtId="0" fontId="6" fillId="0" borderId="0" xfId="2" applyFont="1"/>
    <xf numFmtId="0" fontId="9" fillId="0" borderId="0" xfId="2" applyFont="1" applyAlignment="1">
      <alignment horizontal="left" indent="1"/>
    </xf>
    <xf numFmtId="0" fontId="6" fillId="0" borderId="0" xfId="2" applyFont="1" applyAlignment="1">
      <alignment horizontal="right"/>
    </xf>
    <xf numFmtId="0" fontId="53" fillId="0" borderId="0" xfId="2" applyFont="1" applyAlignment="1">
      <alignment horizontal="left" vertical="center"/>
    </xf>
    <xf numFmtId="0" fontId="6" fillId="0" borderId="0" xfId="2" applyFont="1" applyAlignment="1">
      <alignment horizontal="left" vertical="center" indent="1"/>
    </xf>
    <xf numFmtId="0" fontId="6" fillId="0" borderId="0" xfId="2" applyFont="1" applyAlignment="1">
      <alignment horizontal="right" vertical="center" indent="1"/>
    </xf>
    <xf numFmtId="0" fontId="6" fillId="0" borderId="0" xfId="2" applyFont="1" applyAlignment="1">
      <alignment horizontal="left" vertical="center"/>
    </xf>
    <xf numFmtId="0" fontId="10" fillId="0" borderId="0" xfId="2" applyFont="1" applyAlignment="1">
      <alignment horizontal="center" vertical="center"/>
    </xf>
    <xf numFmtId="0" fontId="10" fillId="0" borderId="0" xfId="2" applyFont="1" applyAlignment="1">
      <alignment horizontal="right" vertical="center" indent="1"/>
    </xf>
    <xf numFmtId="0" fontId="9" fillId="0" borderId="0" xfId="2" applyFont="1" applyAlignment="1">
      <alignment horizontal="left" vertical="center" indent="1"/>
    </xf>
    <xf numFmtId="0" fontId="9" fillId="0" borderId="0" xfId="2" applyFont="1" applyAlignment="1">
      <alignment vertical="center"/>
    </xf>
    <xf numFmtId="0" fontId="12" fillId="0" borderId="0" xfId="2" applyFont="1"/>
    <xf numFmtId="1" fontId="40" fillId="0" borderId="0" xfId="2" applyNumberFormat="1" applyFont="1"/>
    <xf numFmtId="0" fontId="7" fillId="0" borderId="0" xfId="2" applyFont="1"/>
    <xf numFmtId="1" fontId="6" fillId="0" borderId="0" xfId="2" applyNumberFormat="1" applyFont="1" applyAlignment="1">
      <alignment horizontal="center" vertical="center"/>
    </xf>
    <xf numFmtId="0" fontId="10" fillId="0" borderId="0" xfId="2" applyFont="1" applyAlignment="1">
      <alignment horizontal="right"/>
    </xf>
    <xf numFmtId="0" fontId="10" fillId="0" borderId="0" xfId="2" applyFont="1" applyAlignment="1">
      <alignment horizontal="left"/>
    </xf>
    <xf numFmtId="5" fontId="6" fillId="0" borderId="0" xfId="2" applyNumberFormat="1" applyFont="1" applyAlignment="1">
      <alignment horizontal="right" vertical="center"/>
    </xf>
    <xf numFmtId="169" fontId="6" fillId="0" borderId="0" xfId="2" applyNumberFormat="1" applyFont="1" applyAlignment="1">
      <alignment horizontal="right" vertical="center" indent="1"/>
    </xf>
    <xf numFmtId="170" fontId="6" fillId="0" borderId="0" xfId="2" applyNumberFormat="1" applyFont="1" applyAlignment="1">
      <alignment horizontal="right" vertical="center" indent="1"/>
    </xf>
    <xf numFmtId="0" fontId="6" fillId="0" borderId="0" xfId="2" quotePrefix="1" applyFont="1" applyAlignment="1">
      <alignment horizontal="left" vertical="center" indent="1"/>
    </xf>
    <xf numFmtId="169" fontId="6" fillId="0" borderId="0" xfId="2" quotePrefix="1" applyNumberFormat="1" applyFont="1" applyAlignment="1">
      <alignment horizontal="right" vertical="center" indent="1"/>
    </xf>
    <xf numFmtId="170" fontId="6" fillId="0" borderId="0" xfId="2" quotePrefix="1" applyNumberFormat="1" applyFont="1" applyAlignment="1">
      <alignment horizontal="right" vertical="center" indent="1"/>
    </xf>
    <xf numFmtId="0" fontId="19" fillId="0" borderId="0" xfId="2" applyFont="1" applyAlignment="1">
      <alignment horizontal="left" vertical="center" indent="1"/>
    </xf>
    <xf numFmtId="0" fontId="6" fillId="0" borderId="0" xfId="2" applyFont="1" applyAlignment="1">
      <alignment horizontal="right" indent="1"/>
    </xf>
    <xf numFmtId="0" fontId="19" fillId="0" borderId="0" xfId="2" applyFont="1" applyAlignment="1">
      <alignment horizontal="left" vertical="top" indent="1"/>
    </xf>
    <xf numFmtId="0" fontId="19" fillId="0" borderId="0" xfId="2" applyFont="1"/>
    <xf numFmtId="0" fontId="14" fillId="0" borderId="0" xfId="2" applyFont="1"/>
    <xf numFmtId="0" fontId="40" fillId="0" borderId="0" xfId="2" applyFont="1"/>
    <xf numFmtId="0" fontId="9" fillId="0" borderId="0" xfId="2" applyFont="1" applyAlignment="1">
      <alignment horizontal="right" vertical="center" indent="1"/>
    </xf>
    <xf numFmtId="9" fontId="6" fillId="0" borderId="0" xfId="2" applyNumberFormat="1" applyFont="1" applyAlignment="1">
      <alignment horizontal="right" vertical="center" indent="1"/>
    </xf>
    <xf numFmtId="0" fontId="53" fillId="0" borderId="0" xfId="2" applyFont="1"/>
    <xf numFmtId="0" fontId="41" fillId="0" borderId="0" xfId="2" applyFont="1" applyAlignment="1">
      <alignment horizontal="left" vertical="center" indent="1"/>
    </xf>
    <xf numFmtId="0" fontId="42" fillId="0" borderId="0" xfId="2" applyFont="1" applyAlignment="1">
      <alignment horizontal="center" vertical="center"/>
    </xf>
    <xf numFmtId="0" fontId="43" fillId="0" borderId="0" xfId="2" quotePrefix="1" applyFont="1" applyAlignment="1">
      <alignment horizontal="left" vertical="center" indent="1"/>
    </xf>
    <xf numFmtId="1" fontId="43" fillId="0" borderId="0" xfId="2" applyNumberFormat="1" applyFont="1" applyAlignment="1">
      <alignment horizontal="center" vertical="center"/>
    </xf>
    <xf numFmtId="0" fontId="43" fillId="0" borderId="0" xfId="2" applyFont="1" applyAlignment="1">
      <alignment horizontal="left" vertical="center" indent="1"/>
    </xf>
    <xf numFmtId="0" fontId="43" fillId="0" borderId="0" xfId="2" applyFont="1" applyAlignment="1">
      <alignment horizontal="center" vertical="center"/>
    </xf>
    <xf numFmtId="0" fontId="6" fillId="0" borderId="0" xfId="2" applyFont="1" applyAlignment="1">
      <alignment horizontal="right" vertical="center"/>
    </xf>
    <xf numFmtId="0" fontId="9" fillId="0" borderId="0" xfId="2" applyFont="1" applyAlignment="1">
      <alignment horizontal="right" vertical="center"/>
    </xf>
    <xf numFmtId="9" fontId="6" fillId="0" borderId="0" xfId="2" applyNumberFormat="1" applyFont="1" applyAlignment="1">
      <alignment horizontal="left" vertical="center" indent="1"/>
    </xf>
    <xf numFmtId="9" fontId="6" fillId="0" borderId="0" xfId="2" quotePrefix="1" applyNumberFormat="1" applyFont="1" applyAlignment="1">
      <alignment horizontal="left" vertical="center" indent="1"/>
    </xf>
    <xf numFmtId="0" fontId="52" fillId="0" borderId="0" xfId="2" applyFont="1" applyAlignment="1">
      <alignment horizontal="left" indent="1"/>
    </xf>
    <xf numFmtId="0" fontId="14" fillId="0" borderId="0" xfId="2" applyFont="1" applyAlignment="1">
      <alignment horizontal="left" vertical="center"/>
    </xf>
    <xf numFmtId="0" fontId="19" fillId="0" borderId="0" xfId="2" applyFont="1" applyAlignment="1">
      <alignment horizontal="right" vertical="center"/>
    </xf>
    <xf numFmtId="0" fontId="56" fillId="0" borderId="0" xfId="2" applyFont="1" applyAlignment="1">
      <alignment horizontal="center" vertical="center"/>
    </xf>
    <xf numFmtId="1" fontId="56" fillId="0" borderId="0" xfId="2" applyNumberFormat="1" applyFont="1" applyAlignment="1">
      <alignment horizontal="center" vertical="center"/>
    </xf>
    <xf numFmtId="0" fontId="53" fillId="0" borderId="0" xfId="2" applyFont="1" applyAlignment="1">
      <alignment vertical="center"/>
    </xf>
    <xf numFmtId="0" fontId="19" fillId="0" borderId="0" xfId="2" applyFont="1" applyAlignment="1">
      <alignment horizontal="right"/>
    </xf>
    <xf numFmtId="2" fontId="19" fillId="0" borderId="0" xfId="2" applyNumberFormat="1" applyFont="1" applyAlignment="1">
      <alignment horizontal="left" vertical="center" indent="1"/>
    </xf>
    <xf numFmtId="0" fontId="56" fillId="0" borderId="0" xfId="2" applyFont="1" applyAlignment="1">
      <alignment vertical="center"/>
    </xf>
    <xf numFmtId="0" fontId="53" fillId="0" borderId="0" xfId="2" applyFont="1" applyAlignment="1">
      <alignment horizontal="left" vertical="center" indent="1"/>
    </xf>
    <xf numFmtId="1" fontId="6" fillId="0" borderId="0" xfId="2" applyNumberFormat="1" applyFont="1" applyAlignment="1">
      <alignment horizontal="left" vertical="center" indent="1"/>
    </xf>
    <xf numFmtId="0" fontId="6" fillId="0" borderId="0" xfId="2" quotePrefix="1" applyFont="1" applyAlignment="1">
      <alignment horizontal="center" vertical="center"/>
    </xf>
    <xf numFmtId="2" fontId="9" fillId="0" borderId="0" xfId="2" applyNumberFormat="1" applyFont="1" applyAlignment="1">
      <alignment horizontal="left" vertical="center" indent="1"/>
    </xf>
    <xf numFmtId="0" fontId="19" fillId="0" borderId="0" xfId="2" applyFont="1" applyAlignment="1">
      <alignment vertical="top"/>
    </xf>
    <xf numFmtId="1" fontId="13" fillId="0" borderId="0" xfId="2" applyNumberFormat="1" applyFont="1" applyAlignment="1">
      <alignment horizontal="center" vertical="center"/>
    </xf>
    <xf numFmtId="0" fontId="53" fillId="2" borderId="0" xfId="2" applyFont="1" applyFill="1" applyAlignment="1">
      <alignment horizontal="left" vertical="center"/>
    </xf>
    <xf numFmtId="0" fontId="53" fillId="2" borderId="0" xfId="2" applyFont="1" applyFill="1" applyAlignment="1">
      <alignment horizontal="center" vertical="center"/>
    </xf>
    <xf numFmtId="0" fontId="53" fillId="2" borderId="0" xfId="2" applyFont="1" applyFill="1" applyAlignment="1">
      <alignment horizontal="right" vertical="center" indent="1"/>
    </xf>
    <xf numFmtId="0" fontId="52" fillId="2" borderId="0" xfId="2" applyFont="1" applyFill="1" applyAlignment="1">
      <alignment horizontal="left" vertical="center" indent="1"/>
    </xf>
    <xf numFmtId="0" fontId="52" fillId="2" borderId="0" xfId="2" applyFont="1" applyFill="1" applyAlignment="1">
      <alignment vertical="center"/>
    </xf>
    <xf numFmtId="0" fontId="58" fillId="2" borderId="0" xfId="2" applyFont="1" applyFill="1" applyAlignment="1">
      <alignment horizontal="center" vertical="center"/>
    </xf>
    <xf numFmtId="0" fontId="58" fillId="2" borderId="0" xfId="2" applyFont="1" applyFill="1" applyAlignment="1">
      <alignment vertical="center"/>
    </xf>
    <xf numFmtId="0" fontId="58" fillId="2" borderId="0" xfId="2" applyFont="1" applyFill="1" applyAlignment="1">
      <alignment horizontal="right" vertical="center" indent="1"/>
    </xf>
    <xf numFmtId="0" fontId="53" fillId="2" borderId="0" xfId="2" applyFont="1" applyFill="1" applyAlignment="1">
      <alignment horizontal="left" vertical="center" indent="1"/>
    </xf>
    <xf numFmtId="0" fontId="53" fillId="2" borderId="0" xfId="2" applyFont="1" applyFill="1" applyAlignment="1">
      <alignment vertical="center"/>
    </xf>
    <xf numFmtId="1" fontId="53" fillId="2" borderId="0" xfId="2" applyNumberFormat="1" applyFont="1" applyFill="1" applyAlignment="1">
      <alignment horizontal="center" vertical="center"/>
    </xf>
    <xf numFmtId="0" fontId="13" fillId="0" borderId="0" xfId="2" applyFont="1" applyAlignment="1">
      <alignment horizontal="center" vertical="center"/>
    </xf>
    <xf numFmtId="10" fontId="53" fillId="2" borderId="0" xfId="2" applyNumberFormat="1" applyFont="1" applyFill="1" applyAlignment="1">
      <alignment horizontal="right" vertical="center" indent="1"/>
    </xf>
    <xf numFmtId="171" fontId="19" fillId="0" borderId="0" xfId="2" applyNumberFormat="1" applyFont="1" applyAlignment="1">
      <alignment horizontal="left" vertical="center" indent="1"/>
    </xf>
    <xf numFmtId="1" fontId="19" fillId="0" borderId="0" xfId="2" applyNumberFormat="1" applyFont="1"/>
    <xf numFmtId="0" fontId="53" fillId="2" borderId="0" xfId="2" quotePrefix="1" applyFont="1" applyFill="1" applyAlignment="1">
      <alignment horizontal="left" vertical="center" indent="1"/>
    </xf>
    <xf numFmtId="0" fontId="59" fillId="0" borderId="0" xfId="2" applyFont="1" applyAlignment="1">
      <alignment horizontal="left" vertical="center" indent="1"/>
    </xf>
    <xf numFmtId="0" fontId="53" fillId="0" borderId="0" xfId="2" quotePrefix="1" applyFont="1" applyAlignment="1">
      <alignment horizontal="left" vertical="center" indent="1"/>
    </xf>
    <xf numFmtId="0" fontId="53" fillId="0" borderId="0" xfId="2" applyFont="1" applyAlignment="1">
      <alignment horizontal="left"/>
    </xf>
    <xf numFmtId="2" fontId="13" fillId="0" borderId="0" xfId="2" applyNumberFormat="1" applyFont="1" applyAlignment="1">
      <alignment horizontal="left" vertical="center" indent="1"/>
    </xf>
    <xf numFmtId="0" fontId="60" fillId="0" borderId="0" xfId="2" applyFont="1" applyAlignment="1">
      <alignment horizontal="right" vertical="center"/>
    </xf>
    <xf numFmtId="0" fontId="60" fillId="0" borderId="0" xfId="2" applyFont="1" applyAlignment="1">
      <alignment horizontal="center" vertical="center"/>
    </xf>
    <xf numFmtId="0" fontId="61" fillId="0" borderId="0" xfId="2" applyFont="1" applyAlignment="1">
      <alignment vertical="center"/>
    </xf>
    <xf numFmtId="0" fontId="21" fillId="0" borderId="0" xfId="2" applyFont="1" applyAlignment="1">
      <alignment vertical="center"/>
    </xf>
    <xf numFmtId="0" fontId="21" fillId="0" borderId="0" xfId="2" applyFont="1" applyAlignment="1">
      <alignment horizontal="center" vertical="center"/>
    </xf>
    <xf numFmtId="1" fontId="21" fillId="0" borderId="0" xfId="2" applyNumberFormat="1" applyFont="1" applyAlignment="1">
      <alignment horizontal="center" vertical="center"/>
    </xf>
    <xf numFmtId="0" fontId="60" fillId="0" borderId="0" xfId="2" applyFont="1" applyAlignment="1">
      <alignment horizontal="right" vertical="center" indent="1"/>
    </xf>
    <xf numFmtId="0" fontId="21" fillId="0" borderId="0" xfId="2" quotePrefix="1" applyFont="1" applyAlignment="1">
      <alignment vertical="center"/>
    </xf>
    <xf numFmtId="0" fontId="21" fillId="0" borderId="0" xfId="2" applyFont="1" applyAlignment="1">
      <alignment horizontal="left" vertical="center" indent="1"/>
    </xf>
    <xf numFmtId="0" fontId="21" fillId="0" borderId="0" xfId="2" quotePrefix="1" applyFont="1" applyAlignment="1">
      <alignment horizontal="left" vertical="center" indent="1"/>
    </xf>
    <xf numFmtId="1" fontId="21" fillId="0" borderId="0" xfId="2" applyNumberFormat="1" applyFont="1" applyAlignment="1">
      <alignment vertical="center"/>
    </xf>
    <xf numFmtId="0" fontId="42" fillId="0" borderId="0" xfId="2" applyFont="1" applyAlignment="1">
      <alignment horizontal="right" vertical="center" indent="1"/>
    </xf>
    <xf numFmtId="10" fontId="43" fillId="0" borderId="0" xfId="2" applyNumberFormat="1" applyFont="1" applyAlignment="1">
      <alignment horizontal="right" vertical="center" indent="1"/>
    </xf>
    <xf numFmtId="0" fontId="54" fillId="0" borderId="0" xfId="2" applyFont="1" applyAlignment="1">
      <alignment horizontal="left" vertical="center" indent="1"/>
    </xf>
    <xf numFmtId="0" fontId="55" fillId="0" borderId="0" xfId="2" applyFont="1" applyAlignment="1">
      <alignment horizontal="right" vertical="center" indent="1"/>
    </xf>
    <xf numFmtId="1" fontId="54" fillId="0" borderId="0" xfId="2" applyNumberFormat="1" applyFont="1" applyAlignment="1">
      <alignment horizontal="left" vertical="center" indent="1"/>
    </xf>
    <xf numFmtId="1" fontId="55" fillId="0" borderId="0" xfId="2" applyNumberFormat="1" applyFont="1" applyAlignment="1">
      <alignment horizontal="right" vertical="center" indent="1"/>
    </xf>
    <xf numFmtId="0" fontId="53" fillId="0" borderId="0" xfId="2" applyFont="1" applyAlignment="1">
      <alignment horizontal="right" indent="1"/>
    </xf>
    <xf numFmtId="0" fontId="0" fillId="0" borderId="0" xfId="0" applyAlignment="1">
      <alignment horizontal="left" indent="1"/>
    </xf>
    <xf numFmtId="0" fontId="0" fillId="5" borderId="0" xfId="0" applyFill="1"/>
    <xf numFmtId="0" fontId="62" fillId="0" borderId="0" xfId="0" applyFont="1"/>
    <xf numFmtId="14" fontId="0" fillId="0" borderId="0" xfId="0" applyNumberFormat="1" applyAlignment="1">
      <alignment horizontal="center" vertical="center"/>
    </xf>
    <xf numFmtId="0" fontId="46" fillId="0" borderId="0" xfId="0" applyFont="1" applyAlignment="1">
      <alignment horizontal="left" indent="1"/>
    </xf>
    <xf numFmtId="0" fontId="44" fillId="0" borderId="0" xfId="0" applyFont="1" applyAlignment="1">
      <alignment horizontal="left" indent="1"/>
    </xf>
    <xf numFmtId="0" fontId="45" fillId="0" borderId="0" xfId="0" applyFont="1" applyAlignment="1">
      <alignment horizontal="left" indent="1"/>
    </xf>
    <xf numFmtId="10" fontId="46" fillId="0" borderId="0" xfId="0" applyNumberFormat="1" applyFont="1" applyAlignment="1">
      <alignment horizontal="left" indent="1"/>
    </xf>
    <xf numFmtId="0" fontId="12" fillId="0" borderId="0" xfId="0" applyFont="1" applyAlignment="1">
      <alignment horizontal="left" indent="1"/>
    </xf>
    <xf numFmtId="0" fontId="63" fillId="0" borderId="0" xfId="0" applyFont="1" applyAlignment="1">
      <alignment horizontal="left" indent="1"/>
    </xf>
    <xf numFmtId="0" fontId="0" fillId="0" borderId="1" xfId="0" applyBorder="1"/>
    <xf numFmtId="0" fontId="64" fillId="0" borderId="0" xfId="2" applyFont="1"/>
    <xf numFmtId="4" fontId="64" fillId="0" borderId="0" xfId="2" applyNumberFormat="1" applyFont="1"/>
    <xf numFmtId="0" fontId="64" fillId="7" borderId="64" xfId="2" applyFont="1" applyFill="1" applyBorder="1"/>
    <xf numFmtId="0" fontId="64" fillId="0" borderId="0" xfId="2" applyFont="1" applyAlignment="1">
      <alignment horizontal="center"/>
    </xf>
    <xf numFmtId="166" fontId="64" fillId="0" borderId="0" xfId="2" applyNumberFormat="1" applyFont="1"/>
    <xf numFmtId="166" fontId="64" fillId="0" borderId="56" xfId="2" applyNumberFormat="1" applyFont="1" applyBorder="1"/>
    <xf numFmtId="166" fontId="66" fillId="0" borderId="59" xfId="2" applyNumberFormat="1" applyFont="1" applyBorder="1" applyAlignment="1">
      <alignment horizontal="right"/>
    </xf>
    <xf numFmtId="166" fontId="65" fillId="9" borderId="61" xfId="2" applyNumberFormat="1" applyFont="1" applyFill="1" applyBorder="1"/>
    <xf numFmtId="0" fontId="64" fillId="7" borderId="79" xfId="2" applyFont="1" applyFill="1" applyBorder="1"/>
    <xf numFmtId="4" fontId="64" fillId="10" borderId="12" xfId="2" applyNumberFormat="1" applyFont="1" applyFill="1" applyBorder="1"/>
    <xf numFmtId="0" fontId="64" fillId="0" borderId="12" xfId="2" applyFont="1" applyBorder="1"/>
    <xf numFmtId="0" fontId="33" fillId="6" borderId="15" xfId="0" applyFont="1" applyFill="1" applyBorder="1" applyAlignment="1" applyProtection="1">
      <alignment horizontal="left" vertical="center" wrapText="1"/>
      <protection locked="0"/>
    </xf>
    <xf numFmtId="0" fontId="33" fillId="6" borderId="19" xfId="0" applyFont="1" applyFill="1" applyBorder="1" applyAlignment="1" applyProtection="1">
      <alignment horizontal="left" vertical="center" wrapText="1"/>
      <protection locked="0"/>
    </xf>
    <xf numFmtId="0" fontId="33" fillId="6" borderId="23" xfId="0" applyFont="1" applyFill="1" applyBorder="1" applyAlignment="1" applyProtection="1">
      <alignment horizontal="left" vertical="center" wrapText="1"/>
      <protection locked="0"/>
    </xf>
    <xf numFmtId="0" fontId="33" fillId="6" borderId="27" xfId="0" applyFont="1" applyFill="1" applyBorder="1" applyAlignment="1" applyProtection="1">
      <alignment horizontal="left" vertical="center" wrapText="1"/>
      <protection locked="0"/>
    </xf>
    <xf numFmtId="0" fontId="5" fillId="11" borderId="16" xfId="0" applyFont="1" applyFill="1" applyBorder="1" applyAlignment="1">
      <alignment horizontal="center" vertical="center"/>
    </xf>
    <xf numFmtId="0" fontId="22" fillId="0" borderId="0" xfId="0" applyFont="1" applyAlignment="1">
      <alignment horizontal="center"/>
    </xf>
    <xf numFmtId="0" fontId="22" fillId="0" borderId="0" xfId="0" applyFont="1"/>
    <xf numFmtId="0" fontId="5" fillId="0" borderId="0" xfId="0" applyFont="1" applyAlignment="1">
      <alignment vertical="center"/>
    </xf>
    <xf numFmtId="0" fontId="22" fillId="0" borderId="0" xfId="0" applyFont="1" applyAlignment="1">
      <alignment vertical="center"/>
    </xf>
    <xf numFmtId="0" fontId="22" fillId="0" borderId="0" xfId="0" applyFont="1" applyAlignment="1">
      <alignment horizontal="center" vertical="center"/>
    </xf>
    <xf numFmtId="0" fontId="5" fillId="0" borderId="0" xfId="0" applyFont="1" applyAlignment="1">
      <alignment horizontal="center" vertical="center"/>
    </xf>
    <xf numFmtId="0" fontId="5" fillId="0" borderId="0" xfId="0" applyFont="1" applyAlignment="1">
      <alignment horizontal="left" vertical="center"/>
    </xf>
    <xf numFmtId="0" fontId="73" fillId="0" borderId="0" xfId="0" applyFont="1"/>
    <xf numFmtId="0" fontId="0" fillId="0" borderId="83" xfId="0" applyBorder="1"/>
    <xf numFmtId="0" fontId="74" fillId="0" borderId="83" xfId="0" applyFont="1" applyBorder="1"/>
    <xf numFmtId="0" fontId="50" fillId="0" borderId="0" xfId="0" applyFont="1" applyAlignment="1">
      <alignment vertical="center"/>
    </xf>
    <xf numFmtId="0" fontId="75" fillId="0" borderId="0" xfId="0" applyFont="1"/>
    <xf numFmtId="0" fontId="76" fillId="0" borderId="0" xfId="0" applyFont="1" applyAlignment="1">
      <alignment vertical="center"/>
    </xf>
    <xf numFmtId="0" fontId="77" fillId="0" borderId="0" xfId="0" applyFont="1"/>
    <xf numFmtId="0" fontId="77" fillId="0" borderId="83" xfId="0" applyFont="1" applyBorder="1"/>
    <xf numFmtId="14" fontId="48" fillId="0" borderId="0" xfId="0" applyNumberFormat="1" applyFont="1"/>
    <xf numFmtId="0" fontId="5" fillId="12" borderId="0" xfId="0" applyFont="1" applyFill="1"/>
    <xf numFmtId="0" fontId="5" fillId="12" borderId="0" xfId="0" applyFont="1" applyFill="1" applyAlignment="1">
      <alignment horizontal="center"/>
    </xf>
    <xf numFmtId="0" fontId="6" fillId="12" borderId="0" xfId="0" applyFont="1" applyFill="1" applyAlignment="1">
      <alignment horizontal="right"/>
    </xf>
    <xf numFmtId="0" fontId="5" fillId="12" borderId="36" xfId="0" applyFont="1" applyFill="1" applyBorder="1" applyAlignment="1">
      <alignment horizontal="center" vertical="center"/>
    </xf>
    <xf numFmtId="0" fontId="5" fillId="12" borderId="37" xfId="0" applyFont="1" applyFill="1" applyBorder="1" applyAlignment="1">
      <alignment horizontal="center"/>
    </xf>
    <xf numFmtId="0" fontId="15" fillId="12" borderId="37" xfId="0" applyFont="1" applyFill="1" applyBorder="1" applyAlignment="1">
      <alignment vertical="center"/>
    </xf>
    <xf numFmtId="0" fontId="69" fillId="12" borderId="37" xfId="0" applyFont="1" applyFill="1" applyBorder="1" applyAlignment="1">
      <alignment vertical="center"/>
    </xf>
    <xf numFmtId="0" fontId="9" fillId="12" borderId="37" xfId="0" applyFont="1" applyFill="1" applyBorder="1" applyAlignment="1">
      <alignment vertical="center"/>
    </xf>
    <xf numFmtId="0" fontId="27" fillId="12" borderId="37" xfId="0" applyFont="1" applyFill="1" applyBorder="1" applyAlignment="1">
      <alignment vertical="center"/>
    </xf>
    <xf numFmtId="0" fontId="28" fillId="12" borderId="37" xfId="0" applyFont="1" applyFill="1" applyBorder="1" applyAlignment="1">
      <alignment vertical="center"/>
    </xf>
    <xf numFmtId="0" fontId="7" fillId="12" borderId="37" xfId="0" applyFont="1" applyFill="1" applyBorder="1" applyAlignment="1">
      <alignment vertical="center"/>
    </xf>
    <xf numFmtId="0" fontId="29" fillId="12" borderId="37" xfId="0" applyFont="1" applyFill="1" applyBorder="1" applyAlignment="1">
      <alignment horizontal="center" vertical="center"/>
    </xf>
    <xf numFmtId="0" fontId="13" fillId="12" borderId="37" xfId="0" applyFont="1" applyFill="1" applyBorder="1" applyAlignment="1">
      <alignment horizontal="center" vertical="center"/>
    </xf>
    <xf numFmtId="0" fontId="13" fillId="12" borderId="37" xfId="0" applyFont="1" applyFill="1" applyBorder="1" applyAlignment="1">
      <alignment horizontal="center"/>
    </xf>
    <xf numFmtId="0" fontId="6" fillId="12" borderId="37" xfId="0" applyFont="1" applyFill="1" applyBorder="1" applyAlignment="1">
      <alignment horizontal="right"/>
    </xf>
    <xf numFmtId="0" fontId="5" fillId="12" borderId="40" xfId="0" applyFont="1" applyFill="1" applyBorder="1" applyAlignment="1">
      <alignment horizontal="center" vertical="center"/>
    </xf>
    <xf numFmtId="0" fontId="15" fillId="12" borderId="0" xfId="0" applyFont="1" applyFill="1" applyAlignment="1">
      <alignment vertical="center"/>
    </xf>
    <xf numFmtId="0" fontId="69" fillId="12" borderId="0" xfId="0" applyFont="1" applyFill="1" applyAlignment="1">
      <alignment vertical="center"/>
    </xf>
    <xf numFmtId="0" fontId="9" fillId="12" borderId="0" xfId="0" applyFont="1" applyFill="1" applyAlignment="1">
      <alignment vertical="center"/>
    </xf>
    <xf numFmtId="0" fontId="27" fillId="12" borderId="0" xfId="0" applyFont="1" applyFill="1" applyAlignment="1">
      <alignment vertical="center"/>
    </xf>
    <xf numFmtId="0" fontId="28" fillId="12" borderId="0" xfId="0" applyFont="1" applyFill="1" applyAlignment="1">
      <alignment vertical="center"/>
    </xf>
    <xf numFmtId="0" fontId="7" fillId="12" borderId="0" xfId="0" applyFont="1" applyFill="1" applyAlignment="1">
      <alignment vertical="center"/>
    </xf>
    <xf numFmtId="0" fontId="5" fillId="12" borderId="40" xfId="0" applyFont="1" applyFill="1" applyBorder="1" applyAlignment="1">
      <alignment horizontal="center"/>
    </xf>
    <xf numFmtId="0" fontId="5" fillId="12" borderId="41" xfId="0" applyFont="1" applyFill="1" applyBorder="1" applyAlignment="1">
      <alignment horizontal="center"/>
    </xf>
    <xf numFmtId="0" fontId="5" fillId="12" borderId="42" xfId="0" applyFont="1" applyFill="1" applyBorder="1" applyAlignment="1">
      <alignment horizontal="center"/>
    </xf>
    <xf numFmtId="0" fontId="6" fillId="12" borderId="42" xfId="0" applyFont="1" applyFill="1" applyBorder="1" applyAlignment="1">
      <alignment horizontal="right"/>
    </xf>
    <xf numFmtId="1" fontId="6" fillId="13" borderId="0" xfId="0" applyNumberFormat="1" applyFont="1" applyFill="1" applyAlignment="1">
      <alignment horizontal="center" vertical="center"/>
    </xf>
    <xf numFmtId="0" fontId="8" fillId="13" borderId="0" xfId="0" applyFont="1" applyFill="1" applyAlignment="1">
      <alignment horizontal="right"/>
    </xf>
    <xf numFmtId="0" fontId="6" fillId="13" borderId="0" xfId="0" applyFont="1" applyFill="1"/>
    <xf numFmtId="0" fontId="29" fillId="13" borderId="0" xfId="0" applyFont="1" applyFill="1"/>
    <xf numFmtId="0" fontId="5" fillId="13" borderId="0" xfId="0" applyFont="1" applyFill="1"/>
    <xf numFmtId="0" fontId="29" fillId="13" borderId="0" xfId="0" applyFont="1" applyFill="1" applyAlignment="1">
      <alignment vertical="center"/>
    </xf>
    <xf numFmtId="0" fontId="6" fillId="13" borderId="0" xfId="0" applyFont="1" applyFill="1" applyAlignment="1">
      <alignment vertical="center"/>
    </xf>
    <xf numFmtId="0" fontId="6" fillId="13" borderId="0" xfId="0" applyFont="1" applyFill="1" applyAlignment="1">
      <alignment horizontal="right" vertical="center"/>
    </xf>
    <xf numFmtId="1" fontId="9" fillId="13" borderId="0" xfId="0" applyNumberFormat="1" applyFont="1" applyFill="1" applyAlignment="1">
      <alignment horizontal="center"/>
    </xf>
    <xf numFmtId="0" fontId="9" fillId="13" borderId="0" xfId="0" applyFont="1" applyFill="1" applyAlignment="1">
      <alignment horizontal="center"/>
    </xf>
    <xf numFmtId="0" fontId="6" fillId="13" borderId="0" xfId="0" applyFont="1" applyFill="1" applyAlignment="1">
      <alignment horizontal="right"/>
    </xf>
    <xf numFmtId="14" fontId="5" fillId="13" borderId="0" xfId="0" applyNumberFormat="1" applyFont="1" applyFill="1" applyAlignment="1">
      <alignment vertical="center"/>
    </xf>
    <xf numFmtId="1" fontId="10" fillId="13" borderId="0" xfId="0" applyNumberFormat="1" applyFont="1" applyFill="1" applyAlignment="1">
      <alignment vertical="center"/>
    </xf>
    <xf numFmtId="0" fontId="10" fillId="13" borderId="0" xfId="0" applyFont="1" applyFill="1" applyAlignment="1">
      <alignment vertical="center"/>
    </xf>
    <xf numFmtId="0" fontId="20" fillId="13" borderId="29" xfId="0" applyFont="1" applyFill="1" applyBorder="1" applyAlignment="1">
      <alignment horizontal="center" vertical="center"/>
    </xf>
    <xf numFmtId="0" fontId="20" fillId="13" borderId="30" xfId="0" applyFont="1" applyFill="1" applyBorder="1" applyAlignment="1">
      <alignment horizontal="center" vertical="center"/>
    </xf>
    <xf numFmtId="0" fontId="20" fillId="13" borderId="31" xfId="0" applyFont="1" applyFill="1" applyBorder="1" applyAlignment="1">
      <alignment horizontal="center" vertical="center"/>
    </xf>
    <xf numFmtId="0" fontId="10" fillId="13" borderId="0" xfId="0" applyFont="1" applyFill="1" applyAlignment="1">
      <alignment horizontal="center" vertical="center"/>
    </xf>
    <xf numFmtId="0" fontId="32" fillId="13" borderId="0" xfId="0" applyFont="1" applyFill="1" applyAlignment="1">
      <alignment vertical="center"/>
    </xf>
    <xf numFmtId="0" fontId="5" fillId="13" borderId="0" xfId="0" applyFont="1" applyFill="1" applyAlignment="1">
      <alignment horizontal="center" vertical="center"/>
    </xf>
    <xf numFmtId="0" fontId="5" fillId="13" borderId="0" xfId="0" quotePrefix="1" applyFont="1" applyFill="1" applyAlignment="1">
      <alignment horizontal="center" vertical="center"/>
    </xf>
    <xf numFmtId="0" fontId="8" fillId="13" borderId="0" xfId="0" applyFont="1" applyFill="1" applyAlignment="1">
      <alignment horizontal="center" vertical="center"/>
    </xf>
    <xf numFmtId="0" fontId="5" fillId="13" borderId="0" xfId="0" applyFont="1" applyFill="1" applyAlignment="1">
      <alignment vertical="center"/>
    </xf>
    <xf numFmtId="0" fontId="6" fillId="13" borderId="0" xfId="0" applyFont="1" applyFill="1" applyAlignment="1">
      <alignment horizontal="center" vertical="center"/>
    </xf>
    <xf numFmtId="0" fontId="5" fillId="12" borderId="37" xfId="0" applyFont="1" applyFill="1" applyBorder="1"/>
    <xf numFmtId="0" fontId="28" fillId="12" borderId="37" xfId="0" applyFont="1" applyFill="1" applyBorder="1"/>
    <xf numFmtId="0" fontId="13" fillId="12" borderId="37" xfId="0" applyFont="1" applyFill="1" applyBorder="1"/>
    <xf numFmtId="0" fontId="30" fillId="12" borderId="37" xfId="0" applyFont="1" applyFill="1" applyBorder="1"/>
    <xf numFmtId="0" fontId="29" fillId="12" borderId="37" xfId="0" applyFont="1" applyFill="1" applyBorder="1"/>
    <xf numFmtId="0" fontId="6" fillId="12" borderId="37" xfId="0" applyFont="1" applyFill="1" applyBorder="1"/>
    <xf numFmtId="0" fontId="5" fillId="12" borderId="38" xfId="0" applyFont="1" applyFill="1" applyBorder="1"/>
    <xf numFmtId="0" fontId="29" fillId="12" borderId="0" xfId="0" applyFont="1" applyFill="1"/>
    <xf numFmtId="0" fontId="6" fillId="12" borderId="0" xfId="0" applyFont="1" applyFill="1"/>
    <xf numFmtId="0" fontId="5" fillId="12" borderId="39" xfId="0" applyFont="1" applyFill="1" applyBorder="1"/>
    <xf numFmtId="0" fontId="5" fillId="12" borderId="42" xfId="0" applyFont="1" applyFill="1" applyBorder="1"/>
    <xf numFmtId="1" fontId="5" fillId="12" borderId="42" xfId="0" applyNumberFormat="1" applyFont="1" applyFill="1" applyBorder="1"/>
    <xf numFmtId="0" fontId="72" fillId="12" borderId="42" xfId="0" applyFont="1" applyFill="1" applyBorder="1"/>
    <xf numFmtId="0" fontId="6" fillId="12" borderId="42" xfId="0" applyFont="1" applyFill="1" applyBorder="1"/>
    <xf numFmtId="0" fontId="29" fillId="12" borderId="42" xfId="0" applyFont="1" applyFill="1" applyBorder="1"/>
    <xf numFmtId="0" fontId="28" fillId="12" borderId="42" xfId="0" applyFont="1" applyFill="1" applyBorder="1"/>
    <xf numFmtId="0" fontId="0" fillId="12" borderId="42" xfId="0" applyFill="1" applyBorder="1"/>
    <xf numFmtId="0" fontId="5" fillId="12" borderId="43" xfId="0" applyFont="1" applyFill="1" applyBorder="1"/>
    <xf numFmtId="0" fontId="5" fillId="14" borderId="0" xfId="0" applyFont="1" applyFill="1"/>
    <xf numFmtId="0" fontId="5" fillId="14" borderId="0" xfId="0" applyFont="1" applyFill="1" applyAlignment="1">
      <alignment horizontal="center"/>
    </xf>
    <xf numFmtId="0" fontId="6" fillId="14" borderId="0" xfId="0" applyFont="1" applyFill="1" applyAlignment="1">
      <alignment horizontal="center" vertical="center"/>
    </xf>
    <xf numFmtId="0" fontId="24" fillId="14" borderId="0" xfId="0" applyFont="1" applyFill="1" applyAlignment="1">
      <alignment horizontal="center" vertical="center"/>
    </xf>
    <xf numFmtId="1" fontId="24" fillId="14" borderId="0" xfId="0" applyNumberFormat="1" applyFont="1" applyFill="1" applyAlignment="1">
      <alignment horizontal="center" vertical="center"/>
    </xf>
    <xf numFmtId="0" fontId="68" fillId="14" borderId="0" xfId="0" applyFont="1" applyFill="1" applyAlignment="1">
      <alignment horizontal="center" vertical="center"/>
    </xf>
    <xf numFmtId="0" fontId="25" fillId="14" borderId="0" xfId="0" applyFont="1" applyFill="1" applyAlignment="1">
      <alignment horizontal="center" vertical="center"/>
    </xf>
    <xf numFmtId="0" fontId="26" fillId="14" borderId="0" xfId="0" applyFont="1" applyFill="1" applyAlignment="1">
      <alignment horizontal="center" vertical="center"/>
    </xf>
    <xf numFmtId="0" fontId="19" fillId="14" borderId="0" xfId="0" applyFont="1" applyFill="1" applyAlignment="1">
      <alignment horizontal="center" vertical="center"/>
    </xf>
    <xf numFmtId="0" fontId="5" fillId="14" borderId="0" xfId="0" applyFont="1" applyFill="1" applyAlignment="1">
      <alignment horizontal="center" vertical="center"/>
    </xf>
    <xf numFmtId="0" fontId="5" fillId="14" borderId="0" xfId="0" applyFont="1" applyFill="1" applyAlignment="1">
      <alignment vertical="center"/>
    </xf>
    <xf numFmtId="0" fontId="79" fillId="12" borderId="0" xfId="0" applyFont="1" applyFill="1" applyAlignment="1">
      <alignment vertical="top"/>
    </xf>
    <xf numFmtId="0" fontId="79" fillId="12" borderId="37" xfId="0" applyFont="1" applyFill="1" applyBorder="1"/>
    <xf numFmtId="0" fontId="79" fillId="12" borderId="0" xfId="0" applyFont="1" applyFill="1"/>
    <xf numFmtId="0" fontId="6" fillId="13" borderId="40" xfId="0" applyFont="1" applyFill="1" applyBorder="1" applyAlignment="1">
      <alignment horizontal="center"/>
    </xf>
    <xf numFmtId="0" fontId="5" fillId="13" borderId="40" xfId="0" applyFont="1" applyFill="1" applyBorder="1" applyAlignment="1">
      <alignment horizontal="center" vertical="center"/>
    </xf>
    <xf numFmtId="0" fontId="10" fillId="13" borderId="40" xfId="0" applyFont="1" applyFill="1" applyBorder="1" applyAlignment="1">
      <alignment horizontal="right" vertical="center"/>
    </xf>
    <xf numFmtId="0" fontId="6" fillId="13" borderId="40" xfId="0" applyFont="1" applyFill="1" applyBorder="1" applyAlignment="1">
      <alignment horizontal="left" vertical="center"/>
    </xf>
    <xf numFmtId="0" fontId="5" fillId="13" borderId="37" xfId="0" applyFont="1" applyFill="1" applyBorder="1"/>
    <xf numFmtId="1" fontId="6" fillId="13" borderId="37" xfId="0" applyNumberFormat="1" applyFont="1" applyFill="1" applyBorder="1" applyAlignment="1">
      <alignment horizontal="center"/>
    </xf>
    <xf numFmtId="0" fontId="6" fillId="13" borderId="37" xfId="0" applyFont="1" applyFill="1" applyBorder="1"/>
    <xf numFmtId="0" fontId="29" fillId="13" borderId="37" xfId="0" applyFont="1" applyFill="1" applyBorder="1"/>
    <xf numFmtId="0" fontId="28" fillId="13" borderId="37" xfId="0" applyFont="1" applyFill="1" applyBorder="1"/>
    <xf numFmtId="0" fontId="29" fillId="13" borderId="37" xfId="0" applyFont="1" applyFill="1" applyBorder="1" applyAlignment="1">
      <alignment vertical="center"/>
    </xf>
    <xf numFmtId="0" fontId="5" fillId="13" borderId="37" xfId="0" applyFont="1" applyFill="1" applyBorder="1" applyAlignment="1">
      <alignment vertical="center"/>
    </xf>
    <xf numFmtId="0" fontId="6" fillId="13" borderId="37" xfId="0" applyFont="1" applyFill="1" applyBorder="1" applyAlignment="1">
      <alignment vertical="center"/>
    </xf>
    <xf numFmtId="0" fontId="6" fillId="13" borderId="37" xfId="0" applyFont="1" applyFill="1" applyBorder="1" applyAlignment="1">
      <alignment horizontal="right" vertical="center"/>
    </xf>
    <xf numFmtId="0" fontId="5" fillId="13" borderId="42" xfId="0" applyFont="1" applyFill="1" applyBorder="1" applyAlignment="1">
      <alignment vertical="center"/>
    </xf>
    <xf numFmtId="1" fontId="5" fillId="13" borderId="42" xfId="0" applyNumberFormat="1" applyFont="1" applyFill="1" applyBorder="1" applyAlignment="1">
      <alignment vertical="center"/>
    </xf>
    <xf numFmtId="0" fontId="6" fillId="13" borderId="42" xfId="0" applyFont="1" applyFill="1" applyBorder="1" applyAlignment="1">
      <alignment horizontal="right" vertical="center"/>
    </xf>
    <xf numFmtId="0" fontId="20" fillId="13" borderId="42" xfId="0" applyFont="1" applyFill="1" applyBorder="1" applyAlignment="1">
      <alignment horizontal="center" vertical="top"/>
    </xf>
    <xf numFmtId="0" fontId="20" fillId="13" borderId="42" xfId="0" applyFont="1" applyFill="1" applyBorder="1" applyAlignment="1">
      <alignment horizontal="left" vertical="top"/>
    </xf>
    <xf numFmtId="0" fontId="28" fillId="13" borderId="42" xfId="0" applyFont="1" applyFill="1" applyBorder="1" applyAlignment="1">
      <alignment horizontal="left" vertical="top"/>
    </xf>
    <xf numFmtId="0" fontId="5" fillId="13" borderId="42" xfId="0" applyFont="1" applyFill="1" applyBorder="1" applyAlignment="1">
      <alignment horizontal="center" vertical="top"/>
    </xf>
    <xf numFmtId="0" fontId="6" fillId="13" borderId="41" xfId="0" applyFont="1" applyFill="1" applyBorder="1" applyAlignment="1">
      <alignment horizontal="left" vertical="center"/>
    </xf>
    <xf numFmtId="0" fontId="5" fillId="13" borderId="36" xfId="0" applyFont="1" applyFill="1" applyBorder="1" applyAlignment="1">
      <alignment horizontal="center"/>
    </xf>
    <xf numFmtId="2" fontId="80" fillId="13" borderId="38" xfId="0" applyNumberFormat="1" applyFont="1" applyFill="1" applyBorder="1" applyAlignment="1">
      <alignment horizontal="center"/>
    </xf>
    <xf numFmtId="0" fontId="5" fillId="13" borderId="38" xfId="0" applyFont="1" applyFill="1" applyBorder="1"/>
    <xf numFmtId="0" fontId="72" fillId="13" borderId="43" xfId="0" applyFont="1" applyFill="1" applyBorder="1" applyAlignment="1">
      <alignment vertical="center"/>
    </xf>
    <xf numFmtId="0" fontId="5" fillId="13" borderId="43" xfId="0" applyFont="1" applyFill="1" applyBorder="1"/>
    <xf numFmtId="2" fontId="70" fillId="13" borderId="39" xfId="0" applyNumberFormat="1" applyFont="1" applyFill="1" applyBorder="1" applyAlignment="1">
      <alignment horizontal="center"/>
    </xf>
    <xf numFmtId="0" fontId="5" fillId="13" borderId="39" xfId="0" applyFont="1" applyFill="1" applyBorder="1"/>
    <xf numFmtId="0" fontId="80" fillId="13" borderId="39" xfId="0" applyFont="1" applyFill="1" applyBorder="1" applyAlignment="1">
      <alignment horizontal="center"/>
    </xf>
    <xf numFmtId="0" fontId="71" fillId="13" borderId="39" xfId="0" applyFont="1" applyFill="1" applyBorder="1" applyAlignment="1">
      <alignment horizontal="center" vertical="center"/>
    </xf>
    <xf numFmtId="0" fontId="80" fillId="13" borderId="39" xfId="0" applyFont="1" applyFill="1" applyBorder="1" applyAlignment="1">
      <alignment horizontal="center" vertical="center"/>
    </xf>
    <xf numFmtId="0" fontId="34" fillId="13" borderId="39" xfId="0" applyFont="1" applyFill="1" applyBorder="1"/>
    <xf numFmtId="0" fontId="6" fillId="12" borderId="85" xfId="0" applyFont="1" applyFill="1" applyBorder="1" applyAlignment="1">
      <alignment vertical="center"/>
    </xf>
    <xf numFmtId="0" fontId="6" fillId="12" borderId="86" xfId="0" applyFont="1" applyFill="1" applyBorder="1"/>
    <xf numFmtId="4" fontId="64" fillId="0" borderId="1" xfId="2" applyNumberFormat="1" applyFont="1" applyBorder="1"/>
    <xf numFmtId="0" fontId="49" fillId="0" borderId="0" xfId="0" applyFont="1" applyAlignment="1">
      <alignment horizontal="left" vertical="center"/>
    </xf>
    <xf numFmtId="0" fontId="81" fillId="0" borderId="0" xfId="0" applyFont="1" applyAlignment="1">
      <alignment vertical="center"/>
    </xf>
    <xf numFmtId="173" fontId="0" fillId="0" borderId="0" xfId="0" applyNumberFormat="1"/>
    <xf numFmtId="0" fontId="82" fillId="0" borderId="0" xfId="0" applyFont="1" applyAlignment="1">
      <alignment vertical="center"/>
    </xf>
    <xf numFmtId="0" fontId="83" fillId="0" borderId="0" xfId="0" applyFont="1" applyAlignment="1">
      <alignment vertical="center"/>
    </xf>
    <xf numFmtId="0" fontId="84" fillId="0" borderId="0" xfId="0" applyFont="1" applyAlignment="1">
      <alignment vertical="center"/>
    </xf>
    <xf numFmtId="168" fontId="86" fillId="12" borderId="42" xfId="0" applyNumberFormat="1" applyFont="1" applyFill="1" applyBorder="1" applyAlignment="1">
      <alignment vertical="center"/>
    </xf>
    <xf numFmtId="4" fontId="73" fillId="0" borderId="0" xfId="0" applyNumberFormat="1" applyFont="1" applyAlignment="1">
      <alignment horizontal="center" vertical="center"/>
    </xf>
    <xf numFmtId="0" fontId="87" fillId="0" borderId="0" xfId="0" applyFont="1"/>
    <xf numFmtId="0" fontId="89" fillId="15" borderId="9" xfId="0" applyFont="1" applyFill="1" applyBorder="1" applyAlignment="1">
      <alignment horizontal="left" indent="1"/>
    </xf>
    <xf numFmtId="0" fontId="89" fillId="15" borderId="7" xfId="0" applyFont="1" applyFill="1" applyBorder="1" applyAlignment="1">
      <alignment horizontal="left" indent="1"/>
    </xf>
    <xf numFmtId="0" fontId="89" fillId="15" borderId="0" xfId="0" applyFont="1" applyFill="1" applyAlignment="1">
      <alignment horizontal="left" indent="1"/>
    </xf>
    <xf numFmtId="0" fontId="89" fillId="15" borderId="14" xfId="0" applyFont="1" applyFill="1" applyBorder="1" applyAlignment="1">
      <alignment horizontal="left" indent="1"/>
    </xf>
    <xf numFmtId="0" fontId="89" fillId="15" borderId="1" xfId="0" applyFont="1" applyFill="1" applyBorder="1" applyAlignment="1">
      <alignment horizontal="left" indent="1"/>
    </xf>
    <xf numFmtId="0" fontId="41" fillId="16" borderId="5" xfId="2" applyFont="1" applyFill="1" applyBorder="1" applyAlignment="1">
      <alignment horizontal="left" vertical="center" indent="1"/>
    </xf>
    <xf numFmtId="0" fontId="42" fillId="16" borderId="6" xfId="2" applyFont="1" applyFill="1" applyBorder="1" applyAlignment="1">
      <alignment horizontal="center" vertical="center"/>
    </xf>
    <xf numFmtId="0" fontId="42" fillId="16" borderId="13" xfId="2" applyFont="1" applyFill="1" applyBorder="1" applyAlignment="1">
      <alignment horizontal="right" vertical="center" indent="1"/>
    </xf>
    <xf numFmtId="0" fontId="42" fillId="16" borderId="13" xfId="2" applyFont="1" applyFill="1" applyBorder="1" applyAlignment="1">
      <alignment horizontal="center" vertical="center"/>
    </xf>
    <xf numFmtId="0" fontId="89" fillId="15" borderId="8" xfId="0" applyFont="1" applyFill="1" applyBorder="1" applyAlignment="1">
      <alignment horizontal="left" indent="1"/>
    </xf>
    <xf numFmtId="0" fontId="89" fillId="15" borderId="10" xfId="0" applyFont="1" applyFill="1" applyBorder="1" applyAlignment="1">
      <alignment horizontal="left" indent="1"/>
    </xf>
    <xf numFmtId="0" fontId="89" fillId="15" borderId="11" xfId="0" applyFont="1" applyFill="1" applyBorder="1" applyAlignment="1">
      <alignment horizontal="left" indent="1"/>
    </xf>
    <xf numFmtId="0" fontId="89" fillId="15" borderId="32" xfId="0" applyFont="1" applyFill="1" applyBorder="1" applyAlignment="1">
      <alignment horizontal="left" indent="1"/>
    </xf>
    <xf numFmtId="0" fontId="41" fillId="17" borderId="5" xfId="2" applyFont="1" applyFill="1" applyBorder="1" applyAlignment="1">
      <alignment horizontal="left" vertical="center" indent="1"/>
    </xf>
    <xf numFmtId="0" fontId="42" fillId="17" borderId="6" xfId="2" applyFont="1" applyFill="1" applyBorder="1" applyAlignment="1">
      <alignment horizontal="center" vertical="center"/>
    </xf>
    <xf numFmtId="0" fontId="41" fillId="17" borderId="13" xfId="2" applyFont="1" applyFill="1" applyBorder="1" applyAlignment="1">
      <alignment horizontal="left" vertical="center" indent="1"/>
    </xf>
    <xf numFmtId="0" fontId="57" fillId="15" borderId="32" xfId="2" applyFont="1" applyFill="1" applyBorder="1" applyAlignment="1">
      <alignment horizontal="left" vertical="center" indent="1"/>
    </xf>
    <xf numFmtId="0" fontId="57" fillId="15" borderId="9" xfId="2" applyFont="1" applyFill="1" applyBorder="1" applyAlignment="1">
      <alignment horizontal="left" vertical="center" indent="1"/>
    </xf>
    <xf numFmtId="0" fontId="57" fillId="15" borderId="10" xfId="2" applyFont="1" applyFill="1" applyBorder="1" applyAlignment="1">
      <alignment horizontal="left" vertical="center" indent="1"/>
    </xf>
    <xf numFmtId="0" fontId="57" fillId="15" borderId="9" xfId="2" quotePrefix="1" applyFont="1" applyFill="1" applyBorder="1" applyAlignment="1">
      <alignment horizontal="left" vertical="center" indent="1"/>
    </xf>
    <xf numFmtId="0" fontId="57" fillId="15" borderId="14" xfId="2" applyFont="1" applyFill="1" applyBorder="1" applyAlignment="1">
      <alignment horizontal="left" vertical="center" indent="1"/>
    </xf>
    <xf numFmtId="0" fontId="55" fillId="17" borderId="13" xfId="2" applyFont="1" applyFill="1" applyBorder="1" applyAlignment="1">
      <alignment horizontal="right" vertical="center" indent="1"/>
    </xf>
    <xf numFmtId="0" fontId="54" fillId="17" borderId="6" xfId="2" applyFont="1" applyFill="1" applyBorder="1" applyAlignment="1">
      <alignment horizontal="left" vertical="center" indent="1"/>
    </xf>
    <xf numFmtId="0" fontId="55" fillId="17" borderId="6" xfId="2" applyFont="1" applyFill="1" applyBorder="1" applyAlignment="1">
      <alignment horizontal="right" vertical="center" indent="1"/>
    </xf>
    <xf numFmtId="0" fontId="57" fillId="16" borderId="6" xfId="2" applyFont="1" applyFill="1" applyBorder="1" applyAlignment="1">
      <alignment horizontal="center" vertical="center"/>
    </xf>
    <xf numFmtId="0" fontId="57" fillId="16" borderId="13" xfId="2" applyFont="1" applyFill="1" applyBorder="1" applyAlignment="1">
      <alignment horizontal="center" vertical="center"/>
    </xf>
    <xf numFmtId="1" fontId="57" fillId="15" borderId="0" xfId="2" applyNumberFormat="1" applyFont="1" applyFill="1" applyAlignment="1">
      <alignment horizontal="center" vertical="center"/>
    </xf>
    <xf numFmtId="1" fontId="57" fillId="15" borderId="10" xfId="2" applyNumberFormat="1" applyFont="1" applyFill="1" applyBorder="1" applyAlignment="1">
      <alignment horizontal="center" vertical="center"/>
    </xf>
    <xf numFmtId="1" fontId="57" fillId="15" borderId="1" xfId="2" applyNumberFormat="1" applyFont="1" applyFill="1" applyBorder="1" applyAlignment="1">
      <alignment horizontal="center" vertical="center"/>
    </xf>
    <xf numFmtId="1" fontId="57" fillId="15" borderId="11" xfId="2" applyNumberFormat="1" applyFont="1" applyFill="1" applyBorder="1" applyAlignment="1">
      <alignment horizontal="center" vertical="center"/>
    </xf>
    <xf numFmtId="9" fontId="6" fillId="0" borderId="0" xfId="2" applyNumberFormat="1" applyFont="1"/>
    <xf numFmtId="0" fontId="6" fillId="0" borderId="0" xfId="2" applyFont="1" applyAlignment="1">
      <alignment horizontal="center"/>
    </xf>
    <xf numFmtId="0" fontId="5" fillId="0" borderId="0" xfId="2" applyAlignment="1">
      <alignment horizontal="right" vertical="center"/>
    </xf>
    <xf numFmtId="0" fontId="38" fillId="18" borderId="44" xfId="0" applyFont="1" applyFill="1" applyBorder="1"/>
    <xf numFmtId="10" fontId="53" fillId="0" borderId="0" xfId="2" applyNumberFormat="1" applyFont="1" applyAlignment="1">
      <alignment horizontal="right" vertical="center" indent="1"/>
    </xf>
    <xf numFmtId="0" fontId="57" fillId="0" borderId="0" xfId="2" applyFont="1" applyAlignment="1">
      <alignment horizontal="left" vertical="center" indent="1"/>
    </xf>
    <xf numFmtId="1" fontId="57" fillId="0" borderId="0" xfId="2" applyNumberFormat="1" applyFont="1" applyAlignment="1">
      <alignment horizontal="right" vertical="center" indent="1"/>
    </xf>
    <xf numFmtId="0" fontId="57" fillId="0" borderId="0" xfId="2" quotePrefix="1" applyFont="1" applyAlignment="1">
      <alignment horizontal="left" vertical="center" indent="1"/>
    </xf>
    <xf numFmtId="0" fontId="54" fillId="0" borderId="0" xfId="2" applyFont="1" applyAlignment="1">
      <alignment horizontal="center" vertical="center"/>
    </xf>
    <xf numFmtId="0" fontId="55" fillId="0" borderId="0" xfId="2" applyFont="1" applyAlignment="1">
      <alignment horizontal="center" vertical="center"/>
    </xf>
    <xf numFmtId="0" fontId="57" fillId="0" borderId="0" xfId="2" applyFont="1" applyAlignment="1">
      <alignment horizontal="center" vertical="center"/>
    </xf>
    <xf numFmtId="1" fontId="57" fillId="0" borderId="0" xfId="2" applyNumberFormat="1" applyFont="1" applyAlignment="1">
      <alignment horizontal="center" vertical="center"/>
    </xf>
    <xf numFmtId="0" fontId="89" fillId="0" borderId="0" xfId="0" applyFont="1" applyAlignment="1">
      <alignment horizontal="left" indent="1"/>
    </xf>
    <xf numFmtId="10" fontId="57" fillId="0" borderId="0" xfId="0" applyNumberFormat="1" applyFont="1" applyAlignment="1">
      <alignment horizontal="left" indent="1"/>
    </xf>
    <xf numFmtId="1" fontId="89" fillId="15" borderId="8" xfId="0" applyNumberFormat="1" applyFont="1" applyFill="1" applyBorder="1" applyAlignment="1">
      <alignment horizontal="left" indent="1"/>
    </xf>
    <xf numFmtId="1" fontId="89" fillId="15" borderId="10" xfId="0" applyNumberFormat="1" applyFont="1" applyFill="1" applyBorder="1" applyAlignment="1">
      <alignment horizontal="left" indent="1"/>
    </xf>
    <xf numFmtId="1" fontId="89" fillId="15" borderId="11" xfId="0" applyNumberFormat="1" applyFont="1" applyFill="1" applyBorder="1" applyAlignment="1">
      <alignment horizontal="left" indent="1"/>
    </xf>
    <xf numFmtId="0" fontId="42" fillId="17" borderId="13" xfId="2" applyFont="1" applyFill="1" applyBorder="1" applyAlignment="1">
      <alignment horizontal="right" vertical="center" indent="1"/>
    </xf>
    <xf numFmtId="0" fontId="5" fillId="0" borderId="0" xfId="2" applyAlignment="1">
      <alignment horizontal="left" indent="1"/>
    </xf>
    <xf numFmtId="0" fontId="91" fillId="0" borderId="90" xfId="0" applyFont="1" applyBorder="1" applyAlignment="1">
      <alignment horizontal="center"/>
    </xf>
    <xf numFmtId="0" fontId="85" fillId="0" borderId="83" xfId="0" applyFont="1" applyBorder="1"/>
    <xf numFmtId="0" fontId="91" fillId="0" borderId="83" xfId="0" applyFont="1" applyBorder="1" applyAlignment="1">
      <alignment horizontal="center"/>
    </xf>
    <xf numFmtId="0" fontId="91" fillId="0" borderId="83" xfId="0" applyFont="1" applyBorder="1"/>
    <xf numFmtId="0" fontId="7" fillId="12" borderId="0" xfId="0" applyFont="1" applyFill="1"/>
    <xf numFmtId="0" fontId="19" fillId="18" borderId="0" xfId="0" applyFont="1" applyFill="1" applyAlignment="1" applyProtection="1">
      <alignment horizontal="center" vertical="center"/>
      <protection locked="0"/>
    </xf>
    <xf numFmtId="0" fontId="37" fillId="18" borderId="0" xfId="0" applyFont="1" applyFill="1" applyAlignment="1">
      <alignment horizontal="left" vertical="center"/>
    </xf>
    <xf numFmtId="0" fontId="19" fillId="18" borderId="0" xfId="0" applyFont="1" applyFill="1" applyAlignment="1">
      <alignment horizontal="center" vertical="center"/>
    </xf>
    <xf numFmtId="0" fontId="5" fillId="13" borderId="28" xfId="0" quotePrefix="1" applyFont="1" applyFill="1" applyBorder="1" applyAlignment="1">
      <alignment horizontal="center" vertical="center"/>
    </xf>
    <xf numFmtId="0" fontId="40" fillId="13" borderId="0" xfId="0" applyFont="1" applyFill="1" applyAlignment="1">
      <alignment horizontal="left" vertical="center"/>
    </xf>
    <xf numFmtId="0" fontId="6" fillId="12" borderId="96" xfId="0" applyFont="1" applyFill="1" applyBorder="1"/>
    <xf numFmtId="0" fontId="9" fillId="12" borderId="96" xfId="0" applyFont="1" applyFill="1" applyBorder="1" applyAlignment="1">
      <alignment horizontal="center"/>
    </xf>
    <xf numFmtId="0" fontId="10" fillId="12" borderId="96" xfId="0" applyFont="1" applyFill="1" applyBorder="1" applyAlignment="1">
      <alignment horizontal="center" vertical="center"/>
    </xf>
    <xf numFmtId="0" fontId="6" fillId="12" borderId="96" xfId="0" applyFont="1" applyFill="1" applyBorder="1" applyAlignment="1">
      <alignment horizontal="center" vertical="center"/>
    </xf>
    <xf numFmtId="0" fontId="6" fillId="13" borderId="42" xfId="0" applyFont="1" applyFill="1" applyBorder="1" applyAlignment="1">
      <alignment vertical="center"/>
    </xf>
    <xf numFmtId="0" fontId="9" fillId="12" borderId="0" xfId="0" applyFont="1" applyFill="1" applyAlignment="1">
      <alignment horizontal="center"/>
    </xf>
    <xf numFmtId="0" fontId="10" fillId="12" borderId="0" xfId="0" applyFont="1" applyFill="1" applyAlignment="1">
      <alignment horizontal="center" vertical="center"/>
    </xf>
    <xf numFmtId="0" fontId="6" fillId="12" borderId="0" xfId="0" applyFont="1" applyFill="1" applyAlignment="1">
      <alignment horizontal="center" vertical="center"/>
    </xf>
    <xf numFmtId="0" fontId="6" fillId="12" borderId="42" xfId="0" applyFont="1" applyFill="1" applyBorder="1" applyAlignment="1">
      <alignment vertical="center"/>
    </xf>
    <xf numFmtId="0" fontId="93" fillId="0" borderId="88" xfId="0" applyFont="1" applyBorder="1" applyAlignment="1">
      <alignment horizontal="center"/>
    </xf>
    <xf numFmtId="0" fontId="94" fillId="0" borderId="84" xfId="0" applyFont="1" applyBorder="1"/>
    <xf numFmtId="0" fontId="93" fillId="0" borderId="84" xfId="0" applyFont="1" applyBorder="1" applyAlignment="1">
      <alignment horizontal="center"/>
    </xf>
    <xf numFmtId="0" fontId="98" fillId="0" borderId="0" xfId="0" applyFont="1" applyAlignment="1">
      <alignment horizontal="left" vertical="center"/>
    </xf>
    <xf numFmtId="0" fontId="38" fillId="13" borderId="44" xfId="0" applyFont="1" applyFill="1" applyBorder="1"/>
    <xf numFmtId="0" fontId="38" fillId="18" borderId="92" xfId="0" applyFont="1" applyFill="1" applyBorder="1" applyAlignment="1">
      <alignment horizontal="center"/>
    </xf>
    <xf numFmtId="0" fontId="5" fillId="11" borderId="18" xfId="0" applyFont="1" applyFill="1" applyBorder="1" applyAlignment="1">
      <alignment horizontal="center" vertical="center"/>
    </xf>
    <xf numFmtId="0" fontId="5" fillId="11" borderId="17" xfId="0" applyFont="1" applyFill="1" applyBorder="1" applyAlignment="1">
      <alignment horizontal="center" vertical="center"/>
    </xf>
    <xf numFmtId="0" fontId="5" fillId="11" borderId="20" xfId="0" applyFont="1" applyFill="1" applyBorder="1" applyAlignment="1">
      <alignment horizontal="center" vertical="center"/>
    </xf>
    <xf numFmtId="0" fontId="5" fillId="11" borderId="22" xfId="0" applyFont="1" applyFill="1" applyBorder="1" applyAlignment="1">
      <alignment horizontal="center" vertical="center"/>
    </xf>
    <xf numFmtId="0" fontId="5" fillId="11" borderId="21" xfId="0" applyFont="1" applyFill="1" applyBorder="1" applyAlignment="1">
      <alignment horizontal="center" vertical="center"/>
    </xf>
    <xf numFmtId="0" fontId="5" fillId="11" borderId="24" xfId="0" applyFont="1" applyFill="1" applyBorder="1" applyAlignment="1">
      <alignment horizontal="center" vertical="center"/>
    </xf>
    <xf numFmtId="0" fontId="5" fillId="11" borderId="26" xfId="0" applyFont="1" applyFill="1" applyBorder="1" applyAlignment="1">
      <alignment horizontal="center" vertical="center"/>
    </xf>
    <xf numFmtId="0" fontId="5" fillId="11" borderId="25" xfId="0" applyFont="1" applyFill="1" applyBorder="1" applyAlignment="1">
      <alignment horizontal="center" vertical="center"/>
    </xf>
    <xf numFmtId="1" fontId="6" fillId="13" borderId="94" xfId="0" applyNumberFormat="1" applyFont="1" applyFill="1" applyBorder="1" applyAlignment="1">
      <alignment horizontal="center" vertical="center"/>
    </xf>
    <xf numFmtId="0" fontId="6" fillId="13" borderId="95" xfId="0" applyFont="1" applyFill="1" applyBorder="1" applyAlignment="1">
      <alignment horizontal="center" vertical="center"/>
    </xf>
    <xf numFmtId="0" fontId="6" fillId="13" borderId="14" xfId="0" applyFont="1" applyFill="1" applyBorder="1" applyAlignment="1">
      <alignment horizontal="center" vertical="center"/>
    </xf>
    <xf numFmtId="0" fontId="6" fillId="13" borderId="1" xfId="0" applyFont="1" applyFill="1" applyBorder="1" applyAlignment="1">
      <alignment horizontal="center" vertical="center"/>
    </xf>
    <xf numFmtId="0" fontId="6" fillId="13" borderId="11" xfId="0" applyFont="1" applyFill="1" applyBorder="1" applyAlignment="1">
      <alignment horizontal="center" vertical="center"/>
    </xf>
    <xf numFmtId="0" fontId="41" fillId="16" borderId="12" xfId="2" applyFont="1" applyFill="1" applyBorder="1" applyAlignment="1">
      <alignment horizontal="left" vertical="center" indent="1"/>
    </xf>
    <xf numFmtId="0" fontId="100" fillId="12" borderId="37" xfId="0" applyFont="1" applyFill="1" applyBorder="1"/>
    <xf numFmtId="167" fontId="9" fillId="13" borderId="0" xfId="0" applyNumberFormat="1" applyFont="1" applyFill="1" applyAlignment="1">
      <alignment horizontal="left"/>
    </xf>
    <xf numFmtId="0" fontId="36" fillId="0" borderId="116" xfId="0" applyFont="1" applyBorder="1"/>
    <xf numFmtId="0" fontId="36" fillId="0" borderId="113" xfId="0" applyFont="1" applyBorder="1"/>
    <xf numFmtId="0" fontId="16" fillId="0" borderId="114" xfId="0" applyFont="1" applyBorder="1" applyAlignment="1">
      <alignment horizontal="center"/>
    </xf>
    <xf numFmtId="0" fontId="5" fillId="12" borderId="0" xfId="0" applyFont="1" applyFill="1" applyAlignment="1">
      <alignment horizontal="center" vertical="center"/>
    </xf>
    <xf numFmtId="0" fontId="65" fillId="18" borderId="10" xfId="2" applyFont="1" applyFill="1" applyBorder="1" applyAlignment="1">
      <alignment horizontal="center"/>
    </xf>
    <xf numFmtId="4" fontId="65" fillId="18" borderId="35" xfId="2" applyNumberFormat="1" applyFont="1" applyFill="1" applyBorder="1" applyAlignment="1">
      <alignment horizontal="center"/>
    </xf>
    <xf numFmtId="0" fontId="65" fillId="7" borderId="64" xfId="2" applyFont="1" applyFill="1" applyBorder="1"/>
    <xf numFmtId="0" fontId="28" fillId="0" borderId="0" xfId="0" applyFont="1"/>
    <xf numFmtId="0" fontId="72" fillId="0" borderId="0" xfId="0" applyFont="1"/>
    <xf numFmtId="1" fontId="22" fillId="0" borderId="0" xfId="0" applyNumberFormat="1" applyFont="1"/>
    <xf numFmtId="0" fontId="23" fillId="0" borderId="0" xfId="0" applyFont="1"/>
    <xf numFmtId="0" fontId="23" fillId="0" borderId="0" xfId="0" applyFont="1" applyAlignment="1">
      <alignment horizontal="right"/>
    </xf>
    <xf numFmtId="1" fontId="89" fillId="15" borderId="7" xfId="0" applyNumberFormat="1" applyFont="1" applyFill="1" applyBorder="1" applyAlignment="1">
      <alignment horizontal="left" indent="1"/>
    </xf>
    <xf numFmtId="1" fontId="89" fillId="15" borderId="0" xfId="0" applyNumberFormat="1" applyFont="1" applyFill="1" applyAlignment="1">
      <alignment horizontal="left" indent="1"/>
    </xf>
    <xf numFmtId="1" fontId="89" fillId="15" borderId="1" xfId="0" applyNumberFormat="1" applyFont="1" applyFill="1" applyBorder="1" applyAlignment="1">
      <alignment horizontal="left" indent="1"/>
    </xf>
    <xf numFmtId="1" fontId="76" fillId="0" borderId="0" xfId="0" applyNumberFormat="1" applyFont="1" applyAlignment="1">
      <alignment vertical="center"/>
    </xf>
    <xf numFmtId="1" fontId="87" fillId="0" borderId="0" xfId="0" applyNumberFormat="1" applyFont="1" applyAlignment="1">
      <alignment readingOrder="1"/>
    </xf>
    <xf numFmtId="1" fontId="87" fillId="0" borderId="0" xfId="0" applyNumberFormat="1" applyFont="1"/>
    <xf numFmtId="1" fontId="73" fillId="0" borderId="0" xfId="1" applyNumberFormat="1" applyFont="1" applyBorder="1" applyAlignment="1" applyProtection="1">
      <alignment vertical="center"/>
    </xf>
    <xf numFmtId="0" fontId="0" fillId="0" borderId="1" xfId="0" applyBorder="1" applyAlignment="1">
      <alignment horizontal="center"/>
    </xf>
    <xf numFmtId="0" fontId="16" fillId="0" borderId="0" xfId="0" applyFont="1" applyAlignment="1">
      <alignment horizontal="right"/>
    </xf>
    <xf numFmtId="0" fontId="36" fillId="0" borderId="115" xfId="0" applyFont="1" applyBorder="1"/>
    <xf numFmtId="0" fontId="36" fillId="0" borderId="117" xfId="0" applyFont="1" applyBorder="1"/>
    <xf numFmtId="0" fontId="16" fillId="19" borderId="122" xfId="0" applyFont="1" applyFill="1" applyBorder="1" applyAlignment="1">
      <alignment horizontal="right"/>
    </xf>
    <xf numFmtId="14" fontId="36" fillId="0" borderId="116" xfId="0" applyNumberFormat="1" applyFont="1" applyBorder="1"/>
    <xf numFmtId="0" fontId="77" fillId="0" borderId="83" xfId="0" applyFont="1" applyBorder="1" applyAlignment="1">
      <alignment horizontal="right"/>
    </xf>
    <xf numFmtId="0" fontId="87" fillId="0" borderId="83" xfId="0" applyFont="1" applyBorder="1" applyAlignment="1">
      <alignment horizontal="right"/>
    </xf>
    <xf numFmtId="0" fontId="75" fillId="0" borderId="84" xfId="0" applyFont="1" applyBorder="1"/>
    <xf numFmtId="0" fontId="95" fillId="0" borderId="84" xfId="0" applyFont="1" applyBorder="1"/>
    <xf numFmtId="0" fontId="75" fillId="0" borderId="83" xfId="0" applyFont="1" applyBorder="1"/>
    <xf numFmtId="0" fontId="95" fillId="0" borderId="83" xfId="0" applyFont="1" applyBorder="1"/>
    <xf numFmtId="0" fontId="16" fillId="19" borderId="120" xfId="0" applyFont="1" applyFill="1" applyBorder="1"/>
    <xf numFmtId="0" fontId="16" fillId="19" borderId="121" xfId="0" applyFont="1" applyFill="1" applyBorder="1" applyAlignment="1">
      <alignment horizontal="right"/>
    </xf>
    <xf numFmtId="0" fontId="0" fillId="14" borderId="0" xfId="0" applyFill="1"/>
    <xf numFmtId="0" fontId="0" fillId="12" borderId="37" xfId="0" applyFill="1" applyBorder="1"/>
    <xf numFmtId="0" fontId="0" fillId="12" borderId="0" xfId="0" applyFill="1" applyAlignment="1">
      <alignment horizontal="center" vertical="center"/>
    </xf>
    <xf numFmtId="0" fontId="7" fillId="0" borderId="83" xfId="0" applyFont="1" applyBorder="1"/>
    <xf numFmtId="0" fontId="5" fillId="0" borderId="83" xfId="0" applyFont="1" applyBorder="1"/>
    <xf numFmtId="172" fontId="64" fillId="0" borderId="74" xfId="2" applyNumberFormat="1" applyFont="1" applyBorder="1" applyProtection="1">
      <protection locked="0"/>
    </xf>
    <xf numFmtId="4" fontId="64" fillId="0" borderId="74" xfId="2" applyNumberFormat="1" applyFont="1" applyBorder="1" applyProtection="1">
      <protection locked="0"/>
    </xf>
    <xf numFmtId="172" fontId="64" fillId="0" borderId="76" xfId="2" applyNumberFormat="1" applyFont="1" applyBorder="1" applyProtection="1">
      <protection locked="0"/>
    </xf>
    <xf numFmtId="0" fontId="64" fillId="0" borderId="3" xfId="2" applyFont="1" applyBorder="1" applyAlignment="1" applyProtection="1">
      <alignment horizontal="center"/>
      <protection locked="0"/>
    </xf>
    <xf numFmtId="0" fontId="64" fillId="0" borderId="4" xfId="2" applyFont="1" applyBorder="1" applyAlignment="1" applyProtection="1">
      <alignment horizontal="center"/>
      <protection locked="0"/>
    </xf>
    <xf numFmtId="0" fontId="64" fillId="0" borderId="2" xfId="2" applyFont="1" applyBorder="1" applyAlignment="1" applyProtection="1">
      <alignment horizontal="center"/>
      <protection locked="0"/>
    </xf>
    <xf numFmtId="172" fontId="64" fillId="3" borderId="77" xfId="2" applyNumberFormat="1" applyFont="1" applyFill="1" applyBorder="1"/>
    <xf numFmtId="0" fontId="41" fillId="16" borderId="34" xfId="2" applyFont="1" applyFill="1" applyBorder="1" applyAlignment="1">
      <alignment vertical="center"/>
    </xf>
    <xf numFmtId="172" fontId="64" fillId="3" borderId="73" xfId="2" applyNumberFormat="1" applyFont="1" applyFill="1" applyBorder="1" applyAlignment="1">
      <alignment horizontal="right"/>
    </xf>
    <xf numFmtId="4" fontId="64" fillId="3" borderId="3" xfId="2" applyNumberFormat="1" applyFont="1" applyFill="1" applyBorder="1"/>
    <xf numFmtId="4" fontId="64" fillId="3" borderId="4" xfId="2" applyNumberFormat="1" applyFont="1" applyFill="1" applyBorder="1"/>
    <xf numFmtId="4" fontId="64" fillId="3" borderId="75" xfId="2" applyNumberFormat="1" applyFont="1" applyFill="1" applyBorder="1"/>
    <xf numFmtId="0" fontId="95" fillId="0" borderId="84" xfId="0" applyFont="1" applyBorder="1" applyAlignment="1">
      <alignment vertical="center"/>
    </xf>
    <xf numFmtId="0" fontId="95" fillId="0" borderId="83" xfId="0" applyFont="1" applyBorder="1" applyAlignment="1">
      <alignment vertical="center"/>
    </xf>
    <xf numFmtId="0" fontId="95" fillId="0" borderId="83" xfId="0" applyFont="1" applyBorder="1" applyAlignment="1">
      <alignment horizontal="right"/>
    </xf>
    <xf numFmtId="0" fontId="0" fillId="0" borderId="88" xfId="0" applyBorder="1"/>
    <xf numFmtId="0" fontId="75" fillId="0" borderId="89" xfId="0" applyFont="1" applyBorder="1"/>
    <xf numFmtId="0" fontId="0" fillId="0" borderId="90" xfId="0" applyBorder="1"/>
    <xf numFmtId="0" fontId="75" fillId="0" borderId="91" xfId="0" applyFont="1" applyBorder="1"/>
    <xf numFmtId="0" fontId="89" fillId="15" borderId="9" xfId="0" applyFont="1" applyFill="1" applyBorder="1" applyAlignment="1">
      <alignment horizontal="center"/>
    </xf>
    <xf numFmtId="0" fontId="89" fillId="15" borderId="14" xfId="0" applyFont="1" applyFill="1" applyBorder="1" applyAlignment="1">
      <alignment horizontal="center"/>
    </xf>
    <xf numFmtId="0" fontId="41" fillId="16" borderId="5" xfId="2" applyFont="1" applyFill="1" applyBorder="1" applyAlignment="1">
      <alignment vertical="center"/>
    </xf>
    <xf numFmtId="0" fontId="89" fillId="15" borderId="7" xfId="0" applyFont="1" applyFill="1" applyBorder="1"/>
    <xf numFmtId="0" fontId="89" fillId="15" borderId="0" xfId="0" applyFont="1" applyFill="1"/>
    <xf numFmtId="0" fontId="89" fillId="15" borderId="1" xfId="0" applyFont="1" applyFill="1" applyBorder="1"/>
    <xf numFmtId="0" fontId="103" fillId="13" borderId="93" xfId="0" applyFont="1" applyFill="1" applyBorder="1" applyAlignment="1">
      <alignment horizontal="center" vertical="center"/>
    </xf>
    <xf numFmtId="0" fontId="41" fillId="21" borderId="12" xfId="2" applyFont="1" applyFill="1" applyBorder="1" applyAlignment="1" applyProtection="1">
      <alignment horizontal="left" vertical="center" indent="1"/>
      <protection locked="0"/>
    </xf>
    <xf numFmtId="1" fontId="6" fillId="6" borderId="15" xfId="0" applyNumberFormat="1" applyFont="1" applyFill="1" applyBorder="1" applyAlignment="1" applyProtection="1">
      <alignment horizontal="center" vertical="center"/>
      <protection locked="0"/>
    </xf>
    <xf numFmtId="1" fontId="6" fillId="6" borderId="19" xfId="0" applyNumberFormat="1" applyFont="1" applyFill="1" applyBorder="1" applyAlignment="1" applyProtection="1">
      <alignment horizontal="center" vertical="center"/>
      <protection locked="0"/>
    </xf>
    <xf numFmtId="1" fontId="6" fillId="6" borderId="23" xfId="0" applyNumberFormat="1" applyFont="1" applyFill="1" applyBorder="1" applyAlignment="1" applyProtection="1">
      <alignment horizontal="center" vertical="center"/>
      <protection locked="0"/>
    </xf>
    <xf numFmtId="1" fontId="6" fillId="6" borderId="27" xfId="0" applyNumberFormat="1" applyFont="1" applyFill="1" applyBorder="1" applyAlignment="1" applyProtection="1">
      <alignment horizontal="center" vertical="center"/>
      <protection locked="0"/>
    </xf>
    <xf numFmtId="49" fontId="31" fillId="6" borderId="50" xfId="0" quotePrefix="1" applyNumberFormat="1" applyFont="1" applyFill="1" applyBorder="1" applyAlignment="1">
      <alignment horizontal="center" vertical="center"/>
    </xf>
    <xf numFmtId="0" fontId="6" fillId="6" borderId="46" xfId="0" applyFont="1" applyFill="1" applyBorder="1" applyAlignment="1" applyProtection="1">
      <alignment horizontal="center" vertical="center"/>
      <protection locked="0"/>
    </xf>
    <xf numFmtId="49" fontId="31" fillId="6" borderId="51" xfId="0" quotePrefix="1" applyNumberFormat="1" applyFont="1" applyFill="1" applyBorder="1" applyAlignment="1">
      <alignment horizontal="center" vertical="center"/>
    </xf>
    <xf numFmtId="0" fontId="6" fillId="6" borderId="47" xfId="0" applyFont="1" applyFill="1" applyBorder="1" applyAlignment="1" applyProtection="1">
      <alignment horizontal="center" vertical="center"/>
      <protection locked="0"/>
    </xf>
    <xf numFmtId="49" fontId="31" fillId="6" borderId="52" xfId="0" quotePrefix="1" applyNumberFormat="1" applyFont="1" applyFill="1" applyBorder="1" applyAlignment="1">
      <alignment horizontal="center" vertical="center"/>
    </xf>
    <xf numFmtId="0" fontId="6" fillId="6" borderId="48" xfId="0" applyFont="1" applyFill="1" applyBorder="1" applyAlignment="1" applyProtection="1">
      <alignment horizontal="center" vertical="center"/>
      <protection locked="0"/>
    </xf>
    <xf numFmtId="49" fontId="31" fillId="6" borderId="53" xfId="0" quotePrefix="1" applyNumberFormat="1" applyFont="1" applyFill="1" applyBorder="1" applyAlignment="1">
      <alignment horizontal="center" vertical="center"/>
    </xf>
    <xf numFmtId="0" fontId="6" fillId="6" borderId="49" xfId="0" applyFont="1" applyFill="1" applyBorder="1" applyAlignment="1" applyProtection="1">
      <alignment horizontal="center" vertical="center"/>
      <protection locked="0"/>
    </xf>
    <xf numFmtId="0" fontId="12" fillId="6" borderId="97" xfId="0" applyFont="1" applyFill="1" applyBorder="1" applyAlignment="1" applyProtection="1">
      <alignment horizontal="center" vertical="center"/>
      <protection locked="0"/>
    </xf>
    <xf numFmtId="0" fontId="12" fillId="6" borderId="98" xfId="0" applyFont="1" applyFill="1" applyBorder="1" applyAlignment="1" applyProtection="1">
      <alignment horizontal="center" vertical="center"/>
      <protection locked="0"/>
    </xf>
    <xf numFmtId="0" fontId="12" fillId="6" borderId="99" xfId="0" applyFont="1" applyFill="1" applyBorder="1" applyAlignment="1">
      <alignment horizontal="center" vertical="center"/>
    </xf>
    <xf numFmtId="0" fontId="12" fillId="6" borderId="100" xfId="0" applyFont="1" applyFill="1" applyBorder="1" applyAlignment="1" applyProtection="1">
      <alignment horizontal="center" vertical="center"/>
      <protection locked="0"/>
    </xf>
    <xf numFmtId="0" fontId="12" fillId="6" borderId="101" xfId="0" applyFont="1" applyFill="1" applyBorder="1" applyAlignment="1" applyProtection="1">
      <alignment horizontal="center" vertical="center"/>
      <protection locked="0"/>
    </xf>
    <xf numFmtId="0" fontId="12" fillId="6" borderId="102" xfId="0" applyFont="1" applyFill="1" applyBorder="1" applyAlignment="1">
      <alignment horizontal="center" vertical="center"/>
    </xf>
    <xf numFmtId="0" fontId="12" fillId="6" borderId="106" xfId="0" applyFont="1" applyFill="1" applyBorder="1" applyAlignment="1" applyProtection="1">
      <alignment horizontal="center" vertical="center"/>
      <protection locked="0"/>
    </xf>
    <xf numFmtId="0" fontId="12" fillId="6" borderId="107" xfId="0" applyFont="1" applyFill="1" applyBorder="1" applyAlignment="1" applyProtection="1">
      <alignment horizontal="center" vertical="center"/>
      <protection locked="0"/>
    </xf>
    <xf numFmtId="0" fontId="12" fillId="6" borderId="108" xfId="0" applyFont="1" applyFill="1" applyBorder="1" applyAlignment="1">
      <alignment horizontal="center" vertical="center"/>
    </xf>
    <xf numFmtId="0" fontId="12" fillId="6" borderId="103" xfId="0" applyFont="1" applyFill="1" applyBorder="1" applyAlignment="1" applyProtection="1">
      <alignment horizontal="center" vertical="center"/>
      <protection locked="0"/>
    </xf>
    <xf numFmtId="0" fontId="12" fillId="6" borderId="104" xfId="0" applyFont="1" applyFill="1" applyBorder="1" applyAlignment="1" applyProtection="1">
      <alignment horizontal="center" vertical="center"/>
      <protection locked="0"/>
    </xf>
    <xf numFmtId="0" fontId="12" fillId="6" borderId="105" xfId="0" applyFont="1" applyFill="1" applyBorder="1" applyAlignment="1">
      <alignment horizontal="center" vertical="center"/>
    </xf>
    <xf numFmtId="0" fontId="12" fillId="6" borderId="109" xfId="0" applyFont="1" applyFill="1" applyBorder="1" applyAlignment="1" applyProtection="1">
      <alignment horizontal="center" vertical="center"/>
      <protection locked="0"/>
    </xf>
    <xf numFmtId="0" fontId="12" fillId="6" borderId="110" xfId="0" applyFont="1" applyFill="1" applyBorder="1" applyAlignment="1" applyProtection="1">
      <alignment horizontal="center" vertical="center"/>
      <protection locked="0"/>
    </xf>
    <xf numFmtId="0" fontId="12" fillId="6" borderId="111" xfId="0" applyFont="1" applyFill="1" applyBorder="1" applyAlignment="1">
      <alignment horizontal="center" vertical="center"/>
    </xf>
    <xf numFmtId="0" fontId="12" fillId="6" borderId="16" xfId="0" applyFont="1" applyFill="1" applyBorder="1" applyAlignment="1" applyProtection="1">
      <alignment horizontal="center" vertical="center"/>
      <protection locked="0"/>
    </xf>
    <xf numFmtId="0" fontId="12" fillId="6" borderId="18" xfId="0" applyFont="1" applyFill="1" applyBorder="1" applyAlignment="1" applyProtection="1">
      <alignment horizontal="center" vertical="center"/>
      <protection locked="0"/>
    </xf>
    <xf numFmtId="0" fontId="12" fillId="6" borderId="20" xfId="0" applyFont="1" applyFill="1" applyBorder="1" applyAlignment="1" applyProtection="1">
      <alignment horizontal="center" vertical="center"/>
      <protection locked="0"/>
    </xf>
    <xf numFmtId="0" fontId="12" fillId="6" borderId="22" xfId="0" applyFont="1" applyFill="1" applyBorder="1" applyAlignment="1" applyProtection="1">
      <alignment horizontal="center" vertical="center"/>
      <protection locked="0"/>
    </xf>
    <xf numFmtId="0" fontId="12" fillId="6" borderId="24" xfId="0" applyFont="1" applyFill="1" applyBorder="1" applyAlignment="1" applyProtection="1">
      <alignment horizontal="center" vertical="center"/>
      <protection locked="0"/>
    </xf>
    <xf numFmtId="0" fontId="12" fillId="6" borderId="26" xfId="0" applyFont="1" applyFill="1" applyBorder="1" applyAlignment="1" applyProtection="1">
      <alignment horizontal="center" vertical="center"/>
      <protection locked="0"/>
    </xf>
    <xf numFmtId="0" fontId="12" fillId="6" borderId="16" xfId="0" applyFont="1" applyFill="1" applyBorder="1" applyAlignment="1">
      <alignment horizontal="center" vertical="center"/>
    </xf>
    <xf numFmtId="0" fontId="12" fillId="6" borderId="18" xfId="0" applyFont="1" applyFill="1" applyBorder="1" applyAlignment="1">
      <alignment horizontal="center" vertical="center"/>
    </xf>
    <xf numFmtId="0" fontId="12" fillId="6" borderId="17" xfId="0" applyFont="1" applyFill="1" applyBorder="1" applyAlignment="1">
      <alignment horizontal="center" vertical="center"/>
    </xf>
    <xf numFmtId="0" fontId="12" fillId="6" borderId="20" xfId="0" applyFont="1" applyFill="1" applyBorder="1" applyAlignment="1">
      <alignment horizontal="center" vertical="center"/>
    </xf>
    <xf numFmtId="0" fontId="12" fillId="6" borderId="22" xfId="0" applyFont="1" applyFill="1" applyBorder="1" applyAlignment="1">
      <alignment horizontal="center" vertical="center"/>
    </xf>
    <xf numFmtId="0" fontId="12" fillId="6" borderId="21" xfId="0" applyFont="1" applyFill="1" applyBorder="1" applyAlignment="1">
      <alignment horizontal="center" vertical="center"/>
    </xf>
    <xf numFmtId="0" fontId="12" fillId="6" borderId="24" xfId="0" applyFont="1" applyFill="1" applyBorder="1" applyAlignment="1">
      <alignment horizontal="center" vertical="center"/>
    </xf>
    <xf numFmtId="0" fontId="12" fillId="6" borderId="26" xfId="0" applyFont="1" applyFill="1" applyBorder="1" applyAlignment="1">
      <alignment horizontal="center" vertical="center"/>
    </xf>
    <xf numFmtId="0" fontId="12" fillId="6" borderId="25" xfId="0" applyFont="1" applyFill="1" applyBorder="1" applyAlignment="1">
      <alignment horizontal="center" vertical="center"/>
    </xf>
    <xf numFmtId="0" fontId="6" fillId="6" borderId="92" xfId="0" applyFont="1" applyFill="1" applyBorder="1" applyAlignment="1" applyProtection="1">
      <alignment horizontal="center" vertical="center"/>
      <protection locked="0"/>
    </xf>
    <xf numFmtId="0" fontId="6" fillId="6" borderId="54" xfId="0" applyFont="1" applyFill="1" applyBorder="1" applyAlignment="1">
      <alignment horizontal="center" vertical="center"/>
    </xf>
    <xf numFmtId="0" fontId="101" fillId="0" borderId="121" xfId="0" applyFont="1" applyBorder="1" applyAlignment="1">
      <alignment horizontal="center"/>
    </xf>
    <xf numFmtId="0" fontId="65" fillId="0" borderId="0" xfId="2" applyFont="1" applyProtection="1">
      <protection locked="0"/>
    </xf>
    <xf numFmtId="0" fontId="65" fillId="0" borderId="0" xfId="2" applyFont="1"/>
    <xf numFmtId="0" fontId="66" fillId="0" borderId="0" xfId="2" applyFont="1"/>
    <xf numFmtId="0" fontId="64" fillId="20" borderId="126" xfId="2" applyFont="1" applyFill="1" applyBorder="1"/>
    <xf numFmtId="0" fontId="64" fillId="20" borderId="60" xfId="2" applyFont="1" applyFill="1" applyBorder="1" applyAlignment="1">
      <alignment horizontal="center"/>
    </xf>
    <xf numFmtId="4" fontId="64" fillId="20" borderId="60" xfId="2" applyNumberFormat="1" applyFont="1" applyFill="1" applyBorder="1"/>
    <xf numFmtId="0" fontId="64" fillId="20" borderId="60" xfId="2" applyFont="1" applyFill="1" applyBorder="1"/>
    <xf numFmtId="0" fontId="64" fillId="20" borderId="65" xfId="2" applyFont="1" applyFill="1" applyBorder="1"/>
    <xf numFmtId="4" fontId="64" fillId="20" borderId="65" xfId="2" applyNumberFormat="1" applyFont="1" applyFill="1" applyBorder="1"/>
    <xf numFmtId="0" fontId="64" fillId="20" borderId="127" xfId="2" applyFont="1" applyFill="1" applyBorder="1"/>
    <xf numFmtId="0" fontId="64" fillId="20" borderId="128" xfId="2" applyFont="1" applyFill="1" applyBorder="1"/>
    <xf numFmtId="0" fontId="64" fillId="20" borderId="0" xfId="2" applyFont="1" applyFill="1" applyAlignment="1">
      <alignment horizontal="center"/>
    </xf>
    <xf numFmtId="0" fontId="65" fillId="20" borderId="32" xfId="2" applyFont="1" applyFill="1" applyBorder="1" applyAlignment="1">
      <alignment horizontal="centerContinuous"/>
    </xf>
    <xf numFmtId="0" fontId="65" fillId="20" borderId="7" xfId="2" applyFont="1" applyFill="1" applyBorder="1" applyAlignment="1">
      <alignment horizontal="centerContinuous"/>
    </xf>
    <xf numFmtId="0" fontId="65" fillId="20" borderId="8" xfId="2" applyFont="1" applyFill="1" applyBorder="1" applyAlignment="1">
      <alignment horizontal="centerContinuous"/>
    </xf>
    <xf numFmtId="0" fontId="65" fillId="20" borderId="33" xfId="2" applyFont="1" applyFill="1" applyBorder="1"/>
    <xf numFmtId="0" fontId="65" fillId="20" borderId="33" xfId="2" applyFont="1" applyFill="1" applyBorder="1" applyAlignment="1">
      <alignment horizontal="center"/>
    </xf>
    <xf numFmtId="4" fontId="65" fillId="20" borderId="12" xfId="2" applyNumberFormat="1" applyFont="1" applyFill="1" applyBorder="1" applyAlignment="1">
      <alignment horizontal="center"/>
    </xf>
    <xf numFmtId="4" fontId="65" fillId="20" borderId="32" xfId="2" applyNumberFormat="1" applyFont="1" applyFill="1" applyBorder="1" applyAlignment="1">
      <alignment horizontal="centerContinuous"/>
    </xf>
    <xf numFmtId="4" fontId="65" fillId="20" borderId="7" xfId="2" applyNumberFormat="1" applyFont="1" applyFill="1" applyBorder="1" applyAlignment="1">
      <alignment horizontal="centerContinuous"/>
    </xf>
    <xf numFmtId="4" fontId="65" fillId="20" borderId="8" xfId="2" applyNumberFormat="1" applyFont="1" applyFill="1" applyBorder="1" applyAlignment="1">
      <alignment horizontal="centerContinuous"/>
    </xf>
    <xf numFmtId="0" fontId="65" fillId="20" borderId="8" xfId="2" applyFont="1" applyFill="1" applyBorder="1" applyAlignment="1">
      <alignment horizontal="center"/>
    </xf>
    <xf numFmtId="4" fontId="65" fillId="20" borderId="34" xfId="2" applyNumberFormat="1" applyFont="1" applyFill="1" applyBorder="1" applyAlignment="1">
      <alignment horizontal="center"/>
    </xf>
    <xf numFmtId="0" fontId="64" fillId="20" borderId="57" xfId="2" applyFont="1" applyFill="1" applyBorder="1"/>
    <xf numFmtId="0" fontId="64" fillId="7" borderId="129" xfId="2" applyFont="1" applyFill="1" applyBorder="1"/>
    <xf numFmtId="0" fontId="64" fillId="7" borderId="0" xfId="2" applyFont="1" applyFill="1" applyAlignment="1">
      <alignment horizontal="center"/>
    </xf>
    <xf numFmtId="0" fontId="65" fillId="18" borderId="9" xfId="2" applyFont="1" applyFill="1" applyBorder="1"/>
    <xf numFmtId="0" fontId="65" fillId="18" borderId="0" xfId="2" applyFont="1" applyFill="1"/>
    <xf numFmtId="0" fontId="65" fillId="18" borderId="10" xfId="2" applyFont="1" applyFill="1" applyBorder="1"/>
    <xf numFmtId="0" fontId="65" fillId="18" borderId="1" xfId="2" applyFont="1" applyFill="1" applyBorder="1"/>
    <xf numFmtId="0" fontId="65" fillId="18" borderId="33" xfId="2" applyFont="1" applyFill="1" applyBorder="1"/>
    <xf numFmtId="0" fontId="65" fillId="18" borderId="35" xfId="2" applyFont="1" applyFill="1" applyBorder="1"/>
    <xf numFmtId="4" fontId="65" fillId="18" borderId="35" xfId="2" applyNumberFormat="1" applyFont="1" applyFill="1" applyBorder="1"/>
    <xf numFmtId="4" fontId="65" fillId="18" borderId="9" xfId="2" applyNumberFormat="1" applyFont="1" applyFill="1" applyBorder="1"/>
    <xf numFmtId="4" fontId="65" fillId="18" borderId="0" xfId="2" applyNumberFormat="1" applyFont="1" applyFill="1"/>
    <xf numFmtId="4" fontId="65" fillId="18" borderId="10" xfId="2" applyNumberFormat="1" applyFont="1" applyFill="1" applyBorder="1"/>
    <xf numFmtId="4" fontId="65" fillId="18" borderId="14" xfId="2" applyNumberFormat="1" applyFont="1" applyFill="1" applyBorder="1"/>
    <xf numFmtId="0" fontId="64" fillId="7" borderId="57" xfId="2" applyFont="1" applyFill="1" applyBorder="1"/>
    <xf numFmtId="0" fontId="65" fillId="20" borderId="131" xfId="2" applyFont="1" applyFill="1" applyBorder="1" applyAlignment="1">
      <alignment horizontal="center"/>
    </xf>
    <xf numFmtId="1" fontId="65" fillId="20" borderId="66" xfId="2" applyNumberFormat="1" applyFont="1" applyFill="1" applyBorder="1" applyAlignment="1">
      <alignment horizontal="center"/>
    </xf>
    <xf numFmtId="1" fontId="65" fillId="20" borderId="67" xfId="2" applyNumberFormat="1" applyFont="1" applyFill="1" applyBorder="1" applyAlignment="1">
      <alignment horizontal="center"/>
    </xf>
    <xf numFmtId="1" fontId="65" fillId="20" borderId="68" xfId="2" applyNumberFormat="1" applyFont="1" applyFill="1" applyBorder="1" applyAlignment="1">
      <alignment horizontal="center"/>
    </xf>
    <xf numFmtId="0" fontId="65" fillId="20" borderId="70" xfId="2" applyFont="1" applyFill="1" applyBorder="1" applyAlignment="1">
      <alignment horizontal="center"/>
    </xf>
    <xf numFmtId="0" fontId="65" fillId="20" borderId="132" xfId="2" applyFont="1" applyFill="1" applyBorder="1" applyAlignment="1">
      <alignment horizontal="center"/>
    </xf>
    <xf numFmtId="0" fontId="65" fillId="20" borderId="67" xfId="2" applyFont="1" applyFill="1" applyBorder="1" applyAlignment="1">
      <alignment horizontal="center"/>
    </xf>
    <xf numFmtId="0" fontId="65" fillId="20" borderId="133" xfId="2" applyFont="1" applyFill="1" applyBorder="1" applyAlignment="1">
      <alignment horizontal="center"/>
    </xf>
    <xf numFmtId="0" fontId="65" fillId="20" borderId="69" xfId="2" applyFont="1" applyFill="1" applyBorder="1" applyAlignment="1">
      <alignment horizontal="center"/>
    </xf>
    <xf numFmtId="4" fontId="65" fillId="20" borderId="70" xfId="2" applyNumberFormat="1" applyFont="1" applyFill="1" applyBorder="1" applyAlignment="1">
      <alignment horizontal="center"/>
    </xf>
    <xf numFmtId="0" fontId="65" fillId="20" borderId="134" xfId="2" applyFont="1" applyFill="1" applyBorder="1" applyAlignment="1">
      <alignment horizontal="left"/>
    </xf>
    <xf numFmtId="0" fontId="65" fillId="3" borderId="135" xfId="2" applyFont="1" applyFill="1" applyBorder="1" applyAlignment="1">
      <alignment horizontal="center"/>
    </xf>
    <xf numFmtId="14" fontId="65" fillId="3" borderId="136" xfId="2" applyNumberFormat="1" applyFont="1" applyFill="1" applyBorder="1" applyAlignment="1">
      <alignment horizontal="center"/>
    </xf>
    <xf numFmtId="0" fontId="65" fillId="3" borderId="118" xfId="2" applyFont="1" applyFill="1" applyBorder="1" applyAlignment="1">
      <alignment horizontal="center"/>
    </xf>
    <xf numFmtId="0" fontId="64" fillId="20" borderId="0" xfId="2" applyFont="1" applyFill="1"/>
    <xf numFmtId="0" fontId="64" fillId="0" borderId="146" xfId="2" applyFont="1" applyBorder="1" applyAlignment="1" applyProtection="1">
      <alignment horizontal="center"/>
      <protection locked="0"/>
    </xf>
    <xf numFmtId="0" fontId="64" fillId="0" borderId="144" xfId="2" applyFont="1" applyBorder="1" applyAlignment="1" applyProtection="1">
      <alignment horizontal="center"/>
      <protection locked="0"/>
    </xf>
    <xf numFmtId="0" fontId="64" fillId="0" borderId="145" xfId="2" applyFont="1" applyBorder="1" applyAlignment="1" applyProtection="1">
      <alignment horizontal="center"/>
      <protection locked="0"/>
    </xf>
    <xf numFmtId="172" fontId="64" fillId="0" borderId="147" xfId="2" applyNumberFormat="1" applyFont="1" applyBorder="1" applyProtection="1">
      <protection locked="0"/>
    </xf>
    <xf numFmtId="4" fontId="64" fillId="0" borderId="147" xfId="2" applyNumberFormat="1" applyFont="1" applyBorder="1" applyProtection="1">
      <protection locked="0"/>
    </xf>
    <xf numFmtId="4" fontId="64" fillId="3" borderId="146" xfId="2" applyNumberFormat="1" applyFont="1" applyFill="1" applyBorder="1"/>
    <xf numFmtId="4" fontId="64" fillId="3" borderId="144" xfId="2" applyNumberFormat="1" applyFont="1" applyFill="1" applyBorder="1"/>
    <xf numFmtId="4" fontId="64" fillId="3" borderId="148" xfId="2" applyNumberFormat="1" applyFont="1" applyFill="1" applyBorder="1"/>
    <xf numFmtId="172" fontId="64" fillId="0" borderId="149" xfId="2" applyNumberFormat="1" applyFont="1" applyBorder="1"/>
    <xf numFmtId="172" fontId="64" fillId="3" borderId="150" xfId="2" applyNumberFormat="1" applyFont="1" applyFill="1" applyBorder="1" applyAlignment="1">
      <alignment horizontal="right"/>
    </xf>
    <xf numFmtId="172" fontId="64" fillId="3" borderId="150" xfId="2" applyNumberFormat="1" applyFont="1" applyFill="1" applyBorder="1"/>
    <xf numFmtId="0" fontId="64" fillId="20" borderId="119" xfId="2" applyFont="1" applyFill="1" applyBorder="1"/>
    <xf numFmtId="14" fontId="64" fillId="20" borderId="151" xfId="2" applyNumberFormat="1" applyFont="1" applyFill="1" applyBorder="1" applyAlignment="1">
      <alignment horizontal="center"/>
    </xf>
    <xf numFmtId="0" fontId="64" fillId="20" borderId="56" xfId="2" applyFont="1" applyFill="1" applyBorder="1"/>
    <xf numFmtId="0" fontId="65" fillId="20" borderId="62" xfId="2" applyFont="1" applyFill="1" applyBorder="1" applyAlignment="1">
      <alignment horizontal="centerContinuous"/>
    </xf>
    <xf numFmtId="0" fontId="65" fillId="20" borderId="62" xfId="2" applyFont="1" applyFill="1" applyBorder="1" applyAlignment="1">
      <alignment horizontal="center"/>
    </xf>
    <xf numFmtId="4" fontId="65" fillId="20" borderId="62" xfId="2" applyNumberFormat="1" applyFont="1" applyFill="1" applyBorder="1" applyAlignment="1">
      <alignment horizontal="center"/>
    </xf>
    <xf numFmtId="37" fontId="65" fillId="20" borderId="62" xfId="2" applyNumberFormat="1" applyFont="1" applyFill="1" applyBorder="1" applyAlignment="1">
      <alignment horizontal="center"/>
    </xf>
    <xf numFmtId="166" fontId="65" fillId="20" borderId="152" xfId="2" applyNumberFormat="1" applyFont="1" applyFill="1" applyBorder="1"/>
    <xf numFmtId="166" fontId="65" fillId="20" borderId="63" xfId="2" applyNumberFormat="1" applyFont="1" applyFill="1" applyBorder="1"/>
    <xf numFmtId="166" fontId="65" fillId="20" borderId="63" xfId="2" applyNumberFormat="1" applyFont="1" applyFill="1" applyBorder="1" applyAlignment="1">
      <alignment horizontal="center"/>
    </xf>
    <xf numFmtId="14" fontId="36" fillId="0" borderId="0" xfId="0" applyNumberFormat="1" applyFont="1" applyAlignment="1">
      <alignment horizontal="right"/>
    </xf>
    <xf numFmtId="14" fontId="6" fillId="18" borderId="112" xfId="0" applyNumberFormat="1" applyFont="1" applyFill="1" applyBorder="1" applyAlignment="1">
      <alignment horizontal="left"/>
    </xf>
    <xf numFmtId="0" fontId="104" fillId="0" borderId="0" xfId="0" applyFont="1"/>
    <xf numFmtId="0" fontId="16" fillId="0" borderId="0" xfId="0" applyFont="1"/>
    <xf numFmtId="0" fontId="0" fillId="0" borderId="10" xfId="0" applyBorder="1"/>
    <xf numFmtId="0" fontId="0" fillId="0" borderId="0" xfId="0" quotePrefix="1"/>
    <xf numFmtId="0" fontId="104" fillId="0" borderId="0" xfId="0" applyFont="1" applyAlignment="1">
      <alignment horizontal="right"/>
    </xf>
    <xf numFmtId="0" fontId="89" fillId="15" borderId="8" xfId="0" applyFont="1" applyFill="1" applyBorder="1" applyAlignment="1">
      <alignment horizontal="center"/>
    </xf>
    <xf numFmtId="0" fontId="89" fillId="15" borderId="10" xfId="0" applyFont="1" applyFill="1" applyBorder="1" applyAlignment="1">
      <alignment horizontal="center"/>
    </xf>
    <xf numFmtId="0" fontId="89" fillId="15" borderId="11" xfId="0" applyFont="1" applyFill="1" applyBorder="1" applyAlignment="1">
      <alignment horizontal="center"/>
    </xf>
    <xf numFmtId="0" fontId="5" fillId="15" borderId="9" xfId="2" applyFill="1" applyBorder="1" applyAlignment="1">
      <alignment horizontal="center" vertical="center"/>
    </xf>
    <xf numFmtId="0" fontId="5" fillId="15" borderId="14" xfId="2" applyFill="1" applyBorder="1" applyAlignment="1">
      <alignment horizontal="center" vertical="center"/>
    </xf>
    <xf numFmtId="0" fontId="42" fillId="16" borderId="5" xfId="2" applyFont="1" applyFill="1" applyBorder="1" applyAlignment="1">
      <alignment horizontal="centerContinuous" vertical="center"/>
    </xf>
    <xf numFmtId="0" fontId="9" fillId="16" borderId="13" xfId="2" applyFont="1" applyFill="1" applyBorder="1" applyAlignment="1">
      <alignment horizontal="centerContinuous" vertical="center"/>
    </xf>
    <xf numFmtId="1" fontId="6" fillId="0" borderId="0" xfId="2" applyNumberFormat="1" applyFont="1" applyAlignment="1">
      <alignment vertical="center"/>
    </xf>
    <xf numFmtId="0" fontId="6" fillId="0" borderId="0" xfId="2" applyFont="1" applyAlignment="1">
      <alignment vertical="top"/>
    </xf>
    <xf numFmtId="14" fontId="12" fillId="0" borderId="0" xfId="2" applyNumberFormat="1" applyFont="1"/>
    <xf numFmtId="14" fontId="12" fillId="0" borderId="0" xfId="2" applyNumberFormat="1" applyFont="1" applyAlignment="1">
      <alignment vertical="center"/>
    </xf>
    <xf numFmtId="0" fontId="12" fillId="0" borderId="0" xfId="2" applyFont="1" applyAlignment="1">
      <alignment vertical="center"/>
    </xf>
    <xf numFmtId="0" fontId="45" fillId="0" borderId="0" xfId="2" applyFont="1" applyAlignment="1">
      <alignment vertical="center"/>
    </xf>
    <xf numFmtId="1" fontId="12" fillId="0" borderId="0" xfId="2" applyNumberFormat="1" applyFont="1" applyAlignment="1">
      <alignment vertical="center"/>
    </xf>
    <xf numFmtId="0" fontId="105" fillId="0" borderId="0" xfId="2" applyFont="1" applyAlignment="1">
      <alignment vertical="center"/>
    </xf>
    <xf numFmtId="0" fontId="106" fillId="0" borderId="0" xfId="2" applyFont="1" applyAlignment="1">
      <alignment vertical="center"/>
    </xf>
    <xf numFmtId="0" fontId="12" fillId="0" borderId="0" xfId="2" quotePrefix="1" applyFont="1" applyAlignment="1">
      <alignment vertical="center"/>
    </xf>
    <xf numFmtId="0" fontId="105" fillId="0" borderId="0" xfId="2" applyFont="1"/>
    <xf numFmtId="2" fontId="106" fillId="0" borderId="0" xfId="2" applyNumberFormat="1" applyFont="1" applyAlignment="1">
      <alignment vertical="center"/>
    </xf>
    <xf numFmtId="14" fontId="45" fillId="2" borderId="0" xfId="2" applyNumberFormat="1" applyFont="1" applyFill="1" applyAlignment="1">
      <alignment vertical="center"/>
    </xf>
    <xf numFmtId="0" fontId="107" fillId="2" borderId="0" xfId="2" applyFont="1" applyFill="1" applyAlignment="1">
      <alignment vertical="center"/>
    </xf>
    <xf numFmtId="0" fontId="108" fillId="0" borderId="0" xfId="2" applyFont="1"/>
    <xf numFmtId="14" fontId="12" fillId="0" borderId="0" xfId="2" applyNumberFormat="1" applyFont="1" applyAlignment="1">
      <alignment vertical="top"/>
    </xf>
    <xf numFmtId="0" fontId="106" fillId="0" borderId="0" xfId="2" applyFont="1"/>
    <xf numFmtId="0" fontId="109" fillId="0" borderId="0" xfId="2" applyFont="1" applyAlignment="1">
      <alignment vertical="center"/>
    </xf>
    <xf numFmtId="1" fontId="109" fillId="0" borderId="0" xfId="2" applyNumberFormat="1" applyFont="1" applyAlignment="1">
      <alignment vertical="center"/>
    </xf>
    <xf numFmtId="0" fontId="105" fillId="0" borderId="0" xfId="2" quotePrefix="1" applyFont="1" applyAlignment="1">
      <alignment vertical="center"/>
    </xf>
    <xf numFmtId="0" fontId="10" fillId="2" borderId="0" xfId="2" applyFont="1" applyFill="1" applyAlignment="1">
      <alignment vertical="center"/>
    </xf>
    <xf numFmtId="0" fontId="5" fillId="0" borderId="0" xfId="2" applyAlignment="1">
      <alignment vertical="center"/>
    </xf>
    <xf numFmtId="0" fontId="41" fillId="21" borderId="12" xfId="2" applyFont="1" applyFill="1" applyBorder="1" applyAlignment="1" applyProtection="1">
      <alignment horizontal="center" vertical="center"/>
      <protection locked="0"/>
    </xf>
    <xf numFmtId="0" fontId="41" fillId="16" borderId="34" xfId="2" applyFont="1" applyFill="1" applyBorder="1" applyAlignment="1">
      <alignment horizontal="center" vertical="center"/>
    </xf>
    <xf numFmtId="0" fontId="42" fillId="16" borderId="32" xfId="2" applyFont="1" applyFill="1" applyBorder="1" applyAlignment="1">
      <alignment horizontal="right" vertical="center"/>
    </xf>
    <xf numFmtId="0" fontId="42" fillId="16" borderId="7" xfId="2" applyFont="1" applyFill="1" applyBorder="1" applyAlignment="1">
      <alignment horizontal="right" vertical="center"/>
    </xf>
    <xf numFmtId="0" fontId="42" fillId="16" borderId="8" xfId="2" applyFont="1" applyFill="1" applyBorder="1" applyAlignment="1">
      <alignment horizontal="center" vertical="center"/>
    </xf>
    <xf numFmtId="0" fontId="6" fillId="6" borderId="153" xfId="2" applyFont="1" applyFill="1" applyBorder="1"/>
    <xf numFmtId="14" fontId="6" fillId="6" borderId="153" xfId="2" applyNumberFormat="1" applyFont="1" applyFill="1" applyBorder="1"/>
    <xf numFmtId="0" fontId="6" fillId="6" borderId="153" xfId="2" applyFont="1" applyFill="1" applyBorder="1" applyAlignment="1">
      <alignment vertical="center"/>
    </xf>
    <xf numFmtId="14" fontId="10" fillId="6" borderId="153" xfId="2" applyNumberFormat="1" applyFont="1" applyFill="1" applyBorder="1" applyAlignment="1">
      <alignment vertical="center"/>
    </xf>
    <xf numFmtId="14" fontId="6" fillId="6" borderId="153" xfId="2" applyNumberFormat="1" applyFont="1" applyFill="1" applyBorder="1" applyAlignment="1">
      <alignment vertical="center"/>
    </xf>
    <xf numFmtId="0" fontId="10" fillId="6" borderId="153" xfId="2" applyFont="1" applyFill="1" applyBorder="1" applyAlignment="1">
      <alignment vertical="center"/>
    </xf>
    <xf numFmtId="0" fontId="6" fillId="6" borderId="153" xfId="2" applyFont="1" applyFill="1" applyBorder="1" applyAlignment="1">
      <alignment vertical="top"/>
    </xf>
    <xf numFmtId="0" fontId="9" fillId="6" borderId="153" xfId="2" applyFont="1" applyFill="1" applyBorder="1" applyAlignment="1">
      <alignment vertical="center"/>
    </xf>
    <xf numFmtId="0" fontId="6" fillId="6" borderId="153" xfId="2" quotePrefix="1" applyFont="1" applyFill="1" applyBorder="1" applyAlignment="1">
      <alignment vertical="center"/>
    </xf>
    <xf numFmtId="0" fontId="9" fillId="6" borderId="153" xfId="2" applyFont="1" applyFill="1" applyBorder="1"/>
    <xf numFmtId="0" fontId="6" fillId="6" borderId="154" xfId="2" applyFont="1" applyFill="1" applyBorder="1"/>
    <xf numFmtId="14" fontId="6" fillId="6" borderId="155" xfId="2" applyNumberFormat="1" applyFont="1" applyFill="1" applyBorder="1"/>
    <xf numFmtId="0" fontId="6" fillId="6" borderId="155" xfId="2" applyFont="1" applyFill="1" applyBorder="1"/>
    <xf numFmtId="0" fontId="6" fillId="6" borderId="156" xfId="2" applyFont="1" applyFill="1" applyBorder="1"/>
    <xf numFmtId="0" fontId="6" fillId="6" borderId="157" xfId="2" applyFont="1" applyFill="1" applyBorder="1" applyAlignment="1">
      <alignment vertical="center"/>
    </xf>
    <xf numFmtId="0" fontId="5" fillId="6" borderId="158" xfId="2" applyFill="1" applyBorder="1" applyAlignment="1">
      <alignment horizontal="center" vertical="center"/>
    </xf>
    <xf numFmtId="0" fontId="6" fillId="6" borderId="157" xfId="2" applyFont="1" applyFill="1" applyBorder="1"/>
    <xf numFmtId="0" fontId="10" fillId="6" borderId="157" xfId="2" applyFont="1" applyFill="1" applyBorder="1" applyAlignment="1">
      <alignment vertical="center"/>
    </xf>
    <xf numFmtId="0" fontId="6" fillId="6" borderId="157" xfId="2" quotePrefix="1" applyFont="1" applyFill="1" applyBorder="1" applyAlignment="1">
      <alignment vertical="center"/>
    </xf>
    <xf numFmtId="0" fontId="6" fillId="6" borderId="159" xfId="2" applyFont="1" applyFill="1" applyBorder="1" applyAlignment="1">
      <alignment vertical="center"/>
    </xf>
    <xf numFmtId="14" fontId="6" fillId="6" borderId="160" xfId="2" applyNumberFormat="1" applyFont="1" applyFill="1" applyBorder="1" applyAlignment="1">
      <alignment vertical="center"/>
    </xf>
    <xf numFmtId="0" fontId="6" fillId="6" borderId="160" xfId="2" applyFont="1" applyFill="1" applyBorder="1" applyAlignment="1">
      <alignment vertical="center"/>
    </xf>
    <xf numFmtId="0" fontId="6" fillId="6" borderId="160" xfId="2" quotePrefix="1" applyFont="1" applyFill="1" applyBorder="1" applyAlignment="1">
      <alignment vertical="center"/>
    </xf>
    <xf numFmtId="0" fontId="6" fillId="6" borderId="160" xfId="2" applyFont="1" applyFill="1" applyBorder="1"/>
    <xf numFmtId="0" fontId="5" fillId="6" borderId="161" xfId="2" applyFill="1" applyBorder="1" applyAlignment="1">
      <alignment horizontal="center" vertical="center"/>
    </xf>
    <xf numFmtId="0" fontId="42" fillId="16" borderId="8" xfId="2" applyFont="1" applyFill="1" applyBorder="1" applyAlignment="1">
      <alignment horizontal="right" vertical="center"/>
    </xf>
    <xf numFmtId="0" fontId="6" fillId="6" borderId="162" xfId="2" applyFont="1" applyFill="1" applyBorder="1"/>
    <xf numFmtId="0" fontId="6" fillId="6" borderId="163" xfId="2" applyFont="1" applyFill="1" applyBorder="1"/>
    <xf numFmtId="0" fontId="6" fillId="6" borderId="164" xfId="2" applyFont="1" applyFill="1" applyBorder="1"/>
    <xf numFmtId="0" fontId="6" fillId="6" borderId="165" xfId="2" applyFont="1" applyFill="1" applyBorder="1"/>
    <xf numFmtId="0" fontId="6" fillId="6" borderId="164" xfId="2" applyFont="1" applyFill="1" applyBorder="1" applyAlignment="1">
      <alignment vertical="center"/>
    </xf>
    <xf numFmtId="0" fontId="6" fillId="6" borderId="165" xfId="2" applyFont="1" applyFill="1" applyBorder="1" applyAlignment="1">
      <alignment vertical="center"/>
    </xf>
    <xf numFmtId="0" fontId="10" fillId="6" borderId="164" xfId="2" applyFont="1" applyFill="1" applyBorder="1" applyAlignment="1">
      <alignment vertical="center"/>
    </xf>
    <xf numFmtId="0" fontId="6" fillId="6" borderId="165" xfId="2" applyFont="1" applyFill="1" applyBorder="1" applyAlignment="1">
      <alignment vertical="top"/>
    </xf>
    <xf numFmtId="0" fontId="6" fillId="6" borderId="164" xfId="2" applyFont="1" applyFill="1" applyBorder="1" applyAlignment="1">
      <alignment vertical="top"/>
    </xf>
    <xf numFmtId="0" fontId="9" fillId="6" borderId="164" xfId="2" applyFont="1" applyFill="1" applyBorder="1" applyAlignment="1">
      <alignment vertical="center"/>
    </xf>
    <xf numFmtId="0" fontId="9" fillId="6" borderId="165" xfId="2" applyFont="1" applyFill="1" applyBorder="1" applyAlignment="1">
      <alignment vertical="center"/>
    </xf>
    <xf numFmtId="0" fontId="9" fillId="6" borderId="164" xfId="2" applyFont="1" applyFill="1" applyBorder="1"/>
    <xf numFmtId="0" fontId="6" fillId="6" borderId="166" xfId="2" applyFont="1" applyFill="1" applyBorder="1" applyAlignment="1">
      <alignment vertical="center"/>
    </xf>
    <xf numFmtId="0" fontId="6" fillId="6" borderId="167" xfId="2" quotePrefix="1" applyFont="1" applyFill="1" applyBorder="1" applyAlignment="1">
      <alignment vertical="center"/>
    </xf>
    <xf numFmtId="0" fontId="6" fillId="6" borderId="168" xfId="2" applyFont="1" applyFill="1" applyBorder="1" applyAlignment="1">
      <alignment vertical="center"/>
    </xf>
    <xf numFmtId="0" fontId="6" fillId="6" borderId="169" xfId="2" applyFont="1" applyFill="1" applyBorder="1" applyAlignment="1">
      <alignment vertical="center"/>
    </xf>
    <xf numFmtId="0" fontId="6" fillId="6" borderId="170" xfId="2" quotePrefix="1" applyFont="1" applyFill="1" applyBorder="1" applyAlignment="1">
      <alignment vertical="center"/>
    </xf>
    <xf numFmtId="0" fontId="41" fillId="21" borderId="12" xfId="2" applyFont="1" applyFill="1" applyBorder="1" applyAlignment="1">
      <alignment horizontal="center" vertical="center"/>
    </xf>
    <xf numFmtId="0" fontId="0" fillId="0" borderId="0" xfId="0" applyAlignment="1">
      <alignment horizontal="centerContinuous"/>
    </xf>
    <xf numFmtId="14" fontId="36" fillId="22" borderId="172" xfId="0" applyNumberFormat="1" applyFont="1" applyFill="1" applyBorder="1"/>
    <xf numFmtId="0" fontId="36" fillId="22" borderId="172" xfId="0" applyFont="1" applyFill="1" applyBorder="1"/>
    <xf numFmtId="0" fontId="36" fillId="22" borderId="171" xfId="0" applyFont="1" applyFill="1" applyBorder="1"/>
    <xf numFmtId="14" fontId="36" fillId="23" borderId="172" xfId="0" applyNumberFormat="1" applyFont="1" applyFill="1" applyBorder="1"/>
    <xf numFmtId="0" fontId="36" fillId="23" borderId="172" xfId="0" applyFont="1" applyFill="1" applyBorder="1"/>
    <xf numFmtId="0" fontId="36" fillId="23" borderId="171" xfId="0" applyFont="1" applyFill="1" applyBorder="1"/>
    <xf numFmtId="14" fontId="36" fillId="22" borderId="173" xfId="0" applyNumberFormat="1" applyFont="1" applyFill="1" applyBorder="1"/>
    <xf numFmtId="0" fontId="36" fillId="22" borderId="173" xfId="0" applyFont="1" applyFill="1" applyBorder="1"/>
    <xf numFmtId="0" fontId="36" fillId="22" borderId="116" xfId="0" applyFont="1" applyFill="1" applyBorder="1"/>
    <xf numFmtId="0" fontId="57" fillId="15" borderId="0" xfId="2" applyFont="1" applyFill="1" applyAlignment="1">
      <alignment horizontal="center" vertical="center"/>
    </xf>
    <xf numFmtId="0" fontId="57" fillId="15" borderId="0" xfId="2" quotePrefix="1" applyFont="1" applyFill="1" applyAlignment="1">
      <alignment horizontal="center" vertical="center"/>
    </xf>
    <xf numFmtId="0" fontId="54" fillId="15" borderId="0" xfId="2" applyFont="1" applyFill="1" applyAlignment="1">
      <alignment horizontal="center" vertical="center"/>
    </xf>
    <xf numFmtId="0" fontId="57" fillId="15" borderId="35" xfId="2" applyFont="1" applyFill="1" applyBorder="1" applyAlignment="1">
      <alignment horizontal="center" vertical="center"/>
    </xf>
    <xf numFmtId="1" fontId="57" fillId="0" borderId="9" xfId="2" applyNumberFormat="1" applyFont="1" applyBorder="1" applyAlignment="1">
      <alignment horizontal="center" vertical="center"/>
    </xf>
    <xf numFmtId="14" fontId="6" fillId="6" borderId="162" xfId="2" applyNumberFormat="1" applyFont="1" applyFill="1" applyBorder="1"/>
    <xf numFmtId="14" fontId="6" fillId="6" borderId="164" xfId="2" applyNumberFormat="1" applyFont="1" applyFill="1" applyBorder="1"/>
    <xf numFmtId="14" fontId="6" fillId="6" borderId="164" xfId="2" applyNumberFormat="1" applyFont="1" applyFill="1" applyBorder="1" applyAlignment="1">
      <alignment vertical="center"/>
    </xf>
    <xf numFmtId="14" fontId="10" fillId="6" borderId="164" xfId="2" applyNumberFormat="1" applyFont="1" applyFill="1" applyBorder="1" applyAlignment="1">
      <alignment vertical="center"/>
    </xf>
    <xf numFmtId="14" fontId="6" fillId="6" borderId="164" xfId="2" applyNumberFormat="1" applyFont="1" applyFill="1" applyBorder="1" applyAlignment="1">
      <alignment vertical="top"/>
    </xf>
    <xf numFmtId="14" fontId="6" fillId="6" borderId="166" xfId="2" applyNumberFormat="1" applyFont="1" applyFill="1" applyBorder="1" applyAlignment="1">
      <alignment vertical="center"/>
    </xf>
    <xf numFmtId="14" fontId="6" fillId="6" borderId="168" xfId="2" applyNumberFormat="1" applyFont="1" applyFill="1" applyBorder="1" applyAlignment="1">
      <alignment vertical="center"/>
    </xf>
    <xf numFmtId="0" fontId="41" fillId="0" borderId="32" xfId="2" applyFont="1" applyBorder="1" applyAlignment="1">
      <alignment horizontal="center" vertical="center"/>
    </xf>
    <xf numFmtId="0" fontId="41" fillId="0" borderId="9" xfId="2" applyFont="1" applyBorder="1" applyAlignment="1" applyProtection="1">
      <alignment horizontal="center" vertical="center"/>
      <protection locked="0"/>
    </xf>
    <xf numFmtId="0" fontId="5" fillId="0" borderId="34" xfId="2" applyBorder="1"/>
    <xf numFmtId="0" fontId="42" fillId="16" borderId="174" xfId="2" applyFont="1" applyFill="1" applyBorder="1" applyAlignment="1">
      <alignment horizontal="right" vertical="center"/>
    </xf>
    <xf numFmtId="0" fontId="92" fillId="0" borderId="84" xfId="0" applyFont="1" applyBorder="1" applyAlignment="1">
      <alignment vertical="center"/>
    </xf>
    <xf numFmtId="0" fontId="92" fillId="0" borderId="0" xfId="0" applyFont="1" applyAlignment="1">
      <alignment vertical="center"/>
    </xf>
    <xf numFmtId="0" fontId="95" fillId="0" borderId="84" xfId="0" applyFont="1" applyBorder="1" applyAlignment="1">
      <alignment horizontal="center"/>
    </xf>
    <xf numFmtId="0" fontId="75" fillId="0" borderId="84" xfId="0" applyFont="1" applyBorder="1" applyAlignment="1">
      <alignment horizontal="center"/>
    </xf>
    <xf numFmtId="0" fontId="110" fillId="0" borderId="83" xfId="0" applyFont="1" applyBorder="1" applyAlignment="1">
      <alignment horizontal="center"/>
    </xf>
    <xf numFmtId="0" fontId="76" fillId="0" borderId="83" xfId="0" applyFont="1" applyBorder="1" applyAlignment="1">
      <alignment horizontal="centerContinuous"/>
    </xf>
    <xf numFmtId="0" fontId="76" fillId="0" borderId="89" xfId="0" applyFont="1" applyBorder="1" applyAlignment="1">
      <alignment vertical="center"/>
    </xf>
    <xf numFmtId="0" fontId="87" fillId="0" borderId="175" xfId="0" applyFont="1" applyBorder="1" applyAlignment="1">
      <alignment horizontal="left" indent="1"/>
    </xf>
    <xf numFmtId="0" fontId="73" fillId="0" borderId="175" xfId="1" applyNumberFormat="1" applyFont="1" applyBorder="1" applyAlignment="1" applyProtection="1">
      <alignment horizontal="left" vertical="center" indent="1"/>
    </xf>
    <xf numFmtId="0" fontId="75" fillId="0" borderId="0" xfId="0" applyFont="1" applyAlignment="1">
      <alignment horizontal="left" indent="1"/>
    </xf>
    <xf numFmtId="175" fontId="96" fillId="0" borderId="0" xfId="0" applyNumberFormat="1" applyFont="1" applyAlignment="1">
      <alignment vertical="center"/>
    </xf>
    <xf numFmtId="1" fontId="7" fillId="0" borderId="0" xfId="2" applyNumberFormat="1" applyFont="1"/>
    <xf numFmtId="10" fontId="6" fillId="13" borderId="87" xfId="9" applyNumberFormat="1" applyFont="1" applyFill="1" applyBorder="1" applyAlignment="1" applyProtection="1">
      <alignment horizontal="centerContinuous" vertical="center"/>
    </xf>
    <xf numFmtId="0" fontId="6" fillId="13" borderId="87" xfId="9" applyNumberFormat="1" applyFont="1" applyFill="1" applyBorder="1" applyAlignment="1" applyProtection="1">
      <alignment vertical="center"/>
    </xf>
    <xf numFmtId="164" fontId="64" fillId="0" borderId="137" xfId="2" applyNumberFormat="1" applyFont="1" applyBorder="1" applyProtection="1">
      <protection locked="0"/>
    </xf>
    <xf numFmtId="164" fontId="64" fillId="0" borderId="138" xfId="2" applyNumberFormat="1" applyFont="1" applyBorder="1" applyProtection="1">
      <protection locked="0"/>
    </xf>
    <xf numFmtId="164" fontId="64" fillId="0" borderId="139" xfId="2" applyNumberFormat="1" applyFont="1" applyBorder="1" applyProtection="1">
      <protection locked="0"/>
    </xf>
    <xf numFmtId="164" fontId="64" fillId="0" borderId="4" xfId="2" applyNumberFormat="1" applyFont="1" applyBorder="1" applyProtection="1">
      <protection locked="0"/>
    </xf>
    <xf numFmtId="164" fontId="64" fillId="0" borderId="2" xfId="2" applyNumberFormat="1" applyFont="1" applyBorder="1" applyProtection="1">
      <protection locked="0"/>
    </xf>
    <xf numFmtId="164" fontId="64" fillId="0" borderId="78" xfId="2" applyNumberFormat="1" applyFont="1" applyBorder="1" applyProtection="1">
      <protection locked="0"/>
    </xf>
    <xf numFmtId="164" fontId="64" fillId="0" borderId="141" xfId="2" applyNumberFormat="1" applyFont="1" applyBorder="1" applyProtection="1">
      <protection locked="0"/>
    </xf>
    <xf numFmtId="164" fontId="64" fillId="0" borderId="74" xfId="2" applyNumberFormat="1" applyFont="1" applyBorder="1" applyProtection="1">
      <protection locked="0"/>
    </xf>
    <xf numFmtId="164" fontId="64" fillId="0" borderId="74" xfId="0" applyNumberFormat="1" applyFont="1" applyBorder="1" applyProtection="1">
      <protection locked="0"/>
    </xf>
    <xf numFmtId="164" fontId="64" fillId="2" borderId="74" xfId="0" applyNumberFormat="1" applyFont="1" applyFill="1" applyBorder="1" applyProtection="1">
      <protection locked="0"/>
    </xf>
    <xf numFmtId="0" fontId="65" fillId="20" borderId="130" xfId="2" applyFont="1" applyFill="1" applyBorder="1" applyAlignment="1">
      <alignment horizontal="center"/>
    </xf>
    <xf numFmtId="164" fontId="64" fillId="0" borderId="143" xfId="2" applyNumberFormat="1" applyFont="1" applyBorder="1" applyProtection="1">
      <protection locked="0"/>
    </xf>
    <xf numFmtId="164" fontId="64" fillId="0" borderId="144" xfId="2" applyNumberFormat="1" applyFont="1" applyBorder="1" applyProtection="1">
      <protection locked="0"/>
    </xf>
    <xf numFmtId="164" fontId="64" fillId="0" borderId="145" xfId="2" applyNumberFormat="1" applyFont="1" applyBorder="1" applyProtection="1">
      <protection locked="0"/>
    </xf>
    <xf numFmtId="164" fontId="65" fillId="20" borderId="61" xfId="2" applyNumberFormat="1" applyFont="1" applyFill="1" applyBorder="1" applyAlignment="1">
      <alignment horizontal="centerContinuous"/>
    </xf>
    <xf numFmtId="164" fontId="65" fillId="20" borderId="62" xfId="2" applyNumberFormat="1" applyFont="1" applyFill="1" applyBorder="1" applyAlignment="1">
      <alignment horizontal="centerContinuous"/>
    </xf>
    <xf numFmtId="164" fontId="64" fillId="20" borderId="0" xfId="2" applyNumberFormat="1" applyFont="1" applyFill="1"/>
    <xf numFmtId="164" fontId="64" fillId="0" borderId="140" xfId="2" applyNumberFormat="1" applyFont="1" applyBorder="1" applyAlignment="1" applyProtection="1">
      <alignment horizontal="center"/>
      <protection locked="0"/>
    </xf>
    <xf numFmtId="164" fontId="64" fillId="0" borderId="138" xfId="2" applyNumberFormat="1" applyFont="1" applyBorder="1" applyAlignment="1" applyProtection="1">
      <alignment horizontal="center"/>
      <protection locked="0"/>
    </xf>
    <xf numFmtId="164" fontId="64" fillId="0" borderId="139" xfId="2" applyNumberFormat="1" applyFont="1" applyBorder="1" applyAlignment="1" applyProtection="1">
      <alignment horizontal="center"/>
      <protection locked="0"/>
    </xf>
    <xf numFmtId="164" fontId="64" fillId="3" borderId="140" xfId="2" applyNumberFormat="1" applyFont="1" applyFill="1" applyBorder="1"/>
    <xf numFmtId="164" fontId="64" fillId="3" borderId="72" xfId="2" applyNumberFormat="1" applyFont="1" applyFill="1" applyBorder="1"/>
    <xf numFmtId="164" fontId="64" fillId="3" borderId="142" xfId="2" applyNumberFormat="1" applyFont="1" applyFill="1" applyBorder="1"/>
    <xf numFmtId="164" fontId="64" fillId="0" borderId="3" xfId="2" applyNumberFormat="1" applyFont="1" applyBorder="1" applyAlignment="1" applyProtection="1">
      <alignment horizontal="center"/>
      <protection locked="0"/>
    </xf>
    <xf numFmtId="164" fontId="64" fillId="0" borderId="4" xfId="2" applyNumberFormat="1" applyFont="1" applyBorder="1" applyAlignment="1" applyProtection="1">
      <alignment horizontal="center"/>
      <protection locked="0"/>
    </xf>
    <xf numFmtId="164" fontId="64" fillId="0" borderId="2" xfId="2" applyNumberFormat="1" applyFont="1" applyBorder="1" applyAlignment="1" applyProtection="1">
      <alignment horizontal="center"/>
      <protection locked="0"/>
    </xf>
    <xf numFmtId="164" fontId="64" fillId="3" borderId="3" xfId="2" applyNumberFormat="1" applyFont="1" applyFill="1" applyBorder="1"/>
    <xf numFmtId="164" fontId="64" fillId="3" borderId="4" xfId="2" applyNumberFormat="1" applyFont="1" applyFill="1" applyBorder="1"/>
    <xf numFmtId="164" fontId="64" fillId="3" borderId="75" xfId="2" applyNumberFormat="1" applyFont="1" applyFill="1" applyBorder="1"/>
    <xf numFmtId="164" fontId="64" fillId="0" borderId="76" xfId="2" applyNumberFormat="1" applyFont="1" applyBorder="1" applyProtection="1">
      <protection locked="0"/>
    </xf>
    <xf numFmtId="164" fontId="64" fillId="3" borderId="73" xfId="2" applyNumberFormat="1" applyFont="1" applyFill="1" applyBorder="1" applyAlignment="1">
      <alignment horizontal="right"/>
    </xf>
    <xf numFmtId="164" fontId="64" fillId="3" borderId="77" xfId="2" applyNumberFormat="1" applyFont="1" applyFill="1" applyBorder="1"/>
    <xf numFmtId="164" fontId="64" fillId="2" borderId="76" xfId="0" applyNumberFormat="1" applyFont="1" applyFill="1" applyBorder="1" applyProtection="1">
      <protection locked="0"/>
    </xf>
    <xf numFmtId="164" fontId="65" fillId="8" borderId="80" xfId="2" applyNumberFormat="1" applyFont="1" applyFill="1" applyBorder="1" applyAlignment="1">
      <alignment horizontal="right" vertical="center"/>
    </xf>
    <xf numFmtId="164" fontId="65" fillId="8" borderId="81" xfId="2" applyNumberFormat="1" applyFont="1" applyFill="1" applyBorder="1" applyAlignment="1">
      <alignment horizontal="right" vertical="center"/>
    </xf>
    <xf numFmtId="164" fontId="65" fillId="8" borderId="82" xfId="2" applyNumberFormat="1" applyFont="1" applyFill="1" applyBorder="1" applyAlignment="1">
      <alignment horizontal="right" vertical="center"/>
    </xf>
    <xf numFmtId="164" fontId="64" fillId="0" borderId="0" xfId="2" applyNumberFormat="1" applyFont="1" applyAlignment="1">
      <alignment horizontal="right" vertical="center"/>
    </xf>
    <xf numFmtId="164" fontId="65" fillId="8" borderId="80" xfId="2" applyNumberFormat="1" applyFont="1" applyFill="1" applyBorder="1" applyAlignment="1">
      <alignment horizontal="center" vertical="center"/>
    </xf>
    <xf numFmtId="164" fontId="65" fillId="8" borderId="81" xfId="2" applyNumberFormat="1" applyFont="1" applyFill="1" applyBorder="1" applyAlignment="1">
      <alignment horizontal="center" vertical="center"/>
    </xf>
    <xf numFmtId="164" fontId="65" fillId="8" borderId="82" xfId="2" applyNumberFormat="1" applyFont="1" applyFill="1" applyBorder="1" applyAlignment="1">
      <alignment horizontal="center" vertical="center"/>
    </xf>
    <xf numFmtId="164" fontId="65" fillId="8" borderId="79" xfId="2" applyNumberFormat="1" applyFont="1" applyFill="1" applyBorder="1" applyAlignment="1">
      <alignment horizontal="right" vertical="center"/>
    </xf>
    <xf numFmtId="164" fontId="65" fillId="8" borderId="58" xfId="2" applyNumberFormat="1" applyFont="1" applyFill="1" applyBorder="1"/>
    <xf numFmtId="170" fontId="65" fillId="8" borderId="58" xfId="2" applyNumberFormat="1" applyFont="1" applyFill="1" applyBorder="1" applyAlignment="1">
      <alignment vertical="center"/>
    </xf>
    <xf numFmtId="172" fontId="64" fillId="2" borderId="74" xfId="0" applyNumberFormat="1" applyFont="1" applyFill="1" applyBorder="1" applyProtection="1">
      <protection locked="0"/>
    </xf>
    <xf numFmtId="172" fontId="64" fillId="2" borderId="76" xfId="0" applyNumberFormat="1" applyFont="1" applyFill="1" applyBorder="1" applyProtection="1">
      <protection locked="0"/>
    </xf>
    <xf numFmtId="0" fontId="7" fillId="0" borderId="32" xfId="2" applyFont="1" applyBorder="1"/>
    <xf numFmtId="0" fontId="7" fillId="0" borderId="7" xfId="2" applyFont="1" applyBorder="1" applyAlignment="1">
      <alignment horizontal="center"/>
    </xf>
    <xf numFmtId="0" fontId="7" fillId="0" borderId="8" xfId="2" applyFont="1" applyBorder="1" applyAlignment="1">
      <alignment horizontal="center"/>
    </xf>
    <xf numFmtId="0" fontId="7" fillId="0" borderId="32" xfId="2" applyFont="1" applyBorder="1" applyAlignment="1">
      <alignment horizontal="center"/>
    </xf>
    <xf numFmtId="0" fontId="7" fillId="0" borderId="9" xfId="2" applyFont="1" applyBorder="1"/>
    <xf numFmtId="0" fontId="7" fillId="0" borderId="0" xfId="2" applyFont="1" applyAlignment="1">
      <alignment horizontal="center"/>
    </xf>
    <xf numFmtId="0" fontId="7" fillId="0" borderId="10" xfId="2" applyFont="1" applyBorder="1" applyAlignment="1">
      <alignment horizontal="center"/>
    </xf>
    <xf numFmtId="0" fontId="7" fillId="0" borderId="9" xfId="2" applyFont="1" applyBorder="1" applyAlignment="1">
      <alignment horizontal="center"/>
    </xf>
    <xf numFmtId="0" fontId="7" fillId="0" borderId="14" xfId="2" applyFont="1" applyBorder="1"/>
    <xf numFmtId="0" fontId="7" fillId="0" borderId="1" xfId="2" applyFont="1" applyBorder="1" applyAlignment="1">
      <alignment horizontal="center"/>
    </xf>
    <xf numFmtId="0" fontId="7" fillId="0" borderId="11" xfId="2" applyFont="1" applyBorder="1" applyAlignment="1">
      <alignment horizontal="center"/>
    </xf>
    <xf numFmtId="0" fontId="7" fillId="0" borderId="14" xfId="2" applyFont="1" applyBorder="1" applyAlignment="1">
      <alignment horizontal="center"/>
    </xf>
    <xf numFmtId="0" fontId="5" fillId="0" borderId="9" xfId="2" applyBorder="1"/>
    <xf numFmtId="2" fontId="5" fillId="0" borderId="10" xfId="2" applyNumberFormat="1" applyBorder="1" applyAlignment="1">
      <alignment horizontal="center"/>
    </xf>
    <xf numFmtId="0" fontId="5" fillId="0" borderId="9" xfId="2" applyBorder="1" applyAlignment="1">
      <alignment horizontal="center"/>
    </xf>
    <xf numFmtId="0" fontId="5" fillId="0" borderId="14" xfId="2" applyBorder="1"/>
    <xf numFmtId="0" fontId="5" fillId="0" borderId="1" xfId="2" applyBorder="1" applyAlignment="1">
      <alignment horizontal="center"/>
    </xf>
    <xf numFmtId="2" fontId="5" fillId="0" borderId="11" xfId="2" applyNumberFormat="1" applyBorder="1" applyAlignment="1">
      <alignment horizontal="center"/>
    </xf>
    <xf numFmtId="0" fontId="5" fillId="0" borderId="14" xfId="2" applyBorder="1" applyAlignment="1">
      <alignment horizontal="center"/>
    </xf>
    <xf numFmtId="0" fontId="5" fillId="0" borderId="32" xfId="2" applyBorder="1"/>
    <xf numFmtId="2" fontId="5" fillId="0" borderId="9" xfId="2" applyNumberFormat="1" applyBorder="1" applyAlignment="1">
      <alignment horizontal="center"/>
    </xf>
    <xf numFmtId="2" fontId="5" fillId="0" borderId="0" xfId="2" applyNumberFormat="1" applyAlignment="1">
      <alignment horizontal="center"/>
    </xf>
    <xf numFmtId="2" fontId="5" fillId="0" borderId="14" xfId="2" applyNumberFormat="1" applyBorder="1" applyAlignment="1">
      <alignment horizontal="center"/>
    </xf>
    <xf numFmtId="2" fontId="5" fillId="0" borderId="1" xfId="2" applyNumberFormat="1" applyBorder="1" applyAlignment="1">
      <alignment horizontal="center"/>
    </xf>
    <xf numFmtId="0" fontId="5" fillId="0" borderId="5" xfId="2" applyBorder="1" applyAlignment="1">
      <alignment horizontal="center"/>
    </xf>
    <xf numFmtId="0" fontId="5" fillId="0" borderId="6" xfId="2" applyBorder="1" applyAlignment="1">
      <alignment horizontal="center"/>
    </xf>
    <xf numFmtId="0" fontId="5" fillId="0" borderId="13" xfId="2" applyBorder="1" applyAlignment="1">
      <alignment horizontal="center"/>
    </xf>
    <xf numFmtId="2" fontId="5" fillId="0" borderId="0" xfId="2" applyNumberFormat="1"/>
    <xf numFmtId="1" fontId="5" fillId="0" borderId="0" xfId="2" applyNumberFormat="1"/>
    <xf numFmtId="0" fontId="5" fillId="0" borderId="33" xfId="2" applyBorder="1"/>
    <xf numFmtId="0" fontId="5" fillId="0" borderId="35" xfId="2" applyBorder="1"/>
    <xf numFmtId="0" fontId="7" fillId="0" borderId="5" xfId="2" applyFont="1" applyBorder="1" applyAlignment="1">
      <alignment horizontal="center"/>
    </xf>
    <xf numFmtId="0" fontId="7" fillId="0" borderId="6" xfId="2" applyFont="1" applyBorder="1" applyAlignment="1">
      <alignment horizontal="center"/>
    </xf>
    <xf numFmtId="0" fontId="7" fillId="0" borderId="13" xfId="2" applyFont="1" applyBorder="1" applyAlignment="1">
      <alignment horizontal="center"/>
    </xf>
    <xf numFmtId="0" fontId="111" fillId="0" borderId="0" xfId="2" applyFont="1"/>
    <xf numFmtId="0" fontId="112" fillId="0" borderId="0" xfId="2" applyFont="1"/>
    <xf numFmtId="0" fontId="7" fillId="0" borderId="5" xfId="2" applyFont="1" applyBorder="1" applyAlignment="1">
      <alignment horizontal="right"/>
    </xf>
    <xf numFmtId="0" fontId="7" fillId="0" borderId="6" xfId="2" applyFont="1" applyBorder="1" applyAlignment="1">
      <alignment horizontal="right"/>
    </xf>
    <xf numFmtId="0" fontId="7" fillId="0" borderId="13" xfId="2" applyFont="1" applyBorder="1" applyAlignment="1">
      <alignment horizontal="right"/>
    </xf>
    <xf numFmtId="171" fontId="5" fillId="0" borderId="0" xfId="2" applyNumberFormat="1"/>
    <xf numFmtId="171" fontId="5" fillId="0" borderId="0" xfId="2" applyNumberFormat="1" applyAlignment="1">
      <alignment horizontal="center"/>
    </xf>
    <xf numFmtId="0" fontId="6" fillId="6" borderId="54" xfId="0" applyFont="1" applyFill="1" applyBorder="1" applyAlignment="1" applyProtection="1">
      <alignment horizontal="center" vertical="center"/>
      <protection locked="0"/>
    </xf>
    <xf numFmtId="0" fontId="113" fillId="0" borderId="0" xfId="0" applyFont="1"/>
    <xf numFmtId="0" fontId="113" fillId="0" borderId="0" xfId="0" applyFont="1" applyAlignment="1">
      <alignment horizontal="right"/>
    </xf>
    <xf numFmtId="0" fontId="8" fillId="0" borderId="0" xfId="0" applyFont="1"/>
    <xf numFmtId="0" fontId="9" fillId="13" borderId="45" xfId="0" applyFont="1" applyFill="1" applyBorder="1"/>
    <xf numFmtId="2" fontId="6" fillId="13" borderId="37" xfId="0" applyNumberFormat="1" applyFont="1" applyFill="1" applyBorder="1"/>
    <xf numFmtId="2" fontId="12" fillId="13" borderId="0" xfId="0" applyNumberFormat="1" applyFont="1" applyFill="1" applyAlignment="1">
      <alignment horizontal="centerContinuous"/>
    </xf>
    <xf numFmtId="2" fontId="6" fillId="18" borderId="37" xfId="0" applyNumberFormat="1" applyFont="1" applyFill="1" applyBorder="1"/>
    <xf numFmtId="2" fontId="12" fillId="18" borderId="0" xfId="0" applyNumberFormat="1" applyFont="1" applyFill="1" applyAlignment="1">
      <alignment horizontal="centerContinuous"/>
    </xf>
    <xf numFmtId="0" fontId="9" fillId="18" borderId="45" xfId="0" applyFont="1" applyFill="1" applyBorder="1"/>
    <xf numFmtId="0" fontId="18" fillId="13" borderId="37" xfId="0" applyFont="1" applyFill="1" applyBorder="1" applyAlignment="1">
      <alignment horizontal="centerContinuous" vertical="center"/>
    </xf>
    <xf numFmtId="0" fontId="7" fillId="0" borderId="0" xfId="0" applyFont="1" applyAlignment="1">
      <alignment horizontal="right"/>
    </xf>
    <xf numFmtId="2" fontId="0" fillId="0" borderId="0" xfId="0" applyNumberFormat="1"/>
    <xf numFmtId="171" fontId="0" fillId="0" borderId="0" xfId="0" applyNumberFormat="1"/>
    <xf numFmtId="10" fontId="0" fillId="0" borderId="0" xfId="0" applyNumberFormat="1"/>
    <xf numFmtId="1" fontId="64" fillId="0" borderId="3" xfId="2" applyNumberFormat="1" applyFont="1" applyBorder="1" applyAlignment="1" applyProtection="1">
      <alignment horizontal="center"/>
      <protection locked="0"/>
    </xf>
    <xf numFmtId="1" fontId="64" fillId="0" borderId="4" xfId="2" applyNumberFormat="1" applyFont="1" applyBorder="1" applyAlignment="1" applyProtection="1">
      <alignment horizontal="center"/>
      <protection locked="0"/>
    </xf>
    <xf numFmtId="1" fontId="64" fillId="0" borderId="2" xfId="2" applyNumberFormat="1" applyFont="1" applyBorder="1" applyAlignment="1" applyProtection="1">
      <alignment horizontal="center"/>
      <protection locked="0"/>
    </xf>
    <xf numFmtId="172" fontId="64" fillId="2" borderId="177" xfId="0" applyNumberFormat="1" applyFont="1" applyFill="1" applyBorder="1" applyProtection="1">
      <protection locked="0"/>
    </xf>
    <xf numFmtId="172" fontId="64" fillId="2" borderId="4" xfId="0" applyNumberFormat="1" applyFont="1" applyFill="1" applyBorder="1" applyProtection="1">
      <protection locked="0"/>
    </xf>
    <xf numFmtId="172" fontId="64" fillId="2" borderId="2" xfId="0" applyNumberFormat="1" applyFont="1" applyFill="1" applyBorder="1" applyProtection="1">
      <protection locked="0"/>
    </xf>
    <xf numFmtId="0" fontId="114" fillId="0" borderId="0" xfId="2" applyFont="1"/>
    <xf numFmtId="0" fontId="114" fillId="0" borderId="0" xfId="2" applyFont="1" applyAlignment="1">
      <alignment horizontal="center"/>
    </xf>
    <xf numFmtId="0" fontId="114" fillId="24" borderId="32" xfId="2" applyFont="1" applyFill="1" applyBorder="1" applyAlignment="1">
      <alignment horizontal="center" textRotation="45"/>
    </xf>
    <xf numFmtId="0" fontId="114" fillId="24" borderId="7" xfId="2" applyFont="1" applyFill="1" applyBorder="1" applyAlignment="1">
      <alignment textRotation="45"/>
    </xf>
    <xf numFmtId="0" fontId="114" fillId="24" borderId="6" xfId="2" applyFont="1" applyFill="1" applyBorder="1" applyAlignment="1">
      <alignment textRotation="45"/>
    </xf>
    <xf numFmtId="0" fontId="114" fillId="24" borderId="13" xfId="2" applyFont="1" applyFill="1" applyBorder="1" applyAlignment="1">
      <alignment textRotation="45"/>
    </xf>
    <xf numFmtId="0" fontId="115" fillId="25" borderId="32" xfId="2" applyFont="1" applyFill="1" applyBorder="1" applyAlignment="1">
      <alignment horizontal="right"/>
    </xf>
    <xf numFmtId="0" fontId="115" fillId="25" borderId="7" xfId="2" applyFont="1" applyFill="1" applyBorder="1" applyAlignment="1">
      <alignment horizontal="right"/>
    </xf>
    <xf numFmtId="0" fontId="115" fillId="25" borderId="178" xfId="2" applyFont="1" applyFill="1" applyBorder="1" applyAlignment="1">
      <alignment horizontal="center"/>
    </xf>
    <xf numFmtId="0" fontId="115" fillId="25" borderId="7" xfId="2" applyFont="1" applyFill="1" applyBorder="1" applyAlignment="1">
      <alignment horizontal="center"/>
    </xf>
    <xf numFmtId="0" fontId="115" fillId="25" borderId="179" xfId="2" applyFont="1" applyFill="1" applyBorder="1" applyAlignment="1">
      <alignment horizontal="center"/>
    </xf>
    <xf numFmtId="0" fontId="115" fillId="25" borderId="8" xfId="2" applyFont="1" applyFill="1" applyBorder="1" applyAlignment="1">
      <alignment horizontal="center"/>
    </xf>
    <xf numFmtId="0" fontId="115" fillId="25" borderId="34" xfId="2" applyFont="1" applyFill="1" applyBorder="1" applyAlignment="1">
      <alignment horizontal="center"/>
    </xf>
    <xf numFmtId="0" fontId="115" fillId="25" borderId="32" xfId="2" applyFont="1" applyFill="1" applyBorder="1" applyAlignment="1">
      <alignment horizontal="center"/>
    </xf>
    <xf numFmtId="0" fontId="115" fillId="25" borderId="9" xfId="2" applyFont="1" applyFill="1" applyBorder="1" applyAlignment="1">
      <alignment horizontal="right"/>
    </xf>
    <xf numFmtId="0" fontId="115" fillId="25" borderId="0" xfId="2" applyFont="1" applyFill="1" applyAlignment="1">
      <alignment horizontal="right"/>
    </xf>
    <xf numFmtId="0" fontId="114" fillId="6" borderId="32" xfId="2" applyFont="1" applyFill="1" applyBorder="1" applyAlignment="1">
      <alignment horizontal="center"/>
    </xf>
    <xf numFmtId="0" fontId="114" fillId="6" borderId="7" xfId="2" applyFont="1" applyFill="1" applyBorder="1" applyAlignment="1">
      <alignment horizontal="center"/>
    </xf>
    <xf numFmtId="0" fontId="114" fillId="6" borderId="178" xfId="2" applyFont="1" applyFill="1" applyBorder="1" applyAlignment="1">
      <alignment horizontal="center"/>
    </xf>
    <xf numFmtId="0" fontId="114" fillId="6" borderId="179" xfId="2" applyFont="1" applyFill="1" applyBorder="1" applyAlignment="1">
      <alignment horizontal="center"/>
    </xf>
    <xf numFmtId="0" fontId="114" fillId="6" borderId="8" xfId="2" applyFont="1" applyFill="1" applyBorder="1" applyAlignment="1">
      <alignment horizontal="center"/>
    </xf>
    <xf numFmtId="0" fontId="114" fillId="6" borderId="9" xfId="2" applyFont="1" applyFill="1" applyBorder="1" applyAlignment="1">
      <alignment horizontal="center"/>
    </xf>
    <xf numFmtId="0" fontId="114" fillId="6" borderId="0" xfId="2" applyFont="1" applyFill="1" applyAlignment="1">
      <alignment horizontal="center"/>
    </xf>
    <xf numFmtId="0" fontId="114" fillId="6" borderId="114" xfId="2" applyFont="1" applyFill="1" applyBorder="1" applyAlignment="1">
      <alignment horizontal="center"/>
    </xf>
    <xf numFmtId="0" fontId="114" fillId="6" borderId="180" xfId="2" applyFont="1" applyFill="1" applyBorder="1" applyAlignment="1">
      <alignment horizontal="center"/>
    </xf>
    <xf numFmtId="0" fontId="114" fillId="6" borderId="10" xfId="2" applyFont="1" applyFill="1" applyBorder="1" applyAlignment="1">
      <alignment horizontal="center"/>
    </xf>
    <xf numFmtId="0" fontId="115" fillId="25" borderId="14" xfId="2" applyFont="1" applyFill="1" applyBorder="1" applyAlignment="1">
      <alignment horizontal="right"/>
    </xf>
    <xf numFmtId="0" fontId="115" fillId="25" borderId="1" xfId="2" applyFont="1" applyFill="1" applyBorder="1" applyAlignment="1">
      <alignment horizontal="right"/>
    </xf>
    <xf numFmtId="0" fontId="114" fillId="6" borderId="1" xfId="2" applyFont="1" applyFill="1" applyBorder="1" applyAlignment="1">
      <alignment horizontal="center"/>
    </xf>
    <xf numFmtId="0" fontId="114" fillId="6" borderId="181" xfId="2" applyFont="1" applyFill="1" applyBorder="1" applyAlignment="1">
      <alignment horizontal="center"/>
    </xf>
    <xf numFmtId="0" fontId="114" fillId="6" borderId="182" xfId="2" applyFont="1" applyFill="1" applyBorder="1" applyAlignment="1">
      <alignment horizontal="center"/>
    </xf>
    <xf numFmtId="0" fontId="114" fillId="6" borderId="11" xfId="2" applyFont="1" applyFill="1" applyBorder="1" applyAlignment="1">
      <alignment horizontal="center"/>
    </xf>
    <xf numFmtId="14" fontId="114" fillId="0" borderId="0" xfId="2" applyNumberFormat="1" applyFont="1"/>
    <xf numFmtId="0" fontId="115" fillId="25" borderId="0" xfId="2" applyFont="1" applyFill="1" applyAlignment="1">
      <alignment horizontal="left" vertical="center"/>
    </xf>
    <xf numFmtId="0" fontId="115" fillId="25" borderId="0" xfId="2" applyFont="1" applyFill="1" applyAlignment="1">
      <alignment horizontal="left"/>
    </xf>
    <xf numFmtId="176" fontId="115" fillId="25" borderId="0" xfId="10" applyNumberFormat="1" applyFont="1" applyFill="1" applyAlignment="1">
      <alignment horizontal="center" vertical="center"/>
    </xf>
    <xf numFmtId="0" fontId="115" fillId="25" borderId="183" xfId="2" applyFont="1" applyFill="1" applyBorder="1" applyAlignment="1">
      <alignment horizontal="center" vertical="center"/>
    </xf>
    <xf numFmtId="0" fontId="114" fillId="0" borderId="0" xfId="2" applyFont="1" applyAlignment="1">
      <alignment vertical="center"/>
    </xf>
    <xf numFmtId="14" fontId="115" fillId="0" borderId="0" xfId="2" applyNumberFormat="1" applyFont="1"/>
    <xf numFmtId="0" fontId="114" fillId="0" borderId="0" xfId="2" applyFont="1" applyAlignment="1">
      <alignment horizontal="right"/>
    </xf>
    <xf numFmtId="0" fontId="114" fillId="0" borderId="0" xfId="2" applyFont="1" applyAlignment="1">
      <alignment horizontal="center" vertical="center"/>
    </xf>
    <xf numFmtId="172" fontId="64" fillId="2" borderId="177" xfId="2" applyNumberFormat="1" applyFont="1" applyFill="1" applyBorder="1" applyProtection="1">
      <protection locked="0"/>
    </xf>
    <xf numFmtId="172" fontId="64" fillId="2" borderId="4" xfId="2" applyNumberFormat="1" applyFont="1" applyFill="1" applyBorder="1" applyProtection="1">
      <protection locked="0"/>
    </xf>
    <xf numFmtId="172" fontId="64" fillId="2" borderId="2" xfId="2" applyNumberFormat="1" applyFont="1" applyFill="1" applyBorder="1" applyProtection="1">
      <protection locked="0"/>
    </xf>
    <xf numFmtId="1" fontId="57" fillId="15" borderId="1" xfId="2" applyNumberFormat="1" applyFont="1" applyFill="1" applyBorder="1" applyAlignment="1">
      <alignment horizontal="center" vertical="top"/>
    </xf>
    <xf numFmtId="2" fontId="78" fillId="12" borderId="37" xfId="0" quotePrefix="1" applyNumberFormat="1" applyFont="1" applyFill="1" applyBorder="1" applyAlignment="1">
      <alignment horizontal="left" vertical="center"/>
    </xf>
    <xf numFmtId="2" fontId="78" fillId="12" borderId="37" xfId="9" quotePrefix="1" applyNumberFormat="1" applyFont="1" applyFill="1" applyBorder="1" applyAlignment="1">
      <alignment vertical="center"/>
    </xf>
    <xf numFmtId="0" fontId="78" fillId="12" borderId="37" xfId="9" quotePrefix="1" applyNumberFormat="1" applyFont="1" applyFill="1" applyBorder="1" applyAlignment="1">
      <alignment horizontal="left" vertical="center"/>
    </xf>
    <xf numFmtId="0" fontId="57" fillId="15" borderId="10" xfId="0" applyFont="1" applyFill="1" applyBorder="1" applyAlignment="1">
      <alignment horizontal="center"/>
    </xf>
    <xf numFmtId="0" fontId="57" fillId="15" borderId="11" xfId="0" applyFont="1" applyFill="1" applyBorder="1" applyAlignment="1">
      <alignment horizontal="center"/>
    </xf>
    <xf numFmtId="0" fontId="7" fillId="0" borderId="1" xfId="0" applyFont="1" applyBorder="1"/>
    <xf numFmtId="0" fontId="7" fillId="0" borderId="1" xfId="0" applyFont="1" applyBorder="1" applyAlignment="1">
      <alignment horizontal="left"/>
    </xf>
    <xf numFmtId="0" fontId="118" fillId="10" borderId="32" xfId="0" applyFont="1" applyFill="1" applyBorder="1"/>
    <xf numFmtId="0" fontId="118" fillId="10" borderId="8" xfId="0" applyFont="1" applyFill="1" applyBorder="1"/>
    <xf numFmtId="0" fontId="118" fillId="10" borderId="9" xfId="0" applyFont="1" applyFill="1" applyBorder="1"/>
    <xf numFmtId="0" fontId="118" fillId="10" borderId="10" xfId="0" applyFont="1" applyFill="1" applyBorder="1"/>
    <xf numFmtId="0" fontId="118" fillId="10" borderId="14" xfId="0" applyFont="1" applyFill="1" applyBorder="1"/>
    <xf numFmtId="0" fontId="118" fillId="10" borderId="11" xfId="0" applyFont="1" applyFill="1" applyBorder="1"/>
    <xf numFmtId="0" fontId="6" fillId="0" borderId="0" xfId="0" applyFont="1"/>
    <xf numFmtId="0" fontId="6" fillId="0" borderId="0" xfId="0" applyFont="1" applyAlignment="1">
      <alignment horizontal="left"/>
    </xf>
    <xf numFmtId="0" fontId="119" fillId="0" borderId="0" xfId="0" applyFont="1" applyAlignment="1">
      <alignment horizontal="left"/>
    </xf>
    <xf numFmtId="0" fontId="118" fillId="2" borderId="5" xfId="0" applyFont="1" applyFill="1" applyBorder="1"/>
    <xf numFmtId="0" fontId="118" fillId="2" borderId="13" xfId="0" applyFont="1" applyFill="1" applyBorder="1"/>
    <xf numFmtId="0" fontId="118" fillId="0" borderId="5" xfId="0" applyFont="1" applyBorder="1"/>
    <xf numFmtId="0" fontId="118" fillId="0" borderId="13" xfId="0" applyFont="1" applyBorder="1"/>
    <xf numFmtId="0" fontId="118" fillId="10" borderId="0" xfId="0" applyFont="1" applyFill="1"/>
    <xf numFmtId="0" fontId="118" fillId="10" borderId="10" xfId="0" applyFont="1" applyFill="1" applyBorder="1" applyAlignment="1">
      <alignment horizontal="left"/>
    </xf>
    <xf numFmtId="0" fontId="118" fillId="10" borderId="1" xfId="0" applyFont="1" applyFill="1" applyBorder="1"/>
    <xf numFmtId="0" fontId="118" fillId="10" borderId="11" xfId="0" applyFont="1" applyFill="1" applyBorder="1" applyAlignment="1">
      <alignment horizontal="left"/>
    </xf>
    <xf numFmtId="0" fontId="118" fillId="0" borderId="6" xfId="0" applyFont="1" applyBorder="1"/>
    <xf numFmtId="0" fontId="106" fillId="0" borderId="0" xfId="2" applyFont="1" applyAlignment="1">
      <alignment horizontal="right"/>
    </xf>
    <xf numFmtId="0" fontId="120" fillId="0" borderId="0" xfId="2" applyFont="1" applyAlignment="1">
      <alignment horizontal="left"/>
    </xf>
    <xf numFmtId="0" fontId="121" fillId="16" borderId="6" xfId="2" applyFont="1" applyFill="1" applyBorder="1" applyAlignment="1">
      <alignment horizontal="center" vertical="center"/>
    </xf>
    <xf numFmtId="0" fontId="121" fillId="16" borderId="13" xfId="2" applyFont="1" applyFill="1" applyBorder="1" applyAlignment="1">
      <alignment horizontal="center" vertical="center"/>
    </xf>
    <xf numFmtId="0" fontId="121" fillId="16" borderId="5" xfId="2" applyFont="1" applyFill="1" applyBorder="1" applyAlignment="1">
      <alignment horizontal="center" vertical="center"/>
    </xf>
    <xf numFmtId="0" fontId="57" fillId="15" borderId="9" xfId="2" applyFont="1" applyFill="1" applyBorder="1" applyAlignment="1">
      <alignment horizontal="center" vertical="center"/>
    </xf>
    <xf numFmtId="0" fontId="57" fillId="15" borderId="14" xfId="2" applyFont="1" applyFill="1" applyBorder="1" applyAlignment="1">
      <alignment horizontal="center" vertical="center"/>
    </xf>
    <xf numFmtId="0" fontId="57" fillId="15" borderId="1" xfId="2" applyFont="1" applyFill="1" applyBorder="1" applyAlignment="1">
      <alignment horizontal="center" vertical="center"/>
    </xf>
    <xf numFmtId="10" fontId="57" fillId="15" borderId="8" xfId="2" applyNumberFormat="1" applyFont="1" applyFill="1" applyBorder="1" applyAlignment="1">
      <alignment horizontal="center" vertical="center"/>
    </xf>
    <xf numFmtId="10" fontId="57" fillId="15" borderId="10" xfId="2" applyNumberFormat="1" applyFont="1" applyFill="1" applyBorder="1" applyAlignment="1">
      <alignment horizontal="center" vertical="center"/>
    </xf>
    <xf numFmtId="10" fontId="57" fillId="15" borderId="11" xfId="2" applyNumberFormat="1" applyFont="1" applyFill="1" applyBorder="1" applyAlignment="1">
      <alignment horizontal="center" vertical="center"/>
    </xf>
    <xf numFmtId="0" fontId="19" fillId="13" borderId="39" xfId="0" applyFont="1" applyFill="1" applyBorder="1" applyAlignment="1">
      <alignment horizontal="center" vertical="center"/>
    </xf>
    <xf numFmtId="0" fontId="0" fillId="0" borderId="0" xfId="2" applyFont="1"/>
    <xf numFmtId="0" fontId="10" fillId="0" borderId="0" xfId="2" applyFont="1" applyAlignment="1">
      <alignment horizontal="center"/>
    </xf>
    <xf numFmtId="2" fontId="78" fillId="12" borderId="37" xfId="9" quotePrefix="1" applyNumberFormat="1" applyFont="1" applyFill="1" applyBorder="1" applyAlignment="1">
      <alignment horizontal="left" vertical="center"/>
    </xf>
    <xf numFmtId="4" fontId="65" fillId="20" borderId="0" xfId="2" applyNumberFormat="1" applyFont="1" applyFill="1" applyAlignment="1">
      <alignment horizontal="center"/>
    </xf>
    <xf numFmtId="0" fontId="65" fillId="20" borderId="57" xfId="2" applyFont="1" applyFill="1" applyBorder="1" applyAlignment="1">
      <alignment horizontal="left"/>
    </xf>
    <xf numFmtId="170" fontId="65" fillId="20" borderId="71" xfId="2" applyNumberFormat="1" applyFont="1" applyFill="1" applyBorder="1" applyProtection="1">
      <protection locked="0"/>
    </xf>
    <xf numFmtId="170" fontId="65" fillId="20" borderId="0" xfId="2" applyNumberFormat="1" applyFont="1" applyFill="1" applyProtection="1">
      <protection locked="0"/>
    </xf>
    <xf numFmtId="1" fontId="95" fillId="0" borderId="84" xfId="0" applyNumberFormat="1" applyFont="1" applyBorder="1" applyAlignment="1">
      <alignment vertical="center"/>
    </xf>
    <xf numFmtId="1" fontId="95" fillId="0" borderId="83" xfId="0" applyNumberFormat="1" applyFont="1" applyBorder="1" applyAlignment="1">
      <alignment vertical="center"/>
    </xf>
    <xf numFmtId="0" fontId="75" fillId="0" borderId="83" xfId="0" applyFont="1" applyBorder="1" applyAlignment="1">
      <alignment horizontal="left"/>
    </xf>
    <xf numFmtId="0" fontId="110" fillId="0" borderId="83" xfId="0" applyFont="1" applyBorder="1" applyAlignment="1">
      <alignment horizontal="right"/>
    </xf>
    <xf numFmtId="0" fontId="95" fillId="0" borderId="84" xfId="0" applyFont="1" applyBorder="1" applyAlignment="1">
      <alignment horizontal="right"/>
    </xf>
    <xf numFmtId="1" fontId="110" fillId="0" borderId="83" xfId="0" applyNumberFormat="1" applyFont="1" applyBorder="1" applyAlignment="1">
      <alignment horizontal="right"/>
    </xf>
    <xf numFmtId="14" fontId="5" fillId="13" borderId="37" xfId="0" applyNumberFormat="1" applyFont="1" applyFill="1" applyBorder="1"/>
    <xf numFmtId="0" fontId="124" fillId="13" borderId="36" xfId="0" applyFont="1" applyFill="1" applyBorder="1" applyAlignment="1">
      <alignment horizontal="center"/>
    </xf>
    <xf numFmtId="0" fontId="9" fillId="13" borderId="40" xfId="0" applyFont="1" applyFill="1" applyBorder="1" applyAlignment="1" applyProtection="1">
      <alignment horizontal="center"/>
      <protection locked="0"/>
    </xf>
    <xf numFmtId="177" fontId="0" fillId="0" borderId="0" xfId="0" applyNumberFormat="1"/>
    <xf numFmtId="14" fontId="7" fillId="0" borderId="0" xfId="2" applyNumberFormat="1" applyFont="1"/>
    <xf numFmtId="0" fontId="90" fillId="0" borderId="0" xfId="2" applyFont="1"/>
    <xf numFmtId="0" fontId="97" fillId="0" borderId="0" xfId="2" applyFont="1"/>
    <xf numFmtId="0" fontId="125" fillId="0" borderId="1" xfId="2" applyFont="1" applyBorder="1"/>
    <xf numFmtId="0" fontId="73" fillId="0" borderId="88" xfId="1" applyNumberFormat="1" applyFont="1" applyBorder="1" applyAlignment="1" applyProtection="1">
      <alignment horizontal="left" vertical="center" indent="1"/>
    </xf>
    <xf numFmtId="0" fontId="125" fillId="0" borderId="0" xfId="2" applyFont="1"/>
    <xf numFmtId="0" fontId="57" fillId="15" borderId="32" xfId="2" applyFont="1" applyFill="1" applyBorder="1" applyAlignment="1">
      <alignment horizontal="center" vertical="center"/>
    </xf>
    <xf numFmtId="0" fontId="57" fillId="15" borderId="9" xfId="2" quotePrefix="1" applyFont="1" applyFill="1" applyBorder="1" applyAlignment="1">
      <alignment horizontal="center" vertical="center"/>
    </xf>
    <xf numFmtId="0" fontId="57" fillId="15" borderId="7" xfId="2" applyFont="1" applyFill="1" applyBorder="1" applyAlignment="1">
      <alignment horizontal="center" vertical="center"/>
    </xf>
    <xf numFmtId="0" fontId="124" fillId="12" borderId="0" xfId="0" applyFont="1" applyFill="1" applyAlignment="1">
      <alignment horizontal="center"/>
    </xf>
    <xf numFmtId="1" fontId="57" fillId="15" borderId="0" xfId="2" applyNumberFormat="1" applyFont="1" applyFill="1" applyAlignment="1">
      <alignment horizontal="center" vertical="top"/>
    </xf>
    <xf numFmtId="0" fontId="57" fillId="15" borderId="8" xfId="2" applyFont="1" applyFill="1" applyBorder="1" applyAlignment="1">
      <alignment horizontal="left" vertical="center" indent="1"/>
    </xf>
    <xf numFmtId="1" fontId="57" fillId="15" borderId="7" xfId="2" applyNumberFormat="1" applyFont="1" applyFill="1" applyBorder="1" applyAlignment="1">
      <alignment horizontal="center" vertical="top"/>
    </xf>
    <xf numFmtId="1" fontId="57" fillId="15" borderId="0" xfId="2" quotePrefix="1" applyNumberFormat="1" applyFont="1" applyFill="1" applyAlignment="1">
      <alignment horizontal="center" vertical="top"/>
    </xf>
    <xf numFmtId="0" fontId="57" fillId="15" borderId="0" xfId="2" applyFont="1" applyFill="1" applyAlignment="1">
      <alignment horizontal="center" vertical="top"/>
    </xf>
    <xf numFmtId="14" fontId="9" fillId="18" borderId="112" xfId="0" applyNumberFormat="1" applyFont="1" applyFill="1" applyBorder="1" applyAlignment="1">
      <alignment horizontal="left"/>
    </xf>
    <xf numFmtId="14" fontId="106" fillId="18" borderId="0" xfId="0" applyNumberFormat="1" applyFont="1" applyFill="1" applyAlignment="1">
      <alignment horizontal="centerContinuous"/>
    </xf>
    <xf numFmtId="2" fontId="106" fillId="18" borderId="0" xfId="0" applyNumberFormat="1" applyFont="1" applyFill="1" applyAlignment="1">
      <alignment horizontal="centerContinuous"/>
    </xf>
    <xf numFmtId="0" fontId="129" fillId="6" borderId="15" xfId="0" applyFont="1" applyFill="1" applyBorder="1" applyAlignment="1" applyProtection="1">
      <alignment horizontal="left" vertical="center" wrapText="1"/>
      <protection locked="0"/>
    </xf>
    <xf numFmtId="0" fontId="129" fillId="6" borderId="19" xfId="0" applyFont="1" applyFill="1" applyBorder="1" applyAlignment="1" applyProtection="1">
      <alignment horizontal="left" vertical="center" wrapText="1"/>
      <protection locked="0"/>
    </xf>
    <xf numFmtId="0" fontId="129" fillId="6" borderId="23" xfId="0" applyFont="1" applyFill="1" applyBorder="1" applyAlignment="1" applyProtection="1">
      <alignment horizontal="left" vertical="center" wrapText="1"/>
      <protection locked="0"/>
    </xf>
    <xf numFmtId="0" fontId="129" fillId="6" borderId="27" xfId="0" applyFont="1" applyFill="1" applyBorder="1" applyAlignment="1" applyProtection="1">
      <alignment horizontal="left" vertical="center" wrapText="1"/>
      <protection locked="0"/>
    </xf>
    <xf numFmtId="0" fontId="106" fillId="13" borderId="29" xfId="0" applyFont="1" applyFill="1" applyBorder="1" applyAlignment="1">
      <alignment horizontal="center" vertical="center"/>
    </xf>
    <xf numFmtId="0" fontId="106" fillId="13" borderId="30" xfId="0" applyFont="1" applyFill="1" applyBorder="1" applyAlignment="1">
      <alignment horizontal="center" vertical="center"/>
    </xf>
    <xf numFmtId="0" fontId="106" fillId="13" borderId="31" xfId="0" applyFont="1" applyFill="1" applyBorder="1" applyAlignment="1">
      <alignment horizontal="center" vertical="center"/>
    </xf>
    <xf numFmtId="0" fontId="57" fillId="15" borderId="11" xfId="2" quotePrefix="1" applyFont="1" applyFill="1" applyBorder="1" applyAlignment="1">
      <alignment horizontal="left" vertical="center" indent="1"/>
    </xf>
    <xf numFmtId="0" fontId="62" fillId="0" borderId="0" xfId="0" applyFont="1" applyAlignment="1">
      <alignment horizontal="center" readingOrder="1"/>
    </xf>
    <xf numFmtId="174" fontId="102" fillId="0" borderId="123" xfId="0" applyNumberFormat="1" applyFont="1" applyBorder="1" applyAlignment="1">
      <alignment horizontal="center" vertical="center"/>
    </xf>
    <xf numFmtId="174" fontId="102" fillId="0" borderId="124" xfId="0" applyNumberFormat="1" applyFont="1" applyBorder="1" applyAlignment="1">
      <alignment horizontal="center" vertical="center"/>
    </xf>
    <xf numFmtId="174" fontId="102" fillId="0" borderId="125" xfId="0" applyNumberFormat="1" applyFont="1" applyBorder="1" applyAlignment="1">
      <alignment horizontal="center" vertical="center"/>
    </xf>
    <xf numFmtId="0" fontId="99" fillId="0" borderId="0" xfId="0" applyFont="1" applyAlignment="1">
      <alignment horizontal="center" vertical="center" shrinkToFit="1"/>
    </xf>
    <xf numFmtId="0" fontId="126" fillId="0" borderId="88" xfId="0" applyFont="1" applyBorder="1" applyAlignment="1">
      <alignment horizontal="center" vertical="center"/>
    </xf>
    <xf numFmtId="0" fontId="126" fillId="0" borderId="84" xfId="0" applyFont="1" applyBorder="1" applyAlignment="1">
      <alignment horizontal="center" vertical="center"/>
    </xf>
    <xf numFmtId="0" fontId="126" fillId="0" borderId="89" xfId="0" applyFont="1" applyBorder="1" applyAlignment="1">
      <alignment horizontal="center" vertical="center"/>
    </xf>
    <xf numFmtId="0" fontId="126" fillId="0" borderId="175" xfId="0" applyFont="1" applyBorder="1" applyAlignment="1">
      <alignment horizontal="center" vertical="center"/>
    </xf>
    <xf numFmtId="0" fontId="126" fillId="0" borderId="0" xfId="0" applyFont="1" applyAlignment="1">
      <alignment horizontal="center" vertical="center"/>
    </xf>
    <xf numFmtId="0" fontId="126" fillId="0" borderId="176" xfId="0" applyFont="1" applyBorder="1" applyAlignment="1">
      <alignment horizontal="center" vertical="center"/>
    </xf>
    <xf numFmtId="0" fontId="126" fillId="0" borderId="90" xfId="0" applyFont="1" applyBorder="1" applyAlignment="1">
      <alignment horizontal="center" vertical="center"/>
    </xf>
    <xf numFmtId="0" fontId="126" fillId="0" borderId="83" xfId="0" applyFont="1" applyBorder="1" applyAlignment="1">
      <alignment horizontal="center" vertical="center"/>
    </xf>
    <xf numFmtId="0" fontId="126" fillId="0" borderId="91" xfId="0" applyFont="1" applyBorder="1" applyAlignment="1">
      <alignment horizontal="center" vertical="center"/>
    </xf>
    <xf numFmtId="14" fontId="123" fillId="0" borderId="0" xfId="0" applyNumberFormat="1" applyFont="1" applyAlignment="1">
      <alignment horizontal="center"/>
    </xf>
    <xf numFmtId="0" fontId="122" fillId="0" borderId="0" xfId="0" applyFont="1" applyAlignment="1">
      <alignment horizontal="center" vertical="center"/>
    </xf>
    <xf numFmtId="9" fontId="6" fillId="0" borderId="0" xfId="2" applyNumberFormat="1" applyFont="1" applyAlignment="1">
      <alignment horizontal="center"/>
    </xf>
    <xf numFmtId="0" fontId="10" fillId="0" borderId="0" xfId="2" applyFont="1" applyAlignment="1">
      <alignment horizontal="center"/>
    </xf>
    <xf numFmtId="0" fontId="67" fillId="0" borderId="12" xfId="2" applyFont="1" applyBorder="1" applyAlignment="1">
      <alignment horizontal="left"/>
    </xf>
    <xf numFmtId="0" fontId="64" fillId="0" borderId="1" xfId="2" applyFont="1" applyBorder="1" applyAlignment="1">
      <alignment horizontal="center"/>
    </xf>
  </cellXfs>
  <cellStyles count="11">
    <cellStyle name="Hyperkobling" xfId="1" builtinId="8"/>
    <cellStyle name="Komma 2" xfId="10" xr:uid="{D0FC86B9-2166-44F3-AEB5-735E74A424C9}"/>
    <cellStyle name="Normal" xfId="0" builtinId="0"/>
    <cellStyle name="Normal 2" xfId="2" xr:uid="{00000000-0005-0000-0000-000002000000}"/>
    <cellStyle name="Normal 3" xfId="3" xr:uid="{00000000-0005-0000-0000-000003000000}"/>
    <cellStyle name="Normal 3 2" xfId="4" xr:uid="{00000000-0005-0000-0000-000004000000}"/>
    <cellStyle name="Normal 3 2 2" xfId="5" xr:uid="{00000000-0005-0000-0000-000005000000}"/>
    <cellStyle name="Normal 3 2 2 2" xfId="8" xr:uid="{00000000-0005-0000-0000-000006000000}"/>
    <cellStyle name="Normal 3 2 3" xfId="7" xr:uid="{00000000-0005-0000-0000-000007000000}"/>
    <cellStyle name="Normal 3 3" xfId="6" xr:uid="{00000000-0005-0000-0000-000008000000}"/>
    <cellStyle name="Prosent" xfId="9" builtinId="5"/>
  </cellStyles>
  <dxfs count="1890">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C00000"/>
      </font>
    </dxf>
    <dxf>
      <font>
        <b/>
        <i val="0"/>
        <color rgb="FF00B050"/>
      </font>
    </dxf>
    <dxf>
      <font>
        <b/>
        <i val="0"/>
        <color rgb="FF00B050"/>
      </font>
    </dxf>
    <dxf>
      <font>
        <b/>
        <i val="0"/>
        <color rgb="FFC00000"/>
      </font>
    </dxf>
    <dxf>
      <font>
        <b/>
        <i val="0"/>
        <color rgb="FFC00000"/>
      </font>
    </dxf>
    <dxf>
      <font>
        <b/>
        <i val="0"/>
        <color rgb="FF00B050"/>
      </font>
    </dxf>
    <dxf>
      <font>
        <b/>
        <i val="0"/>
        <color rgb="FFC00000"/>
      </font>
    </dxf>
    <dxf>
      <font>
        <b/>
        <i val="0"/>
        <color rgb="FF00B050"/>
      </font>
    </dxf>
    <dxf>
      <font>
        <b/>
        <i val="0"/>
        <color rgb="FF00B050"/>
      </font>
    </dxf>
    <dxf>
      <font>
        <b/>
        <i val="0"/>
        <color rgb="FFC00000"/>
      </font>
    </dxf>
    <dxf>
      <font>
        <b/>
        <i val="0"/>
        <color rgb="FF00B050"/>
      </font>
    </dxf>
    <dxf>
      <font>
        <b/>
        <i val="0"/>
        <color rgb="FFC00000"/>
      </font>
    </dxf>
    <dxf>
      <font>
        <b/>
        <i val="0"/>
        <color rgb="FFC00000"/>
      </font>
    </dxf>
    <dxf>
      <font>
        <b/>
        <i val="0"/>
        <color rgb="FF00B050"/>
      </font>
    </dxf>
    <dxf>
      <font>
        <b/>
        <i val="0"/>
        <color rgb="FFC00000"/>
      </font>
    </dxf>
    <dxf>
      <font>
        <b/>
        <i val="0"/>
        <color rgb="FF00B050"/>
      </font>
    </dxf>
    <dxf>
      <font>
        <b/>
        <i val="0"/>
        <color rgb="FF00B050"/>
      </font>
    </dxf>
    <dxf>
      <font>
        <b/>
        <i val="0"/>
        <color rgb="FFC00000"/>
      </font>
    </dxf>
    <dxf>
      <font>
        <b/>
        <i val="0"/>
        <color rgb="FFC00000"/>
      </font>
    </dxf>
    <dxf>
      <font>
        <b/>
        <i val="0"/>
        <color rgb="FF00B050"/>
      </font>
    </dxf>
    <dxf>
      <font>
        <b/>
        <i val="0"/>
        <color rgb="FF00B050"/>
      </font>
    </dxf>
    <dxf>
      <font>
        <b/>
        <i val="0"/>
        <color rgb="FFC00000"/>
      </font>
    </dxf>
    <dxf>
      <font>
        <b/>
        <i val="0"/>
        <color rgb="FFC00000"/>
      </font>
    </dxf>
    <dxf>
      <font>
        <b/>
        <i val="0"/>
        <color rgb="FF00B050"/>
      </font>
    </dxf>
    <dxf>
      <font>
        <b/>
        <i val="0"/>
        <color rgb="FF00B050"/>
      </font>
    </dxf>
    <dxf>
      <font>
        <b/>
        <i val="0"/>
        <color rgb="FFC00000"/>
      </font>
    </dxf>
    <dxf>
      <font>
        <b/>
        <i val="0"/>
        <color rgb="FFC00000"/>
      </font>
    </dxf>
    <dxf>
      <font>
        <b/>
        <i val="0"/>
        <color rgb="FF00B050"/>
      </font>
    </dxf>
    <dxf>
      <font>
        <b/>
        <i val="0"/>
        <color rgb="FF00B050"/>
      </font>
    </dxf>
    <dxf>
      <font>
        <b/>
        <i val="0"/>
        <color rgb="FFC00000"/>
      </font>
    </dxf>
    <dxf>
      <font>
        <b/>
        <i val="0"/>
        <color rgb="FF00B050"/>
      </font>
    </dxf>
    <dxf>
      <font>
        <b/>
        <i val="0"/>
        <color rgb="FFC00000"/>
      </font>
    </dxf>
    <dxf>
      <font>
        <b/>
        <i val="0"/>
        <color rgb="FFC00000"/>
      </font>
    </dxf>
    <dxf>
      <font>
        <b/>
        <i val="0"/>
        <color rgb="FF00B050"/>
      </font>
    </dxf>
    <dxf>
      <font>
        <b/>
        <i val="0"/>
        <color rgb="FFC00000"/>
      </font>
    </dxf>
    <dxf>
      <font>
        <b/>
        <i val="0"/>
        <color rgb="FF00B050"/>
      </font>
    </dxf>
    <dxf>
      <font>
        <b/>
        <i val="0"/>
        <color rgb="FF00B050"/>
      </font>
    </dxf>
    <dxf>
      <font>
        <b/>
        <i val="0"/>
        <color rgb="FFC00000"/>
      </font>
    </dxf>
    <dxf>
      <font>
        <b/>
        <i val="0"/>
        <color rgb="FF00B050"/>
      </font>
    </dxf>
    <dxf>
      <font>
        <b/>
        <i val="0"/>
        <color rgb="FFC00000"/>
      </font>
    </dxf>
    <dxf>
      <font>
        <b/>
        <i val="0"/>
        <color rgb="FFC00000"/>
      </font>
    </dxf>
    <dxf>
      <font>
        <b/>
        <i val="0"/>
        <color rgb="FF00B050"/>
      </font>
    </dxf>
    <dxf>
      <font>
        <b/>
        <i val="0"/>
        <color rgb="FFC00000"/>
      </font>
    </dxf>
    <dxf>
      <font>
        <b/>
        <i val="0"/>
        <color rgb="FF00B05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C00000"/>
      </font>
    </dxf>
    <dxf>
      <font>
        <b/>
        <i val="0"/>
        <color rgb="FF00B050"/>
      </font>
    </dxf>
    <dxf>
      <font>
        <b/>
        <i val="0"/>
        <color rgb="FF00B050"/>
      </font>
    </dxf>
    <dxf>
      <font>
        <b/>
        <i val="0"/>
        <color rgb="FFC00000"/>
      </font>
    </dxf>
    <dxf>
      <font>
        <b/>
        <i val="0"/>
        <color rgb="FF00B050"/>
      </font>
    </dxf>
    <dxf>
      <font>
        <b/>
        <i val="0"/>
        <color rgb="FFC0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C00000"/>
      </font>
    </dxf>
    <dxf>
      <font>
        <b/>
        <i val="0"/>
        <color rgb="FF00B05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C00000"/>
      </font>
    </dxf>
    <dxf>
      <font>
        <b/>
        <i val="0"/>
        <color rgb="FFC00000"/>
      </font>
    </dxf>
    <dxf>
      <font>
        <b/>
        <i val="0"/>
        <color rgb="FFFF0000"/>
      </font>
    </dxf>
    <dxf>
      <font>
        <b/>
        <i val="0"/>
        <color rgb="FFC00000"/>
      </font>
    </dxf>
    <dxf>
      <font>
        <b/>
        <i val="0"/>
        <color rgb="FFC00000"/>
      </font>
    </dxf>
    <dxf>
      <font>
        <b/>
        <i val="0"/>
        <color rgb="FFC00000"/>
      </font>
    </dxf>
    <dxf>
      <font>
        <b/>
        <i val="0"/>
        <color rgb="FFC00000"/>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0"/>
        <color theme="1"/>
        <name val="Arial"/>
        <family val="2"/>
        <scheme val="none"/>
      </font>
      <border diagonalUp="0" diagonalDown="0">
        <left style="thin">
          <color theme="0"/>
        </left>
        <right/>
        <top style="thick">
          <color theme="0"/>
        </top>
        <bottom/>
        <vertical/>
        <horizontal/>
      </border>
    </dxf>
    <dxf>
      <font>
        <b val="0"/>
        <i val="0"/>
        <strike val="0"/>
        <condense val="0"/>
        <extend val="0"/>
        <outline val="0"/>
        <shadow val="0"/>
        <u val="none"/>
        <vertAlign val="baseline"/>
        <sz val="10"/>
        <color theme="1"/>
        <name val="Arial"/>
        <family val="2"/>
        <scheme val="none"/>
      </font>
      <numFmt numFmtId="19" formatCode="dd/mm/yyyy"/>
      <border diagonalUp="0" diagonalDown="0">
        <left style="thin">
          <color theme="0"/>
        </left>
        <right/>
        <top style="thick">
          <color theme="0"/>
        </top>
        <bottom/>
        <vertical/>
        <horizontal/>
      </border>
    </dxf>
    <dxf>
      <border outline="0">
        <bottom style="thick">
          <color theme="0"/>
        </bottom>
      </border>
    </dxf>
    <dxf>
      <font>
        <b/>
        <i val="0"/>
        <strike val="0"/>
        <condense val="0"/>
        <extend val="0"/>
        <outline val="0"/>
        <shadow val="0"/>
        <u val="none"/>
        <vertAlign val="baseline"/>
        <sz val="10"/>
        <color theme="0"/>
        <name val="Arial"/>
        <scheme val="none"/>
      </font>
      <fill>
        <patternFill patternType="solid">
          <fgColor theme="4"/>
          <bgColor theme="4"/>
        </patternFill>
      </fill>
      <alignment horizontal="center" vertical="bottom" textRotation="0" wrapText="0" indent="0" justifyLastLine="0" shrinkToFit="0" readingOrder="0"/>
      <border diagonalUp="0" diagonalDown="0" outline="0">
        <left style="thin">
          <color theme="0"/>
        </left>
        <right style="thin">
          <color theme="0"/>
        </right>
        <top/>
        <bottom/>
      </border>
    </dxf>
    <dxf>
      <numFmt numFmtId="0" formatCode="General"/>
    </dxf>
    <dxf>
      <numFmt numFmtId="0" formatCode="General"/>
    </dxf>
    <dxf>
      <numFmt numFmtId="19" formatCode="dd/mm/yyyy"/>
    </dxf>
    <dxf>
      <alignment horizontal="right" vertical="bottom" textRotation="0" wrapText="0" indent="0" justifyLastLine="0" shrinkToFit="0" readingOrder="0"/>
    </dxf>
  </dxfs>
  <tableStyles count="0" defaultTableStyle="TableStyleMedium9" defaultPivotStyle="PivotStyleLight16"/>
  <colors>
    <mruColors>
      <color rgb="FFCCFFCC"/>
      <color rgb="FF31869B"/>
      <color rgb="FFFFFFCC"/>
      <color rgb="FF275D6B"/>
      <color rgb="FF3399FF"/>
      <color rgb="FFFBFF4F"/>
      <color rgb="FF538DD5"/>
      <color rgb="FFCC6600"/>
      <color rgb="FFC9FFCC"/>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0.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1.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2.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3.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4.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5.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6.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7.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8.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9.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30.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1.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2.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3.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4.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5.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6.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7.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8.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9.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40.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1.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2.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3.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4.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5.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6.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7.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8.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9.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50.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1.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2.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3.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4.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5.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6.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7.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8.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r>
              <a:rPr lang="nb-NO"/>
              <a:t>Ukeplasseringer</a:t>
            </a:r>
          </a:p>
        </c:rich>
      </c:tx>
      <c:layout>
        <c:manualLayout>
          <c:xMode val="edge"/>
          <c:yMode val="edge"/>
          <c:x val="2.7534930139720536E-2"/>
          <c:y val="6.82261208576998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rgbClr val="C00000">
                  <a:alpha val="97000"/>
                </a:srgb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nb-N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Hjelpeark!$O$2:$O$42</c:f>
              <c:numCache>
                <c:formatCode>General</c:formatCode>
                <c:ptCount val="41"/>
                <c:pt idx="0">
                  <c:v>1</c:v>
                </c:pt>
                <c:pt idx="1">
                  <c:v>2</c:v>
                </c:pt>
                <c:pt idx="2">
                  <c:v>8</c:v>
                </c:pt>
                <c:pt idx="3">
                  <c:v>5</c:v>
                </c:pt>
                <c:pt idx="4">
                  <c:v>2</c:v>
                </c:pt>
                <c:pt idx="5">
                  <c:v>7</c:v>
                </c:pt>
                <c:pt idx="6">
                  <c:v>1</c:v>
                </c:pt>
                <c:pt idx="7">
                  <c:v>8</c:v>
                </c:pt>
                <c:pt idx="8">
                  <c:v>2</c:v>
                </c:pt>
                <c:pt idx="9">
                  <c:v>2</c:v>
                </c:pt>
                <c:pt idx="10">
                  <c:v>6</c:v>
                </c:pt>
                <c:pt idx="11">
                  <c:v>1</c:v>
                </c:pt>
                <c:pt idx="12">
                  <c:v>2</c:v>
                </c:pt>
                <c:pt idx="13">
                  <c:v>1</c:v>
                </c:pt>
                <c:pt idx="14">
                  <c:v>1</c:v>
                </c:pt>
                <c:pt idx="15">
                  <c:v>2</c:v>
                </c:pt>
                <c:pt idx="16">
                  <c:v>8</c:v>
                </c:pt>
                <c:pt idx="17">
                  <c:v>1</c:v>
                </c:pt>
                <c:pt idx="18">
                  <c:v>7</c:v>
                </c:pt>
                <c:pt idx="19">
                  <c:v>5</c:v>
                </c:pt>
                <c:pt idx="20">
                  <c:v>9</c:v>
                </c:pt>
                <c:pt idx="21">
                  <c:v>1</c:v>
                </c:pt>
                <c:pt idx="22">
                  <c:v>4</c:v>
                </c:pt>
                <c:pt idx="23">
                  <c:v>1</c:v>
                </c:pt>
                <c:pt idx="24">
                  <c:v>2</c:v>
                </c:pt>
                <c:pt idx="25">
                  <c:v>5</c:v>
                </c:pt>
                <c:pt idx="26">
                  <c:v>2</c:v>
                </c:pt>
                <c:pt idx="27">
                  <c:v>1</c:v>
                </c:pt>
                <c:pt idx="28">
                  <c:v>7</c:v>
                </c:pt>
                <c:pt idx="29">
                  <c:v>6</c:v>
                </c:pt>
                <c:pt idx="30">
                  <c:v>1</c:v>
                </c:pt>
                <c:pt idx="31">
                  <c:v>2</c:v>
                </c:pt>
                <c:pt idx="32">
                  <c:v>#N/A</c:v>
                </c:pt>
                <c:pt idx="33">
                  <c:v>#N/A</c:v>
                </c:pt>
                <c:pt idx="34">
                  <c:v>#N/A</c:v>
                </c:pt>
                <c:pt idx="35">
                  <c:v>#N/A</c:v>
                </c:pt>
                <c:pt idx="36">
                  <c:v>#N/A</c:v>
                </c:pt>
                <c:pt idx="37">
                  <c:v>#N/A</c:v>
                </c:pt>
                <c:pt idx="38">
                  <c:v>#N/A</c:v>
                </c:pt>
                <c:pt idx="39">
                  <c:v>#N/A</c:v>
                </c:pt>
                <c:pt idx="40">
                  <c:v>#N/A</c:v>
                </c:pt>
              </c:numCache>
            </c:numRef>
          </c:val>
          <c:smooth val="0"/>
          <c:extLst>
            <c:ext xmlns:c16="http://schemas.microsoft.com/office/drawing/2014/chart" uri="{C3380CC4-5D6E-409C-BE32-E72D297353CC}">
              <c16:uniqueId val="{00000000-38A4-45C2-A111-0231C9663A02}"/>
            </c:ext>
          </c:extLst>
        </c:ser>
        <c:dLbls>
          <c:dLblPos val="t"/>
          <c:showLegendKey val="0"/>
          <c:showVal val="1"/>
          <c:showCatName val="0"/>
          <c:showSerName val="0"/>
          <c:showPercent val="0"/>
          <c:showBubbleSize val="0"/>
        </c:dLbls>
        <c:smooth val="0"/>
        <c:axId val="1307077344"/>
        <c:axId val="1307091904"/>
      </c:lineChart>
      <c:catAx>
        <c:axId val="1307077344"/>
        <c:scaling>
          <c:orientation val="minMax"/>
        </c:scaling>
        <c:delete val="1"/>
        <c:axPos val="t"/>
        <c:numFmt formatCode="General" sourceLinked="1"/>
        <c:majorTickMark val="out"/>
        <c:minorTickMark val="none"/>
        <c:tickLblPos val="nextTo"/>
        <c:crossAx val="1307091904"/>
        <c:crosses val="autoZero"/>
        <c:auto val="1"/>
        <c:lblAlgn val="ctr"/>
        <c:lblOffset val="100"/>
        <c:tickLblSkip val="1"/>
        <c:noMultiLvlLbl val="1"/>
      </c:catAx>
      <c:valAx>
        <c:axId val="1307091904"/>
        <c:scaling>
          <c:orientation val="maxMin"/>
        </c:scaling>
        <c:delete val="1"/>
        <c:axPos val="l"/>
        <c:majorGridlines>
          <c:spPr>
            <a:ln w="9525" cap="flat" cmpd="sng" algn="ctr">
              <a:solidFill>
                <a:srgbClr val="C00000"/>
              </a:solidFill>
              <a:round/>
            </a:ln>
            <a:effectLst/>
          </c:spPr>
        </c:majorGridlines>
        <c:numFmt formatCode="General" sourceLinked="1"/>
        <c:majorTickMark val="none"/>
        <c:minorTickMark val="none"/>
        <c:tickLblPos val="nextTo"/>
        <c:crossAx val="130707734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solidFill>
            <a:schemeClr val="accent1">
              <a:lumMod val="60000"/>
              <a:lumOff val="40000"/>
            </a:schemeClr>
          </a:solidFill>
        </a:defRPr>
      </a:pPr>
      <a:endParaRPr lang="nb-N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r>
              <a:rPr lang="nb-NO"/>
              <a:t>Poengutvikling</a:t>
            </a:r>
          </a:p>
        </c:rich>
      </c:tx>
      <c:layout>
        <c:manualLayout>
          <c:xMode val="edge"/>
          <c:yMode val="edge"/>
          <c:x val="3.3011295361691909E-2"/>
          <c:y val="7.84313725490196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rgbClr val="C000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nb-N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Hjelpeark!$P$2:$P$42</c:f>
              <c:numCache>
                <c:formatCode>General</c:formatCode>
                <c:ptCount val="41"/>
                <c:pt idx="0">
                  <c:v>530</c:v>
                </c:pt>
                <c:pt idx="1">
                  <c:v>610</c:v>
                </c:pt>
                <c:pt idx="2">
                  <c:v>400</c:v>
                </c:pt>
                <c:pt idx="3">
                  <c:v>330</c:v>
                </c:pt>
                <c:pt idx="4">
                  <c:v>680</c:v>
                </c:pt>
                <c:pt idx="5">
                  <c:v>610</c:v>
                </c:pt>
                <c:pt idx="6">
                  <c:v>680</c:v>
                </c:pt>
                <c:pt idx="7">
                  <c:v>470</c:v>
                </c:pt>
                <c:pt idx="8">
                  <c:v>750</c:v>
                </c:pt>
                <c:pt idx="9">
                  <c:v>610</c:v>
                </c:pt>
                <c:pt idx="10">
                  <c:v>540</c:v>
                </c:pt>
                <c:pt idx="11">
                  <c:v>540</c:v>
                </c:pt>
                <c:pt idx="12">
                  <c:v>640</c:v>
                </c:pt>
                <c:pt idx="13">
                  <c:v>610</c:v>
                </c:pt>
                <c:pt idx="14">
                  <c:v>680</c:v>
                </c:pt>
                <c:pt idx="15">
                  <c:v>650</c:v>
                </c:pt>
                <c:pt idx="16">
                  <c:v>260</c:v>
                </c:pt>
                <c:pt idx="17">
                  <c:v>540</c:v>
                </c:pt>
                <c:pt idx="18">
                  <c:v>470</c:v>
                </c:pt>
                <c:pt idx="19">
                  <c:v>470</c:v>
                </c:pt>
                <c:pt idx="20">
                  <c:v>420</c:v>
                </c:pt>
                <c:pt idx="21">
                  <c:v>400</c:v>
                </c:pt>
                <c:pt idx="22">
                  <c:v>610</c:v>
                </c:pt>
                <c:pt idx="23">
                  <c:v>610</c:v>
                </c:pt>
                <c:pt idx="24">
                  <c:v>470</c:v>
                </c:pt>
                <c:pt idx="25">
                  <c:v>470</c:v>
                </c:pt>
                <c:pt idx="26">
                  <c:v>510</c:v>
                </c:pt>
                <c:pt idx="27">
                  <c:v>580</c:v>
                </c:pt>
                <c:pt idx="28">
                  <c:v>400</c:v>
                </c:pt>
                <c:pt idx="29">
                  <c:v>570</c:v>
                </c:pt>
                <c:pt idx="30">
                  <c:v>610</c:v>
                </c:pt>
                <c:pt idx="31">
                  <c:v>600</c:v>
                </c:pt>
                <c:pt idx="32">
                  <c:v>#N/A</c:v>
                </c:pt>
                <c:pt idx="33">
                  <c:v>#N/A</c:v>
                </c:pt>
                <c:pt idx="34">
                  <c:v>#N/A</c:v>
                </c:pt>
                <c:pt idx="35">
                  <c:v>#N/A</c:v>
                </c:pt>
                <c:pt idx="36">
                  <c:v>#N/A</c:v>
                </c:pt>
                <c:pt idx="37">
                  <c:v>#N/A</c:v>
                </c:pt>
                <c:pt idx="38">
                  <c:v>#N/A</c:v>
                </c:pt>
                <c:pt idx="39">
                  <c:v>#N/A</c:v>
                </c:pt>
                <c:pt idx="40">
                  <c:v>#N/A</c:v>
                </c:pt>
              </c:numCache>
            </c:numRef>
          </c:val>
          <c:smooth val="0"/>
          <c:extLst>
            <c:ext xmlns:c16="http://schemas.microsoft.com/office/drawing/2014/chart" uri="{C3380CC4-5D6E-409C-BE32-E72D297353CC}">
              <c16:uniqueId val="{00000000-88D6-4D9A-AE6E-B69E91743029}"/>
            </c:ext>
          </c:extLst>
        </c:ser>
        <c:dLbls>
          <c:showLegendKey val="0"/>
          <c:showVal val="0"/>
          <c:showCatName val="0"/>
          <c:showSerName val="0"/>
          <c:showPercent val="0"/>
          <c:showBubbleSize val="0"/>
        </c:dLbls>
        <c:smooth val="0"/>
        <c:axId val="36589536"/>
        <c:axId val="36590784"/>
      </c:lineChart>
      <c:catAx>
        <c:axId val="36589536"/>
        <c:scaling>
          <c:orientation val="minMax"/>
        </c:scaling>
        <c:delete val="1"/>
        <c:axPos val="b"/>
        <c:numFmt formatCode="General" sourceLinked="1"/>
        <c:majorTickMark val="out"/>
        <c:minorTickMark val="none"/>
        <c:tickLblPos val="nextTo"/>
        <c:crossAx val="36590784"/>
        <c:crosses val="autoZero"/>
        <c:auto val="1"/>
        <c:lblAlgn val="ctr"/>
        <c:lblOffset val="100"/>
        <c:noMultiLvlLbl val="1"/>
      </c:catAx>
      <c:valAx>
        <c:axId val="36590784"/>
        <c:scaling>
          <c:orientation val="minMax"/>
        </c:scaling>
        <c:delete val="1"/>
        <c:axPos val="l"/>
        <c:majorGridlines>
          <c:spPr>
            <a:ln w="9525" cap="flat" cmpd="sng" algn="ctr">
              <a:solidFill>
                <a:srgbClr val="C00000"/>
              </a:solidFill>
              <a:round/>
            </a:ln>
            <a:effectLst/>
          </c:spPr>
        </c:majorGridlines>
        <c:numFmt formatCode="General" sourceLinked="1"/>
        <c:majorTickMark val="none"/>
        <c:minorTickMark val="none"/>
        <c:tickLblPos val="nextTo"/>
        <c:crossAx val="3658953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solidFill>
            <a:schemeClr val="accent1">
              <a:lumMod val="60000"/>
              <a:lumOff val="40000"/>
            </a:schemeClr>
          </a:solidFill>
        </a:defRPr>
      </a:pPr>
      <a:endParaRPr lang="nb-N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barChart>
        <c:barDir val="bar"/>
        <c:grouping val="clustered"/>
        <c:varyColors val="0"/>
        <c:ser>
          <c:idx val="0"/>
          <c:order val="0"/>
          <c:tx>
            <c:strRef>
              <c:f>Tabeller!$R$18:$R$26</c:f>
              <c:strCache>
                <c:ptCount val="9"/>
                <c:pt idx="0">
                  <c:v>RB</c:v>
                </c:pt>
                <c:pt idx="1">
                  <c:v>ØG</c:v>
                </c:pt>
                <c:pt idx="2">
                  <c:v>UTG</c:v>
                </c:pt>
                <c:pt idx="3">
                  <c:v>JH</c:v>
                </c:pt>
                <c:pt idx="4">
                  <c:v>LEV</c:v>
                </c:pt>
                <c:pt idx="5">
                  <c:v>KAF</c:v>
                </c:pt>
                <c:pt idx="6">
                  <c:v>EB</c:v>
                </c:pt>
                <c:pt idx="7">
                  <c:v>AHH</c:v>
                </c:pt>
                <c:pt idx="8">
                  <c:v>TOH</c:v>
                </c:pt>
              </c:strCache>
            </c:strRef>
          </c:tx>
          <c:spPr>
            <a:noFill/>
            <a:ln w="6350" cap="flat" cmpd="sng" algn="ctr">
              <a:solidFill>
                <a:srgbClr val="FF0000"/>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nb-N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Tabeller!$R$18:$R$26</c:f>
              <c:strCache>
                <c:ptCount val="9"/>
                <c:pt idx="0">
                  <c:v>RB</c:v>
                </c:pt>
                <c:pt idx="1">
                  <c:v>ØG</c:v>
                </c:pt>
                <c:pt idx="2">
                  <c:v>UTG</c:v>
                </c:pt>
                <c:pt idx="3">
                  <c:v>JH</c:v>
                </c:pt>
                <c:pt idx="4">
                  <c:v>LEV</c:v>
                </c:pt>
                <c:pt idx="5">
                  <c:v>KAF</c:v>
                </c:pt>
                <c:pt idx="6">
                  <c:v>EB</c:v>
                </c:pt>
                <c:pt idx="7">
                  <c:v>AHH</c:v>
                </c:pt>
                <c:pt idx="8">
                  <c:v>TOH</c:v>
                </c:pt>
              </c:strCache>
            </c:strRef>
          </c:cat>
          <c:val>
            <c:numRef>
              <c:f>Tabeller!$S$18:$S$26</c:f>
              <c:numCache>
                <c:formatCode>General</c:formatCode>
                <c:ptCount val="9"/>
                <c:pt idx="0">
                  <c:v>17320</c:v>
                </c:pt>
                <c:pt idx="1">
                  <c:v>17050</c:v>
                </c:pt>
                <c:pt idx="2">
                  <c:v>16620</c:v>
                </c:pt>
                <c:pt idx="3">
                  <c:v>16330</c:v>
                </c:pt>
                <c:pt idx="4">
                  <c:v>16250</c:v>
                </c:pt>
                <c:pt idx="5">
                  <c:v>16230</c:v>
                </c:pt>
                <c:pt idx="6">
                  <c:v>15920</c:v>
                </c:pt>
                <c:pt idx="7">
                  <c:v>15820</c:v>
                </c:pt>
                <c:pt idx="8">
                  <c:v>14930</c:v>
                </c:pt>
              </c:numCache>
            </c:numRef>
          </c:val>
          <c:extLst>
            <c:ext xmlns:c16="http://schemas.microsoft.com/office/drawing/2014/chart" uri="{C3380CC4-5D6E-409C-BE32-E72D297353CC}">
              <c16:uniqueId val="{00000000-5287-4CC6-831A-BD95F8886E2A}"/>
            </c:ext>
          </c:extLst>
        </c:ser>
        <c:dLbls>
          <c:showLegendKey val="0"/>
          <c:showVal val="0"/>
          <c:showCatName val="0"/>
          <c:showSerName val="0"/>
          <c:showPercent val="0"/>
          <c:showBubbleSize val="0"/>
        </c:dLbls>
        <c:gapWidth val="182"/>
        <c:overlap val="-50"/>
        <c:axId val="137397264"/>
        <c:axId val="137401840"/>
      </c:barChart>
      <c:catAx>
        <c:axId val="137397264"/>
        <c:scaling>
          <c:orientation val="maxMin"/>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nb-NO"/>
          </a:p>
        </c:txPr>
        <c:crossAx val="137401840"/>
        <c:crosses val="autoZero"/>
        <c:auto val="1"/>
        <c:lblAlgn val="ctr"/>
        <c:lblOffset val="100"/>
        <c:noMultiLvlLbl val="0"/>
      </c:catAx>
      <c:valAx>
        <c:axId val="137401840"/>
        <c:scaling>
          <c:orientation val="minMax"/>
        </c:scaling>
        <c:delete val="0"/>
        <c:axPos val="t"/>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nb-NO"/>
          </a:p>
        </c:txPr>
        <c:crossAx val="137397264"/>
        <c:crosses val="autoZero"/>
        <c:crossBetween val="between"/>
      </c:valAx>
      <c:spPr>
        <a:noFill/>
        <a:ln>
          <a:noFill/>
        </a:ln>
        <a:effectLst/>
      </c:spPr>
    </c:plotArea>
    <c:plotVisOnly val="1"/>
    <c:dispBlanksAs val="gap"/>
    <c:showDLblsOverMax val="0"/>
  </c:chart>
  <c:spPr>
    <a:noFill/>
    <a:ln w="9525" cap="flat" cmpd="sng" algn="ctr">
      <a:solidFill>
        <a:srgbClr val="C00000"/>
      </a:solidFill>
      <a:round/>
    </a:ln>
    <a:effectLst/>
  </c:spPr>
  <c:txPr>
    <a:bodyPr/>
    <a:lstStyle/>
    <a:p>
      <a:pPr>
        <a:defRPr/>
      </a:pPr>
      <a:endParaRPr lang="nb-N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nb-NO"/>
              <a:t>Ukeseire</a:t>
            </a:r>
          </a:p>
        </c:rich>
      </c:tx>
      <c:layout>
        <c:manualLayout>
          <c:xMode val="edge"/>
          <c:yMode val="edge"/>
          <c:x val="0.78164956553060005"/>
          <c:y val="0"/>
        </c:manualLayout>
      </c:layout>
      <c:overlay val="1"/>
      <c:spPr>
        <a:noFill/>
        <a:ln>
          <a:noFill/>
        </a:ln>
        <a:effectLst/>
      </c:sp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384091725376135"/>
          <c:y val="0.14389248812254188"/>
          <c:w val="0.85528188976377961"/>
          <c:h val="0.65875588222837678"/>
        </c:manualLayout>
      </c:layout>
      <c:bar3DChart>
        <c:barDir val="col"/>
        <c:grouping val="clustered"/>
        <c:varyColors val="1"/>
        <c:ser>
          <c:idx val="0"/>
          <c:order val="0"/>
          <c:invertIfNegative val="0"/>
          <c:dPt>
            <c:idx val="0"/>
            <c:invertIfNegative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2695-4ED6-88F9-837209990474}"/>
              </c:ext>
            </c:extLst>
          </c:dPt>
          <c:dPt>
            <c:idx val="1"/>
            <c:invertIfNegative val="0"/>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2695-4ED6-88F9-837209990474}"/>
              </c:ext>
            </c:extLst>
          </c:dPt>
          <c:dPt>
            <c:idx val="2"/>
            <c:invertIfNegative val="0"/>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2695-4ED6-88F9-837209990474}"/>
              </c:ext>
            </c:extLst>
          </c:dPt>
          <c:dPt>
            <c:idx val="3"/>
            <c:invertIfNegative val="0"/>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2695-4ED6-88F9-837209990474}"/>
              </c:ext>
            </c:extLst>
          </c:dPt>
          <c:dPt>
            <c:idx val="4"/>
            <c:invertIfNegative val="0"/>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2695-4ED6-88F9-837209990474}"/>
              </c:ext>
            </c:extLst>
          </c:dPt>
          <c:dPt>
            <c:idx val="5"/>
            <c:invertIfNegative val="0"/>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2695-4ED6-88F9-837209990474}"/>
              </c:ext>
            </c:extLst>
          </c:dPt>
          <c:dPt>
            <c:idx val="6"/>
            <c:invertIfNegative val="0"/>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2695-4ED6-88F9-837209990474}"/>
              </c:ext>
            </c:extLst>
          </c:dPt>
          <c:dLbls>
            <c:spPr>
              <a:noFill/>
              <a:ln>
                <a:noFill/>
              </a:ln>
              <a:effectLst/>
            </c:spPr>
            <c:txPr>
              <a:bodyPr wrap="square" lIns="38100" tIns="19050" rIns="38100" bIns="19050" anchor="ctr">
                <a:spAutoFit/>
              </a:bodyPr>
              <a:lstStyle/>
              <a:p>
                <a:pPr>
                  <a:defRPr>
                    <a:solidFill>
                      <a:srgbClr val="FFFF00"/>
                    </a:solidFill>
                  </a:defRPr>
                </a:pPr>
                <a:endParaRPr lang="nb-NO"/>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Tabeller!$H$18:$H$26</c:f>
              <c:strCache>
                <c:ptCount val="9"/>
                <c:pt idx="0">
                  <c:v>AHH</c:v>
                </c:pt>
                <c:pt idx="1">
                  <c:v>RB</c:v>
                </c:pt>
                <c:pt idx="2">
                  <c:v>EB</c:v>
                </c:pt>
                <c:pt idx="3">
                  <c:v>KAF</c:v>
                </c:pt>
                <c:pt idx="4">
                  <c:v>ØG</c:v>
                </c:pt>
                <c:pt idx="5">
                  <c:v>JH</c:v>
                </c:pt>
                <c:pt idx="6">
                  <c:v>TOH</c:v>
                </c:pt>
                <c:pt idx="7">
                  <c:v>UTG</c:v>
                </c:pt>
                <c:pt idx="8">
                  <c:v>LEV</c:v>
                </c:pt>
              </c:strCache>
            </c:strRef>
          </c:cat>
          <c:val>
            <c:numRef>
              <c:f>Tabeller!$I$18:$I$26</c:f>
              <c:numCache>
                <c:formatCode>0</c:formatCode>
                <c:ptCount val="9"/>
                <c:pt idx="0">
                  <c:v>3</c:v>
                </c:pt>
                <c:pt idx="1">
                  <c:v>10</c:v>
                </c:pt>
                <c:pt idx="2">
                  <c:v>2</c:v>
                </c:pt>
                <c:pt idx="3">
                  <c:v>1</c:v>
                </c:pt>
                <c:pt idx="4">
                  <c:v>11</c:v>
                </c:pt>
                <c:pt idx="5">
                  <c:v>5</c:v>
                </c:pt>
                <c:pt idx="6">
                  <c:v>1</c:v>
                </c:pt>
                <c:pt idx="7">
                  <c:v>0</c:v>
                </c:pt>
                <c:pt idx="8">
                  <c:v>3</c:v>
                </c:pt>
              </c:numCache>
            </c:numRef>
          </c:val>
          <c:extLst>
            <c:ext xmlns:c16="http://schemas.microsoft.com/office/drawing/2014/chart" uri="{C3380CC4-5D6E-409C-BE32-E72D297353CC}">
              <c16:uniqueId val="{0000000E-2695-4ED6-88F9-837209990474}"/>
            </c:ext>
          </c:extLst>
        </c:ser>
        <c:dLbls>
          <c:showLegendKey val="0"/>
          <c:showVal val="0"/>
          <c:showCatName val="0"/>
          <c:showSerName val="0"/>
          <c:showPercent val="0"/>
          <c:showBubbleSize val="0"/>
        </c:dLbls>
        <c:gapWidth val="150"/>
        <c:shape val="box"/>
        <c:axId val="-1299074704"/>
        <c:axId val="-1299073616"/>
        <c:axId val="0"/>
      </c:bar3DChart>
      <c:catAx>
        <c:axId val="-1299074704"/>
        <c:scaling>
          <c:orientation val="minMax"/>
        </c:scaling>
        <c:delete val="0"/>
        <c:axPos val="b"/>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nb-NO"/>
          </a:p>
        </c:txPr>
        <c:crossAx val="-1299073616"/>
        <c:crosses val="autoZero"/>
        <c:auto val="1"/>
        <c:lblAlgn val="ctr"/>
        <c:lblOffset val="100"/>
        <c:noMultiLvlLbl val="0"/>
      </c:catAx>
      <c:valAx>
        <c:axId val="-1299073616"/>
        <c:scaling>
          <c:orientation val="minMax"/>
          <c:max val="10"/>
        </c:scaling>
        <c:delete val="0"/>
        <c:axPos val="l"/>
        <c:majorGridlines>
          <c:spPr>
            <a:ln w="9525" cap="flat" cmpd="sng" algn="ctr">
              <a:solidFill>
                <a:schemeClr val="dk1">
                  <a:lumMod val="50000"/>
                  <a:lumOff val="5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nb-NO"/>
          </a:p>
        </c:txPr>
        <c:crossAx val="-1299074704"/>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nb-NO"/>
    </a:p>
  </c:txPr>
  <c:printSettings>
    <c:headerFooter/>
    <c:pageMargins b="0.78740157499999996" l="0.70000000000000062" r="0.70000000000000062" t="0.78740157499999996" header="0.30000000000000032" footer="0.3000000000000003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f_ahh!$A$2:$A$42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f_ahh!$C$2:$C$42</c:f>
              <c:numCache>
                <c:formatCode>General</c:formatCode>
                <c:ptCount val="41"/>
                <c:pt idx="0">
                  <c:v>160</c:v>
                </c:pt>
                <c:pt idx="1">
                  <c:v>340</c:v>
                </c:pt>
                <c:pt idx="2">
                  <c:v>240</c:v>
                </c:pt>
                <c:pt idx="3">
                  <c:v>190</c:v>
                </c:pt>
                <c:pt idx="4">
                  <c:v>520</c:v>
                </c:pt>
                <c:pt idx="5">
                  <c:v>380</c:v>
                </c:pt>
                <c:pt idx="6">
                  <c:v>270</c:v>
                </c:pt>
                <c:pt idx="7">
                  <c:v>270</c:v>
                </c:pt>
                <c:pt idx="8">
                  <c:v>440</c:v>
                </c:pt>
                <c:pt idx="9">
                  <c:v>310</c:v>
                </c:pt>
                <c:pt idx="10">
                  <c:v>250</c:v>
                </c:pt>
                <c:pt idx="11">
                  <c:v>250</c:v>
                </c:pt>
                <c:pt idx="12">
                  <c:v>410</c:v>
                </c:pt>
                <c:pt idx="13">
                  <c:v>480</c:v>
                </c:pt>
                <c:pt idx="14">
                  <c:v>450</c:v>
                </c:pt>
                <c:pt idx="15">
                  <c:v>300</c:v>
                </c:pt>
                <c:pt idx="16">
                  <c:v>180</c:v>
                </c:pt>
                <c:pt idx="17">
                  <c:v>270</c:v>
                </c:pt>
                <c:pt idx="18">
                  <c:v>210</c:v>
                </c:pt>
                <c:pt idx="19">
                  <c:v>190</c:v>
                </c:pt>
                <c:pt idx="20">
                  <c:v>270</c:v>
                </c:pt>
                <c:pt idx="21">
                  <c:v>160</c:v>
                </c:pt>
                <c:pt idx="22">
                  <c:v>350</c:v>
                </c:pt>
                <c:pt idx="23">
                  <c:v>240</c:v>
                </c:pt>
                <c:pt idx="24">
                  <c:v>230</c:v>
                </c:pt>
                <c:pt idx="25">
                  <c:v>300</c:v>
                </c:pt>
                <c:pt idx="26">
                  <c:v>410</c:v>
                </c:pt>
                <c:pt idx="27">
                  <c:v>330</c:v>
                </c:pt>
                <c:pt idx="28">
                  <c:v>170</c:v>
                </c:pt>
                <c:pt idx="29">
                  <c:v>300</c:v>
                </c:pt>
                <c:pt idx="30">
                  <c:v>270</c:v>
                </c:pt>
                <c:pt idx="31">
                  <c:v>210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20B0-497D-8943-3BECC77345C1}"/>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f_ahh!$D$2:$D$42</c:f>
              <c:numCache>
                <c:formatCode>General</c:formatCode>
                <c:ptCount val="41"/>
                <c:pt idx="0">
                  <c:v>30</c:v>
                </c:pt>
                <c:pt idx="1">
                  <c:v>70</c:v>
                </c:pt>
                <c:pt idx="2">
                  <c:v>90</c:v>
                </c:pt>
                <c:pt idx="3">
                  <c:v>160</c:v>
                </c:pt>
                <c:pt idx="4">
                  <c:v>30</c:v>
                </c:pt>
                <c:pt idx="5">
                  <c:v>20</c:v>
                </c:pt>
                <c:pt idx="6">
                  <c:v>120</c:v>
                </c:pt>
                <c:pt idx="7">
                  <c:v>60</c:v>
                </c:pt>
                <c:pt idx="8">
                  <c:v>60</c:v>
                </c:pt>
                <c:pt idx="9">
                  <c:v>60</c:v>
                </c:pt>
                <c:pt idx="10">
                  <c:v>90</c:v>
                </c:pt>
                <c:pt idx="11">
                  <c:v>60</c:v>
                </c:pt>
                <c:pt idx="12">
                  <c:v>30</c:v>
                </c:pt>
                <c:pt idx="13">
                  <c:v>130</c:v>
                </c:pt>
                <c:pt idx="14">
                  <c:v>50</c:v>
                </c:pt>
                <c:pt idx="15">
                  <c:v>40</c:v>
                </c:pt>
                <c:pt idx="16">
                  <c:v>180</c:v>
                </c:pt>
                <c:pt idx="17">
                  <c:v>150</c:v>
                </c:pt>
                <c:pt idx="18">
                  <c:v>110</c:v>
                </c:pt>
                <c:pt idx="19">
                  <c:v>100</c:v>
                </c:pt>
                <c:pt idx="20">
                  <c:v>110</c:v>
                </c:pt>
                <c:pt idx="21">
                  <c:v>150</c:v>
                </c:pt>
                <c:pt idx="22">
                  <c:v>0</c:v>
                </c:pt>
                <c:pt idx="23">
                  <c:v>60</c:v>
                </c:pt>
                <c:pt idx="24">
                  <c:v>190</c:v>
                </c:pt>
                <c:pt idx="25">
                  <c:v>90</c:v>
                </c:pt>
                <c:pt idx="26">
                  <c:v>90</c:v>
                </c:pt>
                <c:pt idx="27">
                  <c:v>50</c:v>
                </c:pt>
                <c:pt idx="28">
                  <c:v>60</c:v>
                </c:pt>
                <c:pt idx="29">
                  <c:v>60</c:v>
                </c:pt>
                <c:pt idx="30">
                  <c:v>30</c:v>
                </c:pt>
                <c:pt idx="31">
                  <c:v>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3AA4-4836-8CE2-163E5AB419FD}"/>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f_ahh!$E$2:$E$42</c:f>
              <c:numCache>
                <c:formatCode>General</c:formatCode>
                <c:ptCount val="41"/>
                <c:pt idx="0">
                  <c:v>140</c:v>
                </c:pt>
                <c:pt idx="1">
                  <c:v>120</c:v>
                </c:pt>
                <c:pt idx="2">
                  <c:v>150</c:v>
                </c:pt>
                <c:pt idx="3">
                  <c:v>40</c:v>
                </c:pt>
                <c:pt idx="4">
                  <c:v>90</c:v>
                </c:pt>
                <c:pt idx="5">
                  <c:v>210</c:v>
                </c:pt>
                <c:pt idx="6">
                  <c:v>210</c:v>
                </c:pt>
                <c:pt idx="7">
                  <c:v>110</c:v>
                </c:pt>
                <c:pt idx="8">
                  <c:v>70</c:v>
                </c:pt>
                <c:pt idx="9">
                  <c:v>180</c:v>
                </c:pt>
                <c:pt idx="10">
                  <c:v>210</c:v>
                </c:pt>
                <c:pt idx="11">
                  <c:v>100</c:v>
                </c:pt>
                <c:pt idx="12">
                  <c:v>100</c:v>
                </c:pt>
                <c:pt idx="13">
                  <c:v>0</c:v>
                </c:pt>
                <c:pt idx="14">
                  <c:v>20</c:v>
                </c:pt>
                <c:pt idx="15">
                  <c:v>230</c:v>
                </c:pt>
                <c:pt idx="16">
                  <c:v>70</c:v>
                </c:pt>
                <c:pt idx="17">
                  <c:v>30</c:v>
                </c:pt>
                <c:pt idx="18">
                  <c:v>180</c:v>
                </c:pt>
                <c:pt idx="19">
                  <c:v>200</c:v>
                </c:pt>
                <c:pt idx="20">
                  <c:v>80</c:v>
                </c:pt>
                <c:pt idx="21">
                  <c:v>50</c:v>
                </c:pt>
                <c:pt idx="22">
                  <c:v>160</c:v>
                </c:pt>
                <c:pt idx="23">
                  <c:v>190</c:v>
                </c:pt>
                <c:pt idx="24">
                  <c:v>60</c:v>
                </c:pt>
                <c:pt idx="25">
                  <c:v>60</c:v>
                </c:pt>
                <c:pt idx="26">
                  <c:v>0</c:v>
                </c:pt>
                <c:pt idx="27">
                  <c:v>70</c:v>
                </c:pt>
                <c:pt idx="28">
                  <c:v>110</c:v>
                </c:pt>
                <c:pt idx="29">
                  <c:v>180</c:v>
                </c:pt>
                <c:pt idx="30">
                  <c:v>160</c:v>
                </c:pt>
                <c:pt idx="31">
                  <c:v>290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FB2-433A-B5E0-459237E609FC}"/>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61A-493B-81EA-2296241D9733}"/>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f_ahh!$G$2:$G$42</c:f>
              <c:numCache>
                <c:formatCode>General</c:formatCode>
                <c:ptCount val="41"/>
                <c:pt idx="0">
                  <c:v>330</c:v>
                </c:pt>
                <c:pt idx="1">
                  <c:v>530</c:v>
                </c:pt>
                <c:pt idx="2">
                  <c:v>480</c:v>
                </c:pt>
                <c:pt idx="3">
                  <c:v>390</c:v>
                </c:pt>
                <c:pt idx="4">
                  <c:v>640</c:v>
                </c:pt>
                <c:pt idx="5">
                  <c:v>610</c:v>
                </c:pt>
                <c:pt idx="6">
                  <c:v>600</c:v>
                </c:pt>
                <c:pt idx="7">
                  <c:v>440</c:v>
                </c:pt>
                <c:pt idx="8">
                  <c:v>570</c:v>
                </c:pt>
                <c:pt idx="9">
                  <c:v>550</c:v>
                </c:pt>
                <c:pt idx="10">
                  <c:v>550</c:v>
                </c:pt>
                <c:pt idx="11">
                  <c:v>410</c:v>
                </c:pt>
                <c:pt idx="12">
                  <c:v>540</c:v>
                </c:pt>
                <c:pt idx="13">
                  <c:v>610</c:v>
                </c:pt>
                <c:pt idx="14">
                  <c:v>520</c:v>
                </c:pt>
                <c:pt idx="15">
                  <c:v>570</c:v>
                </c:pt>
                <c:pt idx="16">
                  <c:v>430</c:v>
                </c:pt>
                <c:pt idx="17">
                  <c:v>450</c:v>
                </c:pt>
                <c:pt idx="18">
                  <c:v>500</c:v>
                </c:pt>
                <c:pt idx="19">
                  <c:v>490</c:v>
                </c:pt>
                <c:pt idx="20">
                  <c:v>460</c:v>
                </c:pt>
                <c:pt idx="21">
                  <c:v>360</c:v>
                </c:pt>
                <c:pt idx="22">
                  <c:v>510</c:v>
                </c:pt>
                <c:pt idx="23">
                  <c:v>490</c:v>
                </c:pt>
                <c:pt idx="24">
                  <c:v>480</c:v>
                </c:pt>
                <c:pt idx="25">
                  <c:v>450</c:v>
                </c:pt>
                <c:pt idx="26">
                  <c:v>500</c:v>
                </c:pt>
                <c:pt idx="27">
                  <c:v>450</c:v>
                </c:pt>
                <c:pt idx="28">
                  <c:v>340</c:v>
                </c:pt>
                <c:pt idx="29">
                  <c:v>540</c:v>
                </c:pt>
                <c:pt idx="30">
                  <c:v>460</c:v>
                </c:pt>
                <c:pt idx="31">
                  <c:v>570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C82-4502-BABB-FDDC0C28FCDF}"/>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f_ahh!$H$2:$H$42</c:f>
              <c:numCache>
                <c:formatCode>General</c:formatCode>
                <c:ptCount val="41"/>
                <c:pt idx="0">
                  <c:v>9</c:v>
                </c:pt>
                <c:pt idx="1">
                  <c:v>6</c:v>
                </c:pt>
                <c:pt idx="2">
                  <c:v>4</c:v>
                </c:pt>
                <c:pt idx="3">
                  <c:v>1</c:v>
                </c:pt>
                <c:pt idx="4">
                  <c:v>6</c:v>
                </c:pt>
                <c:pt idx="5">
                  <c:v>7</c:v>
                </c:pt>
                <c:pt idx="6">
                  <c:v>7</c:v>
                </c:pt>
                <c:pt idx="7">
                  <c:v>9</c:v>
                </c:pt>
                <c:pt idx="8">
                  <c:v>8</c:v>
                </c:pt>
                <c:pt idx="9">
                  <c:v>7</c:v>
                </c:pt>
                <c:pt idx="10">
                  <c:v>5</c:v>
                </c:pt>
                <c:pt idx="11">
                  <c:v>7</c:v>
                </c:pt>
                <c:pt idx="12">
                  <c:v>7</c:v>
                </c:pt>
                <c:pt idx="13">
                  <c:v>1</c:v>
                </c:pt>
                <c:pt idx="14">
                  <c:v>9</c:v>
                </c:pt>
                <c:pt idx="15">
                  <c:v>7</c:v>
                </c:pt>
                <c:pt idx="16">
                  <c:v>2</c:v>
                </c:pt>
                <c:pt idx="17">
                  <c:v>5</c:v>
                </c:pt>
                <c:pt idx="18">
                  <c:v>4</c:v>
                </c:pt>
                <c:pt idx="19">
                  <c:v>3</c:v>
                </c:pt>
                <c:pt idx="20">
                  <c:v>6</c:v>
                </c:pt>
                <c:pt idx="21">
                  <c:v>2</c:v>
                </c:pt>
                <c:pt idx="22">
                  <c:v>9</c:v>
                </c:pt>
                <c:pt idx="23">
                  <c:v>3</c:v>
                </c:pt>
                <c:pt idx="24">
                  <c:v>1</c:v>
                </c:pt>
                <c:pt idx="25">
                  <c:v>7</c:v>
                </c:pt>
                <c:pt idx="26">
                  <c:v>3</c:v>
                </c:pt>
                <c:pt idx="27">
                  <c:v>8</c:v>
                </c:pt>
                <c:pt idx="28">
                  <c:v>9</c:v>
                </c:pt>
                <c:pt idx="29">
                  <c:v>7</c:v>
                </c:pt>
                <c:pt idx="30">
                  <c:v>6</c:v>
                </c:pt>
                <c:pt idx="31">
                  <c:v>3</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8C5-401B-BF71-5F6C4026517E}"/>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f_rb!$A$2:$A$42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f_rb!$C$2:$C$42</c:f>
              <c:numCache>
                <c:formatCode>General</c:formatCode>
                <c:ptCount val="41"/>
                <c:pt idx="0">
                  <c:v>270</c:v>
                </c:pt>
                <c:pt idx="1">
                  <c:v>410</c:v>
                </c:pt>
                <c:pt idx="2">
                  <c:v>250</c:v>
                </c:pt>
                <c:pt idx="3">
                  <c:v>180</c:v>
                </c:pt>
                <c:pt idx="4">
                  <c:v>570</c:v>
                </c:pt>
                <c:pt idx="5">
                  <c:v>410</c:v>
                </c:pt>
                <c:pt idx="6">
                  <c:v>330</c:v>
                </c:pt>
                <c:pt idx="7">
                  <c:v>410</c:v>
                </c:pt>
                <c:pt idx="8">
                  <c:v>570</c:v>
                </c:pt>
                <c:pt idx="9">
                  <c:v>400</c:v>
                </c:pt>
                <c:pt idx="10">
                  <c:v>260</c:v>
                </c:pt>
                <c:pt idx="11">
                  <c:v>340</c:v>
                </c:pt>
                <c:pt idx="12">
                  <c:v>530</c:v>
                </c:pt>
                <c:pt idx="13">
                  <c:v>580</c:v>
                </c:pt>
                <c:pt idx="14">
                  <c:v>570</c:v>
                </c:pt>
                <c:pt idx="15">
                  <c:v>380</c:v>
                </c:pt>
                <c:pt idx="16">
                  <c:v>180</c:v>
                </c:pt>
                <c:pt idx="17">
                  <c:v>410</c:v>
                </c:pt>
                <c:pt idx="18">
                  <c:v>260</c:v>
                </c:pt>
                <c:pt idx="19">
                  <c:v>240</c:v>
                </c:pt>
                <c:pt idx="20">
                  <c:v>400</c:v>
                </c:pt>
                <c:pt idx="21">
                  <c:v>240</c:v>
                </c:pt>
                <c:pt idx="22">
                  <c:v>330</c:v>
                </c:pt>
                <c:pt idx="23">
                  <c:v>250</c:v>
                </c:pt>
                <c:pt idx="24">
                  <c:v>330</c:v>
                </c:pt>
                <c:pt idx="25">
                  <c:v>330</c:v>
                </c:pt>
                <c:pt idx="26">
                  <c:v>480</c:v>
                </c:pt>
                <c:pt idx="27">
                  <c:v>450</c:v>
                </c:pt>
                <c:pt idx="28">
                  <c:v>240</c:v>
                </c:pt>
                <c:pt idx="29">
                  <c:v>360</c:v>
                </c:pt>
                <c:pt idx="30">
                  <c:v>330</c:v>
                </c:pt>
                <c:pt idx="31">
                  <c:v>240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B39-48EB-999A-36F87D72B9AD}"/>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f_rb!$D$2:$D$42</c:f>
              <c:numCache>
                <c:formatCode>General</c:formatCode>
                <c:ptCount val="41"/>
                <c:pt idx="0">
                  <c:v>20</c:v>
                </c:pt>
                <c:pt idx="1">
                  <c:v>30</c:v>
                </c:pt>
                <c:pt idx="2">
                  <c:v>30</c:v>
                </c:pt>
                <c:pt idx="3">
                  <c:v>130</c:v>
                </c:pt>
                <c:pt idx="4">
                  <c:v>10</c:v>
                </c:pt>
                <c:pt idx="5">
                  <c:v>10</c:v>
                </c:pt>
                <c:pt idx="6">
                  <c:v>110</c:v>
                </c:pt>
                <c:pt idx="7">
                  <c:v>20</c:v>
                </c:pt>
                <c:pt idx="8">
                  <c:v>10</c:v>
                </c:pt>
                <c:pt idx="9">
                  <c:v>30</c:v>
                </c:pt>
                <c:pt idx="10">
                  <c:v>100</c:v>
                </c:pt>
                <c:pt idx="11">
                  <c:v>30</c:v>
                </c:pt>
                <c:pt idx="12">
                  <c:v>10</c:v>
                </c:pt>
                <c:pt idx="13">
                  <c:v>30</c:v>
                </c:pt>
                <c:pt idx="14">
                  <c:v>20</c:v>
                </c:pt>
                <c:pt idx="15">
                  <c:v>20</c:v>
                </c:pt>
                <c:pt idx="16">
                  <c:v>50</c:v>
                </c:pt>
                <c:pt idx="17">
                  <c:v>110</c:v>
                </c:pt>
                <c:pt idx="18">
                  <c:v>30</c:v>
                </c:pt>
                <c:pt idx="19">
                  <c:v>30</c:v>
                </c:pt>
                <c:pt idx="20">
                  <c:v>40</c:v>
                </c:pt>
                <c:pt idx="21">
                  <c:v>60</c:v>
                </c:pt>
                <c:pt idx="22">
                  <c:v>0</c:v>
                </c:pt>
                <c:pt idx="23">
                  <c:v>30</c:v>
                </c:pt>
                <c:pt idx="24">
                  <c:v>30</c:v>
                </c:pt>
                <c:pt idx="25">
                  <c:v>30</c:v>
                </c:pt>
                <c:pt idx="26">
                  <c:v>30</c:v>
                </c:pt>
                <c:pt idx="27">
                  <c:v>20</c:v>
                </c:pt>
                <c:pt idx="28">
                  <c:v>30</c:v>
                </c:pt>
                <c:pt idx="29">
                  <c:v>20</c:v>
                </c:pt>
                <c:pt idx="30">
                  <c:v>20</c:v>
                </c:pt>
                <c:pt idx="31">
                  <c:v>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501A-4A36-A86E-15186D68FD20}"/>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f_rb!$E$2:$E$42</c:f>
              <c:numCache>
                <c:formatCode>General</c:formatCode>
                <c:ptCount val="41"/>
                <c:pt idx="0">
                  <c:v>290</c:v>
                </c:pt>
                <c:pt idx="1">
                  <c:v>170</c:v>
                </c:pt>
                <c:pt idx="2">
                  <c:v>120</c:v>
                </c:pt>
                <c:pt idx="3">
                  <c:v>20</c:v>
                </c:pt>
                <c:pt idx="4">
                  <c:v>100</c:v>
                </c:pt>
                <c:pt idx="5">
                  <c:v>190</c:v>
                </c:pt>
                <c:pt idx="6">
                  <c:v>240</c:v>
                </c:pt>
                <c:pt idx="7">
                  <c:v>40</c:v>
                </c:pt>
                <c:pt idx="8">
                  <c:v>170</c:v>
                </c:pt>
                <c:pt idx="9">
                  <c:v>180</c:v>
                </c:pt>
                <c:pt idx="10">
                  <c:v>180</c:v>
                </c:pt>
                <c:pt idx="11">
                  <c:v>170</c:v>
                </c:pt>
                <c:pt idx="12">
                  <c:v>100</c:v>
                </c:pt>
                <c:pt idx="13">
                  <c:v>0</c:v>
                </c:pt>
                <c:pt idx="14">
                  <c:v>90</c:v>
                </c:pt>
                <c:pt idx="15">
                  <c:v>250</c:v>
                </c:pt>
                <c:pt idx="16">
                  <c:v>30</c:v>
                </c:pt>
                <c:pt idx="17">
                  <c:v>20</c:v>
                </c:pt>
                <c:pt idx="18">
                  <c:v>180</c:v>
                </c:pt>
                <c:pt idx="19">
                  <c:v>200</c:v>
                </c:pt>
                <c:pt idx="20">
                  <c:v>30</c:v>
                </c:pt>
                <c:pt idx="21">
                  <c:v>100</c:v>
                </c:pt>
                <c:pt idx="22">
                  <c:v>280</c:v>
                </c:pt>
                <c:pt idx="23">
                  <c:v>330</c:v>
                </c:pt>
                <c:pt idx="24">
                  <c:v>110</c:v>
                </c:pt>
                <c:pt idx="25">
                  <c:v>110</c:v>
                </c:pt>
                <c:pt idx="26">
                  <c:v>0</c:v>
                </c:pt>
                <c:pt idx="27">
                  <c:v>110</c:v>
                </c:pt>
                <c:pt idx="28">
                  <c:v>130</c:v>
                </c:pt>
                <c:pt idx="29">
                  <c:v>190</c:v>
                </c:pt>
                <c:pt idx="30">
                  <c:v>260</c:v>
                </c:pt>
                <c:pt idx="31">
                  <c:v>330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FC1-4884-93D4-BB8E795F456E}"/>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f_rb!$F$2:$F$42</c:f>
              <c:numCache>
                <c:formatCode>General</c:formatCode>
                <c:ptCount val="41"/>
                <c:pt idx="0">
                  <c:v>-50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-50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5B3-42FA-8534-6E022545DEA1}"/>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f_rb!$G$2:$G$42</c:f>
              <c:numCache>
                <c:formatCode>General</c:formatCode>
                <c:ptCount val="41"/>
                <c:pt idx="0">
                  <c:v>530</c:v>
                </c:pt>
                <c:pt idx="1">
                  <c:v>610</c:v>
                </c:pt>
                <c:pt idx="2">
                  <c:v>400</c:v>
                </c:pt>
                <c:pt idx="3">
                  <c:v>330</c:v>
                </c:pt>
                <c:pt idx="4">
                  <c:v>680</c:v>
                </c:pt>
                <c:pt idx="5">
                  <c:v>610</c:v>
                </c:pt>
                <c:pt idx="6">
                  <c:v>680</c:v>
                </c:pt>
                <c:pt idx="7">
                  <c:v>470</c:v>
                </c:pt>
                <c:pt idx="8">
                  <c:v>750</c:v>
                </c:pt>
                <c:pt idx="9">
                  <c:v>610</c:v>
                </c:pt>
                <c:pt idx="10">
                  <c:v>540</c:v>
                </c:pt>
                <c:pt idx="11">
                  <c:v>540</c:v>
                </c:pt>
                <c:pt idx="12">
                  <c:v>640</c:v>
                </c:pt>
                <c:pt idx="13">
                  <c:v>610</c:v>
                </c:pt>
                <c:pt idx="14">
                  <c:v>680</c:v>
                </c:pt>
                <c:pt idx="15">
                  <c:v>650</c:v>
                </c:pt>
                <c:pt idx="16">
                  <c:v>260</c:v>
                </c:pt>
                <c:pt idx="17">
                  <c:v>540</c:v>
                </c:pt>
                <c:pt idx="18">
                  <c:v>470</c:v>
                </c:pt>
                <c:pt idx="19">
                  <c:v>470</c:v>
                </c:pt>
                <c:pt idx="20">
                  <c:v>420</c:v>
                </c:pt>
                <c:pt idx="21">
                  <c:v>400</c:v>
                </c:pt>
                <c:pt idx="22">
                  <c:v>610</c:v>
                </c:pt>
                <c:pt idx="23">
                  <c:v>610</c:v>
                </c:pt>
                <c:pt idx="24">
                  <c:v>470</c:v>
                </c:pt>
                <c:pt idx="25">
                  <c:v>470</c:v>
                </c:pt>
                <c:pt idx="26">
                  <c:v>510</c:v>
                </c:pt>
                <c:pt idx="27">
                  <c:v>580</c:v>
                </c:pt>
                <c:pt idx="28">
                  <c:v>400</c:v>
                </c:pt>
                <c:pt idx="29">
                  <c:v>570</c:v>
                </c:pt>
                <c:pt idx="30">
                  <c:v>610</c:v>
                </c:pt>
                <c:pt idx="31">
                  <c:v>600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C615-46ED-9F56-857A30B02310}"/>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f_rb!$H$2:$H$42</c:f>
              <c:numCache>
                <c:formatCode>General</c:formatCode>
                <c:ptCount val="41"/>
                <c:pt idx="0">
                  <c:v>1</c:v>
                </c:pt>
                <c:pt idx="1">
                  <c:v>2</c:v>
                </c:pt>
                <c:pt idx="2">
                  <c:v>8</c:v>
                </c:pt>
                <c:pt idx="3">
                  <c:v>5</c:v>
                </c:pt>
                <c:pt idx="4">
                  <c:v>2</c:v>
                </c:pt>
                <c:pt idx="5">
                  <c:v>7</c:v>
                </c:pt>
                <c:pt idx="6">
                  <c:v>1</c:v>
                </c:pt>
                <c:pt idx="7">
                  <c:v>8</c:v>
                </c:pt>
                <c:pt idx="8">
                  <c:v>2</c:v>
                </c:pt>
                <c:pt idx="9">
                  <c:v>2</c:v>
                </c:pt>
                <c:pt idx="10">
                  <c:v>6</c:v>
                </c:pt>
                <c:pt idx="11">
                  <c:v>1</c:v>
                </c:pt>
                <c:pt idx="12">
                  <c:v>2</c:v>
                </c:pt>
                <c:pt idx="13">
                  <c:v>1</c:v>
                </c:pt>
                <c:pt idx="14">
                  <c:v>1</c:v>
                </c:pt>
                <c:pt idx="15">
                  <c:v>2</c:v>
                </c:pt>
                <c:pt idx="16">
                  <c:v>8</c:v>
                </c:pt>
                <c:pt idx="17">
                  <c:v>1</c:v>
                </c:pt>
                <c:pt idx="18">
                  <c:v>7</c:v>
                </c:pt>
                <c:pt idx="19">
                  <c:v>5</c:v>
                </c:pt>
                <c:pt idx="20">
                  <c:v>9</c:v>
                </c:pt>
                <c:pt idx="21">
                  <c:v>1</c:v>
                </c:pt>
                <c:pt idx="22">
                  <c:v>4</c:v>
                </c:pt>
                <c:pt idx="23">
                  <c:v>1</c:v>
                </c:pt>
                <c:pt idx="24">
                  <c:v>2</c:v>
                </c:pt>
                <c:pt idx="25">
                  <c:v>5</c:v>
                </c:pt>
                <c:pt idx="26">
                  <c:v>2</c:v>
                </c:pt>
                <c:pt idx="27">
                  <c:v>1</c:v>
                </c:pt>
                <c:pt idx="28">
                  <c:v>7</c:v>
                </c:pt>
                <c:pt idx="29">
                  <c:v>6</c:v>
                </c:pt>
                <c:pt idx="30">
                  <c:v>1</c:v>
                </c:pt>
                <c:pt idx="31">
                  <c:v>2</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17FB-4141-BFCE-BD957A212687}"/>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f_eb!$A$2:$A$42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f_eb!$C$2:$C$42</c:f>
              <c:numCache>
                <c:formatCode>General</c:formatCode>
                <c:ptCount val="41"/>
                <c:pt idx="0">
                  <c:v>330</c:v>
                </c:pt>
                <c:pt idx="1">
                  <c:v>300</c:v>
                </c:pt>
                <c:pt idx="2">
                  <c:v>230</c:v>
                </c:pt>
                <c:pt idx="3">
                  <c:v>160</c:v>
                </c:pt>
                <c:pt idx="4">
                  <c:v>540</c:v>
                </c:pt>
                <c:pt idx="5">
                  <c:v>370</c:v>
                </c:pt>
                <c:pt idx="6">
                  <c:v>280</c:v>
                </c:pt>
                <c:pt idx="7">
                  <c:v>400</c:v>
                </c:pt>
                <c:pt idx="8">
                  <c:v>500</c:v>
                </c:pt>
                <c:pt idx="9">
                  <c:v>340</c:v>
                </c:pt>
                <c:pt idx="10">
                  <c:v>240</c:v>
                </c:pt>
                <c:pt idx="11">
                  <c:v>180</c:v>
                </c:pt>
                <c:pt idx="12">
                  <c:v>490</c:v>
                </c:pt>
                <c:pt idx="13">
                  <c:v>410</c:v>
                </c:pt>
                <c:pt idx="14">
                  <c:v>460</c:v>
                </c:pt>
                <c:pt idx="15">
                  <c:v>380</c:v>
                </c:pt>
                <c:pt idx="16">
                  <c:v>240</c:v>
                </c:pt>
                <c:pt idx="17">
                  <c:v>360</c:v>
                </c:pt>
                <c:pt idx="18">
                  <c:v>270</c:v>
                </c:pt>
                <c:pt idx="19">
                  <c:v>230</c:v>
                </c:pt>
                <c:pt idx="20">
                  <c:v>340</c:v>
                </c:pt>
                <c:pt idx="21">
                  <c:v>140</c:v>
                </c:pt>
                <c:pt idx="22">
                  <c:v>370</c:v>
                </c:pt>
                <c:pt idx="23">
                  <c:v>170</c:v>
                </c:pt>
                <c:pt idx="24">
                  <c:v>230</c:v>
                </c:pt>
                <c:pt idx="25">
                  <c:v>240</c:v>
                </c:pt>
                <c:pt idx="26">
                  <c:v>400</c:v>
                </c:pt>
                <c:pt idx="27">
                  <c:v>270</c:v>
                </c:pt>
                <c:pt idx="28">
                  <c:v>180</c:v>
                </c:pt>
                <c:pt idx="29">
                  <c:v>270</c:v>
                </c:pt>
                <c:pt idx="30">
                  <c:v>260</c:v>
                </c:pt>
                <c:pt idx="31">
                  <c:v>210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D37-48D7-842F-0B2649271454}"/>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f_eb!$D$2:$D$42</c:f>
              <c:numCache>
                <c:formatCode>General</c:formatCode>
                <c:ptCount val="41"/>
                <c:pt idx="0">
                  <c:v>40</c:v>
                </c:pt>
                <c:pt idx="1">
                  <c:v>40</c:v>
                </c:pt>
                <c:pt idx="2">
                  <c:v>40</c:v>
                </c:pt>
                <c:pt idx="3">
                  <c:v>110</c:v>
                </c:pt>
                <c:pt idx="4">
                  <c:v>40</c:v>
                </c:pt>
                <c:pt idx="5">
                  <c:v>20</c:v>
                </c:pt>
                <c:pt idx="6">
                  <c:v>130</c:v>
                </c:pt>
                <c:pt idx="7">
                  <c:v>50</c:v>
                </c:pt>
                <c:pt idx="8">
                  <c:v>20</c:v>
                </c:pt>
                <c:pt idx="9">
                  <c:v>60</c:v>
                </c:pt>
                <c:pt idx="10">
                  <c:v>80</c:v>
                </c:pt>
                <c:pt idx="11">
                  <c:v>40</c:v>
                </c:pt>
                <c:pt idx="12">
                  <c:v>40</c:v>
                </c:pt>
                <c:pt idx="13">
                  <c:v>90</c:v>
                </c:pt>
                <c:pt idx="14">
                  <c:v>40</c:v>
                </c:pt>
                <c:pt idx="15">
                  <c:v>50</c:v>
                </c:pt>
                <c:pt idx="16">
                  <c:v>60</c:v>
                </c:pt>
                <c:pt idx="17">
                  <c:v>100</c:v>
                </c:pt>
                <c:pt idx="18">
                  <c:v>60</c:v>
                </c:pt>
                <c:pt idx="19">
                  <c:v>90</c:v>
                </c:pt>
                <c:pt idx="20">
                  <c:v>70</c:v>
                </c:pt>
                <c:pt idx="21">
                  <c:v>100</c:v>
                </c:pt>
                <c:pt idx="22">
                  <c:v>0</c:v>
                </c:pt>
                <c:pt idx="23">
                  <c:v>50</c:v>
                </c:pt>
                <c:pt idx="24">
                  <c:v>70</c:v>
                </c:pt>
                <c:pt idx="25">
                  <c:v>50</c:v>
                </c:pt>
                <c:pt idx="26">
                  <c:v>80</c:v>
                </c:pt>
                <c:pt idx="27">
                  <c:v>60</c:v>
                </c:pt>
                <c:pt idx="28">
                  <c:v>60</c:v>
                </c:pt>
                <c:pt idx="29">
                  <c:v>50</c:v>
                </c:pt>
                <c:pt idx="30">
                  <c:v>20</c:v>
                </c:pt>
                <c:pt idx="31">
                  <c:v>80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48D-4C4A-9089-94117B559A40}"/>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f_eb!$E$2:$E$42</c:f>
              <c:numCache>
                <c:formatCode>General</c:formatCode>
                <c:ptCount val="41"/>
                <c:pt idx="0">
                  <c:v>130</c:v>
                </c:pt>
                <c:pt idx="1">
                  <c:v>170</c:v>
                </c:pt>
                <c:pt idx="2">
                  <c:v>180</c:v>
                </c:pt>
                <c:pt idx="3">
                  <c:v>20</c:v>
                </c:pt>
                <c:pt idx="4">
                  <c:v>100</c:v>
                </c:pt>
                <c:pt idx="5">
                  <c:v>230</c:v>
                </c:pt>
                <c:pt idx="6">
                  <c:v>170</c:v>
                </c:pt>
                <c:pt idx="7">
                  <c:v>120</c:v>
                </c:pt>
                <c:pt idx="8">
                  <c:v>140</c:v>
                </c:pt>
                <c:pt idx="9">
                  <c:v>150</c:v>
                </c:pt>
                <c:pt idx="10">
                  <c:v>190</c:v>
                </c:pt>
                <c:pt idx="11">
                  <c:v>140</c:v>
                </c:pt>
                <c:pt idx="12">
                  <c:v>60</c:v>
                </c:pt>
                <c:pt idx="13">
                  <c:v>0</c:v>
                </c:pt>
                <c:pt idx="14">
                  <c:v>40</c:v>
                </c:pt>
                <c:pt idx="15">
                  <c:v>210</c:v>
                </c:pt>
                <c:pt idx="16">
                  <c:v>110</c:v>
                </c:pt>
                <c:pt idx="17">
                  <c:v>40</c:v>
                </c:pt>
                <c:pt idx="18">
                  <c:v>150</c:v>
                </c:pt>
                <c:pt idx="19">
                  <c:v>230</c:v>
                </c:pt>
                <c:pt idx="20">
                  <c:v>60</c:v>
                </c:pt>
                <c:pt idx="21">
                  <c:v>70</c:v>
                </c:pt>
                <c:pt idx="22">
                  <c:v>230</c:v>
                </c:pt>
                <c:pt idx="23">
                  <c:v>200</c:v>
                </c:pt>
                <c:pt idx="24">
                  <c:v>70</c:v>
                </c:pt>
                <c:pt idx="25">
                  <c:v>90</c:v>
                </c:pt>
                <c:pt idx="26">
                  <c:v>0</c:v>
                </c:pt>
                <c:pt idx="27">
                  <c:v>120</c:v>
                </c:pt>
                <c:pt idx="28">
                  <c:v>180</c:v>
                </c:pt>
                <c:pt idx="29">
                  <c:v>220</c:v>
                </c:pt>
                <c:pt idx="30">
                  <c:v>150</c:v>
                </c:pt>
                <c:pt idx="31">
                  <c:v>270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4DB-4BAF-8A5A-7DC0890ADBB5}"/>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1849-468B-953F-42527E76B4D0}"/>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f_eb!$G$2:$G$42</c:f>
              <c:numCache>
                <c:formatCode>General</c:formatCode>
                <c:ptCount val="41"/>
                <c:pt idx="0">
                  <c:v>500</c:v>
                </c:pt>
                <c:pt idx="1">
                  <c:v>510</c:v>
                </c:pt>
                <c:pt idx="2">
                  <c:v>450</c:v>
                </c:pt>
                <c:pt idx="3">
                  <c:v>290</c:v>
                </c:pt>
                <c:pt idx="4">
                  <c:v>680</c:v>
                </c:pt>
                <c:pt idx="5">
                  <c:v>620</c:v>
                </c:pt>
                <c:pt idx="6">
                  <c:v>580</c:v>
                </c:pt>
                <c:pt idx="7">
                  <c:v>570</c:v>
                </c:pt>
                <c:pt idx="8">
                  <c:v>660</c:v>
                </c:pt>
                <c:pt idx="9">
                  <c:v>550</c:v>
                </c:pt>
                <c:pt idx="10">
                  <c:v>510</c:v>
                </c:pt>
                <c:pt idx="11">
                  <c:v>360</c:v>
                </c:pt>
                <c:pt idx="12">
                  <c:v>590</c:v>
                </c:pt>
                <c:pt idx="13">
                  <c:v>500</c:v>
                </c:pt>
                <c:pt idx="14">
                  <c:v>540</c:v>
                </c:pt>
                <c:pt idx="15">
                  <c:v>640</c:v>
                </c:pt>
                <c:pt idx="16">
                  <c:v>410</c:v>
                </c:pt>
                <c:pt idx="17">
                  <c:v>500</c:v>
                </c:pt>
                <c:pt idx="18">
                  <c:v>480</c:v>
                </c:pt>
                <c:pt idx="19">
                  <c:v>550</c:v>
                </c:pt>
                <c:pt idx="20">
                  <c:v>470</c:v>
                </c:pt>
                <c:pt idx="21">
                  <c:v>310</c:v>
                </c:pt>
                <c:pt idx="22">
                  <c:v>600</c:v>
                </c:pt>
                <c:pt idx="23">
                  <c:v>420</c:v>
                </c:pt>
                <c:pt idx="24">
                  <c:v>370</c:v>
                </c:pt>
                <c:pt idx="25">
                  <c:v>380</c:v>
                </c:pt>
                <c:pt idx="26">
                  <c:v>480</c:v>
                </c:pt>
                <c:pt idx="27">
                  <c:v>450</c:v>
                </c:pt>
                <c:pt idx="28">
                  <c:v>420</c:v>
                </c:pt>
                <c:pt idx="29">
                  <c:v>540</c:v>
                </c:pt>
                <c:pt idx="30">
                  <c:v>430</c:v>
                </c:pt>
                <c:pt idx="31">
                  <c:v>560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DB5B-4859-8A31-40A16C1206CE}"/>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f_eb!$H$2:$H$42</c:f>
              <c:numCache>
                <c:formatCode>General</c:formatCode>
                <c:ptCount val="41"/>
                <c:pt idx="0">
                  <c:v>3</c:v>
                </c:pt>
                <c:pt idx="1">
                  <c:v>8</c:v>
                </c:pt>
                <c:pt idx="2">
                  <c:v>6</c:v>
                </c:pt>
                <c:pt idx="3">
                  <c:v>9</c:v>
                </c:pt>
                <c:pt idx="4">
                  <c:v>2</c:v>
                </c:pt>
                <c:pt idx="5">
                  <c:v>4</c:v>
                </c:pt>
                <c:pt idx="6">
                  <c:v>8</c:v>
                </c:pt>
                <c:pt idx="7">
                  <c:v>1</c:v>
                </c:pt>
                <c:pt idx="8">
                  <c:v>4</c:v>
                </c:pt>
                <c:pt idx="9">
                  <c:v>7</c:v>
                </c:pt>
                <c:pt idx="10">
                  <c:v>8</c:v>
                </c:pt>
                <c:pt idx="11">
                  <c:v>8</c:v>
                </c:pt>
                <c:pt idx="12">
                  <c:v>4</c:v>
                </c:pt>
                <c:pt idx="13">
                  <c:v>7</c:v>
                </c:pt>
                <c:pt idx="14">
                  <c:v>7</c:v>
                </c:pt>
                <c:pt idx="15">
                  <c:v>3</c:v>
                </c:pt>
                <c:pt idx="16">
                  <c:v>4</c:v>
                </c:pt>
                <c:pt idx="17">
                  <c:v>2</c:v>
                </c:pt>
                <c:pt idx="18">
                  <c:v>6</c:v>
                </c:pt>
                <c:pt idx="19">
                  <c:v>1</c:v>
                </c:pt>
                <c:pt idx="20">
                  <c:v>3</c:v>
                </c:pt>
                <c:pt idx="21">
                  <c:v>7</c:v>
                </c:pt>
                <c:pt idx="22">
                  <c:v>5</c:v>
                </c:pt>
                <c:pt idx="23">
                  <c:v>9</c:v>
                </c:pt>
                <c:pt idx="24">
                  <c:v>6</c:v>
                </c:pt>
                <c:pt idx="25">
                  <c:v>8</c:v>
                </c:pt>
                <c:pt idx="26">
                  <c:v>5</c:v>
                </c:pt>
                <c:pt idx="27">
                  <c:v>8</c:v>
                </c:pt>
                <c:pt idx="28">
                  <c:v>4</c:v>
                </c:pt>
                <c:pt idx="29">
                  <c:v>7</c:v>
                </c:pt>
                <c:pt idx="30">
                  <c:v>7</c:v>
                </c:pt>
                <c:pt idx="31">
                  <c:v>5</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B94-465E-AB99-E171426BD8E6}"/>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f_kaf!$A$2:$A$42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f_kaf!$C$2:$C$42</c:f>
              <c:numCache>
                <c:formatCode>General</c:formatCode>
                <c:ptCount val="41"/>
                <c:pt idx="0">
                  <c:v>220</c:v>
                </c:pt>
                <c:pt idx="1">
                  <c:v>290</c:v>
                </c:pt>
                <c:pt idx="2">
                  <c:v>250</c:v>
                </c:pt>
                <c:pt idx="3">
                  <c:v>160</c:v>
                </c:pt>
                <c:pt idx="4">
                  <c:v>540</c:v>
                </c:pt>
                <c:pt idx="5">
                  <c:v>390</c:v>
                </c:pt>
                <c:pt idx="6">
                  <c:v>270</c:v>
                </c:pt>
                <c:pt idx="7">
                  <c:v>370</c:v>
                </c:pt>
                <c:pt idx="8">
                  <c:v>450</c:v>
                </c:pt>
                <c:pt idx="9">
                  <c:v>340</c:v>
                </c:pt>
                <c:pt idx="10">
                  <c:v>310</c:v>
                </c:pt>
                <c:pt idx="11">
                  <c:v>160</c:v>
                </c:pt>
                <c:pt idx="12">
                  <c:v>440</c:v>
                </c:pt>
                <c:pt idx="13">
                  <c:v>500</c:v>
                </c:pt>
                <c:pt idx="14">
                  <c:v>510</c:v>
                </c:pt>
                <c:pt idx="15">
                  <c:v>320</c:v>
                </c:pt>
                <c:pt idx="16">
                  <c:v>90</c:v>
                </c:pt>
                <c:pt idx="17">
                  <c:v>270</c:v>
                </c:pt>
                <c:pt idx="18">
                  <c:v>160</c:v>
                </c:pt>
                <c:pt idx="19">
                  <c:v>180</c:v>
                </c:pt>
                <c:pt idx="20">
                  <c:v>310</c:v>
                </c:pt>
                <c:pt idx="21">
                  <c:v>180</c:v>
                </c:pt>
                <c:pt idx="22">
                  <c:v>260</c:v>
                </c:pt>
                <c:pt idx="23">
                  <c:v>140</c:v>
                </c:pt>
                <c:pt idx="24">
                  <c:v>200</c:v>
                </c:pt>
                <c:pt idx="25">
                  <c:v>290</c:v>
                </c:pt>
                <c:pt idx="26">
                  <c:v>350</c:v>
                </c:pt>
                <c:pt idx="27">
                  <c:v>270</c:v>
                </c:pt>
                <c:pt idx="28">
                  <c:v>220</c:v>
                </c:pt>
                <c:pt idx="29">
                  <c:v>300</c:v>
                </c:pt>
                <c:pt idx="30">
                  <c:v>260</c:v>
                </c:pt>
                <c:pt idx="31">
                  <c:v>190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50EA-4FF6-9618-F250490B9E93}"/>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f_kaf!$D$2:$D$42</c:f>
              <c:numCache>
                <c:formatCode>General</c:formatCode>
                <c:ptCount val="41"/>
                <c:pt idx="0">
                  <c:v>50</c:v>
                </c:pt>
                <c:pt idx="1">
                  <c:v>80</c:v>
                </c:pt>
                <c:pt idx="2">
                  <c:v>60</c:v>
                </c:pt>
                <c:pt idx="3">
                  <c:v>150</c:v>
                </c:pt>
                <c:pt idx="4">
                  <c:v>30</c:v>
                </c:pt>
                <c:pt idx="5">
                  <c:v>30</c:v>
                </c:pt>
                <c:pt idx="6">
                  <c:v>150</c:v>
                </c:pt>
                <c:pt idx="7">
                  <c:v>50</c:v>
                </c:pt>
                <c:pt idx="8">
                  <c:v>30</c:v>
                </c:pt>
                <c:pt idx="9">
                  <c:v>70</c:v>
                </c:pt>
                <c:pt idx="10">
                  <c:v>90</c:v>
                </c:pt>
                <c:pt idx="11">
                  <c:v>50</c:v>
                </c:pt>
                <c:pt idx="12">
                  <c:v>30</c:v>
                </c:pt>
                <c:pt idx="13">
                  <c:v>50</c:v>
                </c:pt>
                <c:pt idx="14">
                  <c:v>50</c:v>
                </c:pt>
                <c:pt idx="15">
                  <c:v>60</c:v>
                </c:pt>
                <c:pt idx="16">
                  <c:v>90</c:v>
                </c:pt>
                <c:pt idx="17">
                  <c:v>100</c:v>
                </c:pt>
                <c:pt idx="18">
                  <c:v>50</c:v>
                </c:pt>
                <c:pt idx="19">
                  <c:v>70</c:v>
                </c:pt>
                <c:pt idx="20">
                  <c:v>90</c:v>
                </c:pt>
                <c:pt idx="21">
                  <c:v>120</c:v>
                </c:pt>
                <c:pt idx="22">
                  <c:v>0</c:v>
                </c:pt>
                <c:pt idx="23">
                  <c:v>70</c:v>
                </c:pt>
                <c:pt idx="24">
                  <c:v>70</c:v>
                </c:pt>
                <c:pt idx="25">
                  <c:v>70</c:v>
                </c:pt>
                <c:pt idx="26">
                  <c:v>90</c:v>
                </c:pt>
                <c:pt idx="27">
                  <c:v>80</c:v>
                </c:pt>
                <c:pt idx="28">
                  <c:v>90</c:v>
                </c:pt>
                <c:pt idx="29">
                  <c:v>50</c:v>
                </c:pt>
                <c:pt idx="30">
                  <c:v>80</c:v>
                </c:pt>
                <c:pt idx="31">
                  <c:v>50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CC5E-40B7-B735-73CCD78A976C}"/>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f_kaf!$E$2:$E$42</c:f>
              <c:numCache>
                <c:formatCode>General</c:formatCode>
                <c:ptCount val="41"/>
                <c:pt idx="0">
                  <c:v>200</c:v>
                </c:pt>
                <c:pt idx="1">
                  <c:v>200</c:v>
                </c:pt>
                <c:pt idx="2">
                  <c:v>200</c:v>
                </c:pt>
                <c:pt idx="3">
                  <c:v>70</c:v>
                </c:pt>
                <c:pt idx="4">
                  <c:v>60</c:v>
                </c:pt>
                <c:pt idx="5">
                  <c:v>210</c:v>
                </c:pt>
                <c:pt idx="6">
                  <c:v>220</c:v>
                </c:pt>
                <c:pt idx="7">
                  <c:v>130</c:v>
                </c:pt>
                <c:pt idx="8">
                  <c:v>160</c:v>
                </c:pt>
                <c:pt idx="9">
                  <c:v>200</c:v>
                </c:pt>
                <c:pt idx="10">
                  <c:v>180</c:v>
                </c:pt>
                <c:pt idx="11">
                  <c:v>150</c:v>
                </c:pt>
                <c:pt idx="12">
                  <c:v>110</c:v>
                </c:pt>
                <c:pt idx="13">
                  <c:v>0</c:v>
                </c:pt>
                <c:pt idx="14">
                  <c:v>70</c:v>
                </c:pt>
                <c:pt idx="15">
                  <c:v>260</c:v>
                </c:pt>
                <c:pt idx="16">
                  <c:v>30</c:v>
                </c:pt>
                <c:pt idx="17">
                  <c:v>40</c:v>
                </c:pt>
                <c:pt idx="18">
                  <c:v>200</c:v>
                </c:pt>
                <c:pt idx="19">
                  <c:v>180</c:v>
                </c:pt>
                <c:pt idx="20">
                  <c:v>30</c:v>
                </c:pt>
                <c:pt idx="21">
                  <c:v>30</c:v>
                </c:pt>
                <c:pt idx="22">
                  <c:v>320</c:v>
                </c:pt>
                <c:pt idx="23">
                  <c:v>260</c:v>
                </c:pt>
                <c:pt idx="24">
                  <c:v>70</c:v>
                </c:pt>
                <c:pt idx="25">
                  <c:v>150</c:v>
                </c:pt>
                <c:pt idx="26">
                  <c:v>0</c:v>
                </c:pt>
                <c:pt idx="27">
                  <c:v>140</c:v>
                </c:pt>
                <c:pt idx="28">
                  <c:v>240</c:v>
                </c:pt>
                <c:pt idx="29">
                  <c:v>250</c:v>
                </c:pt>
                <c:pt idx="30">
                  <c:v>210</c:v>
                </c:pt>
                <c:pt idx="31">
                  <c:v>320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EBB-42B4-A5C1-E9771095B468}"/>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f_kaf!$F$2:$F$42</c:f>
              <c:numCache>
                <c:formatCode>General</c:formatCode>
                <c:ptCount val="41"/>
                <c:pt idx="0">
                  <c:v>0</c:v>
                </c:pt>
                <c:pt idx="1">
                  <c:v>0</c:v>
                </c:pt>
                <c:pt idx="2">
                  <c:v>0</c:v>
                </c:pt>
                <c:pt idx="3">
                  <c:v>0</c:v>
                </c:pt>
                <c:pt idx="4">
                  <c:v>-50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1C1-4A0F-ADB6-E105C533309E}"/>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f_kaf!$G$2:$G$42</c:f>
              <c:numCache>
                <c:formatCode>General</c:formatCode>
                <c:ptCount val="41"/>
                <c:pt idx="0">
                  <c:v>470</c:v>
                </c:pt>
                <c:pt idx="1">
                  <c:v>570</c:v>
                </c:pt>
                <c:pt idx="2">
                  <c:v>510</c:v>
                </c:pt>
                <c:pt idx="3">
                  <c:v>380</c:v>
                </c:pt>
                <c:pt idx="4">
                  <c:v>580</c:v>
                </c:pt>
                <c:pt idx="5">
                  <c:v>630</c:v>
                </c:pt>
                <c:pt idx="6">
                  <c:v>640</c:v>
                </c:pt>
                <c:pt idx="7">
                  <c:v>550</c:v>
                </c:pt>
                <c:pt idx="8">
                  <c:v>640</c:v>
                </c:pt>
                <c:pt idx="9">
                  <c:v>610</c:v>
                </c:pt>
                <c:pt idx="10">
                  <c:v>580</c:v>
                </c:pt>
                <c:pt idx="11">
                  <c:v>360</c:v>
                </c:pt>
                <c:pt idx="12">
                  <c:v>580</c:v>
                </c:pt>
                <c:pt idx="13">
                  <c:v>550</c:v>
                </c:pt>
                <c:pt idx="14">
                  <c:v>630</c:v>
                </c:pt>
                <c:pt idx="15">
                  <c:v>640</c:v>
                </c:pt>
                <c:pt idx="16">
                  <c:v>210</c:v>
                </c:pt>
                <c:pt idx="17">
                  <c:v>410</c:v>
                </c:pt>
                <c:pt idx="18">
                  <c:v>410</c:v>
                </c:pt>
                <c:pt idx="19">
                  <c:v>430</c:v>
                </c:pt>
                <c:pt idx="20">
                  <c:v>430</c:v>
                </c:pt>
                <c:pt idx="21">
                  <c:v>330</c:v>
                </c:pt>
                <c:pt idx="22">
                  <c:v>580</c:v>
                </c:pt>
                <c:pt idx="23">
                  <c:v>470</c:v>
                </c:pt>
                <c:pt idx="24">
                  <c:v>340</c:v>
                </c:pt>
                <c:pt idx="25">
                  <c:v>510</c:v>
                </c:pt>
                <c:pt idx="26">
                  <c:v>440</c:v>
                </c:pt>
                <c:pt idx="27">
                  <c:v>490</c:v>
                </c:pt>
                <c:pt idx="28">
                  <c:v>550</c:v>
                </c:pt>
                <c:pt idx="29">
                  <c:v>600</c:v>
                </c:pt>
                <c:pt idx="30">
                  <c:v>550</c:v>
                </c:pt>
                <c:pt idx="31">
                  <c:v>560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214-4180-BF6B-811534597F3C}"/>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f_kaf!$H$2:$H$42</c:f>
              <c:numCache>
                <c:formatCode>General</c:formatCode>
                <c:ptCount val="41"/>
                <c:pt idx="0">
                  <c:v>6</c:v>
                </c:pt>
                <c:pt idx="1">
                  <c:v>5</c:v>
                </c:pt>
                <c:pt idx="2">
                  <c:v>3</c:v>
                </c:pt>
                <c:pt idx="3">
                  <c:v>2</c:v>
                </c:pt>
                <c:pt idx="4">
                  <c:v>9</c:v>
                </c:pt>
                <c:pt idx="5">
                  <c:v>2</c:v>
                </c:pt>
                <c:pt idx="6">
                  <c:v>3</c:v>
                </c:pt>
                <c:pt idx="7">
                  <c:v>3</c:v>
                </c:pt>
                <c:pt idx="8">
                  <c:v>5</c:v>
                </c:pt>
                <c:pt idx="9">
                  <c:v>2</c:v>
                </c:pt>
                <c:pt idx="10">
                  <c:v>3</c:v>
                </c:pt>
                <c:pt idx="11">
                  <c:v>8</c:v>
                </c:pt>
                <c:pt idx="12">
                  <c:v>5</c:v>
                </c:pt>
                <c:pt idx="13">
                  <c:v>6</c:v>
                </c:pt>
                <c:pt idx="14">
                  <c:v>2</c:v>
                </c:pt>
                <c:pt idx="15">
                  <c:v>3</c:v>
                </c:pt>
                <c:pt idx="16">
                  <c:v>9</c:v>
                </c:pt>
                <c:pt idx="17">
                  <c:v>6</c:v>
                </c:pt>
                <c:pt idx="18">
                  <c:v>9</c:v>
                </c:pt>
                <c:pt idx="19">
                  <c:v>8</c:v>
                </c:pt>
                <c:pt idx="20">
                  <c:v>8</c:v>
                </c:pt>
                <c:pt idx="21">
                  <c:v>4</c:v>
                </c:pt>
                <c:pt idx="22">
                  <c:v>6</c:v>
                </c:pt>
                <c:pt idx="23">
                  <c:v>5</c:v>
                </c:pt>
                <c:pt idx="24">
                  <c:v>8</c:v>
                </c:pt>
                <c:pt idx="25">
                  <c:v>2</c:v>
                </c:pt>
                <c:pt idx="26">
                  <c:v>8</c:v>
                </c:pt>
                <c:pt idx="27">
                  <c:v>5</c:v>
                </c:pt>
                <c:pt idx="28">
                  <c:v>1</c:v>
                </c:pt>
                <c:pt idx="29">
                  <c:v>3</c:v>
                </c:pt>
                <c:pt idx="30">
                  <c:v>2</c:v>
                </c:pt>
                <c:pt idx="31">
                  <c:v>5</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026-470B-94E9-7E3CB0D6E21D}"/>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f_øg!$A$2:$A$42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f_øg!$C$2:$C$42</c:f>
              <c:numCache>
                <c:formatCode>General</c:formatCode>
                <c:ptCount val="41"/>
                <c:pt idx="0">
                  <c:v>220</c:v>
                </c:pt>
                <c:pt idx="1">
                  <c:v>480</c:v>
                </c:pt>
                <c:pt idx="2">
                  <c:v>250</c:v>
                </c:pt>
                <c:pt idx="3">
                  <c:v>180</c:v>
                </c:pt>
                <c:pt idx="4">
                  <c:v>570</c:v>
                </c:pt>
                <c:pt idx="5">
                  <c:v>410</c:v>
                </c:pt>
                <c:pt idx="6">
                  <c:v>400</c:v>
                </c:pt>
                <c:pt idx="7">
                  <c:v>320</c:v>
                </c:pt>
                <c:pt idx="8">
                  <c:v>550</c:v>
                </c:pt>
                <c:pt idx="9">
                  <c:v>330</c:v>
                </c:pt>
                <c:pt idx="10">
                  <c:v>330</c:v>
                </c:pt>
                <c:pt idx="11">
                  <c:v>270</c:v>
                </c:pt>
                <c:pt idx="12">
                  <c:v>530</c:v>
                </c:pt>
                <c:pt idx="13">
                  <c:v>550</c:v>
                </c:pt>
                <c:pt idx="14">
                  <c:v>500</c:v>
                </c:pt>
                <c:pt idx="15">
                  <c:v>410</c:v>
                </c:pt>
                <c:pt idx="16">
                  <c:v>320</c:v>
                </c:pt>
                <c:pt idx="17">
                  <c:v>340</c:v>
                </c:pt>
                <c:pt idx="18">
                  <c:v>330</c:v>
                </c:pt>
                <c:pt idx="19">
                  <c:v>240</c:v>
                </c:pt>
                <c:pt idx="20">
                  <c:v>400</c:v>
                </c:pt>
                <c:pt idx="21">
                  <c:v>240</c:v>
                </c:pt>
                <c:pt idx="22">
                  <c:v>400</c:v>
                </c:pt>
                <c:pt idx="23">
                  <c:v>250</c:v>
                </c:pt>
                <c:pt idx="24">
                  <c:v>200</c:v>
                </c:pt>
                <c:pt idx="25">
                  <c:v>260</c:v>
                </c:pt>
                <c:pt idx="26">
                  <c:v>440</c:v>
                </c:pt>
                <c:pt idx="27">
                  <c:v>450</c:v>
                </c:pt>
                <c:pt idx="28">
                  <c:v>240</c:v>
                </c:pt>
                <c:pt idx="29">
                  <c:v>330</c:v>
                </c:pt>
                <c:pt idx="30">
                  <c:v>330</c:v>
                </c:pt>
                <c:pt idx="31">
                  <c:v>170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2EC-4002-A305-8F08E326F229}"/>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f_øg!$D$2:$D$42</c:f>
              <c:numCache>
                <c:formatCode>General</c:formatCode>
                <c:ptCount val="41"/>
                <c:pt idx="0">
                  <c:v>20</c:v>
                </c:pt>
                <c:pt idx="1">
                  <c:v>30</c:v>
                </c:pt>
                <c:pt idx="2">
                  <c:v>30</c:v>
                </c:pt>
                <c:pt idx="3">
                  <c:v>110</c:v>
                </c:pt>
                <c:pt idx="4">
                  <c:v>10</c:v>
                </c:pt>
                <c:pt idx="5">
                  <c:v>10</c:v>
                </c:pt>
                <c:pt idx="6">
                  <c:v>40</c:v>
                </c:pt>
                <c:pt idx="7">
                  <c:v>20</c:v>
                </c:pt>
                <c:pt idx="8">
                  <c:v>10</c:v>
                </c:pt>
                <c:pt idx="9">
                  <c:v>30</c:v>
                </c:pt>
                <c:pt idx="10">
                  <c:v>30</c:v>
                </c:pt>
                <c:pt idx="11">
                  <c:v>30</c:v>
                </c:pt>
                <c:pt idx="12">
                  <c:v>10</c:v>
                </c:pt>
                <c:pt idx="13">
                  <c:v>30</c:v>
                </c:pt>
                <c:pt idx="14">
                  <c:v>20</c:v>
                </c:pt>
                <c:pt idx="15">
                  <c:v>20</c:v>
                </c:pt>
                <c:pt idx="16">
                  <c:v>50</c:v>
                </c:pt>
                <c:pt idx="17">
                  <c:v>40</c:v>
                </c:pt>
                <c:pt idx="18">
                  <c:v>30</c:v>
                </c:pt>
                <c:pt idx="19">
                  <c:v>30</c:v>
                </c:pt>
                <c:pt idx="20">
                  <c:v>100</c:v>
                </c:pt>
                <c:pt idx="21">
                  <c:v>60</c:v>
                </c:pt>
                <c:pt idx="22">
                  <c:v>0</c:v>
                </c:pt>
                <c:pt idx="23">
                  <c:v>30</c:v>
                </c:pt>
                <c:pt idx="24">
                  <c:v>30</c:v>
                </c:pt>
                <c:pt idx="25">
                  <c:v>30</c:v>
                </c:pt>
                <c:pt idx="26">
                  <c:v>30</c:v>
                </c:pt>
                <c:pt idx="27">
                  <c:v>20</c:v>
                </c:pt>
                <c:pt idx="28">
                  <c:v>30</c:v>
                </c:pt>
                <c:pt idx="29">
                  <c:v>20</c:v>
                </c:pt>
                <c:pt idx="30">
                  <c:v>20</c:v>
                </c:pt>
                <c:pt idx="31">
                  <c:v>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DFE-40B3-8BE3-3CFA08B11086}"/>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f_øg!$E$2:$E$42</c:f>
              <c:numCache>
                <c:formatCode>General</c:formatCode>
                <c:ptCount val="41"/>
                <c:pt idx="0">
                  <c:v>250</c:v>
                </c:pt>
                <c:pt idx="1">
                  <c:v>170</c:v>
                </c:pt>
                <c:pt idx="2">
                  <c:v>120</c:v>
                </c:pt>
                <c:pt idx="3">
                  <c:v>20</c:v>
                </c:pt>
                <c:pt idx="4">
                  <c:v>70</c:v>
                </c:pt>
                <c:pt idx="5">
                  <c:v>260</c:v>
                </c:pt>
                <c:pt idx="6">
                  <c:v>170</c:v>
                </c:pt>
                <c:pt idx="7">
                  <c:v>180</c:v>
                </c:pt>
                <c:pt idx="8">
                  <c:v>200</c:v>
                </c:pt>
                <c:pt idx="9">
                  <c:v>250</c:v>
                </c:pt>
                <c:pt idx="10">
                  <c:v>250</c:v>
                </c:pt>
                <c:pt idx="11">
                  <c:v>170</c:v>
                </c:pt>
                <c:pt idx="12">
                  <c:v>100</c:v>
                </c:pt>
                <c:pt idx="13">
                  <c:v>0</c:v>
                </c:pt>
                <c:pt idx="14">
                  <c:v>20</c:v>
                </c:pt>
                <c:pt idx="15">
                  <c:v>250</c:v>
                </c:pt>
                <c:pt idx="16">
                  <c:v>130</c:v>
                </c:pt>
                <c:pt idx="17">
                  <c:v>20</c:v>
                </c:pt>
                <c:pt idx="18">
                  <c:v>250</c:v>
                </c:pt>
                <c:pt idx="19">
                  <c:v>200</c:v>
                </c:pt>
                <c:pt idx="20">
                  <c:v>30</c:v>
                </c:pt>
                <c:pt idx="21">
                  <c:v>30</c:v>
                </c:pt>
                <c:pt idx="22">
                  <c:v>420</c:v>
                </c:pt>
                <c:pt idx="23">
                  <c:v>190</c:v>
                </c:pt>
                <c:pt idx="24">
                  <c:v>40</c:v>
                </c:pt>
                <c:pt idx="25">
                  <c:v>180</c:v>
                </c:pt>
                <c:pt idx="26">
                  <c:v>0</c:v>
                </c:pt>
                <c:pt idx="27">
                  <c:v>110</c:v>
                </c:pt>
                <c:pt idx="28">
                  <c:v>130</c:v>
                </c:pt>
                <c:pt idx="29">
                  <c:v>260</c:v>
                </c:pt>
                <c:pt idx="30">
                  <c:v>120</c:v>
                </c:pt>
                <c:pt idx="31">
                  <c:v>270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0B8-4839-89C6-7483F355849B}"/>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-50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556F-4DD3-A25E-929F01A8288A}"/>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f_øg!$G$2:$G$42</c:f>
              <c:numCache>
                <c:formatCode>General</c:formatCode>
                <c:ptCount val="41"/>
                <c:pt idx="0">
                  <c:v>490</c:v>
                </c:pt>
                <c:pt idx="1">
                  <c:v>680</c:v>
                </c:pt>
                <c:pt idx="2">
                  <c:v>400</c:v>
                </c:pt>
                <c:pt idx="3">
                  <c:v>310</c:v>
                </c:pt>
                <c:pt idx="4">
                  <c:v>650</c:v>
                </c:pt>
                <c:pt idx="5">
                  <c:v>680</c:v>
                </c:pt>
                <c:pt idx="6">
                  <c:v>610</c:v>
                </c:pt>
                <c:pt idx="7">
                  <c:v>520</c:v>
                </c:pt>
                <c:pt idx="8">
                  <c:v>760</c:v>
                </c:pt>
                <c:pt idx="9">
                  <c:v>610</c:v>
                </c:pt>
                <c:pt idx="10">
                  <c:v>610</c:v>
                </c:pt>
                <c:pt idx="11">
                  <c:v>470</c:v>
                </c:pt>
                <c:pt idx="12">
                  <c:v>640</c:v>
                </c:pt>
                <c:pt idx="13">
                  <c:v>580</c:v>
                </c:pt>
                <c:pt idx="14">
                  <c:v>540</c:v>
                </c:pt>
                <c:pt idx="15">
                  <c:v>680</c:v>
                </c:pt>
                <c:pt idx="16">
                  <c:v>500</c:v>
                </c:pt>
                <c:pt idx="17">
                  <c:v>400</c:v>
                </c:pt>
                <c:pt idx="18">
                  <c:v>610</c:v>
                </c:pt>
                <c:pt idx="19">
                  <c:v>470</c:v>
                </c:pt>
                <c:pt idx="20">
                  <c:v>530</c:v>
                </c:pt>
                <c:pt idx="21">
                  <c:v>330</c:v>
                </c:pt>
                <c:pt idx="22">
                  <c:v>820</c:v>
                </c:pt>
                <c:pt idx="23">
                  <c:v>470</c:v>
                </c:pt>
                <c:pt idx="24">
                  <c:v>270</c:v>
                </c:pt>
                <c:pt idx="25">
                  <c:v>470</c:v>
                </c:pt>
                <c:pt idx="26">
                  <c:v>470</c:v>
                </c:pt>
                <c:pt idx="27">
                  <c:v>580</c:v>
                </c:pt>
                <c:pt idx="28">
                  <c:v>400</c:v>
                </c:pt>
                <c:pt idx="29">
                  <c:v>610</c:v>
                </c:pt>
                <c:pt idx="30">
                  <c:v>420</c:v>
                </c:pt>
                <c:pt idx="31">
                  <c:v>470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70E-4313-AF53-1A33C983A1D6}"/>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f_øg!$H$2:$H$42</c:f>
              <c:numCache>
                <c:formatCode>General</c:formatCode>
                <c:ptCount val="41"/>
                <c:pt idx="0">
                  <c:v>4</c:v>
                </c:pt>
                <c:pt idx="1">
                  <c:v>1</c:v>
                </c:pt>
                <c:pt idx="2">
                  <c:v>8</c:v>
                </c:pt>
                <c:pt idx="3">
                  <c:v>7</c:v>
                </c:pt>
                <c:pt idx="4">
                  <c:v>5</c:v>
                </c:pt>
                <c:pt idx="5">
                  <c:v>1</c:v>
                </c:pt>
                <c:pt idx="6">
                  <c:v>5</c:v>
                </c:pt>
                <c:pt idx="7">
                  <c:v>4</c:v>
                </c:pt>
                <c:pt idx="8">
                  <c:v>1</c:v>
                </c:pt>
                <c:pt idx="9">
                  <c:v>2</c:v>
                </c:pt>
                <c:pt idx="10">
                  <c:v>1</c:v>
                </c:pt>
                <c:pt idx="11">
                  <c:v>2</c:v>
                </c:pt>
                <c:pt idx="12">
                  <c:v>2</c:v>
                </c:pt>
                <c:pt idx="13">
                  <c:v>3</c:v>
                </c:pt>
                <c:pt idx="14">
                  <c:v>7</c:v>
                </c:pt>
                <c:pt idx="15">
                  <c:v>1</c:v>
                </c:pt>
                <c:pt idx="16">
                  <c:v>1</c:v>
                </c:pt>
                <c:pt idx="17">
                  <c:v>8</c:v>
                </c:pt>
                <c:pt idx="18">
                  <c:v>1</c:v>
                </c:pt>
                <c:pt idx="19">
                  <c:v>5</c:v>
                </c:pt>
                <c:pt idx="20">
                  <c:v>1</c:v>
                </c:pt>
                <c:pt idx="21">
                  <c:v>4</c:v>
                </c:pt>
                <c:pt idx="22">
                  <c:v>1</c:v>
                </c:pt>
                <c:pt idx="23">
                  <c:v>5</c:v>
                </c:pt>
                <c:pt idx="24">
                  <c:v>9</c:v>
                </c:pt>
                <c:pt idx="25">
                  <c:v>5</c:v>
                </c:pt>
                <c:pt idx="26">
                  <c:v>7</c:v>
                </c:pt>
                <c:pt idx="27">
                  <c:v>1</c:v>
                </c:pt>
                <c:pt idx="28">
                  <c:v>7</c:v>
                </c:pt>
                <c:pt idx="29">
                  <c:v>1</c:v>
                </c:pt>
                <c:pt idx="30">
                  <c:v>8</c:v>
                </c:pt>
                <c:pt idx="31">
                  <c:v>9</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038-4552-AC17-B19CE6AF993B}"/>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f_jh!$A$2:$A$42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f_jh!$C$2:$C$42</c:f>
              <c:numCache>
                <c:formatCode>General</c:formatCode>
                <c:ptCount val="41"/>
                <c:pt idx="0">
                  <c:v>240</c:v>
                </c:pt>
                <c:pt idx="1">
                  <c:v>260</c:v>
                </c:pt>
                <c:pt idx="2">
                  <c:v>250</c:v>
                </c:pt>
                <c:pt idx="3">
                  <c:v>130</c:v>
                </c:pt>
                <c:pt idx="4">
                  <c:v>500</c:v>
                </c:pt>
                <c:pt idx="5">
                  <c:v>360</c:v>
                </c:pt>
                <c:pt idx="6">
                  <c:v>330</c:v>
                </c:pt>
                <c:pt idx="7">
                  <c:v>290</c:v>
                </c:pt>
                <c:pt idx="8">
                  <c:v>430</c:v>
                </c:pt>
                <c:pt idx="9">
                  <c:v>380</c:v>
                </c:pt>
                <c:pt idx="10">
                  <c:v>260</c:v>
                </c:pt>
                <c:pt idx="11">
                  <c:v>270</c:v>
                </c:pt>
                <c:pt idx="12">
                  <c:v>340</c:v>
                </c:pt>
                <c:pt idx="13">
                  <c:v>430</c:v>
                </c:pt>
                <c:pt idx="14">
                  <c:v>450</c:v>
                </c:pt>
                <c:pt idx="15">
                  <c:v>230</c:v>
                </c:pt>
                <c:pt idx="16">
                  <c:v>170</c:v>
                </c:pt>
                <c:pt idx="17">
                  <c:v>270</c:v>
                </c:pt>
                <c:pt idx="18">
                  <c:v>210</c:v>
                </c:pt>
                <c:pt idx="19">
                  <c:v>220</c:v>
                </c:pt>
                <c:pt idx="20">
                  <c:v>290</c:v>
                </c:pt>
                <c:pt idx="21">
                  <c:v>100</c:v>
                </c:pt>
                <c:pt idx="22">
                  <c:v>290</c:v>
                </c:pt>
                <c:pt idx="23">
                  <c:v>120</c:v>
                </c:pt>
                <c:pt idx="24">
                  <c:v>190</c:v>
                </c:pt>
                <c:pt idx="25">
                  <c:v>240</c:v>
                </c:pt>
                <c:pt idx="26">
                  <c:v>280</c:v>
                </c:pt>
                <c:pt idx="27">
                  <c:v>270</c:v>
                </c:pt>
                <c:pt idx="28">
                  <c:v>140</c:v>
                </c:pt>
                <c:pt idx="29">
                  <c:v>260</c:v>
                </c:pt>
                <c:pt idx="30">
                  <c:v>280</c:v>
                </c:pt>
                <c:pt idx="31">
                  <c:v>240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C7AA-468C-851B-36F0BCA01CF6}"/>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f_jh!$D$2:$D$42</c:f>
              <c:numCache>
                <c:formatCode>General</c:formatCode>
                <c:ptCount val="41"/>
                <c:pt idx="0">
                  <c:v>40</c:v>
                </c:pt>
                <c:pt idx="1">
                  <c:v>100</c:v>
                </c:pt>
                <c:pt idx="2">
                  <c:v>60</c:v>
                </c:pt>
                <c:pt idx="3">
                  <c:v>120</c:v>
                </c:pt>
                <c:pt idx="4">
                  <c:v>10</c:v>
                </c:pt>
                <c:pt idx="5">
                  <c:v>10</c:v>
                </c:pt>
                <c:pt idx="6">
                  <c:v>90</c:v>
                </c:pt>
                <c:pt idx="7">
                  <c:v>20</c:v>
                </c:pt>
                <c:pt idx="8">
                  <c:v>20</c:v>
                </c:pt>
                <c:pt idx="9">
                  <c:v>50</c:v>
                </c:pt>
                <c:pt idx="10">
                  <c:v>60</c:v>
                </c:pt>
                <c:pt idx="11">
                  <c:v>30</c:v>
                </c:pt>
                <c:pt idx="12">
                  <c:v>30</c:v>
                </c:pt>
                <c:pt idx="13">
                  <c:v>60</c:v>
                </c:pt>
                <c:pt idx="14">
                  <c:v>90</c:v>
                </c:pt>
                <c:pt idx="15">
                  <c:v>20</c:v>
                </c:pt>
                <c:pt idx="16">
                  <c:v>50</c:v>
                </c:pt>
                <c:pt idx="17">
                  <c:v>40</c:v>
                </c:pt>
                <c:pt idx="18">
                  <c:v>100</c:v>
                </c:pt>
                <c:pt idx="19">
                  <c:v>50</c:v>
                </c:pt>
                <c:pt idx="20">
                  <c:v>120</c:v>
                </c:pt>
                <c:pt idx="21">
                  <c:v>130</c:v>
                </c:pt>
                <c:pt idx="22">
                  <c:v>0</c:v>
                </c:pt>
                <c:pt idx="23">
                  <c:v>40</c:v>
                </c:pt>
                <c:pt idx="24">
                  <c:v>90</c:v>
                </c:pt>
                <c:pt idx="25">
                  <c:v>60</c:v>
                </c:pt>
                <c:pt idx="26">
                  <c:v>40</c:v>
                </c:pt>
                <c:pt idx="27">
                  <c:v>30</c:v>
                </c:pt>
                <c:pt idx="28">
                  <c:v>60</c:v>
                </c:pt>
                <c:pt idx="29">
                  <c:v>60</c:v>
                </c:pt>
                <c:pt idx="30">
                  <c:v>50</c:v>
                </c:pt>
                <c:pt idx="31">
                  <c:v>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812-4CEA-87F3-A7EB261000CD}"/>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f_jh!$E$2:$E$42</c:f>
              <c:numCache>
                <c:formatCode>General</c:formatCode>
                <c:ptCount val="41"/>
                <c:pt idx="0">
                  <c:v>210</c:v>
                </c:pt>
                <c:pt idx="1">
                  <c:v>170</c:v>
                </c:pt>
                <c:pt idx="2">
                  <c:v>280</c:v>
                </c:pt>
                <c:pt idx="3">
                  <c:v>70</c:v>
                </c:pt>
                <c:pt idx="4">
                  <c:v>120</c:v>
                </c:pt>
                <c:pt idx="5">
                  <c:v>210</c:v>
                </c:pt>
                <c:pt idx="6">
                  <c:v>240</c:v>
                </c:pt>
                <c:pt idx="7">
                  <c:v>250</c:v>
                </c:pt>
                <c:pt idx="8">
                  <c:v>160</c:v>
                </c:pt>
                <c:pt idx="9">
                  <c:v>270</c:v>
                </c:pt>
                <c:pt idx="10">
                  <c:v>200</c:v>
                </c:pt>
                <c:pt idx="11">
                  <c:v>170</c:v>
                </c:pt>
                <c:pt idx="12">
                  <c:v>100</c:v>
                </c:pt>
                <c:pt idx="13">
                  <c:v>0</c:v>
                </c:pt>
                <c:pt idx="14">
                  <c:v>90</c:v>
                </c:pt>
                <c:pt idx="15">
                  <c:v>230</c:v>
                </c:pt>
                <c:pt idx="16">
                  <c:v>100</c:v>
                </c:pt>
                <c:pt idx="17">
                  <c:v>60</c:v>
                </c:pt>
                <c:pt idx="18">
                  <c:v>260</c:v>
                </c:pt>
                <c:pt idx="19">
                  <c:v>270</c:v>
                </c:pt>
                <c:pt idx="20">
                  <c:v>60</c:v>
                </c:pt>
                <c:pt idx="21">
                  <c:v>50</c:v>
                </c:pt>
                <c:pt idx="22">
                  <c:v>440</c:v>
                </c:pt>
                <c:pt idx="23">
                  <c:v>280</c:v>
                </c:pt>
                <c:pt idx="24">
                  <c:v>90</c:v>
                </c:pt>
                <c:pt idx="25">
                  <c:v>230</c:v>
                </c:pt>
                <c:pt idx="26">
                  <c:v>0</c:v>
                </c:pt>
                <c:pt idx="27">
                  <c:v>160</c:v>
                </c:pt>
                <c:pt idx="28">
                  <c:v>290</c:v>
                </c:pt>
                <c:pt idx="29">
                  <c:v>290</c:v>
                </c:pt>
                <c:pt idx="30">
                  <c:v>180</c:v>
                </c:pt>
                <c:pt idx="31">
                  <c:v>340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B2C-431C-82AA-D1DE330F4C79}"/>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f_jh!$F$2:$F$42</c:f>
              <c:numCache>
                <c:formatCode>General</c:formatCode>
                <c:ptCount val="41"/>
                <c:pt idx="0">
                  <c:v>-50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3D4F-4E37-9616-F37006B56FCB}"/>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f_jh!$G$2:$G$42</c:f>
              <c:numCache>
                <c:formatCode>General</c:formatCode>
                <c:ptCount val="41"/>
                <c:pt idx="0">
                  <c:v>440</c:v>
                </c:pt>
                <c:pt idx="1">
                  <c:v>530</c:v>
                </c:pt>
                <c:pt idx="2">
                  <c:v>590</c:v>
                </c:pt>
                <c:pt idx="3">
                  <c:v>320</c:v>
                </c:pt>
                <c:pt idx="4">
                  <c:v>630</c:v>
                </c:pt>
                <c:pt idx="5">
                  <c:v>580</c:v>
                </c:pt>
                <c:pt idx="6">
                  <c:v>660</c:v>
                </c:pt>
                <c:pt idx="7">
                  <c:v>560</c:v>
                </c:pt>
                <c:pt idx="8">
                  <c:v>610</c:v>
                </c:pt>
                <c:pt idx="9">
                  <c:v>700</c:v>
                </c:pt>
                <c:pt idx="10">
                  <c:v>520</c:v>
                </c:pt>
                <c:pt idx="11">
                  <c:v>470</c:v>
                </c:pt>
                <c:pt idx="12">
                  <c:v>470</c:v>
                </c:pt>
                <c:pt idx="13">
                  <c:v>490</c:v>
                </c:pt>
                <c:pt idx="14">
                  <c:v>630</c:v>
                </c:pt>
                <c:pt idx="15">
                  <c:v>480</c:v>
                </c:pt>
                <c:pt idx="16">
                  <c:v>320</c:v>
                </c:pt>
                <c:pt idx="17">
                  <c:v>370</c:v>
                </c:pt>
                <c:pt idx="18">
                  <c:v>570</c:v>
                </c:pt>
                <c:pt idx="19">
                  <c:v>540</c:v>
                </c:pt>
                <c:pt idx="20">
                  <c:v>470</c:v>
                </c:pt>
                <c:pt idx="21">
                  <c:v>280</c:v>
                </c:pt>
                <c:pt idx="22">
                  <c:v>730</c:v>
                </c:pt>
                <c:pt idx="23">
                  <c:v>440</c:v>
                </c:pt>
                <c:pt idx="24">
                  <c:v>370</c:v>
                </c:pt>
                <c:pt idx="25">
                  <c:v>530</c:v>
                </c:pt>
                <c:pt idx="26">
                  <c:v>320</c:v>
                </c:pt>
                <c:pt idx="27">
                  <c:v>460</c:v>
                </c:pt>
                <c:pt idx="28">
                  <c:v>490</c:v>
                </c:pt>
                <c:pt idx="29">
                  <c:v>610</c:v>
                </c:pt>
                <c:pt idx="30">
                  <c:v>510</c:v>
                </c:pt>
                <c:pt idx="31">
                  <c:v>640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5A8-4852-8A26-99EB44E681FA}"/>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f_jh!$H$2:$H$42</c:f>
              <c:numCache>
                <c:formatCode>General</c:formatCode>
                <c:ptCount val="41"/>
                <c:pt idx="0">
                  <c:v>8</c:v>
                </c:pt>
                <c:pt idx="1">
                  <c:v>6</c:v>
                </c:pt>
                <c:pt idx="2">
                  <c:v>1</c:v>
                </c:pt>
                <c:pt idx="3">
                  <c:v>6</c:v>
                </c:pt>
                <c:pt idx="4">
                  <c:v>7</c:v>
                </c:pt>
                <c:pt idx="5">
                  <c:v>9</c:v>
                </c:pt>
                <c:pt idx="6">
                  <c:v>2</c:v>
                </c:pt>
                <c:pt idx="7">
                  <c:v>2</c:v>
                </c:pt>
                <c:pt idx="8">
                  <c:v>6</c:v>
                </c:pt>
                <c:pt idx="9">
                  <c:v>1</c:v>
                </c:pt>
                <c:pt idx="10">
                  <c:v>7</c:v>
                </c:pt>
                <c:pt idx="11">
                  <c:v>2</c:v>
                </c:pt>
                <c:pt idx="12">
                  <c:v>9</c:v>
                </c:pt>
                <c:pt idx="13">
                  <c:v>8</c:v>
                </c:pt>
                <c:pt idx="14">
                  <c:v>2</c:v>
                </c:pt>
                <c:pt idx="15">
                  <c:v>8</c:v>
                </c:pt>
                <c:pt idx="16">
                  <c:v>6</c:v>
                </c:pt>
                <c:pt idx="17">
                  <c:v>9</c:v>
                </c:pt>
                <c:pt idx="18">
                  <c:v>2</c:v>
                </c:pt>
                <c:pt idx="19">
                  <c:v>2</c:v>
                </c:pt>
                <c:pt idx="20">
                  <c:v>3</c:v>
                </c:pt>
                <c:pt idx="21">
                  <c:v>8</c:v>
                </c:pt>
                <c:pt idx="22">
                  <c:v>2</c:v>
                </c:pt>
                <c:pt idx="23">
                  <c:v>8</c:v>
                </c:pt>
                <c:pt idx="24">
                  <c:v>6</c:v>
                </c:pt>
                <c:pt idx="25">
                  <c:v>1</c:v>
                </c:pt>
                <c:pt idx="26">
                  <c:v>9</c:v>
                </c:pt>
                <c:pt idx="27">
                  <c:v>6</c:v>
                </c:pt>
                <c:pt idx="28">
                  <c:v>2</c:v>
                </c:pt>
                <c:pt idx="29">
                  <c:v>1</c:v>
                </c:pt>
                <c:pt idx="30">
                  <c:v>3</c:v>
                </c:pt>
                <c:pt idx="31">
                  <c:v>1</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413-4A2B-BD8C-6BBECBDC3A9B}"/>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f_toh!$A$2:$A$42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f_toh!$C$2:$C$42</c:f>
              <c:numCache>
                <c:formatCode>General</c:formatCode>
                <c:ptCount val="41"/>
                <c:pt idx="0">
                  <c:v>270</c:v>
                </c:pt>
                <c:pt idx="1">
                  <c:v>190</c:v>
                </c:pt>
                <c:pt idx="2">
                  <c:v>230</c:v>
                </c:pt>
                <c:pt idx="3">
                  <c:v>150</c:v>
                </c:pt>
                <c:pt idx="4">
                  <c:v>470</c:v>
                </c:pt>
                <c:pt idx="5">
                  <c:v>380</c:v>
                </c:pt>
                <c:pt idx="6">
                  <c:v>280</c:v>
                </c:pt>
                <c:pt idx="7">
                  <c:v>310</c:v>
                </c:pt>
                <c:pt idx="8">
                  <c:v>310</c:v>
                </c:pt>
                <c:pt idx="9">
                  <c:v>310</c:v>
                </c:pt>
                <c:pt idx="10">
                  <c:v>280</c:v>
                </c:pt>
                <c:pt idx="11">
                  <c:v>270</c:v>
                </c:pt>
                <c:pt idx="12">
                  <c:v>390</c:v>
                </c:pt>
                <c:pt idx="13">
                  <c:v>480</c:v>
                </c:pt>
                <c:pt idx="14">
                  <c:v>460</c:v>
                </c:pt>
                <c:pt idx="15">
                  <c:v>260</c:v>
                </c:pt>
                <c:pt idx="16">
                  <c:v>150</c:v>
                </c:pt>
                <c:pt idx="17">
                  <c:v>270</c:v>
                </c:pt>
                <c:pt idx="18">
                  <c:v>220</c:v>
                </c:pt>
                <c:pt idx="19">
                  <c:v>180</c:v>
                </c:pt>
                <c:pt idx="20">
                  <c:v>280</c:v>
                </c:pt>
                <c:pt idx="21">
                  <c:v>140</c:v>
                </c:pt>
                <c:pt idx="22">
                  <c:v>280</c:v>
                </c:pt>
                <c:pt idx="23">
                  <c:v>180</c:v>
                </c:pt>
                <c:pt idx="24">
                  <c:v>270</c:v>
                </c:pt>
                <c:pt idx="25">
                  <c:v>280</c:v>
                </c:pt>
                <c:pt idx="26">
                  <c:v>440</c:v>
                </c:pt>
                <c:pt idx="27">
                  <c:v>320</c:v>
                </c:pt>
                <c:pt idx="28">
                  <c:v>200</c:v>
                </c:pt>
                <c:pt idx="29">
                  <c:v>0</c:v>
                </c:pt>
                <c:pt idx="30">
                  <c:v>230</c:v>
                </c:pt>
                <c:pt idx="31">
                  <c:v>200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F51-4420-B5EF-09488C9D0D7D}"/>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f_toh!$D$2:$D$42</c:f>
              <c:numCache>
                <c:formatCode>General</c:formatCode>
                <c:ptCount val="41"/>
                <c:pt idx="0">
                  <c:v>40</c:v>
                </c:pt>
                <c:pt idx="1">
                  <c:v>70</c:v>
                </c:pt>
                <c:pt idx="2">
                  <c:v>70</c:v>
                </c:pt>
                <c:pt idx="3">
                  <c:v>120</c:v>
                </c:pt>
                <c:pt idx="4">
                  <c:v>20</c:v>
                </c:pt>
                <c:pt idx="5">
                  <c:v>30</c:v>
                </c:pt>
                <c:pt idx="6">
                  <c:v>100</c:v>
                </c:pt>
                <c:pt idx="7">
                  <c:v>30</c:v>
                </c:pt>
                <c:pt idx="8">
                  <c:v>10</c:v>
                </c:pt>
                <c:pt idx="9">
                  <c:v>80</c:v>
                </c:pt>
                <c:pt idx="10">
                  <c:v>90</c:v>
                </c:pt>
                <c:pt idx="11">
                  <c:v>60</c:v>
                </c:pt>
                <c:pt idx="12">
                  <c:v>40</c:v>
                </c:pt>
                <c:pt idx="13">
                  <c:v>100</c:v>
                </c:pt>
                <c:pt idx="14">
                  <c:v>70</c:v>
                </c:pt>
                <c:pt idx="15">
                  <c:v>20</c:v>
                </c:pt>
                <c:pt idx="16">
                  <c:v>100</c:v>
                </c:pt>
                <c:pt idx="17">
                  <c:v>130</c:v>
                </c:pt>
                <c:pt idx="18">
                  <c:v>100</c:v>
                </c:pt>
                <c:pt idx="19">
                  <c:v>70</c:v>
                </c:pt>
                <c:pt idx="20">
                  <c:v>110</c:v>
                </c:pt>
                <c:pt idx="21">
                  <c:v>100</c:v>
                </c:pt>
                <c:pt idx="22">
                  <c:v>0</c:v>
                </c:pt>
                <c:pt idx="23">
                  <c:v>70</c:v>
                </c:pt>
                <c:pt idx="24">
                  <c:v>110</c:v>
                </c:pt>
                <c:pt idx="25">
                  <c:v>130</c:v>
                </c:pt>
                <c:pt idx="26">
                  <c:v>80</c:v>
                </c:pt>
                <c:pt idx="27">
                  <c:v>50</c:v>
                </c:pt>
                <c:pt idx="28">
                  <c:v>90</c:v>
                </c:pt>
                <c:pt idx="29">
                  <c:v>0</c:v>
                </c:pt>
                <c:pt idx="30">
                  <c:v>40</c:v>
                </c:pt>
                <c:pt idx="31">
                  <c:v>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3E7-4082-82B7-F520B5121275}"/>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f_toh!$E$2:$E$42</c:f>
              <c:numCache>
                <c:formatCode>General</c:formatCode>
                <c:ptCount val="41"/>
                <c:pt idx="0">
                  <c:v>210</c:v>
                </c:pt>
                <c:pt idx="1">
                  <c:v>220</c:v>
                </c:pt>
                <c:pt idx="2">
                  <c:v>140</c:v>
                </c:pt>
                <c:pt idx="3">
                  <c:v>70</c:v>
                </c:pt>
                <c:pt idx="4">
                  <c:v>150</c:v>
                </c:pt>
                <c:pt idx="5">
                  <c:v>210</c:v>
                </c:pt>
                <c:pt idx="6">
                  <c:v>200</c:v>
                </c:pt>
                <c:pt idx="7">
                  <c:v>140</c:v>
                </c:pt>
                <c:pt idx="8">
                  <c:v>170</c:v>
                </c:pt>
                <c:pt idx="9">
                  <c:v>150</c:v>
                </c:pt>
                <c:pt idx="10">
                  <c:v>190</c:v>
                </c:pt>
                <c:pt idx="11">
                  <c:v>120</c:v>
                </c:pt>
                <c:pt idx="12">
                  <c:v>110</c:v>
                </c:pt>
                <c:pt idx="13">
                  <c:v>0</c:v>
                </c:pt>
                <c:pt idx="14">
                  <c:v>90</c:v>
                </c:pt>
                <c:pt idx="15">
                  <c:v>170</c:v>
                </c:pt>
                <c:pt idx="16">
                  <c:v>100</c:v>
                </c:pt>
                <c:pt idx="17">
                  <c:v>60</c:v>
                </c:pt>
                <c:pt idx="18">
                  <c:v>180</c:v>
                </c:pt>
                <c:pt idx="19">
                  <c:v>170</c:v>
                </c:pt>
                <c:pt idx="20">
                  <c:v>110</c:v>
                </c:pt>
                <c:pt idx="21">
                  <c:v>70</c:v>
                </c:pt>
                <c:pt idx="22">
                  <c:v>290</c:v>
                </c:pt>
                <c:pt idx="23">
                  <c:v>270</c:v>
                </c:pt>
                <c:pt idx="24">
                  <c:v>90</c:v>
                </c:pt>
                <c:pt idx="25">
                  <c:v>140</c:v>
                </c:pt>
                <c:pt idx="26">
                  <c:v>0</c:v>
                </c:pt>
                <c:pt idx="27">
                  <c:v>160</c:v>
                </c:pt>
                <c:pt idx="28">
                  <c:v>160</c:v>
                </c:pt>
                <c:pt idx="29">
                  <c:v>0</c:v>
                </c:pt>
                <c:pt idx="30">
                  <c:v>110</c:v>
                </c:pt>
                <c:pt idx="31">
                  <c:v>310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05E-4EB7-B10B-D0F161926C04}"/>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f_toh!$F$2:$F$42</c:f>
              <c:numCache>
                <c:formatCode>General</c:formatCode>
                <c:ptCount val="41"/>
                <c:pt idx="0">
                  <c:v>-50</c:v>
                </c:pt>
                <c:pt idx="1">
                  <c:v>0</c:v>
                </c:pt>
                <c:pt idx="2">
                  <c:v>0</c:v>
                </c:pt>
                <c:pt idx="3">
                  <c:v>0</c:v>
                </c:pt>
                <c:pt idx="4">
                  <c:v>-50</c:v>
                </c:pt>
                <c:pt idx="5">
                  <c:v>0</c:v>
                </c:pt>
                <c:pt idx="6">
                  <c:v>0</c:v>
                </c:pt>
                <c:pt idx="7">
                  <c:v>0</c:v>
                </c:pt>
                <c:pt idx="8">
                  <c:v>0</c:v>
                </c:pt>
                <c:pt idx="9">
                  <c:v>0</c:v>
                </c:pt>
                <c:pt idx="10">
                  <c:v>-50</c:v>
                </c:pt>
                <c:pt idx="11">
                  <c:v>0</c:v>
                </c:pt>
                <c:pt idx="12">
                  <c:v>-50</c:v>
                </c:pt>
                <c:pt idx="13">
                  <c:v>0</c:v>
                </c:pt>
                <c:pt idx="14">
                  <c:v>0</c:v>
                </c:pt>
                <c:pt idx="15">
                  <c:v>0</c:v>
                </c:pt>
                <c:pt idx="16">
                  <c:v>-50</c:v>
                </c:pt>
                <c:pt idx="17">
                  <c:v>0</c:v>
                </c:pt>
                <c:pt idx="18">
                  <c:v>0</c:v>
                </c:pt>
                <c:pt idx="19">
                  <c:v>-50</c:v>
                </c:pt>
                <c:pt idx="20">
                  <c:v>0</c:v>
                </c:pt>
                <c:pt idx="21">
                  <c:v>-50</c:v>
                </c:pt>
                <c:pt idx="22">
                  <c:v>0</c:v>
                </c:pt>
                <c:pt idx="23">
                  <c:v>0</c:v>
                </c:pt>
                <c:pt idx="24">
                  <c:v>0</c:v>
                </c:pt>
                <c:pt idx="25">
                  <c:v>-50</c:v>
                </c:pt>
                <c:pt idx="26">
                  <c:v>0</c:v>
                </c:pt>
                <c:pt idx="27">
                  <c:v>0</c:v>
                </c:pt>
                <c:pt idx="28">
                  <c:v>0</c:v>
                </c:pt>
                <c:pt idx="29">
                  <c:v>-50</c:v>
                </c:pt>
                <c:pt idx="30">
                  <c:v>-50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A184-412D-92D2-378EE45F125A}"/>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f_toh!$G$2:$G$42</c:f>
              <c:numCache>
                <c:formatCode>General</c:formatCode>
                <c:ptCount val="41"/>
                <c:pt idx="0">
                  <c:v>470</c:v>
                </c:pt>
                <c:pt idx="1">
                  <c:v>480</c:v>
                </c:pt>
                <c:pt idx="2">
                  <c:v>440</c:v>
                </c:pt>
                <c:pt idx="3">
                  <c:v>340</c:v>
                </c:pt>
                <c:pt idx="4">
                  <c:v>590</c:v>
                </c:pt>
                <c:pt idx="5">
                  <c:v>620</c:v>
                </c:pt>
                <c:pt idx="6">
                  <c:v>580</c:v>
                </c:pt>
                <c:pt idx="7">
                  <c:v>480</c:v>
                </c:pt>
                <c:pt idx="8">
                  <c:v>490</c:v>
                </c:pt>
                <c:pt idx="9">
                  <c:v>540</c:v>
                </c:pt>
                <c:pt idx="10">
                  <c:v>510</c:v>
                </c:pt>
                <c:pt idx="11">
                  <c:v>450</c:v>
                </c:pt>
                <c:pt idx="12">
                  <c:v>490</c:v>
                </c:pt>
                <c:pt idx="13">
                  <c:v>580</c:v>
                </c:pt>
                <c:pt idx="14">
                  <c:v>620</c:v>
                </c:pt>
                <c:pt idx="15">
                  <c:v>450</c:v>
                </c:pt>
                <c:pt idx="16">
                  <c:v>300</c:v>
                </c:pt>
                <c:pt idx="17">
                  <c:v>460</c:v>
                </c:pt>
                <c:pt idx="18">
                  <c:v>500</c:v>
                </c:pt>
                <c:pt idx="19">
                  <c:v>370</c:v>
                </c:pt>
                <c:pt idx="20">
                  <c:v>500</c:v>
                </c:pt>
                <c:pt idx="21">
                  <c:v>260</c:v>
                </c:pt>
                <c:pt idx="22">
                  <c:v>570</c:v>
                </c:pt>
                <c:pt idx="23">
                  <c:v>520</c:v>
                </c:pt>
                <c:pt idx="24">
                  <c:v>470</c:v>
                </c:pt>
                <c:pt idx="25">
                  <c:v>500</c:v>
                </c:pt>
                <c:pt idx="26">
                  <c:v>520</c:v>
                </c:pt>
                <c:pt idx="27">
                  <c:v>530</c:v>
                </c:pt>
                <c:pt idx="28">
                  <c:v>450</c:v>
                </c:pt>
                <c:pt idx="29">
                  <c:v>-50</c:v>
                </c:pt>
                <c:pt idx="30">
                  <c:v>330</c:v>
                </c:pt>
                <c:pt idx="31">
                  <c:v>570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D6F6-42D6-9510-085DEF5CBB4B}"/>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f_toh!$H$2:$H$42</c:f>
              <c:numCache>
                <c:formatCode>General</c:formatCode>
                <c:ptCount val="41"/>
                <c:pt idx="0">
                  <c:v>6</c:v>
                </c:pt>
                <c:pt idx="1">
                  <c:v>9</c:v>
                </c:pt>
                <c:pt idx="2">
                  <c:v>7</c:v>
                </c:pt>
                <c:pt idx="3">
                  <c:v>4</c:v>
                </c:pt>
                <c:pt idx="4">
                  <c:v>8</c:v>
                </c:pt>
                <c:pt idx="5">
                  <c:v>4</c:v>
                </c:pt>
                <c:pt idx="6">
                  <c:v>8</c:v>
                </c:pt>
                <c:pt idx="7">
                  <c:v>7</c:v>
                </c:pt>
                <c:pt idx="8">
                  <c:v>9</c:v>
                </c:pt>
                <c:pt idx="9">
                  <c:v>9</c:v>
                </c:pt>
                <c:pt idx="10">
                  <c:v>8</c:v>
                </c:pt>
                <c:pt idx="11">
                  <c:v>5</c:v>
                </c:pt>
                <c:pt idx="12">
                  <c:v>8</c:v>
                </c:pt>
                <c:pt idx="13">
                  <c:v>3</c:v>
                </c:pt>
                <c:pt idx="14">
                  <c:v>5</c:v>
                </c:pt>
                <c:pt idx="15">
                  <c:v>9</c:v>
                </c:pt>
                <c:pt idx="16">
                  <c:v>7</c:v>
                </c:pt>
                <c:pt idx="17">
                  <c:v>3</c:v>
                </c:pt>
                <c:pt idx="18">
                  <c:v>4</c:v>
                </c:pt>
                <c:pt idx="19">
                  <c:v>9</c:v>
                </c:pt>
                <c:pt idx="20">
                  <c:v>2</c:v>
                </c:pt>
                <c:pt idx="21">
                  <c:v>9</c:v>
                </c:pt>
                <c:pt idx="22">
                  <c:v>7</c:v>
                </c:pt>
                <c:pt idx="23">
                  <c:v>2</c:v>
                </c:pt>
                <c:pt idx="24">
                  <c:v>2</c:v>
                </c:pt>
                <c:pt idx="25">
                  <c:v>3</c:v>
                </c:pt>
                <c:pt idx="26">
                  <c:v>1</c:v>
                </c:pt>
                <c:pt idx="27">
                  <c:v>3</c:v>
                </c:pt>
                <c:pt idx="28">
                  <c:v>3</c:v>
                </c:pt>
                <c:pt idx="29">
                  <c:v>9</c:v>
                </c:pt>
                <c:pt idx="30">
                  <c:v>9</c:v>
                </c:pt>
                <c:pt idx="31">
                  <c:v>3</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A7F-4076-B958-6BAACF189591}"/>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f_utg!$A$2:$A$69</c:f>
              <c:numCache>
                <c:formatCode>General</c:formatCode>
                <c:ptCount val="6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f_utg!$C$2:$C$69</c:f>
              <c:numCache>
                <c:formatCode>General</c:formatCode>
                <c:ptCount val="68"/>
                <c:pt idx="0">
                  <c:v>280</c:v>
                </c:pt>
                <c:pt idx="1">
                  <c:v>360</c:v>
                </c:pt>
                <c:pt idx="2">
                  <c:v>250</c:v>
                </c:pt>
                <c:pt idx="3">
                  <c:v>180</c:v>
                </c:pt>
                <c:pt idx="4">
                  <c:v>550</c:v>
                </c:pt>
                <c:pt idx="5">
                  <c:v>400</c:v>
                </c:pt>
                <c:pt idx="6">
                  <c:v>320</c:v>
                </c:pt>
                <c:pt idx="7">
                  <c:v>370</c:v>
                </c:pt>
                <c:pt idx="8">
                  <c:v>510</c:v>
                </c:pt>
                <c:pt idx="9">
                  <c:v>360</c:v>
                </c:pt>
                <c:pt idx="10">
                  <c:v>300</c:v>
                </c:pt>
                <c:pt idx="11">
                  <c:v>280</c:v>
                </c:pt>
                <c:pt idx="12">
                  <c:v>460</c:v>
                </c:pt>
                <c:pt idx="13">
                  <c:v>520</c:v>
                </c:pt>
                <c:pt idx="14">
                  <c:v>520</c:v>
                </c:pt>
                <c:pt idx="15">
                  <c:v>350</c:v>
                </c:pt>
                <c:pt idx="16">
                  <c:v>210</c:v>
                </c:pt>
                <c:pt idx="17">
                  <c:v>340</c:v>
                </c:pt>
                <c:pt idx="18">
                  <c:v>260</c:v>
                </c:pt>
                <c:pt idx="19">
                  <c:v>220</c:v>
                </c:pt>
                <c:pt idx="20">
                  <c:v>340</c:v>
                </c:pt>
                <c:pt idx="21">
                  <c:v>190</c:v>
                </c:pt>
                <c:pt idx="22">
                  <c:v>350</c:v>
                </c:pt>
                <c:pt idx="23">
                  <c:v>210</c:v>
                </c:pt>
                <c:pt idx="24">
                  <c:v>250</c:v>
                </c:pt>
                <c:pt idx="25">
                  <c:v>300</c:v>
                </c:pt>
                <c:pt idx="26">
                  <c:v>430</c:v>
                </c:pt>
                <c:pt idx="27">
                  <c:v>370</c:v>
                </c:pt>
                <c:pt idx="28">
                  <c:v>210</c:v>
                </c:pt>
                <c:pt idx="29">
                  <c:v>320</c:v>
                </c:pt>
                <c:pt idx="30">
                  <c:v>300</c:v>
                </c:pt>
                <c:pt idx="31">
                  <c:v>220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997-4B17-8578-C0E96C7D57CB}"/>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f_utg!$D$2:$D$69</c:f>
              <c:numCache>
                <c:formatCode>General</c:formatCode>
                <c:ptCount val="68"/>
                <c:pt idx="0">
                  <c:v>20</c:v>
                </c:pt>
                <c:pt idx="1">
                  <c:v>50</c:v>
                </c:pt>
                <c:pt idx="2">
                  <c:v>40</c:v>
                </c:pt>
                <c:pt idx="3">
                  <c:v>100</c:v>
                </c:pt>
                <c:pt idx="4">
                  <c:v>20</c:v>
                </c:pt>
                <c:pt idx="5">
                  <c:v>10</c:v>
                </c:pt>
                <c:pt idx="6">
                  <c:v>80</c:v>
                </c:pt>
                <c:pt idx="7">
                  <c:v>20</c:v>
                </c:pt>
                <c:pt idx="8">
                  <c:v>20</c:v>
                </c:pt>
                <c:pt idx="9">
                  <c:v>40</c:v>
                </c:pt>
                <c:pt idx="10">
                  <c:v>70</c:v>
                </c:pt>
                <c:pt idx="11">
                  <c:v>30</c:v>
                </c:pt>
                <c:pt idx="12">
                  <c:v>20</c:v>
                </c:pt>
                <c:pt idx="13">
                  <c:v>50</c:v>
                </c:pt>
                <c:pt idx="14">
                  <c:v>40</c:v>
                </c:pt>
                <c:pt idx="15">
                  <c:v>20</c:v>
                </c:pt>
                <c:pt idx="16">
                  <c:v>60</c:v>
                </c:pt>
                <c:pt idx="17">
                  <c:v>80</c:v>
                </c:pt>
                <c:pt idx="18">
                  <c:v>50</c:v>
                </c:pt>
                <c:pt idx="19">
                  <c:v>60</c:v>
                </c:pt>
                <c:pt idx="20">
                  <c:v>70</c:v>
                </c:pt>
                <c:pt idx="21">
                  <c:v>80</c:v>
                </c:pt>
                <c:pt idx="22">
                  <c:v>0</c:v>
                </c:pt>
                <c:pt idx="23">
                  <c:v>30</c:v>
                </c:pt>
                <c:pt idx="24">
                  <c:v>70</c:v>
                </c:pt>
                <c:pt idx="25">
                  <c:v>50</c:v>
                </c:pt>
                <c:pt idx="26">
                  <c:v>50</c:v>
                </c:pt>
                <c:pt idx="27">
                  <c:v>40</c:v>
                </c:pt>
                <c:pt idx="28">
                  <c:v>40</c:v>
                </c:pt>
                <c:pt idx="29">
                  <c:v>40</c:v>
                </c:pt>
                <c:pt idx="30">
                  <c:v>30</c:v>
                </c:pt>
                <c:pt idx="31">
                  <c:v>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85A3-4101-A23D-E37D8CF5FF77}"/>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f_utg!$E$2:$E$69</c:f>
              <c:numCache>
                <c:formatCode>General</c:formatCode>
                <c:ptCount val="68"/>
                <c:pt idx="0">
                  <c:v>210</c:v>
                </c:pt>
                <c:pt idx="1">
                  <c:v>170</c:v>
                </c:pt>
                <c:pt idx="2">
                  <c:v>170</c:v>
                </c:pt>
                <c:pt idx="3">
                  <c:v>30</c:v>
                </c:pt>
                <c:pt idx="4">
                  <c:v>100</c:v>
                </c:pt>
                <c:pt idx="5">
                  <c:v>220</c:v>
                </c:pt>
                <c:pt idx="6">
                  <c:v>210</c:v>
                </c:pt>
                <c:pt idx="7">
                  <c:v>130</c:v>
                </c:pt>
                <c:pt idx="8">
                  <c:v>150</c:v>
                </c:pt>
                <c:pt idx="9">
                  <c:v>190</c:v>
                </c:pt>
                <c:pt idx="10">
                  <c:v>200</c:v>
                </c:pt>
                <c:pt idx="11">
                  <c:v>150</c:v>
                </c:pt>
                <c:pt idx="12">
                  <c:v>100</c:v>
                </c:pt>
                <c:pt idx="13">
                  <c:v>0</c:v>
                </c:pt>
                <c:pt idx="14">
                  <c:v>70</c:v>
                </c:pt>
                <c:pt idx="15">
                  <c:v>230</c:v>
                </c:pt>
                <c:pt idx="16">
                  <c:v>70</c:v>
                </c:pt>
                <c:pt idx="17">
                  <c:v>40</c:v>
                </c:pt>
                <c:pt idx="18">
                  <c:v>200</c:v>
                </c:pt>
                <c:pt idx="19">
                  <c:v>210</c:v>
                </c:pt>
                <c:pt idx="20">
                  <c:v>60</c:v>
                </c:pt>
                <c:pt idx="21">
                  <c:v>50</c:v>
                </c:pt>
                <c:pt idx="22">
                  <c:v>310</c:v>
                </c:pt>
                <c:pt idx="23">
                  <c:v>240</c:v>
                </c:pt>
                <c:pt idx="24">
                  <c:v>60</c:v>
                </c:pt>
                <c:pt idx="25">
                  <c:v>130</c:v>
                </c:pt>
                <c:pt idx="26">
                  <c:v>0</c:v>
                </c:pt>
                <c:pt idx="27">
                  <c:v>120</c:v>
                </c:pt>
                <c:pt idx="28">
                  <c:v>170</c:v>
                </c:pt>
                <c:pt idx="29">
                  <c:v>220</c:v>
                </c:pt>
                <c:pt idx="30">
                  <c:v>160</c:v>
                </c:pt>
                <c:pt idx="31">
                  <c:v>300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781C-4FDE-91F5-55A80480FA5A}"/>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f_utg!$F$2:$F$69</c:f>
              <c:numCache>
                <c:formatCode>General</c:formatCode>
                <c:ptCount val="6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8164-460F-B8CA-6D781F99898F}"/>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f_utg!$G$2:$G$69</c:f>
              <c:numCache>
                <c:formatCode>General</c:formatCode>
                <c:ptCount val="68"/>
                <c:pt idx="0">
                  <c:v>510</c:v>
                </c:pt>
                <c:pt idx="1">
                  <c:v>580</c:v>
                </c:pt>
                <c:pt idx="2">
                  <c:v>460</c:v>
                </c:pt>
                <c:pt idx="3">
                  <c:v>310</c:v>
                </c:pt>
                <c:pt idx="4">
                  <c:v>670</c:v>
                </c:pt>
                <c:pt idx="5">
                  <c:v>630</c:v>
                </c:pt>
                <c:pt idx="6">
                  <c:v>610</c:v>
                </c:pt>
                <c:pt idx="7">
                  <c:v>520</c:v>
                </c:pt>
                <c:pt idx="8">
                  <c:v>680</c:v>
                </c:pt>
                <c:pt idx="9">
                  <c:v>590</c:v>
                </c:pt>
                <c:pt idx="10">
                  <c:v>570</c:v>
                </c:pt>
                <c:pt idx="11">
                  <c:v>460</c:v>
                </c:pt>
                <c:pt idx="12">
                  <c:v>580</c:v>
                </c:pt>
                <c:pt idx="13">
                  <c:v>570</c:v>
                </c:pt>
                <c:pt idx="14">
                  <c:v>630</c:v>
                </c:pt>
                <c:pt idx="15">
                  <c:v>600</c:v>
                </c:pt>
                <c:pt idx="16">
                  <c:v>340</c:v>
                </c:pt>
                <c:pt idx="17">
                  <c:v>460</c:v>
                </c:pt>
                <c:pt idx="18">
                  <c:v>510</c:v>
                </c:pt>
                <c:pt idx="19">
                  <c:v>490</c:v>
                </c:pt>
                <c:pt idx="20">
                  <c:v>470</c:v>
                </c:pt>
                <c:pt idx="21">
                  <c:v>320</c:v>
                </c:pt>
                <c:pt idx="22">
                  <c:v>660</c:v>
                </c:pt>
                <c:pt idx="23">
                  <c:v>480</c:v>
                </c:pt>
                <c:pt idx="24">
                  <c:v>380</c:v>
                </c:pt>
                <c:pt idx="25">
                  <c:v>480</c:v>
                </c:pt>
                <c:pt idx="26">
                  <c:v>480</c:v>
                </c:pt>
                <c:pt idx="27">
                  <c:v>530</c:v>
                </c:pt>
                <c:pt idx="28">
                  <c:v>420</c:v>
                </c:pt>
                <c:pt idx="29">
                  <c:v>580</c:v>
                </c:pt>
                <c:pt idx="30">
                  <c:v>490</c:v>
                </c:pt>
                <c:pt idx="31">
                  <c:v>560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3C2-4CEA-AB4F-1D569242F22A}"/>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f_utg!$H$2:$H$69</c:f>
              <c:numCache>
                <c:formatCode>General</c:formatCode>
                <c:ptCount val="68"/>
                <c:pt idx="0">
                  <c:v>2</c:v>
                </c:pt>
                <c:pt idx="1">
                  <c:v>3</c:v>
                </c:pt>
                <c:pt idx="2">
                  <c:v>5</c:v>
                </c:pt>
                <c:pt idx="3">
                  <c:v>7</c:v>
                </c:pt>
                <c:pt idx="4">
                  <c:v>4</c:v>
                </c:pt>
                <c:pt idx="5">
                  <c:v>2</c:v>
                </c:pt>
                <c:pt idx="6">
                  <c:v>5</c:v>
                </c:pt>
                <c:pt idx="7">
                  <c:v>4</c:v>
                </c:pt>
                <c:pt idx="8">
                  <c:v>3</c:v>
                </c:pt>
                <c:pt idx="9">
                  <c:v>5</c:v>
                </c:pt>
                <c:pt idx="10">
                  <c:v>4</c:v>
                </c:pt>
                <c:pt idx="11">
                  <c:v>4</c:v>
                </c:pt>
                <c:pt idx="12">
                  <c:v>5</c:v>
                </c:pt>
                <c:pt idx="13">
                  <c:v>5</c:v>
                </c:pt>
                <c:pt idx="14">
                  <c:v>2</c:v>
                </c:pt>
                <c:pt idx="15">
                  <c:v>6</c:v>
                </c:pt>
                <c:pt idx="16">
                  <c:v>5</c:v>
                </c:pt>
                <c:pt idx="17">
                  <c:v>3</c:v>
                </c:pt>
                <c:pt idx="18">
                  <c:v>3</c:v>
                </c:pt>
                <c:pt idx="19">
                  <c:v>3</c:v>
                </c:pt>
                <c:pt idx="20">
                  <c:v>3</c:v>
                </c:pt>
                <c:pt idx="21">
                  <c:v>6</c:v>
                </c:pt>
                <c:pt idx="22">
                  <c:v>3</c:v>
                </c:pt>
                <c:pt idx="23">
                  <c:v>4</c:v>
                </c:pt>
                <c:pt idx="24">
                  <c:v>5</c:v>
                </c:pt>
                <c:pt idx="25">
                  <c:v>4</c:v>
                </c:pt>
                <c:pt idx="26">
                  <c:v>5</c:v>
                </c:pt>
                <c:pt idx="27">
                  <c:v>3</c:v>
                </c:pt>
                <c:pt idx="28">
                  <c:v>4</c:v>
                </c:pt>
                <c:pt idx="29">
                  <c:v>5</c:v>
                </c:pt>
                <c:pt idx="30">
                  <c:v>4</c:v>
                </c:pt>
                <c:pt idx="31">
                  <c:v>5</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70E-4A65-9DF6-2C26E41EFC33}"/>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f_lev!$A$2:$A$42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f_lev!$C$2:$C$42</c:f>
              <c:numCache>
                <c:formatCode>General</c:formatCode>
                <c:ptCount val="41"/>
                <c:pt idx="0">
                  <c:v>230</c:v>
                </c:pt>
                <c:pt idx="1">
                  <c:v>370</c:v>
                </c:pt>
                <c:pt idx="2">
                  <c:v>260</c:v>
                </c:pt>
                <c:pt idx="3">
                  <c:v>190</c:v>
                </c:pt>
                <c:pt idx="4">
                  <c:v>580</c:v>
                </c:pt>
                <c:pt idx="5">
                  <c:v>390</c:v>
                </c:pt>
                <c:pt idx="6">
                  <c:v>310</c:v>
                </c:pt>
                <c:pt idx="7">
                  <c:v>360</c:v>
                </c:pt>
                <c:pt idx="8">
                  <c:v>420</c:v>
                </c:pt>
                <c:pt idx="9">
                  <c:v>360</c:v>
                </c:pt>
                <c:pt idx="10">
                  <c:v>300</c:v>
                </c:pt>
                <c:pt idx="11">
                  <c:v>240</c:v>
                </c:pt>
                <c:pt idx="12">
                  <c:v>510</c:v>
                </c:pt>
                <c:pt idx="13">
                  <c:v>380</c:v>
                </c:pt>
                <c:pt idx="14">
                  <c:v>550</c:v>
                </c:pt>
                <c:pt idx="15">
                  <c:v>370</c:v>
                </c:pt>
                <c:pt idx="16">
                  <c:v>240</c:v>
                </c:pt>
                <c:pt idx="17">
                  <c:v>280</c:v>
                </c:pt>
                <c:pt idx="18">
                  <c:v>210</c:v>
                </c:pt>
                <c:pt idx="19">
                  <c:v>210</c:v>
                </c:pt>
                <c:pt idx="20">
                  <c:v>270</c:v>
                </c:pt>
                <c:pt idx="21">
                  <c:v>160</c:v>
                </c:pt>
                <c:pt idx="22">
                  <c:v>290</c:v>
                </c:pt>
                <c:pt idx="23">
                  <c:v>140</c:v>
                </c:pt>
                <c:pt idx="24">
                  <c:v>240</c:v>
                </c:pt>
                <c:pt idx="25">
                  <c:v>250</c:v>
                </c:pt>
                <c:pt idx="26">
                  <c:v>410</c:v>
                </c:pt>
                <c:pt idx="27">
                  <c:v>340</c:v>
                </c:pt>
                <c:pt idx="28">
                  <c:v>130</c:v>
                </c:pt>
                <c:pt idx="29">
                  <c:v>320</c:v>
                </c:pt>
                <c:pt idx="30">
                  <c:v>270</c:v>
                </c:pt>
                <c:pt idx="31">
                  <c:v>200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2D0-4AA1-A2F2-B741F52F44B6}"/>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f_lev!$D$2:$D$42</c:f>
              <c:numCache>
                <c:formatCode>General</c:formatCode>
                <c:ptCount val="41"/>
                <c:pt idx="0">
                  <c:v>20</c:v>
                </c:pt>
                <c:pt idx="1">
                  <c:v>40</c:v>
                </c:pt>
                <c:pt idx="2">
                  <c:v>70</c:v>
                </c:pt>
                <c:pt idx="3">
                  <c:v>150</c:v>
                </c:pt>
                <c:pt idx="4">
                  <c:v>20</c:v>
                </c:pt>
                <c:pt idx="5">
                  <c:v>20</c:v>
                </c:pt>
                <c:pt idx="6">
                  <c:v>110</c:v>
                </c:pt>
                <c:pt idx="7">
                  <c:v>40</c:v>
                </c:pt>
                <c:pt idx="8">
                  <c:v>10</c:v>
                </c:pt>
                <c:pt idx="9">
                  <c:v>40</c:v>
                </c:pt>
                <c:pt idx="10">
                  <c:v>80</c:v>
                </c:pt>
                <c:pt idx="11">
                  <c:v>30</c:v>
                </c:pt>
                <c:pt idx="12">
                  <c:v>30</c:v>
                </c:pt>
                <c:pt idx="13">
                  <c:v>70</c:v>
                </c:pt>
                <c:pt idx="14">
                  <c:v>20</c:v>
                </c:pt>
                <c:pt idx="15">
                  <c:v>30</c:v>
                </c:pt>
                <c:pt idx="16">
                  <c:v>60</c:v>
                </c:pt>
                <c:pt idx="17">
                  <c:v>110</c:v>
                </c:pt>
                <c:pt idx="18">
                  <c:v>60</c:v>
                </c:pt>
                <c:pt idx="19">
                  <c:v>50</c:v>
                </c:pt>
                <c:pt idx="20">
                  <c:v>110</c:v>
                </c:pt>
                <c:pt idx="21">
                  <c:v>110</c:v>
                </c:pt>
                <c:pt idx="22">
                  <c:v>0</c:v>
                </c:pt>
                <c:pt idx="23">
                  <c:v>70</c:v>
                </c:pt>
                <c:pt idx="24">
                  <c:v>80</c:v>
                </c:pt>
                <c:pt idx="25">
                  <c:v>30</c:v>
                </c:pt>
                <c:pt idx="26">
                  <c:v>80</c:v>
                </c:pt>
                <c:pt idx="27">
                  <c:v>40</c:v>
                </c:pt>
                <c:pt idx="28">
                  <c:v>80</c:v>
                </c:pt>
                <c:pt idx="29">
                  <c:v>30</c:v>
                </c:pt>
                <c:pt idx="30">
                  <c:v>50</c:v>
                </c:pt>
                <c:pt idx="31">
                  <c:v>80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820F-4B0B-A197-F73D35B77111}"/>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f_lev!$E$2:$E$42</c:f>
              <c:numCache>
                <c:formatCode>General</c:formatCode>
                <c:ptCount val="41"/>
                <c:pt idx="0">
                  <c:v>230</c:v>
                </c:pt>
                <c:pt idx="1">
                  <c:v>170</c:v>
                </c:pt>
                <c:pt idx="2">
                  <c:v>240</c:v>
                </c:pt>
                <c:pt idx="3">
                  <c:v>30</c:v>
                </c:pt>
                <c:pt idx="4">
                  <c:v>110</c:v>
                </c:pt>
                <c:pt idx="5">
                  <c:v>210</c:v>
                </c:pt>
                <c:pt idx="6">
                  <c:v>220</c:v>
                </c:pt>
                <c:pt idx="7">
                  <c:v>100</c:v>
                </c:pt>
                <c:pt idx="8">
                  <c:v>150</c:v>
                </c:pt>
                <c:pt idx="9">
                  <c:v>190</c:v>
                </c:pt>
                <c:pt idx="10">
                  <c:v>230</c:v>
                </c:pt>
                <c:pt idx="11">
                  <c:v>150</c:v>
                </c:pt>
                <c:pt idx="12">
                  <c:v>110</c:v>
                </c:pt>
                <c:pt idx="13">
                  <c:v>0</c:v>
                </c:pt>
                <c:pt idx="14">
                  <c:v>20</c:v>
                </c:pt>
                <c:pt idx="15">
                  <c:v>220</c:v>
                </c:pt>
                <c:pt idx="16">
                  <c:v>130</c:v>
                </c:pt>
                <c:pt idx="17">
                  <c:v>20</c:v>
                </c:pt>
                <c:pt idx="18">
                  <c:v>180</c:v>
                </c:pt>
                <c:pt idx="19">
                  <c:v>200</c:v>
                </c:pt>
                <c:pt idx="20">
                  <c:v>80</c:v>
                </c:pt>
                <c:pt idx="21">
                  <c:v>70</c:v>
                </c:pt>
                <c:pt idx="22">
                  <c:v>240</c:v>
                </c:pt>
                <c:pt idx="23">
                  <c:v>250</c:v>
                </c:pt>
                <c:pt idx="24">
                  <c:v>80</c:v>
                </c:pt>
                <c:pt idx="25">
                  <c:v>80</c:v>
                </c:pt>
                <c:pt idx="26">
                  <c:v>0</c:v>
                </c:pt>
                <c:pt idx="27">
                  <c:v>80</c:v>
                </c:pt>
                <c:pt idx="28">
                  <c:v>200</c:v>
                </c:pt>
                <c:pt idx="29">
                  <c:v>250</c:v>
                </c:pt>
                <c:pt idx="30">
                  <c:v>160</c:v>
                </c:pt>
                <c:pt idx="31">
                  <c:v>250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D889-4B9D-A847-79F80F001129}"/>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2ED-4F03-A415-62FA4714530A}"/>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f_lev!$G$2:$G$42</c:f>
              <c:numCache>
                <c:formatCode>General</c:formatCode>
                <c:ptCount val="41"/>
                <c:pt idx="0">
                  <c:v>480</c:v>
                </c:pt>
                <c:pt idx="1">
                  <c:v>580</c:v>
                </c:pt>
                <c:pt idx="2">
                  <c:v>570</c:v>
                </c:pt>
                <c:pt idx="3">
                  <c:v>370</c:v>
                </c:pt>
                <c:pt idx="4">
                  <c:v>710</c:v>
                </c:pt>
                <c:pt idx="5">
                  <c:v>620</c:v>
                </c:pt>
                <c:pt idx="6">
                  <c:v>640</c:v>
                </c:pt>
                <c:pt idx="7">
                  <c:v>500</c:v>
                </c:pt>
                <c:pt idx="8">
                  <c:v>580</c:v>
                </c:pt>
                <c:pt idx="9">
                  <c:v>590</c:v>
                </c:pt>
                <c:pt idx="10">
                  <c:v>610</c:v>
                </c:pt>
                <c:pt idx="11">
                  <c:v>420</c:v>
                </c:pt>
                <c:pt idx="12">
                  <c:v>650</c:v>
                </c:pt>
                <c:pt idx="13">
                  <c:v>450</c:v>
                </c:pt>
                <c:pt idx="14">
                  <c:v>590</c:v>
                </c:pt>
                <c:pt idx="15">
                  <c:v>620</c:v>
                </c:pt>
                <c:pt idx="16">
                  <c:v>430</c:v>
                </c:pt>
                <c:pt idx="17">
                  <c:v>410</c:v>
                </c:pt>
                <c:pt idx="18">
                  <c:v>450</c:v>
                </c:pt>
                <c:pt idx="19">
                  <c:v>460</c:v>
                </c:pt>
                <c:pt idx="20">
                  <c:v>460</c:v>
                </c:pt>
                <c:pt idx="21">
                  <c:v>340</c:v>
                </c:pt>
                <c:pt idx="22">
                  <c:v>530</c:v>
                </c:pt>
                <c:pt idx="23">
                  <c:v>460</c:v>
                </c:pt>
                <c:pt idx="24">
                  <c:v>400</c:v>
                </c:pt>
                <c:pt idx="25">
                  <c:v>360</c:v>
                </c:pt>
                <c:pt idx="26">
                  <c:v>490</c:v>
                </c:pt>
                <c:pt idx="27">
                  <c:v>460</c:v>
                </c:pt>
                <c:pt idx="28">
                  <c:v>410</c:v>
                </c:pt>
                <c:pt idx="29">
                  <c:v>600</c:v>
                </c:pt>
                <c:pt idx="30">
                  <c:v>480</c:v>
                </c:pt>
                <c:pt idx="31">
                  <c:v>530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977-4E3F-B53D-0FEBE97CAF53}"/>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f_lev!$H$2:$H$42</c:f>
              <c:numCache>
                <c:formatCode>General</c:formatCode>
                <c:ptCount val="41"/>
                <c:pt idx="0">
                  <c:v>5</c:v>
                </c:pt>
                <c:pt idx="1">
                  <c:v>3</c:v>
                </c:pt>
                <c:pt idx="2">
                  <c:v>2</c:v>
                </c:pt>
                <c:pt idx="3">
                  <c:v>3</c:v>
                </c:pt>
                <c:pt idx="4">
                  <c:v>1</c:v>
                </c:pt>
                <c:pt idx="5">
                  <c:v>4</c:v>
                </c:pt>
                <c:pt idx="6">
                  <c:v>3</c:v>
                </c:pt>
                <c:pt idx="7">
                  <c:v>6</c:v>
                </c:pt>
                <c:pt idx="8">
                  <c:v>7</c:v>
                </c:pt>
                <c:pt idx="9">
                  <c:v>5</c:v>
                </c:pt>
                <c:pt idx="10">
                  <c:v>1</c:v>
                </c:pt>
                <c:pt idx="11">
                  <c:v>6</c:v>
                </c:pt>
                <c:pt idx="12">
                  <c:v>1</c:v>
                </c:pt>
                <c:pt idx="13">
                  <c:v>9</c:v>
                </c:pt>
                <c:pt idx="14">
                  <c:v>6</c:v>
                </c:pt>
                <c:pt idx="15">
                  <c:v>5</c:v>
                </c:pt>
                <c:pt idx="16">
                  <c:v>2</c:v>
                </c:pt>
                <c:pt idx="17">
                  <c:v>6</c:v>
                </c:pt>
                <c:pt idx="18">
                  <c:v>8</c:v>
                </c:pt>
                <c:pt idx="19">
                  <c:v>7</c:v>
                </c:pt>
                <c:pt idx="20">
                  <c:v>6</c:v>
                </c:pt>
                <c:pt idx="21">
                  <c:v>3</c:v>
                </c:pt>
                <c:pt idx="22">
                  <c:v>8</c:v>
                </c:pt>
                <c:pt idx="23">
                  <c:v>7</c:v>
                </c:pt>
                <c:pt idx="24">
                  <c:v>4</c:v>
                </c:pt>
                <c:pt idx="25">
                  <c:v>9</c:v>
                </c:pt>
                <c:pt idx="26">
                  <c:v>4</c:v>
                </c:pt>
                <c:pt idx="27">
                  <c:v>6</c:v>
                </c:pt>
                <c:pt idx="28">
                  <c:v>6</c:v>
                </c:pt>
                <c:pt idx="29">
                  <c:v>3</c:v>
                </c:pt>
                <c:pt idx="30">
                  <c:v>5</c:v>
                </c:pt>
                <c:pt idx="31">
                  <c:v>8</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2ED-4023-86C2-452613472F6C}"/>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2.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8" Type="http://schemas.openxmlformats.org/officeDocument/2006/relationships/image" Target="../media/image12.emf"/><Relationship Id="rId3" Type="http://schemas.openxmlformats.org/officeDocument/2006/relationships/image" Target="../media/image7.jpeg"/><Relationship Id="rId7" Type="http://schemas.openxmlformats.org/officeDocument/2006/relationships/image" Target="../media/image11.jpeg"/><Relationship Id="rId2" Type="http://schemas.openxmlformats.org/officeDocument/2006/relationships/image" Target="../media/image6.jpeg"/><Relationship Id="rId1" Type="http://schemas.openxmlformats.org/officeDocument/2006/relationships/image" Target="../media/image5.jpeg"/><Relationship Id="rId6" Type="http://schemas.openxmlformats.org/officeDocument/2006/relationships/image" Target="../media/image10.jpg"/><Relationship Id="rId5" Type="http://schemas.openxmlformats.org/officeDocument/2006/relationships/image" Target="../media/image9.jpeg"/><Relationship Id="rId4" Type="http://schemas.openxmlformats.org/officeDocument/2006/relationships/image" Target="../media/image8.jpeg"/></Relationships>
</file>

<file path=xl/drawings/_rels/drawing7.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6" Type="http://schemas.openxmlformats.org/officeDocument/2006/relationships/chart" Target="../charts/chart22.xml"/><Relationship Id="rId5" Type="http://schemas.openxmlformats.org/officeDocument/2006/relationships/chart" Target="../charts/chart21.xml"/><Relationship Id="rId4" Type="http://schemas.openxmlformats.org/officeDocument/2006/relationships/chart" Target="../charts/chart20.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25.xml"/><Relationship Id="rId2" Type="http://schemas.openxmlformats.org/officeDocument/2006/relationships/chart" Target="../charts/chart24.xml"/><Relationship Id="rId1" Type="http://schemas.openxmlformats.org/officeDocument/2006/relationships/chart" Target="../charts/chart23.xml"/><Relationship Id="rId6" Type="http://schemas.openxmlformats.org/officeDocument/2006/relationships/chart" Target="../charts/chart28.xml"/><Relationship Id="rId5" Type="http://schemas.openxmlformats.org/officeDocument/2006/relationships/chart" Target="../charts/chart27.xml"/><Relationship Id="rId4" Type="http://schemas.openxmlformats.org/officeDocument/2006/relationships/chart" Target="../charts/chart2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31.xml"/><Relationship Id="rId2" Type="http://schemas.openxmlformats.org/officeDocument/2006/relationships/chart" Target="../charts/chart30.xml"/><Relationship Id="rId1" Type="http://schemas.openxmlformats.org/officeDocument/2006/relationships/chart" Target="../charts/chart29.xml"/><Relationship Id="rId6" Type="http://schemas.openxmlformats.org/officeDocument/2006/relationships/chart" Target="../charts/chart34.xml"/><Relationship Id="rId5" Type="http://schemas.openxmlformats.org/officeDocument/2006/relationships/chart" Target="../charts/chart33.xml"/><Relationship Id="rId4" Type="http://schemas.openxmlformats.org/officeDocument/2006/relationships/chart" Target="../charts/chart32.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37.xml"/><Relationship Id="rId2" Type="http://schemas.openxmlformats.org/officeDocument/2006/relationships/chart" Target="../charts/chart36.xml"/><Relationship Id="rId1" Type="http://schemas.openxmlformats.org/officeDocument/2006/relationships/chart" Target="../charts/chart35.xml"/><Relationship Id="rId6" Type="http://schemas.openxmlformats.org/officeDocument/2006/relationships/chart" Target="../charts/chart40.xml"/><Relationship Id="rId5" Type="http://schemas.openxmlformats.org/officeDocument/2006/relationships/chart" Target="../charts/chart39.xml"/><Relationship Id="rId4" Type="http://schemas.openxmlformats.org/officeDocument/2006/relationships/chart" Target="../charts/chart38.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43.xml"/><Relationship Id="rId2" Type="http://schemas.openxmlformats.org/officeDocument/2006/relationships/chart" Target="../charts/chart42.xml"/><Relationship Id="rId1" Type="http://schemas.openxmlformats.org/officeDocument/2006/relationships/chart" Target="../charts/chart41.xml"/><Relationship Id="rId6" Type="http://schemas.openxmlformats.org/officeDocument/2006/relationships/chart" Target="../charts/chart46.xml"/><Relationship Id="rId5" Type="http://schemas.openxmlformats.org/officeDocument/2006/relationships/chart" Target="../charts/chart45.xml"/><Relationship Id="rId4" Type="http://schemas.openxmlformats.org/officeDocument/2006/relationships/chart" Target="../charts/chart44.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49.xml"/><Relationship Id="rId2" Type="http://schemas.openxmlformats.org/officeDocument/2006/relationships/chart" Target="../charts/chart48.xml"/><Relationship Id="rId1" Type="http://schemas.openxmlformats.org/officeDocument/2006/relationships/chart" Target="../charts/chart47.xml"/><Relationship Id="rId6" Type="http://schemas.openxmlformats.org/officeDocument/2006/relationships/chart" Target="../charts/chart52.xml"/><Relationship Id="rId5" Type="http://schemas.openxmlformats.org/officeDocument/2006/relationships/chart" Target="../charts/chart51.xml"/><Relationship Id="rId4" Type="http://schemas.openxmlformats.org/officeDocument/2006/relationships/chart" Target="../charts/chart50.xml"/></Relationships>
</file>

<file path=xl/drawings/_rels/drawing15.xml.rels><?xml version="1.0" encoding="UTF-8" standalone="yes"?>
<Relationships xmlns="http://schemas.openxmlformats.org/package/2006/relationships"><Relationship Id="rId3" Type="http://schemas.openxmlformats.org/officeDocument/2006/relationships/chart" Target="../charts/chart55.xml"/><Relationship Id="rId2" Type="http://schemas.openxmlformats.org/officeDocument/2006/relationships/chart" Target="../charts/chart54.xml"/><Relationship Id="rId1" Type="http://schemas.openxmlformats.org/officeDocument/2006/relationships/chart" Target="../charts/chart53.xml"/><Relationship Id="rId6" Type="http://schemas.openxmlformats.org/officeDocument/2006/relationships/chart" Target="../charts/chart58.xml"/><Relationship Id="rId5" Type="http://schemas.openxmlformats.org/officeDocument/2006/relationships/chart" Target="../charts/chart57.xml"/><Relationship Id="rId4" Type="http://schemas.openxmlformats.org/officeDocument/2006/relationships/chart" Target="../charts/chart56.xml"/></Relationships>
</file>

<file path=xl/drawings/drawing1.xml><?xml version="1.0" encoding="utf-8"?>
<xdr:wsDr xmlns:xdr="http://schemas.openxmlformats.org/drawingml/2006/spreadsheetDrawing" xmlns:a="http://schemas.openxmlformats.org/drawingml/2006/main">
  <xdr:twoCellAnchor>
    <xdr:from>
      <xdr:col>0</xdr:col>
      <xdr:colOff>428625</xdr:colOff>
      <xdr:row>33</xdr:row>
      <xdr:rowOff>0</xdr:rowOff>
    </xdr:from>
    <xdr:to>
      <xdr:col>24</xdr:col>
      <xdr:colOff>171450</xdr:colOff>
      <xdr:row>38</xdr:row>
      <xdr:rowOff>236220</xdr:rowOff>
    </xdr:to>
    <xdr:graphicFrame macro="">
      <xdr:nvGraphicFramePr>
        <xdr:cNvPr id="3" name="Diagram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342900</xdr:colOff>
      <xdr:row>1</xdr:row>
      <xdr:rowOff>9525</xdr:rowOff>
    </xdr:from>
    <xdr:to>
      <xdr:col>24</xdr:col>
      <xdr:colOff>342900</xdr:colOff>
      <xdr:row>9</xdr:row>
      <xdr:rowOff>9525</xdr:rowOff>
    </xdr:to>
    <xdr:graphicFrame macro="">
      <xdr:nvGraphicFramePr>
        <xdr:cNvPr id="4" name="Diagram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552449</xdr:colOff>
      <xdr:row>18</xdr:row>
      <xdr:rowOff>85725</xdr:rowOff>
    </xdr:from>
    <xdr:to>
      <xdr:col>8</xdr:col>
      <xdr:colOff>466724</xdr:colOff>
      <xdr:row>30</xdr:row>
      <xdr:rowOff>104774</xdr:rowOff>
    </xdr:to>
    <xdr:graphicFrame macro="">
      <xdr:nvGraphicFramePr>
        <xdr:cNvPr id="25" name="Diagram 24">
          <a:extLst>
            <a:ext uri="{FF2B5EF4-FFF2-40B4-BE49-F238E27FC236}">
              <a16:creationId xmlns:a16="http://schemas.microsoft.com/office/drawing/2014/main" id="{00000000-0008-0000-0100-00001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20</xdr:col>
      <xdr:colOff>201930</xdr:colOff>
      <xdr:row>8</xdr:row>
      <xdr:rowOff>66675</xdr:rowOff>
    </xdr:from>
    <xdr:to>
      <xdr:col>23</xdr:col>
      <xdr:colOff>299085</xdr:colOff>
      <xdr:row>20</xdr:row>
      <xdr:rowOff>49530</xdr:rowOff>
    </xdr:to>
    <xdr:pic>
      <xdr:nvPicPr>
        <xdr:cNvPr id="6" name="Bilde 5">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1546205" y="1362075"/>
          <a:ext cx="1925955" cy="192595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426028</xdr:colOff>
      <xdr:row>28</xdr:row>
      <xdr:rowOff>53690</xdr:rowOff>
    </xdr:from>
    <xdr:to>
      <xdr:col>16</xdr:col>
      <xdr:colOff>0</xdr:colOff>
      <xdr:row>42</xdr:row>
      <xdr:rowOff>44164</xdr:rowOff>
    </xdr:to>
    <xdr:graphicFrame macro="">
      <xdr:nvGraphicFramePr>
        <xdr:cNvPr id="2" name="Diagram 10">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133266</xdr:colOff>
      <xdr:row>17</xdr:row>
      <xdr:rowOff>35215</xdr:rowOff>
    </xdr:from>
    <xdr:to>
      <xdr:col>19</xdr:col>
      <xdr:colOff>307256</xdr:colOff>
      <xdr:row>18</xdr:row>
      <xdr:rowOff>19242</xdr:rowOff>
    </xdr:to>
    <xdr:pic>
      <xdr:nvPicPr>
        <xdr:cNvPr id="4" name="Bilde 2" descr="Smilefjes med åpen munn">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0236116" y="3064165"/>
          <a:ext cx="173990" cy="1618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xdr:from>
          <xdr:col>17</xdr:col>
          <xdr:colOff>66675</xdr:colOff>
          <xdr:row>28</xdr:row>
          <xdr:rowOff>38100</xdr:rowOff>
        </xdr:from>
        <xdr:to>
          <xdr:col>21</xdr:col>
          <xdr:colOff>28575</xdr:colOff>
          <xdr:row>42</xdr:row>
          <xdr:rowOff>38100</xdr:rowOff>
        </xdr:to>
        <xdr:sp macro="" textlink="">
          <xdr:nvSpPr>
            <xdr:cNvPr id="29697" name="Button 1" hidden="1">
              <a:extLst>
                <a:ext uri="{63B3BB69-23CF-44E3-9099-C40C66FF867C}">
                  <a14:compatExt spid="_x0000_s29697"/>
                </a:ext>
                <a:ext uri="{FF2B5EF4-FFF2-40B4-BE49-F238E27FC236}">
                  <a16:creationId xmlns:a16="http://schemas.microsoft.com/office/drawing/2014/main" id="{00000000-0008-0000-0400-000001740000}"/>
                </a:ext>
              </a:extLst>
            </xdr:cNvPr>
            <xdr:cNvSpPr/>
          </xdr:nvSpPr>
          <xdr:spPr bwMode="auto">
            <a:xfrm>
              <a:off x="0" y="0"/>
              <a:ext cx="0" cy="0"/>
            </a:xfrm>
            <a:prstGeom prst="rect">
              <a:avLst/>
            </a:prstGeom>
            <a:noFill/>
            <a:ln w="9525">
              <a:miter lim="800000"/>
              <a:headEnd/>
              <a:tailEnd/>
            </a:ln>
          </xdr:spPr>
          <xdr:txBody>
            <a:bodyPr vertOverflow="clip" wrap="square" lIns="54864" tIns="50292" rIns="54864" bIns="50292" anchor="ctr" upright="1"/>
            <a:lstStyle/>
            <a:p>
              <a:pPr algn="ctr" rtl="0">
                <a:defRPr sz="1000"/>
              </a:pPr>
              <a:r>
                <a:rPr lang="nb-NO" sz="2800" b="0" i="0" u="none" strike="noStrike" baseline="0">
                  <a:solidFill>
                    <a:srgbClr val="800000"/>
                  </a:solidFill>
                  <a:latin typeface="Consolas"/>
                </a:rPr>
                <a:t>Sorter</a:t>
              </a:r>
            </a:p>
            <a:p>
              <a:pPr algn="ctr" rtl="0">
                <a:defRPr sz="1000"/>
              </a:pPr>
              <a:r>
                <a:rPr lang="nb-NO" sz="2800" b="0" i="0" u="none" strike="noStrike" baseline="0">
                  <a:solidFill>
                    <a:srgbClr val="800000"/>
                  </a:solidFill>
                  <a:latin typeface="Consolas"/>
                </a:rPr>
                <a:t>Tabeller</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15</xdr:col>
          <xdr:colOff>609600</xdr:colOff>
          <xdr:row>173</xdr:row>
          <xdr:rowOff>28575</xdr:rowOff>
        </xdr:from>
        <xdr:to>
          <xdr:col>20</xdr:col>
          <xdr:colOff>28575</xdr:colOff>
          <xdr:row>176</xdr:row>
          <xdr:rowOff>28575</xdr:rowOff>
        </xdr:to>
        <xdr:sp macro="" textlink="">
          <xdr:nvSpPr>
            <xdr:cNvPr id="43009" name="Button 1" hidden="1">
              <a:extLst>
                <a:ext uri="{63B3BB69-23CF-44E3-9099-C40C66FF867C}">
                  <a14:compatExt spid="_x0000_s43009"/>
                </a:ext>
                <a:ext uri="{FF2B5EF4-FFF2-40B4-BE49-F238E27FC236}">
                  <a16:creationId xmlns:a16="http://schemas.microsoft.com/office/drawing/2014/main" id="{00000000-0008-0000-0500-000001A8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nb-NO" sz="1000" b="0" i="0" u="none" strike="noStrike" baseline="0">
                  <a:solidFill>
                    <a:srgbClr val="000000"/>
                  </a:solidFill>
                  <a:latin typeface="Arial"/>
                  <a:cs typeface="Arial"/>
                </a:rPr>
                <a:t>Send Krav</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0</xdr:col>
      <xdr:colOff>304800</xdr:colOff>
      <xdr:row>3</xdr:row>
      <xdr:rowOff>152400</xdr:rowOff>
    </xdr:from>
    <xdr:to>
      <xdr:col>1</xdr:col>
      <xdr:colOff>561975</xdr:colOff>
      <xdr:row>7</xdr:row>
      <xdr:rowOff>0</xdr:rowOff>
    </xdr:to>
    <xdr:sp macro="" textlink="">
      <xdr:nvSpPr>
        <xdr:cNvPr id="2" name="Ellipse 1">
          <a:extLst>
            <a:ext uri="{FF2B5EF4-FFF2-40B4-BE49-F238E27FC236}">
              <a16:creationId xmlns:a16="http://schemas.microsoft.com/office/drawing/2014/main" id="{00000000-0008-0000-0500-000002000000}"/>
            </a:ext>
          </a:extLst>
        </xdr:cNvPr>
        <xdr:cNvSpPr/>
      </xdr:nvSpPr>
      <xdr:spPr>
        <a:xfrm>
          <a:off x="304800" y="638175"/>
          <a:ext cx="1019175" cy="4953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nb-NO" sz="1100"/>
            <a:t>Sorter</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600076</xdr:colOff>
      <xdr:row>84</xdr:row>
      <xdr:rowOff>95249</xdr:rowOff>
    </xdr:from>
    <xdr:to>
      <xdr:col>1</xdr:col>
      <xdr:colOff>619126</xdr:colOff>
      <xdr:row>91</xdr:row>
      <xdr:rowOff>138347</xdr:rowOff>
    </xdr:to>
    <xdr:pic>
      <xdr:nvPicPr>
        <xdr:cNvPr id="2" name="Bild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0076" y="13696949"/>
          <a:ext cx="781050" cy="117657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19</xdr:col>
      <xdr:colOff>121696</xdr:colOff>
      <xdr:row>14</xdr:row>
      <xdr:rowOff>45958</xdr:rowOff>
    </xdr:from>
    <xdr:to>
      <xdr:col>19</xdr:col>
      <xdr:colOff>1874519</xdr:colOff>
      <xdr:row>14</xdr:row>
      <xdr:rowOff>1970354</xdr:rowOff>
    </xdr:to>
    <xdr:pic>
      <xdr:nvPicPr>
        <xdr:cNvPr id="2" name="Bilde 1">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9509536" y="9570958"/>
          <a:ext cx="1752823" cy="19243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76200</xdr:colOff>
      <xdr:row>12</xdr:row>
      <xdr:rowOff>7620</xdr:rowOff>
    </xdr:from>
    <xdr:to>
      <xdr:col>19</xdr:col>
      <xdr:colOff>1889760</xdr:colOff>
      <xdr:row>12</xdr:row>
      <xdr:rowOff>1821180</xdr:rowOff>
    </xdr:to>
    <xdr:pic>
      <xdr:nvPicPr>
        <xdr:cNvPr id="5" name="Bilde 4" descr="Endre Brekkhus">
          <a:extLst>
            <a:ext uri="{FF2B5EF4-FFF2-40B4-BE49-F238E27FC236}">
              <a16:creationId xmlns:a16="http://schemas.microsoft.com/office/drawing/2014/main" id="{00000000-0008-0000-0800-000005000000}"/>
            </a:ext>
            <a:ext uri="{147F2762-F138-4A5C-976F-8EAC2B608ADB}">
              <a16:predDERef xmlns:a16="http://schemas.microsoft.com/office/drawing/2014/main" pred="{7C3ED676-5028-45A5-AD9A-391A874D6F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210675" y="579882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76200</xdr:colOff>
      <xdr:row>13</xdr:row>
      <xdr:rowOff>0</xdr:rowOff>
    </xdr:from>
    <xdr:to>
      <xdr:col>19</xdr:col>
      <xdr:colOff>1889760</xdr:colOff>
      <xdr:row>13</xdr:row>
      <xdr:rowOff>1813560</xdr:rowOff>
    </xdr:to>
    <xdr:pic>
      <xdr:nvPicPr>
        <xdr:cNvPr id="6" name="Bilde 5" descr="Karl-Arne Frantzen">
          <a:extLst>
            <a:ext uri="{FF2B5EF4-FFF2-40B4-BE49-F238E27FC236}">
              <a16:creationId xmlns:a16="http://schemas.microsoft.com/office/drawing/2014/main" id="{00000000-0008-0000-0800-000006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601200" y="746760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53340</xdr:colOff>
      <xdr:row>15</xdr:row>
      <xdr:rowOff>0</xdr:rowOff>
    </xdr:from>
    <xdr:to>
      <xdr:col>19</xdr:col>
      <xdr:colOff>1866900</xdr:colOff>
      <xdr:row>15</xdr:row>
      <xdr:rowOff>1813560</xdr:rowOff>
    </xdr:to>
    <xdr:pic>
      <xdr:nvPicPr>
        <xdr:cNvPr id="7" name="Bilde 6" descr="Jim Holm">
          <a:extLst>
            <a:ext uri="{FF2B5EF4-FFF2-40B4-BE49-F238E27FC236}">
              <a16:creationId xmlns:a16="http://schemas.microsoft.com/office/drawing/2014/main" id="{00000000-0008-0000-0800-000007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9578340" y="1114044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16</xdr:row>
      <xdr:rowOff>0</xdr:rowOff>
    </xdr:from>
    <xdr:to>
      <xdr:col>19</xdr:col>
      <xdr:colOff>1813560</xdr:colOff>
      <xdr:row>16</xdr:row>
      <xdr:rowOff>1813560</xdr:rowOff>
    </xdr:to>
    <xdr:pic>
      <xdr:nvPicPr>
        <xdr:cNvPr id="8" name="Bilde 7" descr="Tor-Olav Håker">
          <a:extLst>
            <a:ext uri="{FF2B5EF4-FFF2-40B4-BE49-F238E27FC236}">
              <a16:creationId xmlns:a16="http://schemas.microsoft.com/office/drawing/2014/main" id="{00000000-0008-0000-0800-000008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9525000" y="1269492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76200</xdr:colOff>
      <xdr:row>10</xdr:row>
      <xdr:rowOff>38100</xdr:rowOff>
    </xdr:from>
    <xdr:to>
      <xdr:col>19</xdr:col>
      <xdr:colOff>1895475</xdr:colOff>
      <xdr:row>10</xdr:row>
      <xdr:rowOff>1857375</xdr:rowOff>
    </xdr:to>
    <xdr:pic>
      <xdr:nvPicPr>
        <xdr:cNvPr id="10" name="Bilde 9">
          <a:extLst>
            <a:ext uri="{FF2B5EF4-FFF2-40B4-BE49-F238E27FC236}">
              <a16:creationId xmlns:a16="http://schemas.microsoft.com/office/drawing/2014/main" id="{00000000-0008-0000-0800-00000A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601200" y="1714500"/>
          <a:ext cx="1819275" cy="1819275"/>
        </a:xfrm>
        <a:prstGeom prst="rect">
          <a:avLst/>
        </a:prstGeom>
      </xdr:spPr>
    </xdr:pic>
    <xdr:clientData/>
  </xdr:twoCellAnchor>
  <xdr:twoCellAnchor editAs="oneCell">
    <xdr:from>
      <xdr:col>19</xdr:col>
      <xdr:colOff>76200</xdr:colOff>
      <xdr:row>11</xdr:row>
      <xdr:rowOff>76200</xdr:rowOff>
    </xdr:from>
    <xdr:to>
      <xdr:col>19</xdr:col>
      <xdr:colOff>1889760</xdr:colOff>
      <xdr:row>11</xdr:row>
      <xdr:rowOff>1889760</xdr:rowOff>
    </xdr:to>
    <xdr:pic>
      <xdr:nvPicPr>
        <xdr:cNvPr id="11" name="Bilde 10" descr="Rune Bjermeland">
          <a:extLst>
            <a:ext uri="{FF2B5EF4-FFF2-40B4-BE49-F238E27FC236}">
              <a16:creationId xmlns:a16="http://schemas.microsoft.com/office/drawing/2014/main" id="{00000000-0008-0000-0800-00000B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9601200" y="365760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41</xdr:col>
      <xdr:colOff>0</xdr:colOff>
      <xdr:row>0</xdr:row>
      <xdr:rowOff>0</xdr:rowOff>
    </xdr:from>
    <xdr:to>
      <xdr:col>44</xdr:col>
      <xdr:colOff>0</xdr:colOff>
      <xdr:row>6</xdr:row>
      <xdr:rowOff>104775</xdr:rowOff>
    </xdr:to>
    <xdr:pic>
      <xdr:nvPicPr>
        <xdr:cNvPr id="3" name="Bilde 2">
          <a:extLst>
            <a:ext uri="{FF2B5EF4-FFF2-40B4-BE49-F238E27FC236}">
              <a16:creationId xmlns:a16="http://schemas.microsoft.com/office/drawing/2014/main" id="{00000000-0008-0000-0800-000003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7289125" y="0"/>
          <a:ext cx="2286000" cy="1076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absolute">
    <xdr:from>
      <xdr:col>26</xdr:col>
      <xdr:colOff>300037</xdr:colOff>
      <xdr:row>1</xdr:row>
      <xdr:rowOff>133356</xdr:rowOff>
    </xdr:from>
    <xdr:to>
      <xdr:col>32</xdr:col>
      <xdr:colOff>300037</xdr:colOff>
      <xdr:row>18</xdr:row>
      <xdr:rowOff>57156</xdr:rowOff>
    </xdr:to>
    <xdr:graphicFrame macro="">
      <xdr:nvGraphicFramePr>
        <xdr:cNvPr id="5" name="Diagram 4">
          <a:extLst>
            <a:ext uri="{FF2B5EF4-FFF2-40B4-BE49-F238E27FC236}">
              <a16:creationId xmlns:a16="http://schemas.microsoft.com/office/drawing/2014/main" id="{00000000-0008-0000-0C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428625</xdr:colOff>
      <xdr:row>1</xdr:row>
      <xdr:rowOff>123831</xdr:rowOff>
    </xdr:from>
    <xdr:to>
      <xdr:col>38</xdr:col>
      <xdr:colOff>428625</xdr:colOff>
      <xdr:row>18</xdr:row>
      <xdr:rowOff>47631</xdr:rowOff>
    </xdr:to>
    <xdr:graphicFrame macro="">
      <xdr:nvGraphicFramePr>
        <xdr:cNvPr id="6" name="Diagram 5">
          <a:extLst>
            <a:ext uri="{FF2B5EF4-FFF2-40B4-BE49-F238E27FC236}">
              <a16:creationId xmlns:a16="http://schemas.microsoft.com/office/drawing/2014/main" id="{00000000-0008-0000-0C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304800</xdr:colOff>
      <xdr:row>18</xdr:row>
      <xdr:rowOff>142881</xdr:rowOff>
    </xdr:from>
    <xdr:to>
      <xdr:col>32</xdr:col>
      <xdr:colOff>304800</xdr:colOff>
      <xdr:row>35</xdr:row>
      <xdr:rowOff>133356</xdr:rowOff>
    </xdr:to>
    <xdr:graphicFrame macro="">
      <xdr:nvGraphicFramePr>
        <xdr:cNvPr id="7" name="Diagram 6">
          <a:extLst>
            <a:ext uri="{FF2B5EF4-FFF2-40B4-BE49-F238E27FC236}">
              <a16:creationId xmlns:a16="http://schemas.microsoft.com/office/drawing/2014/main" id="{00000000-0008-0000-0C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452437</xdr:colOff>
      <xdr:row>19</xdr:row>
      <xdr:rowOff>9531</xdr:rowOff>
    </xdr:from>
    <xdr:to>
      <xdr:col>38</xdr:col>
      <xdr:colOff>452437</xdr:colOff>
      <xdr:row>36</xdr:row>
      <xdr:rowOff>6</xdr:rowOff>
    </xdr:to>
    <xdr:graphicFrame macro="">
      <xdr:nvGraphicFramePr>
        <xdr:cNvPr id="8" name="Diagram 7">
          <a:extLst>
            <a:ext uri="{FF2B5EF4-FFF2-40B4-BE49-F238E27FC236}">
              <a16:creationId xmlns:a16="http://schemas.microsoft.com/office/drawing/2014/main" id="{00000000-0008-0000-0C00-000008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319087</xdr:colOff>
      <xdr:row>36</xdr:row>
      <xdr:rowOff>114306</xdr:rowOff>
    </xdr:from>
    <xdr:to>
      <xdr:col>32</xdr:col>
      <xdr:colOff>319087</xdr:colOff>
      <xdr:row>53</xdr:row>
      <xdr:rowOff>104781</xdr:rowOff>
    </xdr:to>
    <xdr:graphicFrame macro="">
      <xdr:nvGraphicFramePr>
        <xdr:cNvPr id="9" name="Diagram 8">
          <a:extLst>
            <a:ext uri="{FF2B5EF4-FFF2-40B4-BE49-F238E27FC236}">
              <a16:creationId xmlns:a16="http://schemas.microsoft.com/office/drawing/2014/main" id="{00000000-0008-0000-0C00-000009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452437</xdr:colOff>
      <xdr:row>36</xdr:row>
      <xdr:rowOff>133356</xdr:rowOff>
    </xdr:from>
    <xdr:to>
      <xdr:col>38</xdr:col>
      <xdr:colOff>452437</xdr:colOff>
      <xdr:row>53</xdr:row>
      <xdr:rowOff>123831</xdr:rowOff>
    </xdr:to>
    <xdr:graphicFrame macro="">
      <xdr:nvGraphicFramePr>
        <xdr:cNvPr id="10" name="Diagram 9">
          <a:extLst>
            <a:ext uri="{FF2B5EF4-FFF2-40B4-BE49-F238E27FC236}">
              <a16:creationId xmlns:a16="http://schemas.microsoft.com/office/drawing/2014/main" id="{00000000-0008-0000-0C00-00000A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26</xdr:col>
      <xdr:colOff>252412</xdr:colOff>
      <xdr:row>1</xdr:row>
      <xdr:rowOff>28581</xdr:rowOff>
    </xdr:from>
    <xdr:to>
      <xdr:col>32</xdr:col>
      <xdr:colOff>252412</xdr:colOff>
      <xdr:row>17</xdr:row>
      <xdr:rowOff>114306</xdr:rowOff>
    </xdr:to>
    <xdr:graphicFrame macro="">
      <xdr:nvGraphicFramePr>
        <xdr:cNvPr id="2" name="Diagram 1">
          <a:extLst>
            <a:ext uri="{FF2B5EF4-FFF2-40B4-BE49-F238E27FC236}">
              <a16:creationId xmlns:a16="http://schemas.microsoft.com/office/drawing/2014/main" id="{00000000-0008-0000-0D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419100</xdr:colOff>
      <xdr:row>1</xdr:row>
      <xdr:rowOff>38106</xdr:rowOff>
    </xdr:from>
    <xdr:to>
      <xdr:col>38</xdr:col>
      <xdr:colOff>419100</xdr:colOff>
      <xdr:row>17</xdr:row>
      <xdr:rowOff>123831</xdr:rowOff>
    </xdr:to>
    <xdr:graphicFrame macro="">
      <xdr:nvGraphicFramePr>
        <xdr:cNvPr id="3" name="Diagram 2">
          <a:extLst>
            <a:ext uri="{FF2B5EF4-FFF2-40B4-BE49-F238E27FC236}">
              <a16:creationId xmlns:a16="http://schemas.microsoft.com/office/drawing/2014/main" id="{00000000-0008-0000-0D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228600</xdr:colOff>
      <xdr:row>18</xdr:row>
      <xdr:rowOff>47631</xdr:rowOff>
    </xdr:from>
    <xdr:to>
      <xdr:col>32</xdr:col>
      <xdr:colOff>228600</xdr:colOff>
      <xdr:row>35</xdr:row>
      <xdr:rowOff>38106</xdr:rowOff>
    </xdr:to>
    <xdr:graphicFrame macro="">
      <xdr:nvGraphicFramePr>
        <xdr:cNvPr id="4" name="Diagram 3">
          <a:extLst>
            <a:ext uri="{FF2B5EF4-FFF2-40B4-BE49-F238E27FC236}">
              <a16:creationId xmlns:a16="http://schemas.microsoft.com/office/drawing/2014/main" id="{00000000-0008-0000-0D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376237</xdr:colOff>
      <xdr:row>18</xdr:row>
      <xdr:rowOff>76206</xdr:rowOff>
    </xdr:from>
    <xdr:to>
      <xdr:col>38</xdr:col>
      <xdr:colOff>376237</xdr:colOff>
      <xdr:row>35</xdr:row>
      <xdr:rowOff>66681</xdr:rowOff>
    </xdr:to>
    <xdr:graphicFrame macro="">
      <xdr:nvGraphicFramePr>
        <xdr:cNvPr id="5" name="Diagram 4">
          <a:extLst>
            <a:ext uri="{FF2B5EF4-FFF2-40B4-BE49-F238E27FC236}">
              <a16:creationId xmlns:a16="http://schemas.microsoft.com/office/drawing/2014/main" id="{00000000-0008-0000-0D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25</xdr:col>
      <xdr:colOff>242887</xdr:colOff>
      <xdr:row>36</xdr:row>
      <xdr:rowOff>9531</xdr:rowOff>
    </xdr:from>
    <xdr:to>
      <xdr:col>31</xdr:col>
      <xdr:colOff>242887</xdr:colOff>
      <xdr:row>53</xdr:row>
      <xdr:rowOff>6</xdr:rowOff>
    </xdr:to>
    <xdr:graphicFrame macro="">
      <xdr:nvGraphicFramePr>
        <xdr:cNvPr id="6" name="Diagram 5">
          <a:extLst>
            <a:ext uri="{FF2B5EF4-FFF2-40B4-BE49-F238E27FC236}">
              <a16:creationId xmlns:a16="http://schemas.microsoft.com/office/drawing/2014/main" id="{00000000-0008-0000-0D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31</xdr:col>
      <xdr:colOff>385762</xdr:colOff>
      <xdr:row>36</xdr:row>
      <xdr:rowOff>38106</xdr:rowOff>
    </xdr:from>
    <xdr:to>
      <xdr:col>37</xdr:col>
      <xdr:colOff>385762</xdr:colOff>
      <xdr:row>53</xdr:row>
      <xdr:rowOff>28581</xdr:rowOff>
    </xdr:to>
    <xdr:graphicFrame macro="">
      <xdr:nvGraphicFramePr>
        <xdr:cNvPr id="7" name="Diagram 6">
          <a:extLst>
            <a:ext uri="{FF2B5EF4-FFF2-40B4-BE49-F238E27FC236}">
              <a16:creationId xmlns:a16="http://schemas.microsoft.com/office/drawing/2014/main" id="{00000000-0008-0000-0D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absolute">
    <xdr:from>
      <xdr:col>26</xdr:col>
      <xdr:colOff>338137</xdr:colOff>
      <xdr:row>1</xdr:row>
      <xdr:rowOff>95256</xdr:rowOff>
    </xdr:from>
    <xdr:to>
      <xdr:col>32</xdr:col>
      <xdr:colOff>338137</xdr:colOff>
      <xdr:row>18</xdr:row>
      <xdr:rowOff>19056</xdr:rowOff>
    </xdr:to>
    <xdr:graphicFrame macro="">
      <xdr:nvGraphicFramePr>
        <xdr:cNvPr id="2" name="Diagram 1">
          <a:extLst>
            <a:ext uri="{FF2B5EF4-FFF2-40B4-BE49-F238E27FC236}">
              <a16:creationId xmlns:a16="http://schemas.microsoft.com/office/drawing/2014/main" id="{00000000-0008-0000-0E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504825</xdr:colOff>
      <xdr:row>1</xdr:row>
      <xdr:rowOff>104781</xdr:rowOff>
    </xdr:from>
    <xdr:to>
      <xdr:col>38</xdr:col>
      <xdr:colOff>504825</xdr:colOff>
      <xdr:row>18</xdr:row>
      <xdr:rowOff>28581</xdr:rowOff>
    </xdr:to>
    <xdr:graphicFrame macro="">
      <xdr:nvGraphicFramePr>
        <xdr:cNvPr id="3" name="Diagram 2">
          <a:extLst>
            <a:ext uri="{FF2B5EF4-FFF2-40B4-BE49-F238E27FC236}">
              <a16:creationId xmlns:a16="http://schemas.microsoft.com/office/drawing/2014/main" id="{00000000-0008-0000-0E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314325</xdr:colOff>
      <xdr:row>18</xdr:row>
      <xdr:rowOff>114306</xdr:rowOff>
    </xdr:from>
    <xdr:to>
      <xdr:col>32</xdr:col>
      <xdr:colOff>314325</xdr:colOff>
      <xdr:row>35</xdr:row>
      <xdr:rowOff>104781</xdr:rowOff>
    </xdr:to>
    <xdr:graphicFrame macro="">
      <xdr:nvGraphicFramePr>
        <xdr:cNvPr id="4" name="Diagram 3">
          <a:extLst>
            <a:ext uri="{FF2B5EF4-FFF2-40B4-BE49-F238E27FC236}">
              <a16:creationId xmlns:a16="http://schemas.microsoft.com/office/drawing/2014/main" id="{00000000-0008-0000-0E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461962</xdr:colOff>
      <xdr:row>18</xdr:row>
      <xdr:rowOff>142881</xdr:rowOff>
    </xdr:from>
    <xdr:to>
      <xdr:col>38</xdr:col>
      <xdr:colOff>461962</xdr:colOff>
      <xdr:row>35</xdr:row>
      <xdr:rowOff>133356</xdr:rowOff>
    </xdr:to>
    <xdr:graphicFrame macro="">
      <xdr:nvGraphicFramePr>
        <xdr:cNvPr id="5" name="Diagram 4">
          <a:extLst>
            <a:ext uri="{FF2B5EF4-FFF2-40B4-BE49-F238E27FC236}">
              <a16:creationId xmlns:a16="http://schemas.microsoft.com/office/drawing/2014/main" id="{00000000-0008-0000-0E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290512</xdr:colOff>
      <xdr:row>36</xdr:row>
      <xdr:rowOff>66681</xdr:rowOff>
    </xdr:from>
    <xdr:to>
      <xdr:col>32</xdr:col>
      <xdr:colOff>290512</xdr:colOff>
      <xdr:row>53</xdr:row>
      <xdr:rowOff>47631</xdr:rowOff>
    </xdr:to>
    <xdr:graphicFrame macro="">
      <xdr:nvGraphicFramePr>
        <xdr:cNvPr id="6" name="Diagram 5">
          <a:extLst>
            <a:ext uri="{FF2B5EF4-FFF2-40B4-BE49-F238E27FC236}">
              <a16:creationId xmlns:a16="http://schemas.microsoft.com/office/drawing/2014/main" id="{00000000-0008-0000-0E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433387</xdr:colOff>
      <xdr:row>36</xdr:row>
      <xdr:rowOff>85731</xdr:rowOff>
    </xdr:from>
    <xdr:to>
      <xdr:col>38</xdr:col>
      <xdr:colOff>433387</xdr:colOff>
      <xdr:row>53</xdr:row>
      <xdr:rowOff>76206</xdr:rowOff>
    </xdr:to>
    <xdr:graphicFrame macro="">
      <xdr:nvGraphicFramePr>
        <xdr:cNvPr id="7" name="Diagram 6">
          <a:extLst>
            <a:ext uri="{FF2B5EF4-FFF2-40B4-BE49-F238E27FC236}">
              <a16:creationId xmlns:a16="http://schemas.microsoft.com/office/drawing/2014/main" id="{00000000-0008-0000-0E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absolute">
    <xdr:from>
      <xdr:col>26</xdr:col>
      <xdr:colOff>14287</xdr:colOff>
      <xdr:row>1</xdr:row>
      <xdr:rowOff>161931</xdr:rowOff>
    </xdr:from>
    <xdr:to>
      <xdr:col>32</xdr:col>
      <xdr:colOff>14287</xdr:colOff>
      <xdr:row>18</xdr:row>
      <xdr:rowOff>85731</xdr:rowOff>
    </xdr:to>
    <xdr:graphicFrame macro="">
      <xdr:nvGraphicFramePr>
        <xdr:cNvPr id="2" name="Diagram 1">
          <a:extLst>
            <a:ext uri="{FF2B5EF4-FFF2-40B4-BE49-F238E27FC236}">
              <a16:creationId xmlns:a16="http://schemas.microsoft.com/office/drawing/2014/main" id="{00000000-0008-0000-0F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180975</xdr:colOff>
      <xdr:row>2</xdr:row>
      <xdr:rowOff>6</xdr:rowOff>
    </xdr:from>
    <xdr:to>
      <xdr:col>38</xdr:col>
      <xdr:colOff>180975</xdr:colOff>
      <xdr:row>18</xdr:row>
      <xdr:rowOff>95256</xdr:rowOff>
    </xdr:to>
    <xdr:graphicFrame macro="">
      <xdr:nvGraphicFramePr>
        <xdr:cNvPr id="3" name="Diagram 2">
          <a:extLst>
            <a:ext uri="{FF2B5EF4-FFF2-40B4-BE49-F238E27FC236}">
              <a16:creationId xmlns:a16="http://schemas.microsoft.com/office/drawing/2014/main" id="{00000000-0008-0000-0F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25</xdr:col>
      <xdr:colOff>752475</xdr:colOff>
      <xdr:row>19</xdr:row>
      <xdr:rowOff>19056</xdr:rowOff>
    </xdr:from>
    <xdr:to>
      <xdr:col>31</xdr:col>
      <xdr:colOff>752475</xdr:colOff>
      <xdr:row>36</xdr:row>
      <xdr:rowOff>9531</xdr:rowOff>
    </xdr:to>
    <xdr:graphicFrame macro="">
      <xdr:nvGraphicFramePr>
        <xdr:cNvPr id="4" name="Diagram 3">
          <a:extLst>
            <a:ext uri="{FF2B5EF4-FFF2-40B4-BE49-F238E27FC236}">
              <a16:creationId xmlns:a16="http://schemas.microsoft.com/office/drawing/2014/main" id="{00000000-0008-0000-0F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138112</xdr:colOff>
      <xdr:row>19</xdr:row>
      <xdr:rowOff>47631</xdr:rowOff>
    </xdr:from>
    <xdr:to>
      <xdr:col>38</xdr:col>
      <xdr:colOff>138112</xdr:colOff>
      <xdr:row>36</xdr:row>
      <xdr:rowOff>38106</xdr:rowOff>
    </xdr:to>
    <xdr:graphicFrame macro="">
      <xdr:nvGraphicFramePr>
        <xdr:cNvPr id="5" name="Diagram 4">
          <a:extLst>
            <a:ext uri="{FF2B5EF4-FFF2-40B4-BE49-F238E27FC236}">
              <a16:creationId xmlns:a16="http://schemas.microsoft.com/office/drawing/2014/main" id="{00000000-0008-0000-0F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52387</xdr:colOff>
      <xdr:row>36</xdr:row>
      <xdr:rowOff>133356</xdr:rowOff>
    </xdr:from>
    <xdr:to>
      <xdr:col>32</xdr:col>
      <xdr:colOff>52387</xdr:colOff>
      <xdr:row>53</xdr:row>
      <xdr:rowOff>114306</xdr:rowOff>
    </xdr:to>
    <xdr:graphicFrame macro="">
      <xdr:nvGraphicFramePr>
        <xdr:cNvPr id="6" name="Diagram 5">
          <a:extLst>
            <a:ext uri="{FF2B5EF4-FFF2-40B4-BE49-F238E27FC236}">
              <a16:creationId xmlns:a16="http://schemas.microsoft.com/office/drawing/2014/main" id="{00000000-0008-0000-0F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195262</xdr:colOff>
      <xdr:row>36</xdr:row>
      <xdr:rowOff>152406</xdr:rowOff>
    </xdr:from>
    <xdr:to>
      <xdr:col>38</xdr:col>
      <xdr:colOff>195262</xdr:colOff>
      <xdr:row>53</xdr:row>
      <xdr:rowOff>142881</xdr:rowOff>
    </xdr:to>
    <xdr:graphicFrame macro="">
      <xdr:nvGraphicFramePr>
        <xdr:cNvPr id="7" name="Diagram 6">
          <a:extLst>
            <a:ext uri="{FF2B5EF4-FFF2-40B4-BE49-F238E27FC236}">
              <a16:creationId xmlns:a16="http://schemas.microsoft.com/office/drawing/2014/main" id="{00000000-0008-0000-0F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absolute">
    <xdr:from>
      <xdr:col>26</xdr:col>
      <xdr:colOff>319087</xdr:colOff>
      <xdr:row>1</xdr:row>
      <xdr:rowOff>104781</xdr:rowOff>
    </xdr:from>
    <xdr:to>
      <xdr:col>32</xdr:col>
      <xdr:colOff>319087</xdr:colOff>
      <xdr:row>18</xdr:row>
      <xdr:rowOff>28581</xdr:rowOff>
    </xdr:to>
    <xdr:graphicFrame macro="">
      <xdr:nvGraphicFramePr>
        <xdr:cNvPr id="2" name="Diagram 1">
          <a:extLst>
            <a:ext uri="{FF2B5EF4-FFF2-40B4-BE49-F238E27FC236}">
              <a16:creationId xmlns:a16="http://schemas.microsoft.com/office/drawing/2014/main" id="{00000000-0008-0000-10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485775</xdr:colOff>
      <xdr:row>1</xdr:row>
      <xdr:rowOff>114306</xdr:rowOff>
    </xdr:from>
    <xdr:to>
      <xdr:col>38</xdr:col>
      <xdr:colOff>485775</xdr:colOff>
      <xdr:row>18</xdr:row>
      <xdr:rowOff>38106</xdr:rowOff>
    </xdr:to>
    <xdr:graphicFrame macro="">
      <xdr:nvGraphicFramePr>
        <xdr:cNvPr id="3" name="Diagram 2">
          <a:extLst>
            <a:ext uri="{FF2B5EF4-FFF2-40B4-BE49-F238E27FC236}">
              <a16:creationId xmlns:a16="http://schemas.microsoft.com/office/drawing/2014/main" id="{00000000-0008-0000-10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295275</xdr:colOff>
      <xdr:row>18</xdr:row>
      <xdr:rowOff>123831</xdr:rowOff>
    </xdr:from>
    <xdr:to>
      <xdr:col>32</xdr:col>
      <xdr:colOff>295275</xdr:colOff>
      <xdr:row>35</xdr:row>
      <xdr:rowOff>114306</xdr:rowOff>
    </xdr:to>
    <xdr:graphicFrame macro="">
      <xdr:nvGraphicFramePr>
        <xdr:cNvPr id="4" name="Diagram 3">
          <a:extLst>
            <a:ext uri="{FF2B5EF4-FFF2-40B4-BE49-F238E27FC236}">
              <a16:creationId xmlns:a16="http://schemas.microsoft.com/office/drawing/2014/main" id="{00000000-0008-0000-10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442912</xdr:colOff>
      <xdr:row>18</xdr:row>
      <xdr:rowOff>152406</xdr:rowOff>
    </xdr:from>
    <xdr:to>
      <xdr:col>38</xdr:col>
      <xdr:colOff>442912</xdr:colOff>
      <xdr:row>35</xdr:row>
      <xdr:rowOff>142881</xdr:rowOff>
    </xdr:to>
    <xdr:graphicFrame macro="">
      <xdr:nvGraphicFramePr>
        <xdr:cNvPr id="5" name="Diagram 4">
          <a:extLst>
            <a:ext uri="{FF2B5EF4-FFF2-40B4-BE49-F238E27FC236}">
              <a16:creationId xmlns:a16="http://schemas.microsoft.com/office/drawing/2014/main" id="{00000000-0008-0000-10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290512</xdr:colOff>
      <xdr:row>36</xdr:row>
      <xdr:rowOff>47631</xdr:rowOff>
    </xdr:from>
    <xdr:to>
      <xdr:col>32</xdr:col>
      <xdr:colOff>290512</xdr:colOff>
      <xdr:row>53</xdr:row>
      <xdr:rowOff>38106</xdr:rowOff>
    </xdr:to>
    <xdr:graphicFrame macro="">
      <xdr:nvGraphicFramePr>
        <xdr:cNvPr id="6" name="Diagram 5">
          <a:extLst>
            <a:ext uri="{FF2B5EF4-FFF2-40B4-BE49-F238E27FC236}">
              <a16:creationId xmlns:a16="http://schemas.microsoft.com/office/drawing/2014/main" id="{00000000-0008-0000-10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433387</xdr:colOff>
      <xdr:row>36</xdr:row>
      <xdr:rowOff>76206</xdr:rowOff>
    </xdr:from>
    <xdr:to>
      <xdr:col>38</xdr:col>
      <xdr:colOff>433387</xdr:colOff>
      <xdr:row>53</xdr:row>
      <xdr:rowOff>76206</xdr:rowOff>
    </xdr:to>
    <xdr:graphicFrame macro="">
      <xdr:nvGraphicFramePr>
        <xdr:cNvPr id="7" name="Diagram 6">
          <a:extLst>
            <a:ext uri="{FF2B5EF4-FFF2-40B4-BE49-F238E27FC236}">
              <a16:creationId xmlns:a16="http://schemas.microsoft.com/office/drawing/2014/main" id="{00000000-0008-0000-10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editAs="absolute">
    <xdr:from>
      <xdr:col>26</xdr:col>
      <xdr:colOff>100012</xdr:colOff>
      <xdr:row>1</xdr:row>
      <xdr:rowOff>133356</xdr:rowOff>
    </xdr:from>
    <xdr:to>
      <xdr:col>32</xdr:col>
      <xdr:colOff>100012</xdr:colOff>
      <xdr:row>18</xdr:row>
      <xdr:rowOff>57156</xdr:rowOff>
    </xdr:to>
    <xdr:graphicFrame macro="">
      <xdr:nvGraphicFramePr>
        <xdr:cNvPr id="2" name="Diagram 1">
          <a:extLst>
            <a:ext uri="{FF2B5EF4-FFF2-40B4-BE49-F238E27FC236}">
              <a16:creationId xmlns:a16="http://schemas.microsoft.com/office/drawing/2014/main" id="{00000000-0008-0000-11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266700</xdr:colOff>
      <xdr:row>1</xdr:row>
      <xdr:rowOff>142881</xdr:rowOff>
    </xdr:from>
    <xdr:to>
      <xdr:col>38</xdr:col>
      <xdr:colOff>266700</xdr:colOff>
      <xdr:row>18</xdr:row>
      <xdr:rowOff>66681</xdr:rowOff>
    </xdr:to>
    <xdr:graphicFrame macro="">
      <xdr:nvGraphicFramePr>
        <xdr:cNvPr id="3" name="Diagram 2">
          <a:extLst>
            <a:ext uri="{FF2B5EF4-FFF2-40B4-BE49-F238E27FC236}">
              <a16:creationId xmlns:a16="http://schemas.microsoft.com/office/drawing/2014/main" id="{00000000-0008-0000-11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76200</xdr:colOff>
      <xdr:row>18</xdr:row>
      <xdr:rowOff>152406</xdr:rowOff>
    </xdr:from>
    <xdr:to>
      <xdr:col>32</xdr:col>
      <xdr:colOff>76200</xdr:colOff>
      <xdr:row>35</xdr:row>
      <xdr:rowOff>142881</xdr:rowOff>
    </xdr:to>
    <xdr:graphicFrame macro="">
      <xdr:nvGraphicFramePr>
        <xdr:cNvPr id="4" name="Diagram 3">
          <a:extLst>
            <a:ext uri="{FF2B5EF4-FFF2-40B4-BE49-F238E27FC236}">
              <a16:creationId xmlns:a16="http://schemas.microsoft.com/office/drawing/2014/main" id="{00000000-0008-0000-11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223837</xdr:colOff>
      <xdr:row>19</xdr:row>
      <xdr:rowOff>19056</xdr:rowOff>
    </xdr:from>
    <xdr:to>
      <xdr:col>38</xdr:col>
      <xdr:colOff>223837</xdr:colOff>
      <xdr:row>36</xdr:row>
      <xdr:rowOff>9531</xdr:rowOff>
    </xdr:to>
    <xdr:graphicFrame macro="">
      <xdr:nvGraphicFramePr>
        <xdr:cNvPr id="5" name="Diagram 4">
          <a:extLst>
            <a:ext uri="{FF2B5EF4-FFF2-40B4-BE49-F238E27FC236}">
              <a16:creationId xmlns:a16="http://schemas.microsoft.com/office/drawing/2014/main" id="{00000000-0008-0000-11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61912</xdr:colOff>
      <xdr:row>36</xdr:row>
      <xdr:rowOff>104781</xdr:rowOff>
    </xdr:from>
    <xdr:to>
      <xdr:col>32</xdr:col>
      <xdr:colOff>61912</xdr:colOff>
      <xdr:row>53</xdr:row>
      <xdr:rowOff>104781</xdr:rowOff>
    </xdr:to>
    <xdr:graphicFrame macro="">
      <xdr:nvGraphicFramePr>
        <xdr:cNvPr id="6" name="Diagram 5">
          <a:extLst>
            <a:ext uri="{FF2B5EF4-FFF2-40B4-BE49-F238E27FC236}">
              <a16:creationId xmlns:a16="http://schemas.microsoft.com/office/drawing/2014/main" id="{00000000-0008-0000-11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204787</xdr:colOff>
      <xdr:row>36</xdr:row>
      <xdr:rowOff>133356</xdr:rowOff>
    </xdr:from>
    <xdr:to>
      <xdr:col>38</xdr:col>
      <xdr:colOff>204787</xdr:colOff>
      <xdr:row>53</xdr:row>
      <xdr:rowOff>123831</xdr:rowOff>
    </xdr:to>
    <xdr:graphicFrame macro="">
      <xdr:nvGraphicFramePr>
        <xdr:cNvPr id="7" name="Diagram 6">
          <a:extLst>
            <a:ext uri="{FF2B5EF4-FFF2-40B4-BE49-F238E27FC236}">
              <a16:creationId xmlns:a16="http://schemas.microsoft.com/office/drawing/2014/main" id="{00000000-0008-0000-11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editAs="absolute">
    <xdr:from>
      <xdr:col>25</xdr:col>
      <xdr:colOff>757237</xdr:colOff>
      <xdr:row>2</xdr:row>
      <xdr:rowOff>28581</xdr:rowOff>
    </xdr:from>
    <xdr:to>
      <xdr:col>31</xdr:col>
      <xdr:colOff>757237</xdr:colOff>
      <xdr:row>18</xdr:row>
      <xdr:rowOff>123831</xdr:rowOff>
    </xdr:to>
    <xdr:graphicFrame macro="">
      <xdr:nvGraphicFramePr>
        <xdr:cNvPr id="2" name="Diagram 1">
          <a:extLst>
            <a:ext uri="{FF2B5EF4-FFF2-40B4-BE49-F238E27FC236}">
              <a16:creationId xmlns:a16="http://schemas.microsoft.com/office/drawing/2014/main" id="{00000000-0008-0000-12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editAs="absolute">
    <xdr:from>
      <xdr:col>32</xdr:col>
      <xdr:colOff>161925</xdr:colOff>
      <xdr:row>2</xdr:row>
      <xdr:rowOff>38106</xdr:rowOff>
    </xdr:from>
    <xdr:to>
      <xdr:col>38</xdr:col>
      <xdr:colOff>161925</xdr:colOff>
      <xdr:row>18</xdr:row>
      <xdr:rowOff>133356</xdr:rowOff>
    </xdr:to>
    <xdr:graphicFrame macro="">
      <xdr:nvGraphicFramePr>
        <xdr:cNvPr id="3" name="Diagram 2">
          <a:extLst>
            <a:ext uri="{FF2B5EF4-FFF2-40B4-BE49-F238E27FC236}">
              <a16:creationId xmlns:a16="http://schemas.microsoft.com/office/drawing/2014/main" id="{00000000-0008-0000-12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editAs="absolute">
    <xdr:from>
      <xdr:col>25</xdr:col>
      <xdr:colOff>733425</xdr:colOff>
      <xdr:row>19</xdr:row>
      <xdr:rowOff>57156</xdr:rowOff>
    </xdr:from>
    <xdr:to>
      <xdr:col>31</xdr:col>
      <xdr:colOff>733425</xdr:colOff>
      <xdr:row>36</xdr:row>
      <xdr:rowOff>47631</xdr:rowOff>
    </xdr:to>
    <xdr:graphicFrame macro="">
      <xdr:nvGraphicFramePr>
        <xdr:cNvPr id="4" name="Diagram 3">
          <a:extLst>
            <a:ext uri="{FF2B5EF4-FFF2-40B4-BE49-F238E27FC236}">
              <a16:creationId xmlns:a16="http://schemas.microsoft.com/office/drawing/2014/main" id="{00000000-0008-0000-12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editAs="absolute">
    <xdr:from>
      <xdr:col>32</xdr:col>
      <xdr:colOff>119062</xdr:colOff>
      <xdr:row>19</xdr:row>
      <xdr:rowOff>85731</xdr:rowOff>
    </xdr:from>
    <xdr:to>
      <xdr:col>38</xdr:col>
      <xdr:colOff>119062</xdr:colOff>
      <xdr:row>36</xdr:row>
      <xdr:rowOff>76206</xdr:rowOff>
    </xdr:to>
    <xdr:graphicFrame macro="">
      <xdr:nvGraphicFramePr>
        <xdr:cNvPr id="5" name="Diagram 4">
          <a:extLst>
            <a:ext uri="{FF2B5EF4-FFF2-40B4-BE49-F238E27FC236}">
              <a16:creationId xmlns:a16="http://schemas.microsoft.com/office/drawing/2014/main" id="{00000000-0008-0000-12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PrintsWithSheet="0"/>
  </xdr:twoCellAnchor>
  <xdr:twoCellAnchor editAs="absolute">
    <xdr:from>
      <xdr:col>25</xdr:col>
      <xdr:colOff>747712</xdr:colOff>
      <xdr:row>37</xdr:row>
      <xdr:rowOff>19056</xdr:rowOff>
    </xdr:from>
    <xdr:to>
      <xdr:col>31</xdr:col>
      <xdr:colOff>747712</xdr:colOff>
      <xdr:row>54</xdr:row>
      <xdr:rowOff>9531</xdr:rowOff>
    </xdr:to>
    <xdr:graphicFrame macro="">
      <xdr:nvGraphicFramePr>
        <xdr:cNvPr id="6" name="Diagram 5">
          <a:extLst>
            <a:ext uri="{FF2B5EF4-FFF2-40B4-BE49-F238E27FC236}">
              <a16:creationId xmlns:a16="http://schemas.microsoft.com/office/drawing/2014/main" id="{00000000-0008-0000-12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PrintsWithSheet="0"/>
  </xdr:twoCellAnchor>
  <xdr:twoCellAnchor editAs="absolute">
    <xdr:from>
      <xdr:col>32</xdr:col>
      <xdr:colOff>128587</xdr:colOff>
      <xdr:row>37</xdr:row>
      <xdr:rowOff>47631</xdr:rowOff>
    </xdr:from>
    <xdr:to>
      <xdr:col>38</xdr:col>
      <xdr:colOff>128587</xdr:colOff>
      <xdr:row>54</xdr:row>
      <xdr:rowOff>38106</xdr:rowOff>
    </xdr:to>
    <xdr:graphicFrame macro="">
      <xdr:nvGraphicFramePr>
        <xdr:cNvPr id="7" name="Diagram 6">
          <a:extLst>
            <a:ext uri="{FF2B5EF4-FFF2-40B4-BE49-F238E27FC236}">
              <a16:creationId xmlns:a16="http://schemas.microsoft.com/office/drawing/2014/main" id="{00000000-0008-0000-12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PrintsWithSheet="0"/>
  </xdr:twoCellAnchor>
</xdr:wsDr>
</file>

<file path=xl/drawings/drawing14.xml><?xml version="1.0" encoding="utf-8"?>
<xdr:wsDr xmlns:xdr="http://schemas.openxmlformats.org/drawingml/2006/spreadsheetDrawing" xmlns:a="http://schemas.openxmlformats.org/drawingml/2006/main">
  <xdr:twoCellAnchor editAs="absolute">
    <xdr:from>
      <xdr:col>26</xdr:col>
      <xdr:colOff>747712</xdr:colOff>
      <xdr:row>1</xdr:row>
      <xdr:rowOff>142881</xdr:rowOff>
    </xdr:from>
    <xdr:to>
      <xdr:col>32</xdr:col>
      <xdr:colOff>747712</xdr:colOff>
      <xdr:row>18</xdr:row>
      <xdr:rowOff>66681</xdr:rowOff>
    </xdr:to>
    <xdr:graphicFrame macro="">
      <xdr:nvGraphicFramePr>
        <xdr:cNvPr id="2" name="Diagram 1">
          <a:extLst>
            <a:ext uri="{FF2B5EF4-FFF2-40B4-BE49-F238E27FC236}">
              <a16:creationId xmlns:a16="http://schemas.microsoft.com/office/drawing/2014/main" id="{00000000-0008-0000-13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editAs="absolute">
    <xdr:from>
      <xdr:col>33</xdr:col>
      <xdr:colOff>152400</xdr:colOff>
      <xdr:row>1</xdr:row>
      <xdr:rowOff>152406</xdr:rowOff>
    </xdr:from>
    <xdr:to>
      <xdr:col>39</xdr:col>
      <xdr:colOff>152400</xdr:colOff>
      <xdr:row>18</xdr:row>
      <xdr:rowOff>76206</xdr:rowOff>
    </xdr:to>
    <xdr:graphicFrame macro="">
      <xdr:nvGraphicFramePr>
        <xdr:cNvPr id="3" name="Diagram 2">
          <a:extLst>
            <a:ext uri="{FF2B5EF4-FFF2-40B4-BE49-F238E27FC236}">
              <a16:creationId xmlns:a16="http://schemas.microsoft.com/office/drawing/2014/main" id="{00000000-0008-0000-13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editAs="absolute">
    <xdr:from>
      <xdr:col>26</xdr:col>
      <xdr:colOff>723900</xdr:colOff>
      <xdr:row>19</xdr:row>
      <xdr:rowOff>6</xdr:rowOff>
    </xdr:from>
    <xdr:to>
      <xdr:col>32</xdr:col>
      <xdr:colOff>723900</xdr:colOff>
      <xdr:row>35</xdr:row>
      <xdr:rowOff>152406</xdr:rowOff>
    </xdr:to>
    <xdr:graphicFrame macro="">
      <xdr:nvGraphicFramePr>
        <xdr:cNvPr id="4" name="Diagram 3">
          <a:extLst>
            <a:ext uri="{FF2B5EF4-FFF2-40B4-BE49-F238E27FC236}">
              <a16:creationId xmlns:a16="http://schemas.microsoft.com/office/drawing/2014/main" id="{00000000-0008-0000-13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editAs="absolute">
    <xdr:from>
      <xdr:col>33</xdr:col>
      <xdr:colOff>109537</xdr:colOff>
      <xdr:row>19</xdr:row>
      <xdr:rowOff>28581</xdr:rowOff>
    </xdr:from>
    <xdr:to>
      <xdr:col>39</xdr:col>
      <xdr:colOff>109537</xdr:colOff>
      <xdr:row>36</xdr:row>
      <xdr:rowOff>19056</xdr:rowOff>
    </xdr:to>
    <xdr:graphicFrame macro="">
      <xdr:nvGraphicFramePr>
        <xdr:cNvPr id="5" name="Diagram 4">
          <a:extLst>
            <a:ext uri="{FF2B5EF4-FFF2-40B4-BE49-F238E27FC236}">
              <a16:creationId xmlns:a16="http://schemas.microsoft.com/office/drawing/2014/main" id="{00000000-0008-0000-13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PrintsWithSheet="0"/>
  </xdr:twoCellAnchor>
  <xdr:twoCellAnchor editAs="absolute">
    <xdr:from>
      <xdr:col>27</xdr:col>
      <xdr:colOff>33337</xdr:colOff>
      <xdr:row>36</xdr:row>
      <xdr:rowOff>123831</xdr:rowOff>
    </xdr:from>
    <xdr:to>
      <xdr:col>33</xdr:col>
      <xdr:colOff>33337</xdr:colOff>
      <xdr:row>53</xdr:row>
      <xdr:rowOff>114306</xdr:rowOff>
    </xdr:to>
    <xdr:graphicFrame macro="">
      <xdr:nvGraphicFramePr>
        <xdr:cNvPr id="6" name="Diagram 5">
          <a:extLst>
            <a:ext uri="{FF2B5EF4-FFF2-40B4-BE49-F238E27FC236}">
              <a16:creationId xmlns:a16="http://schemas.microsoft.com/office/drawing/2014/main" id="{00000000-0008-0000-13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PrintsWithSheet="0"/>
  </xdr:twoCellAnchor>
  <xdr:twoCellAnchor editAs="absolute">
    <xdr:from>
      <xdr:col>33</xdr:col>
      <xdr:colOff>176212</xdr:colOff>
      <xdr:row>36</xdr:row>
      <xdr:rowOff>152406</xdr:rowOff>
    </xdr:from>
    <xdr:to>
      <xdr:col>39</xdr:col>
      <xdr:colOff>176212</xdr:colOff>
      <xdr:row>53</xdr:row>
      <xdr:rowOff>142881</xdr:rowOff>
    </xdr:to>
    <xdr:graphicFrame macro="">
      <xdr:nvGraphicFramePr>
        <xdr:cNvPr id="7" name="Diagram 6">
          <a:extLst>
            <a:ext uri="{FF2B5EF4-FFF2-40B4-BE49-F238E27FC236}">
              <a16:creationId xmlns:a16="http://schemas.microsoft.com/office/drawing/2014/main" id="{00000000-0008-0000-13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PrintsWithSheet="0"/>
  </xdr:twoCellAnchor>
</xdr:wsDr>
</file>

<file path=xl/drawings/drawing15.xml><?xml version="1.0" encoding="utf-8"?>
<xdr:wsDr xmlns:xdr="http://schemas.openxmlformats.org/drawingml/2006/spreadsheetDrawing" xmlns:a="http://schemas.openxmlformats.org/drawingml/2006/main">
  <xdr:twoCellAnchor editAs="absolute">
    <xdr:from>
      <xdr:col>25</xdr:col>
      <xdr:colOff>719137</xdr:colOff>
      <xdr:row>1</xdr:row>
      <xdr:rowOff>142881</xdr:rowOff>
    </xdr:from>
    <xdr:to>
      <xdr:col>31</xdr:col>
      <xdr:colOff>719137</xdr:colOff>
      <xdr:row>18</xdr:row>
      <xdr:rowOff>66681</xdr:rowOff>
    </xdr:to>
    <xdr:graphicFrame macro="">
      <xdr:nvGraphicFramePr>
        <xdr:cNvPr id="2" name="Diagram 1">
          <a:extLst>
            <a:ext uri="{FF2B5EF4-FFF2-40B4-BE49-F238E27FC236}">
              <a16:creationId xmlns:a16="http://schemas.microsoft.com/office/drawing/2014/main" id="{00000000-0008-0000-14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editAs="absolute">
    <xdr:from>
      <xdr:col>32</xdr:col>
      <xdr:colOff>123825</xdr:colOff>
      <xdr:row>1</xdr:row>
      <xdr:rowOff>152406</xdr:rowOff>
    </xdr:from>
    <xdr:to>
      <xdr:col>38</xdr:col>
      <xdr:colOff>123825</xdr:colOff>
      <xdr:row>18</xdr:row>
      <xdr:rowOff>76206</xdr:rowOff>
    </xdr:to>
    <xdr:graphicFrame macro="">
      <xdr:nvGraphicFramePr>
        <xdr:cNvPr id="3" name="Diagram 2">
          <a:extLst>
            <a:ext uri="{FF2B5EF4-FFF2-40B4-BE49-F238E27FC236}">
              <a16:creationId xmlns:a16="http://schemas.microsoft.com/office/drawing/2014/main" id="{00000000-0008-0000-14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editAs="absolute">
    <xdr:from>
      <xdr:col>25</xdr:col>
      <xdr:colOff>695325</xdr:colOff>
      <xdr:row>19</xdr:row>
      <xdr:rowOff>6</xdr:rowOff>
    </xdr:from>
    <xdr:to>
      <xdr:col>31</xdr:col>
      <xdr:colOff>695325</xdr:colOff>
      <xdr:row>35</xdr:row>
      <xdr:rowOff>152406</xdr:rowOff>
    </xdr:to>
    <xdr:graphicFrame macro="">
      <xdr:nvGraphicFramePr>
        <xdr:cNvPr id="4" name="Diagram 3">
          <a:extLst>
            <a:ext uri="{FF2B5EF4-FFF2-40B4-BE49-F238E27FC236}">
              <a16:creationId xmlns:a16="http://schemas.microsoft.com/office/drawing/2014/main" id="{00000000-0008-0000-14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editAs="absolute">
    <xdr:from>
      <xdr:col>32</xdr:col>
      <xdr:colOff>80962</xdr:colOff>
      <xdr:row>19</xdr:row>
      <xdr:rowOff>28581</xdr:rowOff>
    </xdr:from>
    <xdr:to>
      <xdr:col>38</xdr:col>
      <xdr:colOff>80962</xdr:colOff>
      <xdr:row>36</xdr:row>
      <xdr:rowOff>19056</xdr:rowOff>
    </xdr:to>
    <xdr:graphicFrame macro="">
      <xdr:nvGraphicFramePr>
        <xdr:cNvPr id="5" name="Diagram 4">
          <a:extLst>
            <a:ext uri="{FF2B5EF4-FFF2-40B4-BE49-F238E27FC236}">
              <a16:creationId xmlns:a16="http://schemas.microsoft.com/office/drawing/2014/main" id="{00000000-0008-0000-14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PrintsWithSheet="0"/>
  </xdr:twoCellAnchor>
  <xdr:twoCellAnchor editAs="absolute">
    <xdr:from>
      <xdr:col>25</xdr:col>
      <xdr:colOff>681037</xdr:colOff>
      <xdr:row>36</xdr:row>
      <xdr:rowOff>85731</xdr:rowOff>
    </xdr:from>
    <xdr:to>
      <xdr:col>31</xdr:col>
      <xdr:colOff>681037</xdr:colOff>
      <xdr:row>53</xdr:row>
      <xdr:rowOff>76206</xdr:rowOff>
    </xdr:to>
    <xdr:graphicFrame macro="">
      <xdr:nvGraphicFramePr>
        <xdr:cNvPr id="6" name="Diagram 5">
          <a:extLst>
            <a:ext uri="{FF2B5EF4-FFF2-40B4-BE49-F238E27FC236}">
              <a16:creationId xmlns:a16="http://schemas.microsoft.com/office/drawing/2014/main" id="{00000000-0008-0000-14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PrintsWithSheet="0"/>
  </xdr:twoCellAnchor>
  <xdr:twoCellAnchor editAs="absolute">
    <xdr:from>
      <xdr:col>32</xdr:col>
      <xdr:colOff>61912</xdr:colOff>
      <xdr:row>36</xdr:row>
      <xdr:rowOff>114306</xdr:rowOff>
    </xdr:from>
    <xdr:to>
      <xdr:col>38</xdr:col>
      <xdr:colOff>61912</xdr:colOff>
      <xdr:row>53</xdr:row>
      <xdr:rowOff>114306</xdr:rowOff>
    </xdr:to>
    <xdr:graphicFrame macro="">
      <xdr:nvGraphicFramePr>
        <xdr:cNvPr id="7" name="Diagram 6">
          <a:extLst>
            <a:ext uri="{FF2B5EF4-FFF2-40B4-BE49-F238E27FC236}">
              <a16:creationId xmlns:a16="http://schemas.microsoft.com/office/drawing/2014/main" id="{00000000-0008-0000-14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PrintsWithSheet="0"/>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Zagal/Personal-xlsb/PERSONAL.XLSB" TargetMode="External"/><Relationship Id="rId2" Type="http://schemas.openxmlformats.org/officeDocument/2006/relationships/externalLinkPath" Target="file:///C:\Users\&#216;yvindGranberg\Zagal\Personal-xlsb\PERSONAL.XLSB" TargetMode="External"/><Relationship Id="rId1" Type="http://schemas.openxmlformats.org/officeDocument/2006/relationships/externalLinkPath" Target="/Users/&#216;yvindGranberg/Zagal/Personal-xlsb/PERSONAL.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kro1"/>
      <sheetName val="Ark1"/>
      <sheetName val="PERSONAL"/>
    </sheetNames>
    <definedNames>
      <definedName name="sorter"/>
    </definedNames>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3E264E-8D67-469E-985E-3568E778190B}" name="t_rang" displayName="t_rang" ref="B1:K42" totalsRowShown="0" headerRowDxfId="1889">
  <tableColumns count="10">
    <tableColumn id="1" xr3:uid="{B544D0B1-DD0A-4864-AAD5-517C2E99498D}" name="Dato" dataDxfId="1888">
      <calculatedColumnFormula>B1+7</calculatedColumnFormula>
    </tableColumn>
    <tableColumn id="2" xr3:uid="{0A985387-79AE-47BB-A7D2-AB50CE63CC69}" name="ahh">
      <calculatedColumnFormula>_xlfn.XLOOKUP(t_rang[[#This Row],[Dato]],t_ahh[Dato],t_ahh[Rank])</calculatedColumnFormula>
    </tableColumn>
    <tableColumn id="3" xr3:uid="{F8C1A9D7-BAED-42DA-AF2D-9D0C1F927241}" name="rb">
      <calculatedColumnFormula>_xlfn.XLOOKUP(t_rang[[#This Row],[Dato]],t_rb[Dato],t_rb[Rank])</calculatedColumnFormula>
    </tableColumn>
    <tableColumn id="4" xr3:uid="{4B0E4C71-8153-45B0-9665-F481D78C39CD}" name="eb">
      <calculatedColumnFormula>_xlfn.XLOOKUP(t_rang[[#This Row],[Dato]],t_eb[Dato],t_eb[Rank])</calculatedColumnFormula>
    </tableColumn>
    <tableColumn id="5" xr3:uid="{93DC4F00-3A84-4634-8939-BA95F2ACB30C}" name="kaf">
      <calculatedColumnFormula>_xlfn.XLOOKUP(t_rang[[#This Row],[Dato]],t_kaf[Dato],t_kaf[Rank])</calculatedColumnFormula>
    </tableColumn>
    <tableColumn id="6" xr3:uid="{2D1CC3B1-94A6-48FF-AAB3-E4DAEEFA63D8}" name="øg">
      <calculatedColumnFormula>_xlfn.XLOOKUP(t_rang[[#This Row],[Dato]],t_øg[Dato],t_øg[Rank])</calculatedColumnFormula>
    </tableColumn>
    <tableColumn id="7" xr3:uid="{E83E08DC-ABEB-4464-BECA-99953730715F}" name="jh">
      <calculatedColumnFormula>_xlfn.XLOOKUP(t_rang[[#This Row],[Dato]],t_jh[Dato],t_jh[Rank])</calculatedColumnFormula>
    </tableColumn>
    <tableColumn id="8" xr3:uid="{A0F9CC31-F4D5-45C2-921E-D513BE765323}" name="toh">
      <calculatedColumnFormula>_xlfn.XLOOKUP(t_rang[[#This Row],[Dato]],t_toh[Dato],t_toh[Rank])</calculatedColumnFormula>
    </tableColumn>
    <tableColumn id="9" xr3:uid="{C3ABB63C-79F9-4F3C-ABD4-BB2F04A0701E}" name="utg" dataDxfId="1887">
      <calculatedColumnFormula>_xlfn.XLOOKUP(t_rang[[#This Row],[Dato]],t_utg[Dato],t_utg[Rank])</calculatedColumnFormula>
    </tableColumn>
    <tableColumn id="10" xr3:uid="{F2B4A2DD-947C-4742-88BC-A83177DCE64B}" name="lev" dataDxfId="1886">
      <calculatedColumnFormula>_xlfn.XLOOKUP(t_rang[[#This Row],[Dato]],t_lev[Dato],t_lev[Rank])</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90F5F23-80BB-4097-9A46-E54B1DFD3246}" name="t_tp" displayName="t_tp" ref="P1:Y42" totalsRowShown="0" headerRowDxfId="1885" headerRowBorderDxfId="1884">
  <tableColumns count="10">
    <tableColumn id="1" xr3:uid="{FC127EB6-FC0A-4607-A409-4AC494B39A65}" name="Dato" dataDxfId="1883">
      <calculatedColumnFormula>Data!AL1</calculatedColumnFormula>
    </tableColumn>
    <tableColumn id="2" xr3:uid="{C70E91C4-619A-47C8-B71A-7D0B684EF795}" name="ahh" dataDxfId="1882">
      <calculatedColumnFormula>t_ahh[[#This Row],[tp]]</calculatedColumnFormula>
    </tableColumn>
    <tableColumn id="3" xr3:uid="{1070DC7D-0F6D-4B5D-9C8F-274D757D5698}" name="rb">
      <calculatedColumnFormula>t_rb[[#This Row],[tp]]</calculatedColumnFormula>
    </tableColumn>
    <tableColumn id="4" xr3:uid="{25CD612D-2024-4B38-A116-C0022E94EF27}" name="eb">
      <calculatedColumnFormula>t_eb[[#This Row],[tp]]</calculatedColumnFormula>
    </tableColumn>
    <tableColumn id="5" xr3:uid="{9E8E4A46-866C-4AE6-8495-BA87813F56B3}" name="kaf">
      <calculatedColumnFormula>t_kaf[[#This Row],[tp]]</calculatedColumnFormula>
    </tableColumn>
    <tableColumn id="6" xr3:uid="{60D5BCD9-45DB-4E57-A7EE-909708EA8F57}" name="øg">
      <calculatedColumnFormula>t_øg[[#This Row],[tp]]</calculatedColumnFormula>
    </tableColumn>
    <tableColumn id="7" xr3:uid="{2BC75E5A-1A9B-4D03-98E7-4541C8232402}" name="jh">
      <calculatedColumnFormula>t_jh[[#This Row],[tp]]</calculatedColumnFormula>
    </tableColumn>
    <tableColumn id="8" xr3:uid="{8105981B-BFD1-4B9C-8AA1-38CBCD067707}" name="toh">
      <calculatedColumnFormula>t_toh[[#This Row],[tp]]</calculatedColumnFormula>
    </tableColumn>
    <tableColumn id="9" xr3:uid="{2DD2B2E9-7C7E-4A11-9280-EF6DDBC4AA4B}" name="utg">
      <calculatedColumnFormula>t_utg[[#This Row],[tp]]</calculatedColumnFormula>
    </tableColumn>
    <tableColumn id="10" xr3:uid="{8D7E7447-4B24-4E81-811C-1942DD6410E3}" name="lev">
      <calculatedColumnFormula>t_lev[[#This Row],[tp]]</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F4EC12-E4AB-4FA8-BE67-540EDFE40F04}" name="t_ahh" displayName="t_ahh" ref="A1:I42" totalsRowShown="0" headerRowDxfId="1881">
  <tableColumns count="9">
    <tableColumn id="5" xr3:uid="{776DBF54-499D-4ABB-99BC-29CB2E92B6D4}" name="Ukenr" dataDxfId="1880">
      <calculatedColumnFormula>WEEKNUM(t_ahh[[#This Row],[Dato]])</calculatedColumnFormula>
    </tableColumn>
    <tableColumn id="1" xr3:uid="{0C11D2FE-02E8-403E-A654-1D808397DB1D}" name="Dato" dataDxfId="1879">
      <calculatedColumnFormula>Data!AL1</calculatedColumnFormula>
    </tableColumn>
    <tableColumn id="2" xr3:uid="{42F02574-5008-4CEB-A1B0-1FE4C7B1DC51}" name="hp" dataDxfId="1878">
      <calculatedColumnFormula>IFERROR(IF(OFFSET(_xlfn.XLOOKUP(B2,Kuponger!E:E,Kuponger!Q:Q),15,0)=0,"",OFFSET(_xlfn.XLOOKUP(B2,Kuponger!E:E,Kuponger!Q:Q),15,0)),"")</calculatedColumnFormula>
    </tableColumn>
    <tableColumn id="3" xr3:uid="{29450744-BD9E-4DD5-B989-0015596D80CE}" name="up" dataDxfId="1877">
      <calculatedColumnFormula>IFERROR(IF(OFFSET(_xlfn.XLOOKUP(B2,Kuponger!E:E,Kuponger!Q:Q),15,1)=0,"",OFFSET(_xlfn.XLOOKUP(B2,Kuponger!E:E,Kuponger!Q:Q),15,1)),"")</calculatedColumnFormula>
    </tableColumn>
    <tableColumn id="4" xr3:uid="{295622D1-0B25-4FAE-AD90-1C9F403631CA}" name="bp" dataDxfId="1876">
      <calculatedColumnFormula>IFERROR(IF(OFFSET(_xlfn.XLOOKUP(B2,Kuponger!E:E,Kuponger!Q:Q),15,2)=0,"",OFFSET(_xlfn.XLOOKUP(B2,Kuponger!E:E,Kuponger!Q:Q),15,2)),"")</calculatedColumnFormula>
    </tableColumn>
    <tableColumn id="10" xr3:uid="{664A9258-AB45-40F9-BA32-ABA901D9D1F5}" name="straff" dataDxfId="1875">
      <calculatedColumnFormula>IFERROR(IF(OFFSET(_xlfn.XLOOKUP(B2,Kuponger!E:E,Kuponger!S:S),1,2)=0,"",OFFSET(_xlfn.XLOOKUP(B2,Kuponger!E:E,Kuponger!S:S),1,2))*-1,"")</calculatedColumnFormula>
    </tableColumn>
    <tableColumn id="14" xr3:uid="{19796E45-C8BC-464A-AD44-3B6CC0F64D2E}" name="tp" dataDxfId="1874">
      <calculatedColumnFormula>IF(SUMIF(C2:F2,"&lt;&gt;""")=0,"",SUMIF(C2:F2,"&lt;&gt;"""))</calculatedColumnFormula>
    </tableColumn>
    <tableColumn id="15" xr3:uid="{359F1EE2-95DE-4E28-8B82-0CB4B13220FE}" name="Rank" dataDxfId="1873">
      <calculatedColumnFormula>IFERROR(IF(OFFSET(_xlfn.XLOOKUP(B2,Kuponger!E:E,Kuponger!Q:Q),1,1)="","",OFFSET(_xlfn.XLOOKUP(B2,Kuponger!E:E,Kuponger!Q:Q),1,1)),"")</calculatedColumnFormula>
    </tableColumn>
    <tableColumn id="6" xr3:uid="{2FBF12AB-7FCA-4787-B515-4E3BFB36DE14}" name="endring" dataDxfId="1872">
      <calculatedColumnFormula>t_ahh[[#This Row],[tp]]-G1</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2302AA4-F8BA-40CF-981D-B176F16745BF}" name="t_rb" displayName="t_rb" ref="A1:I42" totalsRowShown="0" headerRowDxfId="1871">
  <tableColumns count="9">
    <tableColumn id="5" xr3:uid="{2D89C157-9927-4706-95FA-97C0BAD4317C}" name="Ukenr" dataDxfId="1870">
      <calculatedColumnFormula>WEEKNUM(t_rb[[#This Row],[Dato]])</calculatedColumnFormula>
    </tableColumn>
    <tableColumn id="1" xr3:uid="{07F74BCA-7422-4F59-B937-95C5860D9DCE}" name="Dato" dataDxfId="1869">
      <calculatedColumnFormula>Data!AL1</calculatedColumnFormula>
    </tableColumn>
    <tableColumn id="2" xr3:uid="{5B75CAEF-2629-4DFB-A230-9AB83BDA9995}" name="hp" dataDxfId="1868">
      <calculatedColumnFormula>IFERROR(IF(OFFSET(_xlfn.XLOOKUP(B2,Kuponger!E:E,Kuponger!Q:Q),15,9)=0,#N/A,OFFSET(_xlfn.XLOOKUP(B2,Kuponger!E:E,Kuponger!Q:Q),15,9)),#N/A)</calculatedColumnFormula>
    </tableColumn>
    <tableColumn id="3" xr3:uid="{7A0D6D96-ACE2-40EC-89F6-CDBB565EC6E0}" name="up" dataDxfId="1867">
      <calculatedColumnFormula>IFERROR(IF(OFFSET(_xlfn.XLOOKUP(B2,Kuponger!E:E,Kuponger!Q:Q),15,10)=0,#N/A,OFFSET(_xlfn.XLOOKUP(B2,Kuponger!E:E,Kuponger!Q:Q),15,10)),#N/A)</calculatedColumnFormula>
    </tableColumn>
    <tableColumn id="4" xr3:uid="{9F127C9B-CE28-4C7D-B80B-848B3B10A00B}" name="bp" dataDxfId="1866">
      <calculatedColumnFormula>IFERROR(IF(OFFSET(_xlfn.XLOOKUP(B2,Kuponger!E:E,Kuponger!Q:Q),15,11)=0,#N/A,OFFSET(_xlfn.XLOOKUP(B2,Kuponger!E:E,Kuponger!Q:Q),15,11)),#N/A)</calculatedColumnFormula>
    </tableColumn>
    <tableColumn id="10" xr3:uid="{B80458A8-5503-4FA4-8E13-2CE76CDC765A}" name="straff" dataDxfId="1865">
      <calculatedColumnFormula>IFERROR(IF(OFFSET(_xlfn.XLOOKUP(B2,Kuponger!E:E,Kuponger!Q:Q),1,11)="",#N/A,OFFSET(_xlfn.XLOOKUP(B2,Kuponger!E:E,Kuponger!Q:Q),1,11))*-1,#N/A)</calculatedColumnFormula>
    </tableColumn>
    <tableColumn id="14" xr3:uid="{DBE759F7-7269-4766-9A2D-8A3D21F75B54}" name="tp" dataDxfId="1864">
      <calculatedColumnFormula>IF(SUMIF(C2:F2,"&lt;&gt;""")=0,"",SUMIF(C2:F2,"&lt;&gt;"""))</calculatedColumnFormula>
    </tableColumn>
    <tableColumn id="15" xr3:uid="{7F7FED9F-F165-4624-8398-C7C565DAEEC6}" name="Rank" dataDxfId="1863">
      <calculatedColumnFormula>IFERROR(IF(OFFSET(_xlfn.XLOOKUP(B2,Kuponger!E:E,Kuponger!Q:Q),1,10)="",#N/A,OFFSET(_xlfn.XLOOKUP(B2,Kuponger!E:E,Kuponger!Q:Q),1,10)),#N/A)</calculatedColumnFormula>
    </tableColumn>
    <tableColumn id="6" xr3:uid="{D911BAB6-19CD-4731-96F0-7CDC2607D765}" name="Endring" dataDxfId="1862">
      <calculatedColumnFormula>IFERROR(t_rb[[#This Row],[tp]]-G1,"")</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887D4F4-7D33-4B0E-B687-ED62001B07E7}" name="t_eb" displayName="t_eb" ref="A1:I42" totalsRowShown="0" headerRowDxfId="1861">
  <tableColumns count="9">
    <tableColumn id="5" xr3:uid="{A15796FE-F36B-4B1A-955F-4BA42A87CA26}" name="Ukenr" dataDxfId="1860">
      <calculatedColumnFormula>WEEKNUM(t_eb[[#This Row],[Dato]])</calculatedColumnFormula>
    </tableColumn>
    <tableColumn id="1" xr3:uid="{CD00B1F4-E8BA-4950-9164-8417FCF59394}" name="Dato" dataDxfId="1859">
      <calculatedColumnFormula>Data!AL1</calculatedColumnFormula>
    </tableColumn>
    <tableColumn id="2" xr3:uid="{1E9F4881-BB4A-42EC-8219-B7163B4B961B}" name="hp" dataDxfId="1858">
      <calculatedColumnFormula>IFERROR(IF(OFFSET(_xlfn.XLOOKUP(B2,Kuponger!E:E,Kuponger!Q:Q),15,18)=0,#N/A,OFFSET(_xlfn.XLOOKUP(B2,Kuponger!E:E,Kuponger!Q:Q),15,18)),#N/A)</calculatedColumnFormula>
    </tableColumn>
    <tableColumn id="3" xr3:uid="{D5AD16F8-79A2-4DF1-8AF6-60D0E15D13D9}" name="up" dataDxfId="1857">
      <calculatedColumnFormula>IFERROR(IF(OFFSET(_xlfn.XLOOKUP(B2,Kuponger!E:E,Kuponger!Q:Q),15,19)=0,#N/A,OFFSET(_xlfn.XLOOKUP(B2,Kuponger!E:E,Kuponger!Q:Q),15,19)),#N/A)</calculatedColumnFormula>
    </tableColumn>
    <tableColumn id="4" xr3:uid="{249A4D4A-6E68-44E5-B04F-D408080D3EF2}" name="bp" dataDxfId="1856">
      <calculatedColumnFormula>IFERROR(IF(OFFSET(_xlfn.XLOOKUP(B2,Kuponger!E:E,Kuponger!Q:Q),15,20)=0,#N/A,OFFSET(_xlfn.XLOOKUP(B2,Kuponger!E:E,Kuponger!Q:Q),15,20)),#N/A)</calculatedColumnFormula>
    </tableColumn>
    <tableColumn id="10" xr3:uid="{AC23FBAC-1F70-4E4C-B95B-FF2BAE396182}" name="straff" dataDxfId="1855">
      <calculatedColumnFormula>IFERROR(IF(OFFSET(_xlfn.XLOOKUP(B2,Kuponger!E:E,Kuponger!Q:Q),1,20)=0,#N/A,OFFSET(_xlfn.XLOOKUP(B2,Kuponger!E:E,Kuponger!Q:Q),1,20))*-1,#N/A)</calculatedColumnFormula>
    </tableColumn>
    <tableColumn id="14" xr3:uid="{E41EFCCA-72C3-4F7C-85AA-6F9F96C885D7}" name="tp" dataDxfId="1854">
      <calculatedColumnFormula>IF(SUMIF(C2:F2,"&lt;&gt;""")=0,"",SUMIF(C2:F2,"&lt;&gt;"""))</calculatedColumnFormula>
    </tableColumn>
    <tableColumn id="15" xr3:uid="{BE225933-369E-4A02-9053-FDE36F6F35B5}" name="Rank" dataDxfId="1853">
      <calculatedColumnFormula>IFERROR(IF(OFFSET(_xlfn.XLOOKUP(B2,Kuponger!E:E,Kuponger!Q:Q),1,19)="",#N/A,OFFSET(_xlfn.XLOOKUP(B2,Kuponger!E:E,Kuponger!Q:Q),1,19)),#N/A)</calculatedColumnFormula>
    </tableColumn>
    <tableColumn id="6" xr3:uid="{0F22D495-231E-44DF-8C40-D91D610F4F63}" name="Endring" dataDxfId="1852">
      <calculatedColumnFormula>IFERROR(t_eb[[#This Row],[tp]]-G1,"")</calculatedColumnFormula>
    </tableColumn>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76BBC7A-23F9-46DA-A60D-6B120117233F}" name="t_kaf" displayName="t_kaf" ref="A1:I42" totalsRowShown="0" headerRowDxfId="1851">
  <tableColumns count="9">
    <tableColumn id="5" xr3:uid="{5CA6750E-3511-49DE-B901-40A4322569E2}" name="Ukenr" dataDxfId="1850">
      <calculatedColumnFormula>WEEKNUM(t_kaf[[#This Row],[Dato]])</calculatedColumnFormula>
    </tableColumn>
    <tableColumn id="1" xr3:uid="{3C3F3AAB-0CBA-4066-B2E0-7464FE4F74F4}" name="Dato" dataDxfId="1849">
      <calculatedColumnFormula>Data!AL1</calculatedColumnFormula>
    </tableColumn>
    <tableColumn id="2" xr3:uid="{889C9045-6D6F-449D-8DC3-F8A5259FAE9D}" name="hp" dataDxfId="1848">
      <calculatedColumnFormula>IFERROR(IF(OFFSET(_xlfn.XLOOKUP(B2,Kuponger!E:E,Kuponger!Q:Q),15,27)=0,#N/A,OFFSET(_xlfn.XLOOKUP(B2,Kuponger!E:E,Kuponger!Q:Q),15,27)),#N/A)</calculatedColumnFormula>
    </tableColumn>
    <tableColumn id="3" xr3:uid="{24DA5F76-6AF1-4DA1-8107-A70E9A19203A}" name="up" dataDxfId="1847">
      <calculatedColumnFormula>IFERROR(IF(OFFSET(_xlfn.XLOOKUP(B2,Kuponger!E:E,Kuponger!Q:Q),15,28)=0,#N/A,OFFSET(_xlfn.XLOOKUP(B2,Kuponger!E:E,Kuponger!Q:Q),15,28)),#N/A)</calculatedColumnFormula>
    </tableColumn>
    <tableColumn id="4" xr3:uid="{C7BC259E-95FB-4C23-BCF2-971D988FDA2F}" name="bp" dataDxfId="1846">
      <calculatedColumnFormula>IFERROR(IF(OFFSET(_xlfn.XLOOKUP(B2,Kuponger!E:E,Kuponger!Q:Q),15,29)=0,#N/A,OFFSET(_xlfn.XLOOKUP(B2,Kuponger!E:E,Kuponger!Q:Q),15,29)),#N/A)</calculatedColumnFormula>
    </tableColumn>
    <tableColumn id="10" xr3:uid="{E719F286-317F-480F-8BED-630F9A8491E7}" name="straff" dataDxfId="1845">
      <calculatedColumnFormula>IFERROR(IF(OFFSET(_xlfn.XLOOKUP(B2,Kuponger!E:E,Kuponger!Q:Q),1,29)=0,#N/A,OFFSET(_xlfn.XLOOKUP(B2,Kuponger!E:E,Kuponger!Q:Q),1,29))*-1,#N/A)</calculatedColumnFormula>
    </tableColumn>
    <tableColumn id="14" xr3:uid="{8CCD4BFB-87A1-4D7A-B9EB-09A514714E04}" name="tp" dataDxfId="1844">
      <calculatedColumnFormula>IF(SUMIF(C2:F2,"&lt;&gt;""")=0,"",SUMIF(C2:F2,"&lt;&gt;"""))</calculatedColumnFormula>
    </tableColumn>
    <tableColumn id="15" xr3:uid="{A2A31940-DB76-4446-892E-98D5C9011A49}" name="Rank" dataDxfId="1843">
      <calculatedColumnFormula>IFERROR(IF(OFFSET(_xlfn.XLOOKUP(B2,Kuponger!E:E,Kuponger!Q:Q),1,28)="",#N/A,OFFSET(_xlfn.XLOOKUP(B2,Kuponger!E:E,Kuponger!Q:Q),1,28)),#N/A)</calculatedColumnFormula>
    </tableColumn>
    <tableColumn id="6" xr3:uid="{1D0599E6-807D-407E-BF66-0D4EE0BB0003}" name="Endring" dataDxfId="1842">
      <calculatedColumnFormula>IFERROR(t_kaf[[#This Row],[tp]]-G1,"")</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985E058-8E3E-4B5B-9629-16D92A0958CF}" name="t_øg" displayName="t_øg" ref="A1:I42" totalsRowShown="0" headerRowDxfId="1841">
  <tableColumns count="9">
    <tableColumn id="5" xr3:uid="{39DA23F7-9EE9-461A-9F5C-208557F7C1C4}" name="Ukenr" dataDxfId="1840">
      <calculatedColumnFormula>WEEKNUM(t_øg[[#This Row],[Dato]])</calculatedColumnFormula>
    </tableColumn>
    <tableColumn id="1" xr3:uid="{FF4018BF-E389-4B7C-9FF4-CA15987A054B}" name="Dato" dataDxfId="1839">
      <calculatedColumnFormula>Data!AL1</calculatedColumnFormula>
    </tableColumn>
    <tableColumn id="2" xr3:uid="{25AA7385-CA57-419A-A566-F03D8237FA42}" name="hp" dataDxfId="1838">
      <calculatedColumnFormula>IFERROR(IF(OFFSET(_xlfn.XLOOKUP(B2,Kuponger!E:E,Kuponger!Q:Q),15,36)=0,#N/A,OFFSET(_xlfn.XLOOKUP(B2,Kuponger!E:E,Kuponger!Q:Q),15,36)),#N/A)</calculatedColumnFormula>
    </tableColumn>
    <tableColumn id="3" xr3:uid="{C3D1920D-237B-4041-8CB0-D0B1A280B0EC}" name="up" dataDxfId="1837">
      <calculatedColumnFormula>IFERROR(IF(OFFSET(_xlfn.XLOOKUP(B2,Kuponger!E:E,Kuponger!Q:Q),15,37)=0,#N/A,OFFSET(_xlfn.XLOOKUP(B2,Kuponger!E:E,Kuponger!Q:Q),15,37)),#N/A)</calculatedColumnFormula>
    </tableColumn>
    <tableColumn id="4" xr3:uid="{629AD9E1-172E-404C-B09A-1BEFCACD837C}" name="bp" dataDxfId="1836">
      <calculatedColumnFormula>IFERROR(IF(OFFSET(_xlfn.XLOOKUP(B2,Kuponger!E:E,Kuponger!Q:Q),15,38)=0,#N/A,OFFSET(_xlfn.XLOOKUP(B2,Kuponger!E:E,Kuponger!Q:Q),15,38)),#N/A)</calculatedColumnFormula>
    </tableColumn>
    <tableColumn id="10" xr3:uid="{32C6A94C-71B4-433D-95A3-BBD35955F51C}" name="straff" dataDxfId="1835">
      <calculatedColumnFormula>IFERROR(IF(OFFSET(_xlfn.XLOOKUP(B2,Kuponger!E:E,Kuponger!Q:Q),1,38)=0,#N/A,OFFSET(_xlfn.XLOOKUP(B2,Kuponger!E:E,Kuponger!Q:Q),1,38))*-1,#N/A)</calculatedColumnFormula>
    </tableColumn>
    <tableColumn id="14" xr3:uid="{BCB78745-1463-4BEE-920F-DD39A6676B28}" name="tp" dataDxfId="1834">
      <calculatedColumnFormula>IF(SUMIF(C2:F2,"&lt;&gt;""")=0,"",SUMIF(C2:F2,"&lt;&gt;"""))</calculatedColumnFormula>
    </tableColumn>
    <tableColumn id="15" xr3:uid="{142DF14E-CFB2-4582-A514-1E6E62284FB7}" name="Rank" dataDxfId="1833">
      <calculatedColumnFormula>IFERROR(IF(OFFSET(_xlfn.XLOOKUP(B2,Kuponger!E:E,Kuponger!Q:Q),1,37)="",#N/A,OFFSET(_xlfn.XLOOKUP(B2,Kuponger!E:E,Kuponger!Q:Q),1,37)),#N/A)</calculatedColumnFormula>
    </tableColumn>
    <tableColumn id="6" xr3:uid="{EE4A31F3-7720-4789-82AC-AF7E459BA07E}" name="Endring" dataDxfId="1832">
      <calculatedColumnFormula>IFERROR(t_øg[[#This Row],[tp]]-G1,"")</calculatedColumnFormula>
    </tableColumn>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41B0E26-CD35-485B-9C99-DD38C033D46A}" name="t_jh" displayName="t_jh" ref="A1:I42" totalsRowShown="0" headerRowDxfId="1831">
  <tableColumns count="9">
    <tableColumn id="5" xr3:uid="{0CF4F0D6-F811-418F-A09C-D34ECABC5B8F}" name="Ukenr" dataDxfId="1830">
      <calculatedColumnFormula>WEEKNUM(t_jh[[#This Row],[Dato]])</calculatedColumnFormula>
    </tableColumn>
    <tableColumn id="1" xr3:uid="{F3C6761A-4435-41E3-B6FE-70C86961716B}" name="Dato" dataDxfId="1829">
      <calculatedColumnFormula>Data!AL1</calculatedColumnFormula>
    </tableColumn>
    <tableColumn id="2" xr3:uid="{DBF35897-8789-4823-B2D3-CF0C9D30DF5D}" name="hp" dataDxfId="1828">
      <calculatedColumnFormula>IFERROR(IF(OFFSET(_xlfn.XLOOKUP(B2,Kuponger!E:E,Kuponger!Q:Q),15,45)=0,#N/A,OFFSET(_xlfn.XLOOKUP(B2,Kuponger!E:E,Kuponger!Q:Q),15,45)),#N/A)</calculatedColumnFormula>
    </tableColumn>
    <tableColumn id="3" xr3:uid="{CB0F0A70-B9E2-46A1-AC35-89A76D171D50}" name="up" dataDxfId="1827">
      <calculatedColumnFormula>IFERROR(IF(OFFSET(_xlfn.XLOOKUP(B2,Kuponger!E:E,Kuponger!Q:Q),15,46)=0,#N/A,OFFSET(_xlfn.XLOOKUP(B2,Kuponger!E:E,Kuponger!Q:Q),15,46)),#N/A)</calculatedColumnFormula>
    </tableColumn>
    <tableColumn id="4" xr3:uid="{A5C532BF-2CF2-4D26-BC01-987718C1906C}" name="bp" dataDxfId="1826">
      <calculatedColumnFormula>IFERROR(IF(OFFSET(_xlfn.XLOOKUP(B2,Kuponger!E:E,Kuponger!Q:Q),15,47)=0,#N/A,OFFSET(_xlfn.XLOOKUP(B2,Kuponger!E:E,Kuponger!Q:Q),15,47)),#N/A)</calculatedColumnFormula>
    </tableColumn>
    <tableColumn id="10" xr3:uid="{A6224F5E-A8C3-4D78-8E78-8ABE26FE6A43}" name="straff" dataDxfId="1825">
      <calculatedColumnFormula>IFERROR(IF(OFFSET(_xlfn.XLOOKUP(B2,Kuponger!E:E,Kuponger!Q:Q),1,47)=0,#N/A,OFFSET(_xlfn.XLOOKUP(B2,Kuponger!E:E,Kuponger!Q:Q),1,47))*-1,#N/A)</calculatedColumnFormula>
    </tableColumn>
    <tableColumn id="14" xr3:uid="{30EB6F07-1C3E-408E-8B2D-E3F2F9274E8D}" name="tp" dataDxfId="1824">
      <calculatedColumnFormula>IF(SUMIF(C2:F2,"&lt;&gt;""")=0,"",SUMIF(C2:F2,"&lt;&gt;"""))</calculatedColumnFormula>
    </tableColumn>
    <tableColumn id="15" xr3:uid="{CEDC092F-3BBD-4085-BBFD-479DE33DE1D4}" name="Rank" dataDxfId="1823">
      <calculatedColumnFormula>IFERROR(IF(OFFSET(_xlfn.XLOOKUP(B2,Kuponger!E:E,Kuponger!Q:Q),1,46)="",#N/A,OFFSET(_xlfn.XLOOKUP(B2,Kuponger!E:E,Kuponger!Q:Q),1,46)),#N/A)</calculatedColumnFormula>
    </tableColumn>
    <tableColumn id="6" xr3:uid="{5032DADC-A856-475F-8B06-3193D9323387}" name="Endring" dataDxfId="1822">
      <calculatedColumnFormula>IFERROR(t_jh[[#This Row],[tp]]-G1,"")</calculatedColumnFormula>
    </tableColumn>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41A3E61-A072-49E4-8778-355E112AF1EB}" name="t_toh" displayName="t_toh" ref="A1:I42" totalsRowShown="0" headerRowDxfId="1821">
  <tableColumns count="9">
    <tableColumn id="5" xr3:uid="{160A1B66-A9A2-4E62-903B-AD1C69B06C48}" name="Ukenr" dataDxfId="1820">
      <calculatedColumnFormula>WEEKNUM(t_toh[[#This Row],[Dato]])</calculatedColumnFormula>
    </tableColumn>
    <tableColumn id="1" xr3:uid="{4EDB6DE7-33D0-4CB7-991F-1057332BBAFB}" name="Dato" dataDxfId="1819">
      <calculatedColumnFormula>Data!AL1</calculatedColumnFormula>
    </tableColumn>
    <tableColumn id="2" xr3:uid="{CE83906A-F4FD-4490-B1CE-E108BDE7E1C7}" name="hp" dataDxfId="1818">
      <calculatedColumnFormula>IFERROR(IF(OFFSET(_xlfn.XLOOKUP(B2,Kuponger!E:E,Kuponger!Q:Q),15,54)=0,#N/A,OFFSET(_xlfn.XLOOKUP(B2,Kuponger!E:E,Kuponger!Q:Q),15,54)),#N/A)</calculatedColumnFormula>
    </tableColumn>
    <tableColumn id="3" xr3:uid="{B9939ECF-6BCA-4AF3-8451-56E6C2EADDB6}" name="up" dataDxfId="1817">
      <calculatedColumnFormula>IFERROR(IF(OFFSET(_xlfn.XLOOKUP(B2,Kuponger!E:E,Kuponger!Q:Q),15,55)=0,#N/A,OFFSET(_xlfn.XLOOKUP(B2,Kuponger!E:E,Kuponger!Q:Q),15,55)),#N/A)</calculatedColumnFormula>
    </tableColumn>
    <tableColumn id="4" xr3:uid="{D4F128E0-E6C9-41EA-91A6-E372F955DD97}" name="bp" dataDxfId="1816">
      <calculatedColumnFormula>IFERROR(IF(OFFSET(_xlfn.XLOOKUP(B2,Kuponger!E:E,Kuponger!Q:Q),15,56)=0,#N/A,OFFSET(_xlfn.XLOOKUP(B2,Kuponger!E:E,Kuponger!Q:Q),15,56)),#N/A)</calculatedColumnFormula>
    </tableColumn>
    <tableColumn id="10" xr3:uid="{44354A2A-730D-4E39-B517-5F07D14A4D5B}" name="straff" dataDxfId="1815">
      <calculatedColumnFormula>IFERROR(IF(OFFSET(_xlfn.XLOOKUP(B2,Kuponger!E:E,Kuponger!Q:Q),1,56)=0,#N/A,OFFSET(_xlfn.XLOOKUP(B2,Kuponger!E:E,Kuponger!Q:Q),1,56))*-1,#N/A)</calculatedColumnFormula>
    </tableColumn>
    <tableColumn id="14" xr3:uid="{C0768D76-9909-4776-BF12-A15300BE0C76}" name="tp" dataDxfId="1814">
      <calculatedColumnFormula>IF(SUMIF(C2:F2,"&lt;&gt;""")=0,"",SUMIF(C2:F2,"&lt;&gt;"""))</calculatedColumnFormula>
    </tableColumn>
    <tableColumn id="15" xr3:uid="{CE9CF6BC-6F17-47B5-A621-9578D3922D2E}" name="Rank" dataDxfId="1813">
      <calculatedColumnFormula>IFERROR(IF(OFFSET(_xlfn.XLOOKUP(B2,Kuponger!E:E,Kuponger!Q:Q),1,55)="",#N/A,OFFSET(_xlfn.XLOOKUP(B2,Kuponger!E:E,Kuponger!Q:Q),1,55)),#N/A)</calculatedColumnFormula>
    </tableColumn>
    <tableColumn id="6" xr3:uid="{9C3DBCA8-9777-42D9-86FE-91B73D67F855}" name="Endring" dataDxfId="1812">
      <calculatedColumnFormula>IFERROR(t_toh[[#This Row],[tp]]-G1,"")</calculatedColumnFormula>
    </tableColumn>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CEC0205-14FB-4F2D-A22D-8DA3B48DFDCB}" name="t_utg" displayName="t_utg" ref="A1:I42" totalsRowShown="0" headerRowDxfId="1811">
  <tableColumns count="9">
    <tableColumn id="5" xr3:uid="{C3507477-E3B6-4A8B-9719-E9AD1A2FB846}" name="Ukenr" dataDxfId="1810">
      <calculatedColumnFormula>WEEKNUM(t_utg[[#This Row],[Dato]])</calculatedColumnFormula>
    </tableColumn>
    <tableColumn id="1" xr3:uid="{8335060C-3EC2-4BB4-97C9-E61E78C6DF51}" name="Dato" dataDxfId="1809">
      <calculatedColumnFormula>Data!AL1</calculatedColumnFormula>
    </tableColumn>
    <tableColumn id="2" xr3:uid="{EE0773A9-EE62-482C-AF6B-1702525AEB6E}" name="hp" dataDxfId="1808">
      <calculatedColumnFormula>IFERROR(IF(OFFSET(_xlfn.XLOOKUP(B2,Kuponger!E:E,Kuponger!Q:Q),15,63)=0,#N/A,OFFSET(_xlfn.XLOOKUP(B2,Kuponger!E:E,Kuponger!Q:Q),15,63)),#N/A)</calculatedColumnFormula>
    </tableColumn>
    <tableColumn id="3" xr3:uid="{429F1F0B-EF5F-45B4-938B-930E7FA2BD76}" name="up" dataDxfId="1807">
      <calculatedColumnFormula>IFERROR(IF(OFFSET(_xlfn.XLOOKUP(B2,Kuponger!E:E,Kuponger!Q:Q),15,64)=0,#N/A,OFFSET(_xlfn.XLOOKUP(B2,Kuponger!E:E,Kuponger!Q:Q),15,64)),#N/A)</calculatedColumnFormula>
    </tableColumn>
    <tableColumn id="4" xr3:uid="{C3AA9F83-5B80-4FBF-9025-5D3D69B67C5D}" name="bp" dataDxfId="1806">
      <calculatedColumnFormula>IFERROR(IF(OFFSET(_xlfn.XLOOKUP(B2,Kuponger!E:E,Kuponger!Q:Q),15,65)=0,#N/A,OFFSET(_xlfn.XLOOKUP(B2,Kuponger!E:E,Kuponger!Q:Q),15,65)),#N/A)</calculatedColumnFormula>
    </tableColumn>
    <tableColumn id="10" xr3:uid="{088CA75D-D110-4522-AC66-43F87318824A}" name="straff" dataDxfId="1805">
      <calculatedColumnFormula>IFERROR(IF(OFFSET(_xlfn.XLOOKUP(B2,Kuponger!E:E,Kuponger!Q:Q),1,65)=0,#N/A,OFFSET(_xlfn.XLOOKUP(B2,Kuponger!E:E,Kuponger!Q:Q),1,65))*-1,#N/A)</calculatedColumnFormula>
    </tableColumn>
    <tableColumn id="14" xr3:uid="{DD5C48A0-C709-46CA-9EFC-C39BCA0FA9CA}" name="tp" dataDxfId="1804">
      <calculatedColumnFormula>IF(SUMIF(C2:F2,"&lt;&gt;""")=0,"",SUMIF(C2:F2,"&lt;&gt;"""))</calculatedColumnFormula>
    </tableColumn>
    <tableColumn id="15" xr3:uid="{1662E82D-5D46-40ED-A8DC-B3C839CE9033}" name="Rank" dataDxfId="1803">
      <calculatedColumnFormula>IFERROR(IF(OFFSET(_xlfn.XLOOKUP(B2,Kuponger!E:E,Kuponger!Q:Q),1,64)="",#N/A,OFFSET(_xlfn.XLOOKUP(B2,Kuponger!E:E,Kuponger!Q:Q),1,64)),#N/A)</calculatedColumnFormula>
    </tableColumn>
    <tableColumn id="6" xr3:uid="{ECC786A7-3BA4-4656-A553-8E8FE2C5FC7C}" name="Endring" dataDxfId="1802">
      <calculatedColumnFormula>IFERROR(t_utg[[#This Row],[tp]]-G1,"")</calculatedColumnFormula>
    </tableColumn>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5D0A20C-8E69-4839-A56A-D67D3E84DF6B}" name="t_lev" displayName="t_lev" ref="A1:I42" totalsRowShown="0" headerRowDxfId="1801">
  <tableColumns count="9">
    <tableColumn id="5" xr3:uid="{5215E5C1-13C3-4C3D-BC52-3A5297442920}" name="Ukenr" dataDxfId="1800">
      <calculatedColumnFormula>WEEKNUM(t_lev[[#This Row],[Dato]])</calculatedColumnFormula>
    </tableColumn>
    <tableColumn id="1" xr3:uid="{CBF54F42-4601-4737-92E7-98D4C9BF8E1B}" name="Dato" dataDxfId="1799">
      <calculatedColumnFormula>Data!AL1</calculatedColumnFormula>
    </tableColumn>
    <tableColumn id="2" xr3:uid="{96CB0BB9-544E-4E92-A6D5-E4E30A38D028}" name="hp" dataDxfId="1798">
      <calculatedColumnFormula>IFERROR(IF(OFFSET(_xlfn.XLOOKUP(B2,Kuponger!E:E,Kuponger!Q:Q),15,72)=0,#N/A,OFFSET(_xlfn.XLOOKUP(B2,Kuponger!E:E,Kuponger!Q:Q),15,72)),#N/A)</calculatedColumnFormula>
    </tableColumn>
    <tableColumn id="3" xr3:uid="{E455EC2C-8B80-4D31-B493-4A6149B42937}" name="up" dataDxfId="1797">
      <calculatedColumnFormula>IFERROR(IF(OFFSET(_xlfn.XLOOKUP(B2,Kuponger!E:E,Kuponger!Q:Q),15,73)=0,#N/A,OFFSET(_xlfn.XLOOKUP(B2,Kuponger!E:E,Kuponger!Q:Q),15,73)),#N/A)</calculatedColumnFormula>
    </tableColumn>
    <tableColumn id="4" xr3:uid="{1277449A-7341-4632-B74C-F720A96E4167}" name="bp" dataDxfId="1796">
      <calculatedColumnFormula>IFERROR(IF(OFFSET(_xlfn.XLOOKUP(B2,Kuponger!E:E,Kuponger!Q:Q),15,74)=0,#N/A,OFFSET(_xlfn.XLOOKUP(B2,Kuponger!E:E,Kuponger!Q:Q),15,74)),#N/A)</calculatedColumnFormula>
    </tableColumn>
    <tableColumn id="10" xr3:uid="{EFF6A21F-4290-4E65-9558-A6BBBE63EE04}" name="straff" dataDxfId="1795">
      <calculatedColumnFormula>IFERROR(IF(OFFSET(_xlfn.XLOOKUP(B2,Kuponger!E:E,Kuponger!Q:Q),1,74)=0,#N/A,OFFSET(_xlfn.XLOOKUP(B2,Kuponger!E:E,Kuponger!Q:Q),1,74))*-1,#N/A)</calculatedColumnFormula>
    </tableColumn>
    <tableColumn id="14" xr3:uid="{17A20ADD-C9E3-4E62-A073-E226DF8D876D}" name="tp" dataDxfId="1794">
      <calculatedColumnFormula>IF(SUMIF(C2:F2,"&lt;&gt;""")=0,"",SUMIF(C2:F2,"&lt;&gt;"""))</calculatedColumnFormula>
    </tableColumn>
    <tableColumn id="15" xr3:uid="{4B44B407-AF1E-46A2-A351-69D345A2F77C}" name="Rank" dataDxfId="1793">
      <calculatedColumnFormula>IFERROR(IF(OFFSET(_xlfn.XLOOKUP(B2,Kuponger!E:E,Kuponger!Q:Q),1,73)="",#N/A,OFFSET(_xlfn.XLOOKUP(B2,Kuponger!E:E,Kuponger!Q:Q),1,73)),#N/A)</calculatedColumnFormula>
    </tableColumn>
    <tableColumn id="6" xr3:uid="{072FE38D-7414-43DB-9CF8-9625A3320706}" name="Endring" dataDxfId="1792">
      <calculatedColumnFormula>IFERROR(t_lev[[#This Row],[tp]]-G1,"")</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350" row="9">
    <wetp:webextensionref xmlns:r="http://schemas.openxmlformats.org/officeDocument/2006/relationships" r:id="rId2"/>
  </wetp:taskpane>
  <wetp:taskpane dockstate="right" visibility="0" width="0" row="0">
    <wetp:webextensionref xmlns:r="http://schemas.openxmlformats.org/officeDocument/2006/relationships" r:id="rId3"/>
  </wetp:taskpane>
</wetp:taskpanes>
</file>

<file path=xl/webextensions/webextension1.xml><?xml version="1.0" encoding="utf-8"?>
<we:webextension xmlns:we="http://schemas.microsoft.com/office/webextensions/webextension/2010/11" id="{77D66A1D-6AC6-4923-A1A5-A1C7F7151B92}">
  <we:reference id="wa104381504" version="1.0.0.0" store="nb-NO" storeType="OMEX"/>
  <we:alternateReferences>
    <we:reference id="WA104381504" version="1.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507E426D-0B22-43C0-A2F5-86D8591587E1}">
  <we:reference id="wa104381701" version="1.0.0.4" store="nb-NO" storeType="OMEX"/>
  <we:alternateReferences>
    <we:reference id="WA104381701" version="1.0.0.4" store="WA104381701" storeType="OMEX"/>
  </we:alternateReferences>
  <we:properties/>
  <we:bindings>
    <we:binding id="currentSelection" type="table" appref="{15B66A94-4EEC-403A-9554-31C92B2E3CF2}"/>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3.xml><?xml version="1.0" encoding="utf-8"?>
<we:webextension xmlns:we="http://schemas.microsoft.com/office/webextensions/webextension/2010/11" id="{B5B31898-EAAF-4FED-AD7E-6F061100253A}">
  <we:reference id="af1bca95-f5d2-433a-8cd8-f6234fe8c518" version="6.0.0.0" store="EXCatalog" storeType="EXCatalog"/>
  <we:alternateReferences>
    <we:reference id="WA200004935" version="6.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_xldudf_FORMULABOT_CLASSIFY</we:customFunctionIds>
        <we:customFunctionIds>_xldudf_FORMULABOT_EXTRACT</we:customFunctionIds>
        <we:customFunctionIds>_xldudf_FORMULABOT_SENTIMENT</we:customFunctionIds>
        <we:customFunctionIds>_xldudf_FORMULABOT_INFO</we:customFunctionIds>
        <we:customFunctionIds>_xldudf_FORMULABOT_FREEFORM</we:customFunctionIds>
        <we:customFunctionIds>_xldudf_FORMULABOT_INFER</we:customFunctionIds>
      </we:customFunctionIdList>
    </a:ext>
  </we:extLst>
</we:webextension>
</file>

<file path=xl/worksheets/_rels/sheet2.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trlProp" Target="../ctrlProps/ctrlProp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4.bin"/><Relationship Id="rId5" Type="http://schemas.openxmlformats.org/officeDocument/2006/relationships/comments" Target="../comments1.xml"/><Relationship Id="rId4" Type="http://schemas.openxmlformats.org/officeDocument/2006/relationships/ctrlProp" Target="../ctrlProps/ctrlProp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8" Type="http://schemas.openxmlformats.org/officeDocument/2006/relationships/hyperlink" Target="mailto:granberg@tresfjording.no" TargetMode="External"/><Relationship Id="rId3" Type="http://schemas.openxmlformats.org/officeDocument/2006/relationships/hyperlink" Target="mailto:ebrekkhu@online.no" TargetMode="External"/><Relationship Id="rId7" Type="http://schemas.openxmlformats.org/officeDocument/2006/relationships/hyperlink" Target="mailto:torolavpetersen@hotmail.com" TargetMode="External"/><Relationship Id="rId2" Type="http://schemas.openxmlformats.org/officeDocument/2006/relationships/hyperlink" Target="mailto:runebjermr@hotmail.com" TargetMode="External"/><Relationship Id="rId1" Type="http://schemas.openxmlformats.org/officeDocument/2006/relationships/hyperlink" Target="mailto:callisto@mimer.no" TargetMode="External"/><Relationship Id="rId6" Type="http://schemas.openxmlformats.org/officeDocument/2006/relationships/hyperlink" Target="mailto:wizard@mimer.no" TargetMode="External"/><Relationship Id="rId11" Type="http://schemas.openxmlformats.org/officeDocument/2006/relationships/drawing" Target="../drawings/drawing6.xml"/><Relationship Id="rId5" Type="http://schemas.openxmlformats.org/officeDocument/2006/relationships/hyperlink" Target="mailto:granberg@tresfjording.no" TargetMode="External"/><Relationship Id="rId10" Type="http://schemas.openxmlformats.org/officeDocument/2006/relationships/printerSettings" Target="../printerSettings/printerSettings8.bin"/><Relationship Id="rId4" Type="http://schemas.openxmlformats.org/officeDocument/2006/relationships/hyperlink" Target="mailto:kar-fran@stayon.no" TargetMode="External"/><Relationship Id="rId9" Type="http://schemas.openxmlformats.org/officeDocument/2006/relationships/hyperlink" Target="mailto:granberg@tresfjording.no" TargetMode="External"/></Relationships>
</file>

<file path=xl/worksheets/_rels/sheet1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10.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11.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2.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17BAD-5538-4489-A414-AD772BBA105B}">
  <sheetPr codeName="Ark18">
    <tabColor theme="3" tint="-0.249977111117893"/>
  </sheetPr>
  <dimension ref="B2:AK29"/>
  <sheetViews>
    <sheetView showGridLines="0" workbookViewId="0">
      <selection activeCell="F5" sqref="F5"/>
    </sheetView>
  </sheetViews>
  <sheetFormatPr baseColWidth="10" defaultColWidth="11.42578125" defaultRowHeight="15.75" x14ac:dyDescent="0.25"/>
  <cols>
    <col min="1" max="1" width="11.42578125" style="819"/>
    <col min="2" max="2" width="2" style="819" customWidth="1"/>
    <col min="3" max="3" width="7.42578125" style="819" customWidth="1"/>
    <col min="4" max="4" width="8.7109375" style="819" bestFit="1" customWidth="1"/>
    <col min="5" max="5" width="5.42578125" style="819" bestFit="1" customWidth="1"/>
    <col min="6" max="6" width="5.5703125" style="819" bestFit="1" customWidth="1"/>
    <col min="7" max="9" width="5" style="819" bestFit="1" customWidth="1"/>
    <col min="10" max="10" width="5.42578125" style="819" bestFit="1" customWidth="1"/>
    <col min="11" max="11" width="5" style="819" bestFit="1" customWidth="1"/>
    <col min="12" max="12" width="5.42578125" style="819" bestFit="1" customWidth="1"/>
    <col min="13" max="13" width="5.5703125" style="820" bestFit="1" customWidth="1"/>
    <col min="14" max="14" width="7.5703125" style="820" hidden="1" customWidth="1"/>
    <col min="15" max="15" width="8.28515625" style="819" customWidth="1"/>
    <col min="16" max="18" width="13.7109375" style="819" customWidth="1"/>
    <col min="19" max="19" width="6.42578125" style="819" bestFit="1" customWidth="1"/>
    <col min="20" max="22" width="6.5703125" style="819" bestFit="1" customWidth="1"/>
    <col min="23" max="23" width="11.42578125" style="819" customWidth="1"/>
    <col min="24" max="24" width="5.85546875" style="819" bestFit="1" customWidth="1"/>
    <col min="25" max="25" width="14.5703125" style="819" customWidth="1"/>
    <col min="26" max="16384" width="11.42578125" style="819"/>
  </cols>
  <sheetData>
    <row r="2" spans="2:24" x14ac:dyDescent="0.25">
      <c r="C2" s="819" t="s">
        <v>0</v>
      </c>
    </row>
    <row r="3" spans="2:24" ht="94.5" customHeight="1" x14ac:dyDescent="0.25">
      <c r="B3" s="821"/>
      <c r="C3" s="822" t="s">
        <v>1</v>
      </c>
      <c r="D3" s="822" t="s">
        <v>2</v>
      </c>
      <c r="E3" s="822" t="s">
        <v>3</v>
      </c>
      <c r="F3" s="822" t="s">
        <v>4</v>
      </c>
      <c r="G3" s="822" t="s">
        <v>4</v>
      </c>
      <c r="H3" s="822" t="s">
        <v>4</v>
      </c>
      <c r="I3" s="822" t="s">
        <v>4</v>
      </c>
      <c r="J3" s="822" t="s">
        <v>4</v>
      </c>
      <c r="K3" s="822" t="s">
        <v>4</v>
      </c>
      <c r="L3" s="822" t="s">
        <v>4</v>
      </c>
      <c r="M3" s="822" t="s">
        <v>4</v>
      </c>
      <c r="N3" s="822" t="s">
        <v>5</v>
      </c>
      <c r="O3" s="823" t="s">
        <v>6</v>
      </c>
      <c r="P3" s="823" t="s">
        <v>7</v>
      </c>
      <c r="Q3" s="823" t="s">
        <v>8</v>
      </c>
      <c r="R3" s="823" t="s">
        <v>9</v>
      </c>
      <c r="S3" s="823" t="s">
        <v>10</v>
      </c>
      <c r="T3" s="823" t="s">
        <v>11</v>
      </c>
      <c r="U3" s="823" t="s">
        <v>12</v>
      </c>
      <c r="V3" s="823" t="s">
        <v>13</v>
      </c>
      <c r="W3" s="823" t="s">
        <v>14</v>
      </c>
      <c r="X3" s="824" t="s">
        <v>5</v>
      </c>
    </row>
    <row r="4" spans="2:24" x14ac:dyDescent="0.25">
      <c r="B4" s="825"/>
      <c r="C4" s="826"/>
      <c r="D4" s="826"/>
      <c r="E4" s="826"/>
      <c r="F4" s="827">
        <v>80</v>
      </c>
      <c r="G4" s="828">
        <v>70</v>
      </c>
      <c r="H4" s="828">
        <v>60</v>
      </c>
      <c r="I4" s="828">
        <v>50</v>
      </c>
      <c r="J4" s="826">
        <v>40</v>
      </c>
      <c r="K4" s="826">
        <v>30</v>
      </c>
      <c r="L4" s="826">
        <v>20</v>
      </c>
      <c r="M4" s="829">
        <v>10</v>
      </c>
      <c r="N4" s="830" t="s">
        <v>15</v>
      </c>
      <c r="O4" s="831"/>
      <c r="P4" s="832" t="s">
        <v>16</v>
      </c>
      <c r="Q4" s="828" t="s">
        <v>17</v>
      </c>
      <c r="R4" s="828" t="s">
        <v>18</v>
      </c>
      <c r="S4" s="828">
        <f>$S$16</f>
        <v>80</v>
      </c>
      <c r="T4" s="828">
        <f>$S$16</f>
        <v>80</v>
      </c>
      <c r="U4" s="828">
        <f>$S$16</f>
        <v>80</v>
      </c>
      <c r="V4" s="828"/>
      <c r="W4" s="828"/>
      <c r="X4" s="830"/>
    </row>
    <row r="5" spans="2:24" ht="18" customHeight="1" x14ac:dyDescent="0.25">
      <c r="B5" s="833"/>
      <c r="C5" s="834" t="s">
        <v>19</v>
      </c>
      <c r="D5" s="835">
        <f ca="1">SUMIFS(INDIRECT("t_"&amp;C5&amp;"[tp]"),INDIRECT("t_"&amp;C5&amp;"[tp]"),"&lt;&gt;""")+X5</f>
        <v>15820</v>
      </c>
      <c r="E5" s="836">
        <f ca="1">AVERAGE(INDIRECT("t_"&amp;C5&amp;"[Rank]"))</f>
        <v>5.5625</v>
      </c>
      <c r="F5" s="837">
        <f>COUNTIF(Kuponger!$U:$W,F$4)</f>
        <v>53</v>
      </c>
      <c r="G5" s="836">
        <f>COUNTIF(Kuponger!$U:$W,G$4)</f>
        <v>31</v>
      </c>
      <c r="H5" s="836">
        <f>COUNTIF(Kuponger!$U:$W,H$4)</f>
        <v>30</v>
      </c>
      <c r="I5" s="836">
        <f>COUNTIF(Kuponger!$U:$W,I$4)</f>
        <v>34</v>
      </c>
      <c r="J5" s="836">
        <f>COUNTIF(Kuponger!$U:$W,J$4)</f>
        <v>41</v>
      </c>
      <c r="K5" s="836">
        <f>COUNTIF(Kuponger!$U:$W,K$4)</f>
        <v>80</v>
      </c>
      <c r="L5" s="836">
        <f>COUNTIF(Kuponger!$U:$W,L$4)</f>
        <v>72</v>
      </c>
      <c r="M5" s="838">
        <f>COUNTIF(Kuponger!$U:$W,M$4)</f>
        <v>43</v>
      </c>
      <c r="N5" s="836">
        <f ca="1">(SUM(INDIRECT("t_"&amp;C5&amp;"[Straff]"))/50)*-1</f>
        <v>0</v>
      </c>
      <c r="O5" s="836">
        <f ca="1">_xlfn.RANK.EQ(D5,$D$5:$D$13)</f>
        <v>8</v>
      </c>
      <c r="P5" s="837">
        <f ca="1">SUMIFS(INDIRECT("t_"&amp;C5&amp;"[hp]"),INDIRECT("t_"&amp;C5&amp;"[hp]"),"&lt;&gt;""")</f>
        <v>9350</v>
      </c>
      <c r="Q5" s="836">
        <f ca="1">SUMIFS(INDIRECT("t_"&amp;C5&amp;"[up]"),INDIRECT("t_"&amp;C5&amp;"[up]"),"&lt;&gt;""")</f>
        <v>2600</v>
      </c>
      <c r="R5" s="838">
        <f ca="1">SUMIFS(INDIRECT("t_"&amp;C5&amp;"[bp]"),INDIRECT("t_"&amp;C5&amp;"[bp]"),"&lt;&gt;""")</f>
        <v>3870</v>
      </c>
      <c r="S5" s="837">
        <f>COUNTIF(Kuponger!U:U,S4)</f>
        <v>38</v>
      </c>
      <c r="T5" s="836">
        <f>COUNTIF(Kuponger!V:V,T4)</f>
        <v>5</v>
      </c>
      <c r="U5" s="838">
        <f>COUNTIF(Kuponger!W:W,U4)</f>
        <v>10</v>
      </c>
      <c r="V5" s="836">
        <f ca="1">COUNTIF(INDIRECT("t_"&amp;$C5&amp;"[Rank]"),"&gt;0")</f>
        <v>32</v>
      </c>
      <c r="W5" s="836">
        <f ca="1">(960*$V5)-SUM(P5:R5)</f>
        <v>14900</v>
      </c>
      <c r="X5" s="839">
        <f ca="1">(SUM(INDIRECT("t_"&amp;C5&amp;"[Straff]"))/50)*-1</f>
        <v>0</v>
      </c>
    </row>
    <row r="6" spans="2:24" ht="18" customHeight="1" x14ac:dyDescent="0.25">
      <c r="B6" s="833"/>
      <c r="C6" s="834" t="s">
        <v>20</v>
      </c>
      <c r="D6" s="840">
        <f ca="1">SUMIFS(INDIRECT("t_"&amp;C6&amp;"[tp]"),INDIRECT("t_"&amp;C6&amp;"[tp]"),"&lt;&gt;""")+X6</f>
        <v>17322</v>
      </c>
      <c r="E6" s="841">
        <f t="shared" ref="E6:E13" ca="1" si="0">AVERAGE(INDIRECT("t_"&amp;C6&amp;"[Rank]"))</f>
        <v>3.53125</v>
      </c>
      <c r="F6" s="842">
        <f>COUNTIF(Kuponger!$AD:$AF,F$4)</f>
        <v>190</v>
      </c>
      <c r="G6" s="841">
        <f>COUNTIF(Kuponger!$AD:$AF,G$4)</f>
        <v>0</v>
      </c>
      <c r="H6" s="841">
        <f>COUNTIF(Kuponger!$AD:$AF,H$4)</f>
        <v>0</v>
      </c>
      <c r="I6" s="841">
        <f>COUNTIF(Kuponger!$AD:$AF,I$4)</f>
        <v>4</v>
      </c>
      <c r="J6" s="841">
        <f>COUNTIF(Kuponger!$AD:$AF,J$4)</f>
        <v>4</v>
      </c>
      <c r="K6" s="841">
        <f>COUNTIF(Kuponger!$AD:$AF,K$4)</f>
        <v>0</v>
      </c>
      <c r="L6" s="841">
        <f>COUNTIF(Kuponger!$AD:$AF,L$4)</f>
        <v>0</v>
      </c>
      <c r="M6" s="843">
        <f>COUNTIF(Kuponger!$AD:$AF,M$4)</f>
        <v>186</v>
      </c>
      <c r="N6" s="841">
        <f t="shared" ref="N6:N13" ca="1" si="1">(SUM(INDIRECT("t_"&amp;C6&amp;"[Straff]"))/50)*-1</f>
        <v>2</v>
      </c>
      <c r="O6" s="841">
        <f t="shared" ref="O6:O13" ca="1" si="2">_xlfn.RANK.EQ(D6,$D$5:$D$13)</f>
        <v>1</v>
      </c>
      <c r="P6" s="842">
        <f t="shared" ref="P6:P13" ca="1" si="3">SUMIFS(INDIRECT("t_"&amp;C6&amp;"[hp]"),INDIRECT("t_"&amp;C6&amp;"[hp]"),"&lt;&gt;""")</f>
        <v>11530</v>
      </c>
      <c r="Q6" s="841">
        <f t="shared" ref="Q6:Q13" ca="1" si="4">SUMIFS(INDIRECT("t_"&amp;C6&amp;"[up]"),INDIRECT("t_"&amp;C6&amp;"[up]"),"&lt;&gt;""")</f>
        <v>1170</v>
      </c>
      <c r="R6" s="843">
        <f t="shared" ref="R6:R13" ca="1" si="5">SUMIFS(INDIRECT("t_"&amp;C6&amp;"[bp]"),INDIRECT("t_"&amp;C6&amp;"[bp]"),"&lt;&gt;""")</f>
        <v>4720</v>
      </c>
      <c r="S6" s="842">
        <f>COUNTIF(Kuponger!AD:AD,S4)</f>
        <v>137</v>
      </c>
      <c r="T6" s="841">
        <f>COUNTIF(Kuponger!AE:AE,T4)</f>
        <v>4</v>
      </c>
      <c r="U6" s="843">
        <f>COUNTIF(Kuponger!AF:AF,U4)</f>
        <v>49</v>
      </c>
      <c r="V6" s="841">
        <f t="shared" ref="V6:V13" ca="1" si="6">COUNTIF(INDIRECT("t_"&amp;$C6&amp;"[Rank]"),"&gt;0")</f>
        <v>32</v>
      </c>
      <c r="W6" s="841">
        <f t="shared" ref="W6:W13" ca="1" si="7">(960*$V6)-SUM(P6:R6)</f>
        <v>13300</v>
      </c>
      <c r="X6" s="844">
        <f t="shared" ref="X6:X13" ca="1" si="8">(SUM(INDIRECT("t_"&amp;C6&amp;"[Straff]"))/50)*-1</f>
        <v>2</v>
      </c>
    </row>
    <row r="7" spans="2:24" ht="18" customHeight="1" x14ac:dyDescent="0.25">
      <c r="B7" s="833"/>
      <c r="C7" s="834" t="s">
        <v>21</v>
      </c>
      <c r="D7" s="840">
        <f t="shared" ref="D7:D13" ca="1" si="9">SUMIFS(INDIRECT("t_"&amp;C7&amp;"[tp]"),INDIRECT("t_"&amp;C7&amp;"[tp]"),"&lt;&gt;""")+X7</f>
        <v>15920</v>
      </c>
      <c r="E7" s="841">
        <f t="shared" ca="1" si="0"/>
        <v>5.5</v>
      </c>
      <c r="F7" s="842">
        <f>COUNTIF(Kuponger!$AM:$AO,F$4)</f>
        <v>78</v>
      </c>
      <c r="G7" s="841">
        <f>COUNTIF(Kuponger!$AM:$AO,G$4)</f>
        <v>23</v>
      </c>
      <c r="H7" s="841">
        <f>COUNTIF(Kuponger!$AM:$AO,H$4)</f>
        <v>24</v>
      </c>
      <c r="I7" s="841">
        <f>COUNTIF(Kuponger!$AM:$AO,I$4)</f>
        <v>22</v>
      </c>
      <c r="J7" s="841">
        <f>COUNTIF(Kuponger!$AM:$AO,J$4)</f>
        <v>47</v>
      </c>
      <c r="K7" s="841">
        <f>COUNTIF(Kuponger!$AM:$AO,K$4)</f>
        <v>50</v>
      </c>
      <c r="L7" s="841">
        <f>COUNTIF(Kuponger!$AM:$AO,L$4)</f>
        <v>75</v>
      </c>
      <c r="M7" s="843">
        <f>COUNTIF(Kuponger!$AM:$AO,M$4)</f>
        <v>65</v>
      </c>
      <c r="N7" s="841">
        <f t="shared" ca="1" si="1"/>
        <v>0</v>
      </c>
      <c r="O7" s="841">
        <f t="shared" ca="1" si="2"/>
        <v>7</v>
      </c>
      <c r="P7" s="842">
        <f t="shared" ca="1" si="3"/>
        <v>9790</v>
      </c>
      <c r="Q7" s="841">
        <f t="shared" ca="1" si="4"/>
        <v>1890</v>
      </c>
      <c r="R7" s="843">
        <f t="shared" ca="1" si="5"/>
        <v>4240</v>
      </c>
      <c r="S7" s="842">
        <f>COUNTIF(Kuponger!AM:AM,S4)</f>
        <v>66</v>
      </c>
      <c r="T7" s="841">
        <f>COUNTIF(Kuponger!AN:AN,T4)</f>
        <v>0</v>
      </c>
      <c r="U7" s="843">
        <f>COUNTIF(Kuponger!AO:AO,U4)</f>
        <v>12</v>
      </c>
      <c r="V7" s="841">
        <f t="shared" ca="1" si="6"/>
        <v>32</v>
      </c>
      <c r="W7" s="841">
        <f t="shared" ca="1" si="7"/>
        <v>14800</v>
      </c>
      <c r="X7" s="844">
        <f t="shared" ca="1" si="8"/>
        <v>0</v>
      </c>
    </row>
    <row r="8" spans="2:24" ht="18" customHeight="1" x14ac:dyDescent="0.25">
      <c r="B8" s="833"/>
      <c r="C8" s="834" t="s">
        <v>22</v>
      </c>
      <c r="D8" s="840">
        <f t="shared" ca="1" si="9"/>
        <v>16231</v>
      </c>
      <c r="E8" s="841">
        <f t="shared" ca="1" si="0"/>
        <v>4.875</v>
      </c>
      <c r="F8" s="842">
        <f>COUNTIF(Kuponger!$AV:$AX,F$4)</f>
        <v>78</v>
      </c>
      <c r="G8" s="841">
        <f>COUNTIF(Kuponger!$AV:$AX,G$4)</f>
        <v>4</v>
      </c>
      <c r="H8" s="841">
        <f>COUNTIF(Kuponger!$AV:$AX,H$4)</f>
        <v>66</v>
      </c>
      <c r="I8" s="841">
        <f>COUNTIF(Kuponger!$AV:$AX,I$4)</f>
        <v>27</v>
      </c>
      <c r="J8" s="841">
        <f>COUNTIF(Kuponger!$AV:$AX,J$4)</f>
        <v>26</v>
      </c>
      <c r="K8" s="841">
        <f>COUNTIF(Kuponger!$AV:$AX,K$4)</f>
        <v>66</v>
      </c>
      <c r="L8" s="841">
        <f>COUNTIF(Kuponger!$AV:$AX,L$4)</f>
        <v>26</v>
      </c>
      <c r="M8" s="843">
        <f>COUNTIF(Kuponger!$AV:$AX,M$4)</f>
        <v>91</v>
      </c>
      <c r="N8" s="841">
        <f t="shared" ca="1" si="1"/>
        <v>1</v>
      </c>
      <c r="O8" s="841">
        <f t="shared" ca="1" si="2"/>
        <v>6</v>
      </c>
      <c r="P8" s="842">
        <f t="shared" ca="1" si="3"/>
        <v>9190</v>
      </c>
      <c r="Q8" s="841">
        <f t="shared" ca="1" si="4"/>
        <v>2200</v>
      </c>
      <c r="R8" s="843">
        <f t="shared" ca="1" si="5"/>
        <v>4890</v>
      </c>
      <c r="S8" s="842">
        <f>COUNTIF(Kuponger!AV:AV,S4)</f>
        <v>57</v>
      </c>
      <c r="T8" s="841">
        <f>COUNTIF(Kuponger!AW:AW,T4)</f>
        <v>0</v>
      </c>
      <c r="U8" s="843">
        <f>COUNTIF(Kuponger!AX:AX,U4)</f>
        <v>21</v>
      </c>
      <c r="V8" s="841">
        <f t="shared" ca="1" si="6"/>
        <v>32</v>
      </c>
      <c r="W8" s="841">
        <f t="shared" ca="1" si="7"/>
        <v>14440</v>
      </c>
      <c r="X8" s="844">
        <f t="shared" ca="1" si="8"/>
        <v>1</v>
      </c>
    </row>
    <row r="9" spans="2:24" ht="18" customHeight="1" x14ac:dyDescent="0.25">
      <c r="B9" s="833"/>
      <c r="C9" s="834" t="s">
        <v>23</v>
      </c>
      <c r="D9" s="840">
        <f t="shared" ca="1" si="9"/>
        <v>17051</v>
      </c>
      <c r="E9" s="841">
        <f t="shared" ca="1" si="0"/>
        <v>3.96875</v>
      </c>
      <c r="F9" s="842">
        <f>COUNTIF(Kuponger!$BE:$BG,F$4)</f>
        <v>179</v>
      </c>
      <c r="G9" s="841">
        <f>COUNTIF(Kuponger!$BE:$BG,G$4)</f>
        <v>0</v>
      </c>
      <c r="H9" s="841">
        <f>COUNTIF(Kuponger!$BE:$BG,H$4)</f>
        <v>5</v>
      </c>
      <c r="I9" s="841">
        <f>COUNTIF(Kuponger!$BE:$BG,I$4)</f>
        <v>4</v>
      </c>
      <c r="J9" s="841">
        <f>COUNTIF(Kuponger!$BE:$BG,J$4)</f>
        <v>9</v>
      </c>
      <c r="K9" s="841">
        <f>COUNTIF(Kuponger!$BE:$BG,K$4)</f>
        <v>2</v>
      </c>
      <c r="L9" s="841">
        <f>COUNTIF(Kuponger!$BE:$BG,L$4)</f>
        <v>1</v>
      </c>
      <c r="M9" s="843">
        <f>COUNTIF(Kuponger!$BE:$BG,M$4)</f>
        <v>184</v>
      </c>
      <c r="N9" s="841">
        <f t="shared" ca="1" si="1"/>
        <v>1</v>
      </c>
      <c r="O9" s="841">
        <f t="shared" ca="1" si="2"/>
        <v>2</v>
      </c>
      <c r="P9" s="842">
        <f t="shared" ca="1" si="3"/>
        <v>11240</v>
      </c>
      <c r="Q9" s="841">
        <f t="shared" ca="1" si="4"/>
        <v>1000</v>
      </c>
      <c r="R9" s="843">
        <f t="shared" ca="1" si="5"/>
        <v>4860</v>
      </c>
      <c r="S9" s="842">
        <f>COUNTIF(Kuponger!BE:BE,S4)</f>
        <v>130</v>
      </c>
      <c r="T9" s="841">
        <f>COUNTIF(Kuponger!BF:BF,T4)</f>
        <v>0</v>
      </c>
      <c r="U9" s="843">
        <f>COUNTIF(Kuponger!BG:BG,U4)</f>
        <v>49</v>
      </c>
      <c r="V9" s="841">
        <f t="shared" ca="1" si="6"/>
        <v>32</v>
      </c>
      <c r="W9" s="841">
        <f t="shared" ca="1" si="7"/>
        <v>13620</v>
      </c>
      <c r="X9" s="844">
        <f t="shared" ca="1" si="8"/>
        <v>1</v>
      </c>
    </row>
    <row r="10" spans="2:24" ht="18" customHeight="1" x14ac:dyDescent="0.25">
      <c r="B10" s="833"/>
      <c r="C10" s="834" t="s">
        <v>24</v>
      </c>
      <c r="D10" s="840">
        <f t="shared" ca="1" si="9"/>
        <v>16331</v>
      </c>
      <c r="E10" s="841">
        <f t="shared" ca="1" si="0"/>
        <v>4.78125</v>
      </c>
      <c r="F10" s="842">
        <f>COUNTIF(Kuponger!$BN:$BP,F$4)</f>
        <v>136</v>
      </c>
      <c r="G10" s="841">
        <f>COUNTIF(Kuponger!$BN:$BP,G$4)</f>
        <v>3</v>
      </c>
      <c r="H10" s="841">
        <f>COUNTIF(Kuponger!$BN:$BP,H$4)</f>
        <v>17</v>
      </c>
      <c r="I10" s="841">
        <f>COUNTIF(Kuponger!$BN:$BP,I$4)</f>
        <v>6</v>
      </c>
      <c r="J10" s="841">
        <f>COUNTIF(Kuponger!$BN:$BP,J$4)</f>
        <v>16</v>
      </c>
      <c r="K10" s="841">
        <f>COUNTIF(Kuponger!$BN:$BP,K$4)</f>
        <v>47</v>
      </c>
      <c r="L10" s="841">
        <f>COUNTIF(Kuponger!$BN:$BP,L$4)</f>
        <v>33</v>
      </c>
      <c r="M10" s="843">
        <f>COUNTIF(Kuponger!$BN:$BP,M$4)</f>
        <v>126</v>
      </c>
      <c r="N10" s="841">
        <f t="shared" ca="1" si="1"/>
        <v>1</v>
      </c>
      <c r="O10" s="841">
        <f t="shared" ca="1" si="2"/>
        <v>4</v>
      </c>
      <c r="P10" s="842">
        <f t="shared" ca="1" si="3"/>
        <v>8720</v>
      </c>
      <c r="Q10" s="841">
        <f t="shared" ca="1" si="4"/>
        <v>1790</v>
      </c>
      <c r="R10" s="843">
        <f t="shared" ca="1" si="5"/>
        <v>5870</v>
      </c>
      <c r="S10" s="842">
        <f>COUNTIF(Kuponger!BN:BN,S4)</f>
        <v>81</v>
      </c>
      <c r="T10" s="841">
        <f>COUNTIF(Kuponger!BO:BO,T4)</f>
        <v>2</v>
      </c>
      <c r="U10" s="843">
        <f>COUNTIF(Kuponger!BP:BP,U4)</f>
        <v>53</v>
      </c>
      <c r="V10" s="841">
        <f t="shared" ca="1" si="6"/>
        <v>32</v>
      </c>
      <c r="W10" s="841">
        <f t="shared" ca="1" si="7"/>
        <v>14340</v>
      </c>
      <c r="X10" s="844">
        <f t="shared" ca="1" si="8"/>
        <v>1</v>
      </c>
    </row>
    <row r="11" spans="2:24" ht="18" customHeight="1" x14ac:dyDescent="0.25">
      <c r="B11" s="833"/>
      <c r="C11" s="834" t="s">
        <v>25</v>
      </c>
      <c r="D11" s="840">
        <f t="shared" ca="1" si="9"/>
        <v>14940</v>
      </c>
      <c r="E11" s="841">
        <f t="shared" ca="1" si="0"/>
        <v>5.78125</v>
      </c>
      <c r="F11" s="842">
        <f>COUNTIF(Kuponger!$BW:$BY,F$4)</f>
        <v>31</v>
      </c>
      <c r="G11" s="841">
        <f>COUNTIF(Kuponger!$BW:$BY,G$4)</f>
        <v>37</v>
      </c>
      <c r="H11" s="841">
        <f>COUNTIF(Kuponger!$BW:$BY,H$4)</f>
        <v>37</v>
      </c>
      <c r="I11" s="841">
        <f>COUNTIF(Kuponger!$BW:$BY,I$4)</f>
        <v>51</v>
      </c>
      <c r="J11" s="841">
        <f>COUNTIF(Kuponger!$BW:$BY,J$4)</f>
        <v>50</v>
      </c>
      <c r="K11" s="841">
        <f>COUNTIF(Kuponger!$BW:$BY,K$4)</f>
        <v>60</v>
      </c>
      <c r="L11" s="841">
        <f>COUNTIF(Kuponger!$BW:$BY,L$4)</f>
        <v>73</v>
      </c>
      <c r="M11" s="843">
        <f>COUNTIF(Kuponger!$BW:$BY,M$4)</f>
        <v>33</v>
      </c>
      <c r="N11" s="841">
        <f t="shared" ca="1" si="1"/>
        <v>10</v>
      </c>
      <c r="O11" s="841">
        <f t="shared" ca="1" si="2"/>
        <v>9</v>
      </c>
      <c r="P11" s="842">
        <f t="shared" ca="1" si="3"/>
        <v>8680</v>
      </c>
      <c r="Q11" s="841">
        <f t="shared" ca="1" si="4"/>
        <v>2190</v>
      </c>
      <c r="R11" s="843">
        <f t="shared" ca="1" si="5"/>
        <v>4560</v>
      </c>
      <c r="S11" s="842">
        <f>COUNTIF(Kuponger!BW:BW,S4)</f>
        <v>19</v>
      </c>
      <c r="T11" s="841">
        <f>COUNTIF(Kuponger!BX:BX,T4)</f>
        <v>0</v>
      </c>
      <c r="U11" s="843">
        <f>COUNTIF(Kuponger!BY:BY,U4)</f>
        <v>12</v>
      </c>
      <c r="V11" s="841">
        <f t="shared" ca="1" si="6"/>
        <v>32</v>
      </c>
      <c r="W11" s="841">
        <f t="shared" ca="1" si="7"/>
        <v>15290</v>
      </c>
      <c r="X11" s="844">
        <f t="shared" ca="1" si="8"/>
        <v>10</v>
      </c>
    </row>
    <row r="12" spans="2:24" ht="18" customHeight="1" x14ac:dyDescent="0.25">
      <c r="B12" s="833"/>
      <c r="C12" s="834" t="s">
        <v>26</v>
      </c>
      <c r="D12" s="841">
        <f t="shared" ca="1" si="9"/>
        <v>16620</v>
      </c>
      <c r="E12" s="841">
        <f t="shared" ca="1" si="0"/>
        <v>4.09375</v>
      </c>
      <c r="F12" s="842">
        <f>COUNTIF(Kuponger!$CF:$CH,F$4)</f>
        <v>57</v>
      </c>
      <c r="G12" s="841">
        <f>COUNTIF(Kuponger!$CF:$CH,G$4)</f>
        <v>45</v>
      </c>
      <c r="H12" s="841">
        <f>COUNTIF(Kuponger!$CF:$CH,H$4)</f>
        <v>46</v>
      </c>
      <c r="I12" s="841">
        <f>COUNTIF(Kuponger!$CF:$CH,I$4)</f>
        <v>35</v>
      </c>
      <c r="J12" s="841">
        <f>COUNTIF(Kuponger!$CF:$CH,J$4)</f>
        <v>32</v>
      </c>
      <c r="K12" s="841">
        <f>COUNTIF(Kuponger!$CF:$CH,K$4)</f>
        <v>33</v>
      </c>
      <c r="L12" s="841">
        <f>COUNTIF(Kuponger!$CF:$CH,L$4)</f>
        <v>77</v>
      </c>
      <c r="M12" s="843">
        <f>COUNTIF(Kuponger!$CF:$CH,M$4)</f>
        <v>59</v>
      </c>
      <c r="N12" s="841">
        <f t="shared" ca="1" si="1"/>
        <v>0</v>
      </c>
      <c r="O12" s="841">
        <f t="shared" ca="1" si="2"/>
        <v>3</v>
      </c>
      <c r="P12" s="842">
        <f t="shared" ca="1" si="3"/>
        <v>10530</v>
      </c>
      <c r="Q12" s="841">
        <f t="shared" ca="1" si="4"/>
        <v>1420</v>
      </c>
      <c r="R12" s="843">
        <f t="shared" ca="1" si="5"/>
        <v>4670</v>
      </c>
      <c r="S12" s="842">
        <f>COUNTIF(Kuponger!CF:CF,S4)</f>
        <v>52</v>
      </c>
      <c r="T12" s="841">
        <f>COUNTIF(Kuponger!CG:CG,T4)</f>
        <v>0</v>
      </c>
      <c r="U12" s="843">
        <f>COUNTIF(Kuponger!CH:CH,U4)</f>
        <v>5</v>
      </c>
      <c r="V12" s="841">
        <f t="shared" ca="1" si="6"/>
        <v>32</v>
      </c>
      <c r="W12" s="841">
        <f t="shared" ca="1" si="7"/>
        <v>14100</v>
      </c>
      <c r="X12" s="844">
        <f t="shared" ca="1" si="8"/>
        <v>0</v>
      </c>
    </row>
    <row r="13" spans="2:24" ht="18" customHeight="1" x14ac:dyDescent="0.25">
      <c r="B13" s="845"/>
      <c r="C13" s="846" t="s">
        <v>27</v>
      </c>
      <c r="D13" s="847">
        <f t="shared" ca="1" si="9"/>
        <v>16250</v>
      </c>
      <c r="E13" s="847">
        <f t="shared" ca="1" si="0"/>
        <v>4.96875</v>
      </c>
      <c r="F13" s="848">
        <f>COUNTIF(Kuponger!$CO:$CQ,F$4)</f>
        <v>88</v>
      </c>
      <c r="G13" s="847">
        <f>COUNTIF(Kuponger!$CO:$CQ,G$4)</f>
        <v>18</v>
      </c>
      <c r="H13" s="847">
        <f>COUNTIF(Kuponger!$CO:$CQ,H$4)</f>
        <v>36</v>
      </c>
      <c r="I13" s="847">
        <f>COUNTIF(Kuponger!$CO:$CQ,I$4)</f>
        <v>24</v>
      </c>
      <c r="J13" s="847">
        <f>COUNTIF(Kuponger!$CO:$CQ,J$4)</f>
        <v>28</v>
      </c>
      <c r="K13" s="847">
        <f>COUNTIF(Kuponger!$CO:$CQ,K$4)</f>
        <v>51</v>
      </c>
      <c r="L13" s="847">
        <f>COUNTIF(Kuponger!$CO:$CQ,L$4)</f>
        <v>55</v>
      </c>
      <c r="M13" s="849">
        <f>COUNTIF(Kuponger!$CO:$CQ,M$4)</f>
        <v>84</v>
      </c>
      <c r="N13" s="847">
        <f t="shared" ca="1" si="1"/>
        <v>0</v>
      </c>
      <c r="O13" s="847">
        <f t="shared" ca="1" si="2"/>
        <v>5</v>
      </c>
      <c r="P13" s="848">
        <f t="shared" ca="1" si="3"/>
        <v>9780</v>
      </c>
      <c r="Q13" s="847">
        <f t="shared" ca="1" si="4"/>
        <v>1820</v>
      </c>
      <c r="R13" s="849">
        <f t="shared" ca="1" si="5"/>
        <v>4650</v>
      </c>
      <c r="S13" s="848">
        <f>COUNTIF(Kuponger!CO:CO,S4)</f>
        <v>67</v>
      </c>
      <c r="T13" s="847">
        <f>COUNTIF(Kuponger!CP:CP,T4)</f>
        <v>0</v>
      </c>
      <c r="U13" s="849">
        <f>COUNTIF(Kuponger!CQ:CQ,U4)</f>
        <v>21</v>
      </c>
      <c r="V13" s="847">
        <f t="shared" ca="1" si="6"/>
        <v>32</v>
      </c>
      <c r="W13" s="847">
        <f t="shared" ca="1" si="7"/>
        <v>14470</v>
      </c>
      <c r="X13" s="850">
        <f t="shared" ca="1" si="8"/>
        <v>0</v>
      </c>
    </row>
    <row r="14" spans="2:24" x14ac:dyDescent="0.25">
      <c r="T14" s="851"/>
    </row>
    <row r="15" spans="2:24" x14ac:dyDescent="0.25">
      <c r="P15" s="820" t="s">
        <v>28</v>
      </c>
      <c r="Q15" s="820" t="s">
        <v>29</v>
      </c>
      <c r="R15" s="820" t="s">
        <v>14</v>
      </c>
      <c r="T15" s="851"/>
    </row>
    <row r="16" spans="2:24" ht="31.5" customHeight="1" x14ac:dyDescent="0.25">
      <c r="B16" s="852"/>
      <c r="C16" s="852"/>
      <c r="D16" s="853"/>
      <c r="E16" s="853"/>
      <c r="F16" s="853"/>
      <c r="G16" s="853"/>
      <c r="H16" s="853"/>
      <c r="I16" s="853"/>
      <c r="J16" s="853"/>
      <c r="K16" s="853"/>
      <c r="L16" s="853"/>
      <c r="M16" s="853"/>
      <c r="N16" s="853"/>
      <c r="O16" s="853"/>
      <c r="P16" s="854">
        <f ca="1">960*3*SUM($V$5:$V$13)</f>
        <v>829440</v>
      </c>
      <c r="Q16" s="854">
        <f ca="1">SUM($P$5:$R$13)</f>
        <v>147220</v>
      </c>
      <c r="R16" s="854">
        <f ca="1">P16-Q16</f>
        <v>682220</v>
      </c>
      <c r="S16" s="855">
        <v>80</v>
      </c>
      <c r="T16" s="853"/>
      <c r="U16" s="853"/>
      <c r="V16" s="853"/>
      <c r="W16" s="853"/>
      <c r="X16" s="853"/>
    </row>
    <row r="17" spans="3:37" ht="30" customHeight="1" x14ac:dyDescent="0.25">
      <c r="C17" s="856"/>
      <c r="O17" s="859" t="s">
        <v>30</v>
      </c>
      <c r="P17" s="854" cm="1">
        <f t="array" aca="1" ref="P17" ca="1">$P$16:P$16/P$16*100</f>
        <v>100</v>
      </c>
      <c r="Q17" s="854">
        <f ca="1">Q16/P16*100</f>
        <v>17.749324845679013</v>
      </c>
      <c r="R17" s="854">
        <f ca="1">R16/P16*100</f>
        <v>82.250675154320987</v>
      </c>
      <c r="S17" s="859" t="s">
        <v>30</v>
      </c>
    </row>
    <row r="18" spans="3:37" ht="21.75" customHeight="1" x14ac:dyDescent="0.25">
      <c r="C18" s="856"/>
      <c r="R18" s="857" t="str">
        <f>"Trefftabell "&amp;TEXT('Heder &amp; Ære'!$C$4,"dddd, dd.mm.åååå")</f>
        <v>Trefftabell lørdag, 00.01.1900</v>
      </c>
    </row>
    <row r="19" spans="3:37" ht="21.75" customHeight="1" x14ac:dyDescent="0.25">
      <c r="C19" s="856"/>
    </row>
    <row r="20" spans="3:37" x14ac:dyDescent="0.25">
      <c r="D20" s="23"/>
      <c r="E20" s="23"/>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c r="AK20" s="23"/>
    </row>
    <row r="21" spans="3:37" x14ac:dyDescent="0.25">
      <c r="C21" s="858"/>
      <c r="M21" s="819"/>
      <c r="N21" s="819"/>
    </row>
    <row r="22" spans="3:37" x14ac:dyDescent="0.25">
      <c r="C22" s="858"/>
      <c r="M22" s="819"/>
      <c r="N22" s="819"/>
    </row>
    <row r="23" spans="3:37" x14ac:dyDescent="0.25">
      <c r="C23" s="858"/>
      <c r="M23" s="819"/>
      <c r="N23" s="819"/>
    </row>
    <row r="24" spans="3:37" x14ac:dyDescent="0.25">
      <c r="C24" s="858"/>
      <c r="M24" s="819"/>
      <c r="N24" s="819"/>
    </row>
    <row r="25" spans="3:37" x14ac:dyDescent="0.25">
      <c r="C25" s="858"/>
      <c r="M25" s="819"/>
      <c r="N25" s="819"/>
    </row>
    <row r="26" spans="3:37" x14ac:dyDescent="0.25">
      <c r="C26" s="858"/>
      <c r="M26" s="819"/>
      <c r="N26" s="819"/>
    </row>
    <row r="27" spans="3:37" x14ac:dyDescent="0.25">
      <c r="C27" s="858"/>
      <c r="M27" s="819"/>
      <c r="N27" s="819"/>
    </row>
    <row r="28" spans="3:37" x14ac:dyDescent="0.25">
      <c r="C28" s="858"/>
      <c r="M28" s="819"/>
      <c r="N28" s="819"/>
    </row>
    <row r="29" spans="3:37" x14ac:dyDescent="0.25">
      <c r="C29" s="858"/>
      <c r="M29" s="819"/>
      <c r="N29" s="819"/>
    </row>
  </sheetData>
  <sheetProtection selectLockedCells="1"/>
  <conditionalFormatting sqref="D5:D13">
    <cfRule type="expression" dxfId="1791" priority="18">
      <formula>D5=LARGE($D$5:$D$13,1)</formula>
    </cfRule>
  </conditionalFormatting>
  <conditionalFormatting sqref="E5:E13">
    <cfRule type="expression" dxfId="1790" priority="20">
      <formula>E5=SMALL(E$5:E$11,1)</formula>
    </cfRule>
  </conditionalFormatting>
  <conditionalFormatting sqref="F5:F13">
    <cfRule type="expression" dxfId="1789" priority="17">
      <formula>F5=LARGE($F$5:$F$13,1)</formula>
    </cfRule>
  </conditionalFormatting>
  <conditionalFormatting sqref="G5:N13">
    <cfRule type="expression" dxfId="1788" priority="9">
      <formula>G5=LARGE(G$5:G$13,1)</formula>
    </cfRule>
  </conditionalFormatting>
  <conditionalFormatting sqref="O5:O13">
    <cfRule type="expression" dxfId="1787" priority="8">
      <formula>O5=SMALL(O$5:O$11,1)</formula>
    </cfRule>
  </conditionalFormatting>
  <conditionalFormatting sqref="P5:U13">
    <cfRule type="expression" dxfId="1786" priority="2">
      <formula>P5=LARGE(P$5:P$13,1)</formula>
    </cfRule>
  </conditionalFormatting>
  <conditionalFormatting sqref="W5:W13">
    <cfRule type="expression" dxfId="1785" priority="1">
      <formula>W5=SMALL(W$5:W$11,1)</formula>
    </cfRule>
  </conditionalFormatting>
  <conditionalFormatting sqref="X5:X13">
    <cfRule type="expression" dxfId="1784" priority="19">
      <formula>X5=LARGE(X$5:X$11,1)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7358D-5DE5-4666-8C5A-732B83D984BF}">
  <sheetPr codeName="Ark12">
    <tabColor theme="3" tint="-0.249977111117893"/>
  </sheetPr>
  <dimension ref="A1:Y59"/>
  <sheetViews>
    <sheetView showGridLines="0" showZeros="0" topLeftCell="A10" workbookViewId="0">
      <selection activeCell="S12" sqref="S12:S13"/>
    </sheetView>
  </sheetViews>
  <sheetFormatPr baseColWidth="10" defaultColWidth="0" defaultRowHeight="12.75" zeroHeight="1" x14ac:dyDescent="0.2"/>
  <cols>
    <col min="1" max="9" width="8.28515625" customWidth="1"/>
    <col min="10" max="10" width="13.42578125" bestFit="1" customWidth="1"/>
    <col min="11" max="13" width="9.5703125" customWidth="1"/>
    <col min="14" max="14" width="10.28515625" customWidth="1"/>
    <col min="15" max="18" width="8.28515625" customWidth="1"/>
    <col min="19" max="19" width="10.28515625" customWidth="1"/>
    <col min="20" max="21" width="8.28515625" customWidth="1"/>
    <col min="22" max="22" width="11.42578125" customWidth="1"/>
    <col min="23" max="25" width="8.28515625" customWidth="1"/>
    <col min="26" max="16384" width="8.7109375" hidden="1"/>
  </cols>
  <sheetData>
    <row r="1" spans="2:24" x14ac:dyDescent="0.2"/>
    <row r="2" spans="2:24" ht="12.75" customHeight="1" x14ac:dyDescent="0.2">
      <c r="B2" s="153" t="str">
        <f>IF(B12="Alf Henrik Håker","b_ahh",IF(B12="Rune Bjermeland","b_rb",IF(B12="Endre Brekkhus","b_eb",IF(B12="Karl-Arne Frantzen","b_kaf",IF(B12="Øyvind Granberg","b_øg",IF(B12="Jim Holm","b_jh",IF(B12="Tor Olav Håker","b_toh","")))))))</f>
        <v>b_rb</v>
      </c>
      <c r="C2" s="149"/>
      <c r="D2" s="149"/>
      <c r="E2" s="149"/>
      <c r="F2" s="150"/>
      <c r="G2" s="149"/>
      <c r="H2" s="308"/>
      <c r="I2" s="308"/>
      <c r="J2" s="308"/>
      <c r="K2" s="308"/>
      <c r="L2" s="308"/>
      <c r="M2" s="149"/>
      <c r="N2" s="149"/>
    </row>
    <row r="3" spans="2:24" ht="12.75" customHeight="1" x14ac:dyDescent="0.2">
      <c r="B3" s="148"/>
      <c r="C3" s="148"/>
      <c r="D3" s="148"/>
      <c r="E3" s="151"/>
      <c r="F3" s="152"/>
      <c r="G3" s="148"/>
      <c r="H3" s="308"/>
      <c r="I3" s="308"/>
      <c r="J3" s="308"/>
      <c r="K3" s="308"/>
      <c r="L3" s="308"/>
      <c r="M3" s="148"/>
      <c r="N3" s="148"/>
    </row>
    <row r="4" spans="2:24" ht="12.75" customHeight="1" x14ac:dyDescent="0.2">
      <c r="B4" s="148"/>
      <c r="C4" s="148"/>
      <c r="D4" s="148"/>
      <c r="E4" s="151"/>
      <c r="F4" s="152"/>
      <c r="G4" s="307"/>
      <c r="H4" s="307"/>
      <c r="I4" s="307"/>
      <c r="J4" s="307"/>
      <c r="K4" s="307"/>
      <c r="L4" s="307"/>
      <c r="M4" s="307"/>
      <c r="N4" s="148"/>
    </row>
    <row r="5" spans="2:24" ht="12.75" customHeight="1" x14ac:dyDescent="0.2">
      <c r="B5" s="148"/>
      <c r="C5" s="148"/>
      <c r="D5" s="148"/>
      <c r="E5" s="151"/>
      <c r="F5" s="152"/>
      <c r="G5" s="307"/>
      <c r="H5" s="307"/>
      <c r="I5" s="309"/>
      <c r="J5" s="309"/>
      <c r="K5" s="309"/>
      <c r="L5" s="309"/>
      <c r="M5" s="309"/>
      <c r="N5" s="148"/>
    </row>
    <row r="6" spans="2:24" ht="12.75" customHeight="1" x14ac:dyDescent="0.2">
      <c r="B6" s="148"/>
      <c r="C6" s="148"/>
      <c r="D6" s="148"/>
      <c r="E6" s="151"/>
      <c r="F6" s="152"/>
      <c r="G6" s="307"/>
      <c r="H6" s="307"/>
      <c r="I6" s="309"/>
      <c r="J6" s="309"/>
      <c r="K6" s="309"/>
      <c r="L6" s="309"/>
      <c r="M6" s="309"/>
      <c r="N6" s="148"/>
    </row>
    <row r="7" spans="2:24" ht="12.75" customHeight="1" x14ac:dyDescent="0.2">
      <c r="B7" s="148"/>
      <c r="C7" s="148"/>
      <c r="D7" s="148"/>
      <c r="E7" s="151"/>
      <c r="F7" s="152"/>
      <c r="G7" s="307"/>
      <c r="H7" s="307"/>
      <c r="I7" s="309"/>
      <c r="J7" s="309"/>
      <c r="K7" s="309"/>
      <c r="L7" s="309"/>
      <c r="M7" s="309"/>
      <c r="N7" s="148"/>
    </row>
    <row r="8" spans="2:24" ht="12.75" customHeight="1" x14ac:dyDescent="0.2">
      <c r="B8" s="148"/>
      <c r="C8" s="148"/>
      <c r="D8" s="148"/>
      <c r="E8" s="151"/>
      <c r="F8" s="152"/>
      <c r="G8" s="307"/>
      <c r="H8" s="307"/>
      <c r="I8" s="309"/>
      <c r="J8" s="309"/>
      <c r="K8" s="309"/>
      <c r="L8" s="309"/>
      <c r="M8" s="309"/>
      <c r="N8" s="148"/>
    </row>
    <row r="9" spans="2:24" ht="12.75" customHeight="1" x14ac:dyDescent="0.2">
      <c r="B9" s="148"/>
      <c r="C9" s="148"/>
      <c r="D9" s="148"/>
      <c r="E9" s="151"/>
      <c r="F9" s="152"/>
      <c r="G9" s="307"/>
      <c r="H9" s="307"/>
      <c r="I9" s="309"/>
      <c r="J9" s="309"/>
      <c r="K9" s="309"/>
      <c r="L9" s="309"/>
      <c r="M9" s="309"/>
      <c r="N9" s="148"/>
    </row>
    <row r="10" spans="2:24" ht="12.75" customHeight="1" x14ac:dyDescent="0.2">
      <c r="G10" s="307"/>
      <c r="H10" s="307"/>
      <c r="I10" s="307"/>
      <c r="J10" s="307"/>
      <c r="K10" s="307"/>
      <c r="L10" s="307"/>
      <c r="M10" s="307"/>
      <c r="U10" s="180"/>
      <c r="V10" s="179"/>
      <c r="W10" s="179"/>
      <c r="X10" s="179"/>
    </row>
    <row r="11" spans="2:24" ht="12.75" customHeight="1" x14ac:dyDescent="0.2">
      <c r="B11" s="144"/>
      <c r="G11" s="307"/>
      <c r="H11" s="307"/>
      <c r="I11" s="307"/>
      <c r="J11" s="307"/>
      <c r="K11" s="307"/>
      <c r="L11" s="307"/>
      <c r="M11" s="307"/>
      <c r="U11" s="178"/>
      <c r="V11" s="178"/>
      <c r="W11" s="178"/>
      <c r="X11" s="178"/>
    </row>
    <row r="12" spans="2:24" ht="12.75" customHeight="1" x14ac:dyDescent="0.2">
      <c r="B12" s="948" t="str">
        <f>_xlfn.XLOOKUP(Tabeller!R18,Data!E:E,Data!F:F)</f>
        <v>Rune Bjermeland</v>
      </c>
      <c r="C12" s="948"/>
      <c r="D12" s="948"/>
      <c r="E12" s="948"/>
      <c r="F12" s="948"/>
      <c r="G12" s="948"/>
      <c r="H12" s="948"/>
      <c r="I12" s="948"/>
      <c r="J12" s="948"/>
      <c r="K12" s="948"/>
      <c r="L12" s="948"/>
      <c r="M12" s="948"/>
      <c r="N12" s="948"/>
      <c r="O12" s="948"/>
      <c r="P12" s="948"/>
      <c r="Q12" s="384"/>
      <c r="R12" s="384"/>
      <c r="S12" s="959" t="s">
        <v>31</v>
      </c>
      <c r="U12" s="178"/>
      <c r="V12" s="178"/>
      <c r="W12" s="178"/>
      <c r="X12" s="178"/>
    </row>
    <row r="13" spans="2:24" ht="12.75" customHeight="1" x14ac:dyDescent="0.2">
      <c r="B13" s="948"/>
      <c r="C13" s="948"/>
      <c r="D13" s="948"/>
      <c r="E13" s="948"/>
      <c r="F13" s="948"/>
      <c r="G13" s="948"/>
      <c r="H13" s="948"/>
      <c r="I13" s="948"/>
      <c r="J13" s="948"/>
      <c r="K13" s="948"/>
      <c r="L13" s="948"/>
      <c r="M13" s="948"/>
      <c r="N13" s="948"/>
      <c r="O13" s="948"/>
      <c r="P13" s="948"/>
      <c r="Q13" s="384"/>
      <c r="R13" s="384"/>
      <c r="S13" s="959"/>
      <c r="U13" s="178"/>
      <c r="V13" s="178"/>
      <c r="W13" s="178"/>
      <c r="X13" s="178"/>
    </row>
    <row r="14" spans="2:24" ht="13.35" customHeight="1" x14ac:dyDescent="0.2">
      <c r="B14" s="948"/>
      <c r="C14" s="948"/>
      <c r="D14" s="948"/>
      <c r="E14" s="948"/>
      <c r="F14" s="948"/>
      <c r="G14" s="948"/>
      <c r="H14" s="948"/>
      <c r="I14" s="948"/>
      <c r="J14" s="948"/>
      <c r="K14" s="948"/>
      <c r="L14" s="948"/>
      <c r="M14" s="948"/>
      <c r="N14" s="948"/>
      <c r="O14" s="948"/>
      <c r="P14" s="948"/>
      <c r="Q14" s="384"/>
      <c r="R14" s="384"/>
      <c r="S14" s="959" t="s">
        <v>32</v>
      </c>
      <c r="T14" s="304"/>
      <c r="U14" s="178"/>
      <c r="V14" s="178"/>
      <c r="W14" s="178"/>
      <c r="X14" s="178"/>
    </row>
    <row r="15" spans="2:24" ht="13.35" customHeight="1" x14ac:dyDescent="0.2">
      <c r="B15" s="948"/>
      <c r="C15" s="948"/>
      <c r="D15" s="948"/>
      <c r="E15" s="948"/>
      <c r="F15" s="948"/>
      <c r="G15" s="948"/>
      <c r="H15" s="948"/>
      <c r="I15" s="948"/>
      <c r="J15" s="948"/>
      <c r="K15" s="948"/>
      <c r="L15" s="948"/>
      <c r="M15" s="948"/>
      <c r="N15" s="948"/>
      <c r="O15" s="948"/>
      <c r="P15" s="948"/>
      <c r="Q15" s="384"/>
      <c r="R15" s="384"/>
      <c r="S15" s="959"/>
      <c r="T15" s="304"/>
      <c r="U15" s="178"/>
      <c r="V15" s="178"/>
      <c r="W15" s="178"/>
      <c r="X15" s="178"/>
    </row>
    <row r="16" spans="2:24" ht="13.35" customHeight="1" x14ac:dyDescent="0.2">
      <c r="B16" s="948"/>
      <c r="C16" s="948"/>
      <c r="D16" s="948"/>
      <c r="E16" s="948"/>
      <c r="F16" s="948"/>
      <c r="G16" s="948"/>
      <c r="H16" s="948"/>
      <c r="I16" s="948"/>
      <c r="J16" s="948"/>
      <c r="K16" s="948"/>
      <c r="L16" s="948"/>
      <c r="M16" s="948"/>
      <c r="N16" s="948"/>
      <c r="O16" s="948"/>
      <c r="P16" s="948"/>
      <c r="Q16" s="384"/>
      <c r="R16" s="384"/>
      <c r="S16" s="959" t="s">
        <v>33</v>
      </c>
      <c r="T16" s="304"/>
      <c r="U16" s="178"/>
      <c r="V16" s="178"/>
      <c r="W16" s="178"/>
      <c r="X16" s="178"/>
    </row>
    <row r="17" spans="2:25" ht="13.35" customHeight="1" x14ac:dyDescent="0.2">
      <c r="B17" s="948"/>
      <c r="C17" s="948"/>
      <c r="D17" s="948"/>
      <c r="E17" s="948"/>
      <c r="F17" s="948"/>
      <c r="G17" s="948"/>
      <c r="H17" s="948"/>
      <c r="I17" s="948"/>
      <c r="J17" s="948"/>
      <c r="K17" s="948"/>
      <c r="L17" s="948"/>
      <c r="M17" s="948"/>
      <c r="N17" s="948"/>
      <c r="O17" s="948"/>
      <c r="P17" s="948"/>
      <c r="S17" s="959"/>
      <c r="T17" s="304"/>
      <c r="U17" s="178"/>
      <c r="V17" s="178"/>
      <c r="W17" s="178"/>
      <c r="X17" s="178"/>
    </row>
    <row r="18" spans="2:25" ht="13.35" customHeight="1" x14ac:dyDescent="0.2">
      <c r="B18" s="948"/>
      <c r="C18" s="948"/>
      <c r="D18" s="948"/>
      <c r="E18" s="948"/>
      <c r="F18" s="948"/>
      <c r="G18" s="948"/>
      <c r="H18" s="948"/>
      <c r="I18" s="948"/>
      <c r="J18" s="948"/>
      <c r="K18" s="948"/>
      <c r="L18" s="948"/>
      <c r="M18" s="948"/>
      <c r="N18" s="948"/>
      <c r="O18" s="948"/>
      <c r="P18" s="948"/>
      <c r="S18" s="304"/>
      <c r="T18" s="304"/>
      <c r="U18" s="178"/>
      <c r="V18" s="178"/>
      <c r="W18" s="178"/>
      <c r="X18" s="178"/>
    </row>
    <row r="19" spans="2:25" ht="13.35" customHeight="1" x14ac:dyDescent="0.35">
      <c r="B19" s="186"/>
      <c r="C19" s="708" t="str">
        <f>_xlfn.XLOOKUP(B12,Data!F11:F19,Data!E11:E19)</f>
        <v>RB</v>
      </c>
      <c r="D19" s="186"/>
      <c r="E19" s="186"/>
      <c r="L19" s="958">
        <f ca="1">TODAY()</f>
        <v>46188</v>
      </c>
      <c r="M19" s="958"/>
      <c r="U19" s="178"/>
      <c r="V19" s="178"/>
      <c r="W19" s="178"/>
      <c r="X19" s="178"/>
    </row>
    <row r="20" spans="2:25" ht="13.35" customHeight="1" x14ac:dyDescent="0.35">
      <c r="B20" s="186"/>
      <c r="C20" s="186"/>
      <c r="D20" s="186"/>
      <c r="E20" s="186"/>
      <c r="J20" s="26"/>
      <c r="L20" s="958"/>
      <c r="M20" s="958"/>
      <c r="Q20" s="181">
        <f ca="1">Tabeller!S18</f>
        <v>17320</v>
      </c>
      <c r="R20" s="181"/>
      <c r="S20" s="181"/>
      <c r="T20" s="181"/>
      <c r="U20" s="181"/>
      <c r="V20" s="181"/>
      <c r="W20" s="181"/>
      <c r="X20" s="181"/>
    </row>
    <row r="21" spans="2:25" ht="13.35" customHeight="1" x14ac:dyDescent="0.2">
      <c r="J21" s="184" t="s">
        <v>34</v>
      </c>
      <c r="K21" s="185"/>
      <c r="L21" s="185"/>
      <c r="M21" s="428"/>
      <c r="N21" s="429"/>
      <c r="O21" s="179"/>
      <c r="P21" s="703" t="str">
        <f>Tabeller!K17</f>
        <v>Poengsnitt</v>
      </c>
      <c r="Q21" s="703"/>
      <c r="R21" s="181">
        <f>Tabeller!M17</f>
        <v>0</v>
      </c>
      <c r="S21" s="181">
        <f>Tabeller!N17</f>
        <v>0</v>
      </c>
      <c r="T21" s="181"/>
      <c r="U21" s="181"/>
      <c r="V21" s="181"/>
      <c r="W21" s="181"/>
      <c r="X21" s="181"/>
    </row>
    <row r="22" spans="2:25" ht="13.35" customHeight="1" x14ac:dyDescent="0.2">
      <c r="J22" s="922" t="str">
        <f>Tabeller!O18</f>
        <v>JH</v>
      </c>
      <c r="K22" s="421">
        <f ca="1">Tabeller!P18</f>
        <v>640</v>
      </c>
      <c r="L22" s="419"/>
      <c r="M22" s="312"/>
      <c r="N22" s="312"/>
      <c r="P22" s="707" t="str">
        <f>Tabeller!K18</f>
        <v>RB</v>
      </c>
      <c r="Q22" s="418">
        <f ca="1">Tabeller!L18</f>
        <v>541.25</v>
      </c>
      <c r="R22" s="704">
        <f>Tabeller!M18</f>
        <v>0</v>
      </c>
      <c r="S22" s="949">
        <f ca="1">Tabeller!S18</f>
        <v>17320</v>
      </c>
      <c r="T22" s="950"/>
      <c r="U22" s="950"/>
      <c r="V22" s="950"/>
      <c r="W22" s="950"/>
      <c r="X22" s="951"/>
      <c r="Y22" s="699"/>
    </row>
    <row r="23" spans="2:25" ht="13.35" customHeight="1" x14ac:dyDescent="0.2">
      <c r="J23" s="705" t="str">
        <f>Tabeller!O19</f>
        <v>RB</v>
      </c>
      <c r="K23" s="419">
        <f ca="1">Tabeller!P19</f>
        <v>600</v>
      </c>
      <c r="L23" s="419"/>
      <c r="M23" s="312"/>
      <c r="N23" s="312"/>
      <c r="P23" s="707" t="str">
        <f>Tabeller!K19</f>
        <v>ØG</v>
      </c>
      <c r="Q23" s="418">
        <f ca="1">Tabeller!L19</f>
        <v>532.8125</v>
      </c>
      <c r="R23" s="183">
        <f>Tabeller!M19</f>
        <v>0</v>
      </c>
      <c r="S23" s="952"/>
      <c r="T23" s="953"/>
      <c r="U23" s="953"/>
      <c r="V23" s="953"/>
      <c r="W23" s="953"/>
      <c r="X23" s="954"/>
      <c r="Y23" s="699"/>
    </row>
    <row r="24" spans="2:25" ht="13.35" customHeight="1" x14ac:dyDescent="0.2">
      <c r="J24" s="705" t="str">
        <f>Tabeller!O20</f>
        <v>AHH</v>
      </c>
      <c r="K24" s="419">
        <f ca="1">Tabeller!P20</f>
        <v>570</v>
      </c>
      <c r="L24" s="419"/>
      <c r="M24" s="312"/>
      <c r="N24" s="312"/>
      <c r="P24" s="707" t="str">
        <f>Tabeller!K20</f>
        <v>UTG</v>
      </c>
      <c r="Q24" s="418">
        <f ca="1">Tabeller!L20</f>
        <v>519.375</v>
      </c>
      <c r="R24" s="183">
        <f>Tabeller!M20</f>
        <v>0</v>
      </c>
      <c r="S24" s="952"/>
      <c r="T24" s="953"/>
      <c r="U24" s="953"/>
      <c r="V24" s="953"/>
      <c r="W24" s="953"/>
      <c r="X24" s="954"/>
      <c r="Y24" s="699"/>
    </row>
    <row r="25" spans="2:25" ht="13.35" customHeight="1" x14ac:dyDescent="0.2">
      <c r="J25" s="705" t="str">
        <f>Tabeller!O21</f>
        <v>TOH</v>
      </c>
      <c r="K25" s="420">
        <f ca="1">Tabeller!P21</f>
        <v>570</v>
      </c>
      <c r="L25" s="419"/>
      <c r="M25" s="312"/>
      <c r="N25" s="312"/>
      <c r="P25" s="707" t="str">
        <f>Tabeller!K21</f>
        <v>JH</v>
      </c>
      <c r="Q25" s="418">
        <f ca="1">Tabeller!L21</f>
        <v>510.3125</v>
      </c>
      <c r="R25" s="183">
        <f>Tabeller!M21</f>
        <v>0</v>
      </c>
      <c r="S25" s="952"/>
      <c r="T25" s="953"/>
      <c r="U25" s="953"/>
      <c r="V25" s="953"/>
      <c r="W25" s="953"/>
      <c r="X25" s="954"/>
      <c r="Y25" s="699"/>
    </row>
    <row r="26" spans="2:25" ht="13.35" customHeight="1" x14ac:dyDescent="0.2">
      <c r="B26" s="146"/>
      <c r="C26" s="944"/>
      <c r="D26" s="944"/>
      <c r="J26" s="705" t="str">
        <f>Tabeller!O22</f>
        <v>EB</v>
      </c>
      <c r="K26" s="419">
        <f ca="1">Tabeller!P22</f>
        <v>560</v>
      </c>
      <c r="L26" s="420"/>
      <c r="M26" s="312"/>
      <c r="N26" s="312"/>
      <c r="P26" s="707" t="str">
        <f>Tabeller!K22</f>
        <v>LEV</v>
      </c>
      <c r="Q26" s="418">
        <f ca="1">Tabeller!L22</f>
        <v>507.8125</v>
      </c>
      <c r="R26" s="183">
        <f>Tabeller!M22</f>
        <v>0</v>
      </c>
      <c r="S26" s="952"/>
      <c r="T26" s="953"/>
      <c r="U26" s="953"/>
      <c r="V26" s="953"/>
      <c r="W26" s="953"/>
      <c r="X26" s="954"/>
      <c r="Y26" s="699"/>
    </row>
    <row r="27" spans="2:25" ht="13.35" customHeight="1" x14ac:dyDescent="0.2">
      <c r="J27" s="705" t="str">
        <f>Tabeller!O23</f>
        <v>KAF</v>
      </c>
      <c r="K27" s="419">
        <f ca="1">Tabeller!P23</f>
        <v>560</v>
      </c>
      <c r="L27" s="419"/>
      <c r="M27" s="312"/>
      <c r="N27" s="312"/>
      <c r="P27" s="707" t="str">
        <f>Tabeller!K23</f>
        <v>KAF</v>
      </c>
      <c r="Q27" s="418">
        <f ca="1">Tabeller!L23</f>
        <v>507.1875</v>
      </c>
      <c r="R27" s="183">
        <f>Tabeller!M23</f>
        <v>0</v>
      </c>
      <c r="S27" s="952"/>
      <c r="T27" s="953"/>
      <c r="U27" s="953"/>
      <c r="V27" s="953"/>
      <c r="W27" s="953"/>
      <c r="X27" s="954"/>
      <c r="Y27" s="699"/>
    </row>
    <row r="28" spans="2:25" ht="13.35" customHeight="1" x14ac:dyDescent="0.2">
      <c r="J28" s="705" t="str">
        <f>Tabeller!O24</f>
        <v>UTG</v>
      </c>
      <c r="K28" s="419">
        <f ca="1">Tabeller!P24</f>
        <v>560</v>
      </c>
      <c r="L28" s="419"/>
      <c r="M28" s="312"/>
      <c r="N28" s="312"/>
      <c r="P28" s="707" t="str">
        <f>Tabeller!K24</f>
        <v>EB</v>
      </c>
      <c r="Q28" s="418">
        <f ca="1">Tabeller!L24</f>
        <v>497.5</v>
      </c>
      <c r="R28" s="183">
        <f>Tabeller!M24</f>
        <v>0</v>
      </c>
      <c r="S28" s="952"/>
      <c r="T28" s="953"/>
      <c r="U28" s="953"/>
      <c r="V28" s="953"/>
      <c r="W28" s="953"/>
      <c r="X28" s="954"/>
      <c r="Y28" s="699"/>
    </row>
    <row r="29" spans="2:25" ht="13.35" customHeight="1" x14ac:dyDescent="0.2">
      <c r="J29" s="705" t="str">
        <f>Tabeller!O25</f>
        <v>LEV</v>
      </c>
      <c r="K29" s="419">
        <f ca="1">Tabeller!P25</f>
        <v>530</v>
      </c>
      <c r="L29" s="421"/>
      <c r="M29" s="311"/>
      <c r="N29" s="311"/>
      <c r="P29" s="707" t="str">
        <f>Tabeller!K25</f>
        <v>AHH</v>
      </c>
      <c r="Q29" s="418">
        <f ca="1">Tabeller!L25</f>
        <v>494.375</v>
      </c>
      <c r="R29" s="181"/>
      <c r="S29" s="952"/>
      <c r="T29" s="953"/>
      <c r="U29" s="953"/>
      <c r="V29" s="953"/>
      <c r="W29" s="953"/>
      <c r="X29" s="954"/>
      <c r="Y29" s="699"/>
    </row>
    <row r="30" spans="2:25" ht="13.35" customHeight="1" x14ac:dyDescent="0.2">
      <c r="J30" s="706" t="str">
        <f>Tabeller!O26</f>
        <v>ØG</v>
      </c>
      <c r="K30" s="421">
        <f ca="1">Tabeller!P26</f>
        <v>470</v>
      </c>
      <c r="L30" s="421"/>
      <c r="P30" s="707" t="str">
        <f>Tabeller!K26</f>
        <v>TOH</v>
      </c>
      <c r="Q30" s="418">
        <f ca="1">Tabeller!L26</f>
        <v>466.5625</v>
      </c>
      <c r="S30" s="952"/>
      <c r="T30" s="953"/>
      <c r="U30" s="953"/>
      <c r="V30" s="953"/>
      <c r="W30" s="953"/>
      <c r="X30" s="954"/>
      <c r="Y30" s="699"/>
    </row>
    <row r="31" spans="2:25" ht="12.75" customHeight="1" x14ac:dyDescent="0.2">
      <c r="J31" s="458"/>
      <c r="S31" s="952"/>
      <c r="T31" s="953"/>
      <c r="U31" s="953"/>
      <c r="V31" s="953"/>
      <c r="W31" s="953"/>
      <c r="X31" s="954"/>
      <c r="Y31" s="699"/>
    </row>
    <row r="32" spans="2:25" ht="18.75" customHeight="1" x14ac:dyDescent="0.25">
      <c r="B32" s="381" t="str">
        <f>Data!E11</f>
        <v>AHH</v>
      </c>
      <c r="C32" s="382"/>
      <c r="D32" s="383" t="str">
        <f>Data!E12</f>
        <v>RB</v>
      </c>
      <c r="E32" s="382"/>
      <c r="F32" s="383" t="str">
        <f>Data!E13</f>
        <v>EB</v>
      </c>
      <c r="G32" s="382"/>
      <c r="H32" s="383" t="str">
        <f>Data!E14</f>
        <v>KAF</v>
      </c>
      <c r="I32" s="382"/>
      <c r="J32" s="383" t="str">
        <f>Data!E15</f>
        <v>ØG</v>
      </c>
      <c r="K32" s="383"/>
      <c r="L32" s="383" t="str">
        <f>Data!E16</f>
        <v>JH</v>
      </c>
      <c r="M32" s="382"/>
      <c r="N32" s="383" t="str">
        <f>Data!E17</f>
        <v>TOH</v>
      </c>
      <c r="O32" s="383"/>
      <c r="P32" s="383" t="s">
        <v>26</v>
      </c>
      <c r="Q32" s="383"/>
      <c r="R32" s="383" t="s">
        <v>27</v>
      </c>
      <c r="S32" s="952"/>
      <c r="T32" s="953"/>
      <c r="U32" s="953"/>
      <c r="V32" s="953"/>
      <c r="W32" s="953"/>
      <c r="X32" s="954"/>
      <c r="Y32" s="699"/>
    </row>
    <row r="33" spans="2:25" ht="19.5" customHeight="1" x14ac:dyDescent="0.3">
      <c r="B33" s="362">
        <f ca="1">SUMIF(INDIRECT(_xlfn.XLOOKUP(B32,Data!E:E,Data!M:M)&amp;"!g:g"),"&lt;&gt;#I/T")</f>
        <v>15820</v>
      </c>
      <c r="C33" s="363"/>
      <c r="D33" s="364">
        <f ca="1">SUMIF(INDIRECT(_xlfn.XLOOKUP(D32,Data!E:E,Data!M:M)&amp;"!g:g"),"&lt;&gt;#I/T")</f>
        <v>17320</v>
      </c>
      <c r="E33" s="365"/>
      <c r="F33" s="364">
        <f ca="1">SUMIF(INDIRECT(_xlfn.XLOOKUP(F32,Data!E:E,Data!M:M)&amp;"!g:g"),"&lt;&gt;#I/T")</f>
        <v>15920</v>
      </c>
      <c r="G33" s="365"/>
      <c r="H33" s="364">
        <f ca="1">SUMIF(INDIRECT(_xlfn.XLOOKUP(H32,Data!E:E,Data!M:M)&amp;"!g:g"),"&lt;&gt;#I/T")</f>
        <v>16230</v>
      </c>
      <c r="I33" s="365"/>
      <c r="J33" s="364">
        <f ca="1">SUMIF(INDIRECT(_xlfn.XLOOKUP(J32,Data!E:E,Data!M:M)&amp;"!g:g"),"&lt;&gt;#I/T")</f>
        <v>17050</v>
      </c>
      <c r="K33" s="364"/>
      <c r="L33" s="364">
        <f ca="1">SUMIF(INDIRECT(_xlfn.XLOOKUP(L32,Data!E:E,Data!M:M)&amp;"!g:g"),"&lt;&gt;#I/T")</f>
        <v>16330</v>
      </c>
      <c r="M33" s="365"/>
      <c r="N33" s="364">
        <f ca="1">SUMIF(INDIRECT(_xlfn.XLOOKUP(N32,Data!E:E,Data!M:M)&amp;"!g:g"),"&lt;&gt;#I/T")</f>
        <v>14930</v>
      </c>
      <c r="O33" s="364"/>
      <c r="P33" s="364">
        <f ca="1">SUMIF(INDIRECT(_xlfn.XLOOKUP(P32,Data!E:E,Data!M:M)&amp;"!g:g"),"&lt;&gt;#I/T")</f>
        <v>16620</v>
      </c>
      <c r="Q33" s="364"/>
      <c r="R33" s="364">
        <f ca="1">SUMIF(INDIRECT(_xlfn.XLOOKUP(R32,Data!E:E,Data!M:M)&amp;"!g:g"),"&lt;&gt;#I/T")</f>
        <v>16250</v>
      </c>
      <c r="S33" s="955"/>
      <c r="T33" s="956"/>
      <c r="U33" s="956"/>
      <c r="V33" s="956"/>
      <c r="W33" s="956"/>
      <c r="X33" s="957"/>
      <c r="Y33" s="699"/>
    </row>
    <row r="34" spans="2:25" ht="13.35" customHeight="1" x14ac:dyDescent="0.2">
      <c r="S34" s="698"/>
      <c r="T34" s="698"/>
      <c r="U34" s="698"/>
      <c r="V34" s="698"/>
      <c r="W34" s="698"/>
      <c r="X34" s="698"/>
      <c r="Y34" s="699"/>
    </row>
    <row r="35" spans="2:25" ht="13.35" customHeight="1" x14ac:dyDescent="0.2">
      <c r="B35" s="305"/>
      <c r="C35" s="305"/>
      <c r="D35" s="305"/>
      <c r="E35" s="305"/>
      <c r="F35" s="305"/>
      <c r="G35" s="305"/>
      <c r="S35" s="699"/>
      <c r="T35" s="699"/>
      <c r="U35" s="699"/>
      <c r="V35" s="699"/>
      <c r="W35" s="699"/>
      <c r="X35" s="699"/>
      <c r="Y35" s="699"/>
    </row>
    <row r="36" spans="2:25" ht="13.35" customHeight="1" x14ac:dyDescent="0.2">
      <c r="B36" s="305"/>
      <c r="C36" s="305"/>
      <c r="D36" s="305"/>
      <c r="E36" s="305"/>
      <c r="F36" s="305"/>
      <c r="G36" s="305"/>
    </row>
    <row r="37" spans="2:25" ht="13.35" customHeight="1" x14ac:dyDescent="0.2">
      <c r="B37" s="305"/>
      <c r="C37" s="305"/>
      <c r="D37" s="305"/>
      <c r="E37" s="305"/>
      <c r="F37" s="305"/>
      <c r="G37" s="305"/>
    </row>
    <row r="38" spans="2:25" ht="25.5" customHeight="1" x14ac:dyDescent="0.2">
      <c r="B38" s="305"/>
      <c r="C38" s="305"/>
      <c r="D38" s="305"/>
      <c r="E38" s="305"/>
      <c r="F38" s="305"/>
      <c r="G38" s="305"/>
    </row>
    <row r="39" spans="2:25" ht="25.5" customHeight="1" x14ac:dyDescent="0.2">
      <c r="B39" s="305"/>
      <c r="C39" s="305"/>
      <c r="D39" s="305"/>
      <c r="E39" s="305"/>
      <c r="F39" s="305"/>
      <c r="G39" s="305"/>
    </row>
    <row r="40" spans="2:25" ht="21" customHeight="1" x14ac:dyDescent="0.3">
      <c r="B40" s="456"/>
      <c r="C40" s="453" t="s">
        <v>35</v>
      </c>
      <c r="D40" s="453"/>
      <c r="E40" s="453"/>
      <c r="F40" s="908">
        <f ca="1">MAX(Tabeller!D5:D13)</f>
        <v>820</v>
      </c>
      <c r="G40" s="430" t="str">
        <f ca="1">_xlfn.XLOOKUP(F40,Tabeller!D5:D13,Tabeller!C5:C13)</f>
        <v>ØG</v>
      </c>
      <c r="H40" s="430"/>
      <c r="I40" s="430"/>
      <c r="J40" s="912" t="s">
        <v>36</v>
      </c>
      <c r="K40" s="700"/>
      <c r="L40" s="431" t="s">
        <v>37</v>
      </c>
      <c r="M40" s="701"/>
      <c r="N40" s="912" t="s">
        <v>38</v>
      </c>
      <c r="O40" s="700"/>
      <c r="P40" s="700" t="s">
        <v>39</v>
      </c>
      <c r="Q40" s="430"/>
      <c r="R40" s="430"/>
      <c r="S40" s="431"/>
      <c r="T40" s="430"/>
      <c r="U40" s="431" t="s">
        <v>40</v>
      </c>
      <c r="V40" s="430"/>
      <c r="W40" s="430" t="str">
        <f ca="1">_xlfn.XLOOKUP(MAX(Tabeller!I18:I24),Tabeller!I18:I24,Tabeller!H18:H24)</f>
        <v>ØG</v>
      </c>
      <c r="X40" s="457"/>
    </row>
    <row r="41" spans="2:25" ht="19.5" customHeight="1" x14ac:dyDescent="0.3">
      <c r="B41" s="458"/>
      <c r="C41" s="454" t="s">
        <v>41</v>
      </c>
      <c r="D41" s="454"/>
      <c r="E41" s="454"/>
      <c r="F41" s="909">
        <f ca="1">MIN(Tabeller!H5:H13)</f>
        <v>-50</v>
      </c>
      <c r="G41" s="432" t="str">
        <f ca="1">_xlfn.XLOOKUP(F41,Tabeller!H5:H13,Tabeller!G5:G13)</f>
        <v>TOH</v>
      </c>
      <c r="H41" s="432"/>
      <c r="I41" s="432"/>
      <c r="J41" s="913">
        <f ca="1">MAX(Tabeller!P5:P13)</f>
        <v>11530</v>
      </c>
      <c r="K41" s="432" t="str">
        <f ca="1">_xlfn.XLOOKUP(J41,Tabeller!$P$5:$P$13,Tabeller!O5:O13)</f>
        <v>RB</v>
      </c>
      <c r="L41" s="911">
        <f ca="1">MAX(Tabeller!S5:S13)</f>
        <v>2600</v>
      </c>
      <c r="M41" s="432" t="str">
        <f ca="1">_xlfn.XLOOKUP(L41,Tabeller!$S$5:$S$13,Tabeller!$R$5:$R$13)</f>
        <v>AHH</v>
      </c>
      <c r="N41" s="911">
        <f ca="1">MAX(Tabeller!W5:W13)</f>
        <v>5870</v>
      </c>
      <c r="O41" s="910" t="str">
        <f ca="1">_xlfn.XLOOKUP(N41,Tabeller!$W$5:$W$13,Tabeller!$V$5:$V$13)</f>
        <v>JH</v>
      </c>
      <c r="P41" s="702">
        <f ca="1">_xlfn.XLOOKUP(C19,Tabeller!K18:K26,Tabeller!L18:L26)</f>
        <v>541.25</v>
      </c>
      <c r="Q41" s="432"/>
      <c r="R41" s="432"/>
      <c r="S41" s="455"/>
      <c r="T41" s="432"/>
      <c r="U41" s="433" t="s">
        <v>42</v>
      </c>
      <c r="V41" s="432"/>
      <c r="W41" s="432" t="str">
        <f ca="1">IF(MAX(Tabeller!$L$5:$L$13)=0,"ingen",_xlfn.XLOOKUP(MAX(Tabeller!L5:L13),Tabeller!$L$5:$L$13,Tabeller!$K$5:$K$13))</f>
        <v>TOH</v>
      </c>
      <c r="X41" s="459"/>
    </row>
    <row r="42" spans="2:25" x14ac:dyDescent="0.2">
      <c r="C42" s="182"/>
      <c r="D42" s="182"/>
      <c r="E42" s="182"/>
      <c r="F42" s="182"/>
      <c r="G42" s="182"/>
      <c r="H42" s="182"/>
      <c r="I42" s="182"/>
      <c r="J42" s="182"/>
      <c r="K42" s="182"/>
      <c r="L42" s="182"/>
      <c r="M42" s="182"/>
      <c r="N42" s="182"/>
      <c r="O42" s="182"/>
      <c r="P42" s="182"/>
      <c r="Q42" s="182"/>
      <c r="R42" s="182"/>
      <c r="S42" s="182"/>
      <c r="T42" s="182"/>
      <c r="U42" s="182"/>
      <c r="V42" s="182"/>
      <c r="W42" s="182"/>
      <c r="X42" s="182"/>
    </row>
    <row r="43" spans="2:25" x14ac:dyDescent="0.2"/>
    <row r="44" spans="2:25" x14ac:dyDescent="0.2"/>
    <row r="45" spans="2:25" x14ac:dyDescent="0.2">
      <c r="V45" s="945" t="e" cm="1">
        <f t="array" aca="1" ref="V45" ca="1">"Sist endret: "&amp;TEXT(LastInputTimeStamp(),"DD:MMMM.ÅÅÅÅ - tt:mm:ss")</f>
        <v>#NAME?</v>
      </c>
      <c r="W45" s="946"/>
      <c r="X45" s="946"/>
      <c r="Y45" s="947"/>
    </row>
    <row r="46" spans="2:25" x14ac:dyDescent="0.2"/>
    <row r="47" spans="2:25" x14ac:dyDescent="0.2"/>
    <row r="48" spans="2:25" x14ac:dyDescent="0.2"/>
    <row r="49" x14ac:dyDescent="0.2"/>
    <row r="50" x14ac:dyDescent="0.2"/>
    <row r="51" x14ac:dyDescent="0.2"/>
    <row r="52" x14ac:dyDescent="0.2"/>
    <row r="53" x14ac:dyDescent="0.2"/>
    <row r="54" x14ac:dyDescent="0.2"/>
    <row r="55" x14ac:dyDescent="0.2"/>
    <row r="56" x14ac:dyDescent="0.2"/>
    <row r="57" x14ac:dyDescent="0.2"/>
    <row r="58" x14ac:dyDescent="0.2"/>
    <row r="59" x14ac:dyDescent="0.2"/>
  </sheetData>
  <sheetProtection selectLockedCells="1" selectUnlockedCells="1"/>
  <sortState xmlns:xlrd2="http://schemas.microsoft.com/office/spreadsheetml/2017/richdata2" ref="J22:K30">
    <sortCondition descending="1" ref="K22:K30"/>
    <sortCondition ref="J22:J30"/>
  </sortState>
  <mergeCells count="8">
    <mergeCell ref="C26:D26"/>
    <mergeCell ref="V45:Y45"/>
    <mergeCell ref="B12:P18"/>
    <mergeCell ref="S22:X33"/>
    <mergeCell ref="L19:M20"/>
    <mergeCell ref="S12:S13"/>
    <mergeCell ref="S14:S15"/>
    <mergeCell ref="S16:S17"/>
  </mergeCells>
  <pageMargins left="0.7" right="0.7" top="0.75" bottom="0.75" header="0.3" footer="0.3"/>
  <pageSetup paperSize="9" orientation="portrait" r:id="rId1"/>
  <drawing r:id="rId2"/>
  <picture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Ark2">
    <tabColor rgb="FF002060"/>
    <pageSetUpPr fitToPage="1"/>
  </sheetPr>
  <dimension ref="A1:DA903"/>
  <sheetViews>
    <sheetView showGridLines="0" showOutlineSymbols="0" topLeftCell="B443" zoomScaleNormal="100" workbookViewId="0">
      <selection activeCell="J460" sqref="J460"/>
    </sheetView>
  </sheetViews>
  <sheetFormatPr baseColWidth="10" defaultColWidth="11.42578125" defaultRowHeight="12.75" outlineLevelRow="2" outlineLevelCol="4" x14ac:dyDescent="0.2"/>
  <cols>
    <col min="1" max="1" width="2.42578125" style="172" customWidth="1"/>
    <col min="2" max="2" width="1.42578125" style="172" customWidth="1"/>
    <col min="3" max="3" width="2.5703125" style="172" customWidth="1" outlineLevel="2"/>
    <col min="4" max="4" width="4" style="172" customWidth="1" outlineLevel="2"/>
    <col min="5" max="5" width="36.5703125" style="172" customWidth="1" outlineLevel="2"/>
    <col min="6" max="6" width="2.5703125" style="412" customWidth="1"/>
    <col min="7" max="7" width="0.5703125" style="172" customWidth="1"/>
    <col min="8" max="8" width="2.5703125" style="172" customWidth="1"/>
    <col min="9" max="9" width="2.5703125" style="172" customWidth="1" outlineLevel="3"/>
    <col min="10" max="10" width="3" style="172" customWidth="1" outlineLevel="3"/>
    <col min="11" max="11" width="2.5703125" style="172" customWidth="1" outlineLevel="3"/>
    <col min="12" max="12" width="2.5703125" style="411" customWidth="1" outlineLevel="3"/>
    <col min="13" max="13" width="1.7109375" style="172" customWidth="1" outlineLevel="3"/>
    <col min="14" max="14" width="0.42578125" style="172" customWidth="1" outlineLevel="3"/>
    <col min="15" max="15" width="1.7109375" style="172" customWidth="1" outlineLevel="3"/>
    <col min="16" max="16" width="2.5703125" style="413" customWidth="1" outlineLevel="3"/>
    <col min="17" max="18" width="3.5703125" style="172" customWidth="1" outlineLevel="4"/>
    <col min="19" max="19" width="3.5703125" style="172" customWidth="1" outlineLevel="3"/>
    <col min="20" max="20" width="2.5703125" style="410" customWidth="1" outlineLevel="4"/>
    <col min="21" max="24" width="3.5703125" style="410" hidden="1" customWidth="1" outlineLevel="4"/>
    <col min="25" max="25" width="2.5703125" style="413" hidden="1" customWidth="1" outlineLevel="2"/>
    <col min="26" max="28" width="3.5703125" style="172" customWidth="1"/>
    <col min="29" max="29" width="2.5703125" style="410" customWidth="1"/>
    <col min="30" max="32" width="3.5703125" style="410" hidden="1" customWidth="1" outlineLevel="4"/>
    <col min="33" max="33" width="3.5703125" style="172" hidden="1" customWidth="1" outlineLevel="2" collapsed="1"/>
    <col min="34" max="34" width="2.5703125" style="413" hidden="1" customWidth="1" outlineLevel="2"/>
    <col min="35" max="36" width="3.5703125" style="172" customWidth="1" outlineLevel="3"/>
    <col min="37" max="37" width="3.5703125" style="172" customWidth="1" outlineLevel="2"/>
    <col min="38" max="38" width="2.5703125" style="410" customWidth="1" outlineLevel="2"/>
    <col min="39" max="41" width="3.5703125" style="410" hidden="1" customWidth="1" outlineLevel="4"/>
    <col min="42" max="42" width="3.5703125" style="172" hidden="1" customWidth="1" outlineLevel="2" collapsed="1"/>
    <col min="43" max="43" width="2.5703125" style="413" hidden="1" customWidth="1" outlineLevel="2"/>
    <col min="44" max="45" width="3.5703125" style="172" customWidth="1" outlineLevel="3"/>
    <col min="46" max="46" width="3.5703125" style="172" customWidth="1" outlineLevel="2"/>
    <col min="47" max="47" width="2.5703125" style="410" customWidth="1" outlineLevel="2"/>
    <col min="48" max="50" width="3.5703125" style="410" hidden="1" customWidth="1" outlineLevel="4"/>
    <col min="51" max="51" width="3.5703125" style="172" hidden="1" customWidth="1" outlineLevel="2" collapsed="1"/>
    <col min="52" max="52" width="2.5703125" style="413" hidden="1" customWidth="1" outlineLevel="2"/>
    <col min="53" max="54" width="3.5703125" style="172" customWidth="1" outlineLevel="3"/>
    <col min="55" max="55" width="3.5703125" style="172" customWidth="1" outlineLevel="2"/>
    <col min="56" max="56" width="2.5703125" style="410" customWidth="1" outlineLevel="2"/>
    <col min="57" max="59" width="3.5703125" style="410" hidden="1" customWidth="1" outlineLevel="4"/>
    <col min="60" max="60" width="3.5703125" style="172" hidden="1" customWidth="1" outlineLevel="2" collapsed="1"/>
    <col min="61" max="61" width="2.5703125" style="413" hidden="1" customWidth="1" outlineLevel="2"/>
    <col min="62" max="63" width="3.5703125" style="172" customWidth="1" outlineLevel="3"/>
    <col min="64" max="64" width="3.5703125" style="172" customWidth="1" outlineLevel="2"/>
    <col min="65" max="65" width="2.5703125" style="410" customWidth="1" outlineLevel="2"/>
    <col min="66" max="68" width="3.5703125" style="410" hidden="1" customWidth="1" outlineLevel="4"/>
    <col min="69" max="69" width="3.5703125" style="172" hidden="1" customWidth="1" outlineLevel="2" collapsed="1"/>
    <col min="70" max="70" width="2.5703125" style="414" hidden="1" customWidth="1" outlineLevel="2"/>
    <col min="71" max="72" width="3.5703125" style="172" customWidth="1" outlineLevel="3"/>
    <col min="73" max="73" width="3.5703125" style="172" customWidth="1" outlineLevel="2"/>
    <col min="74" max="74" width="2.5703125" style="172" customWidth="1" outlineLevel="2"/>
    <col min="75" max="77" width="3.5703125" style="172" hidden="1" customWidth="1" outlineLevel="3"/>
    <col min="78" max="78" width="3.5703125" style="172" hidden="1" customWidth="1" outlineLevel="2" collapsed="1"/>
    <col min="79" max="79" width="2.5703125" style="172" hidden="1" customWidth="1" outlineLevel="2"/>
    <col min="80" max="82" width="3.5703125" style="172" customWidth="1" outlineLevel="2"/>
    <col min="83" max="83" width="2.5703125" style="172" customWidth="1" outlineLevel="2"/>
    <col min="84" max="88" width="3.5703125" style="172" hidden="1" customWidth="1" outlineLevel="2"/>
    <col min="89" max="91" width="3.5703125" style="172" customWidth="1" outlineLevel="2"/>
    <col min="92" max="98" width="3.5703125" style="172" hidden="1" customWidth="1" outlineLevel="2"/>
    <col min="99" max="101" width="3.5703125" style="172" customWidth="1"/>
    <col min="102" max="102" width="6.42578125" style="172" customWidth="1"/>
    <col min="103" max="106" width="11.42578125" style="172" customWidth="1"/>
    <col min="107" max="107" width="6.42578125" style="172" customWidth="1"/>
    <col min="108" max="16384" width="11.42578125" style="172"/>
  </cols>
  <sheetData>
    <row r="1" spans="1:103" s="171" customFormat="1" ht="13.5" thickBot="1" x14ac:dyDescent="0.25">
      <c r="A1" s="255"/>
      <c r="B1" s="255"/>
      <c r="C1" s="255"/>
      <c r="D1" s="255"/>
      <c r="E1" s="255"/>
      <c r="F1" s="255"/>
      <c r="G1" s="255"/>
      <c r="H1" s="255"/>
      <c r="I1" s="255"/>
      <c r="J1" s="255"/>
      <c r="K1" s="255"/>
      <c r="L1" s="255"/>
      <c r="M1" s="255"/>
      <c r="N1" s="255"/>
      <c r="O1" s="255"/>
      <c r="P1" s="255"/>
      <c r="Q1" s="255"/>
      <c r="R1" s="255"/>
      <c r="S1" s="255"/>
      <c r="T1" s="255"/>
      <c r="U1" s="255"/>
      <c r="V1" s="255"/>
      <c r="W1" s="255"/>
      <c r="X1" s="255"/>
      <c r="Y1" s="255"/>
      <c r="Z1" s="255"/>
      <c r="AA1" s="255"/>
      <c r="AB1" s="255"/>
      <c r="AC1" s="255"/>
      <c r="AD1" s="255"/>
      <c r="AE1" s="255"/>
      <c r="AF1" s="255"/>
      <c r="AG1" s="255"/>
      <c r="AH1" s="255"/>
      <c r="AI1" s="255"/>
      <c r="AJ1" s="255"/>
      <c r="AK1" s="255"/>
      <c r="AL1" s="255"/>
      <c r="AM1" s="255"/>
      <c r="AN1" s="255"/>
      <c r="AO1" s="255"/>
      <c r="AP1" s="255"/>
      <c r="AQ1" s="255"/>
      <c r="AR1" s="255"/>
      <c r="AS1" s="255"/>
      <c r="AT1" s="255"/>
      <c r="AU1" s="255"/>
      <c r="AV1" s="255"/>
      <c r="AW1" s="255"/>
      <c r="AX1" s="255"/>
      <c r="AY1" s="255"/>
      <c r="AZ1" s="255"/>
      <c r="BA1" s="255"/>
      <c r="BB1" s="255"/>
      <c r="BC1" s="255"/>
      <c r="BD1" s="255"/>
      <c r="BE1" s="255"/>
      <c r="BF1" s="255"/>
      <c r="BG1" s="255"/>
      <c r="BH1" s="255"/>
      <c r="BI1" s="255"/>
      <c r="BJ1" s="255"/>
      <c r="BK1" s="255"/>
      <c r="BL1" s="255"/>
      <c r="BM1" s="255"/>
      <c r="BN1" s="255"/>
      <c r="BO1" s="255"/>
      <c r="BP1" s="255"/>
      <c r="BQ1" s="255"/>
      <c r="BR1" s="255"/>
      <c r="BS1" s="255"/>
      <c r="BT1" s="255"/>
      <c r="BU1" s="255"/>
      <c r="BV1" s="255"/>
      <c r="BW1" s="255"/>
      <c r="BX1" s="255"/>
      <c r="BY1" s="255"/>
      <c r="BZ1" s="255"/>
      <c r="CA1" s="255"/>
      <c r="CB1" s="436"/>
      <c r="CC1" s="436"/>
      <c r="CD1" s="436"/>
      <c r="CE1" s="436"/>
      <c r="CF1" s="255"/>
      <c r="CG1" s="255"/>
      <c r="CH1" s="255"/>
      <c r="CI1" s="255"/>
      <c r="CJ1" s="255"/>
      <c r="CK1" s="255"/>
      <c r="CL1" s="255"/>
      <c r="CM1" s="255"/>
      <c r="CN1" s="255"/>
      <c r="CO1" s="255"/>
      <c r="CP1" s="255"/>
      <c r="CQ1" s="255"/>
      <c r="CR1" s="255"/>
      <c r="CS1" s="255"/>
      <c r="CT1" s="255"/>
      <c r="CU1" s="255"/>
      <c r="CV1" s="255"/>
      <c r="CW1" s="255"/>
      <c r="CX1" s="15"/>
      <c r="CY1" s="15"/>
    </row>
    <row r="2" spans="1:103" ht="21.6" customHeight="1" thickTop="1" x14ac:dyDescent="0.3">
      <c r="A2" s="256"/>
      <c r="B2" s="256"/>
      <c r="C2" s="190"/>
      <c r="D2" s="191"/>
      <c r="E2" s="864" t="s">
        <v>43</v>
      </c>
      <c r="F2" s="267"/>
      <c r="G2" s="267"/>
      <c r="H2" s="267"/>
      <c r="I2" s="192"/>
      <c r="J2" s="192"/>
      <c r="K2" s="192"/>
      <c r="L2" s="193"/>
      <c r="M2" s="192"/>
      <c r="N2" s="192"/>
      <c r="O2" s="192"/>
      <c r="P2" s="194"/>
      <c r="Q2" s="192"/>
      <c r="R2" s="192"/>
      <c r="S2" s="192"/>
      <c r="T2" s="195"/>
      <c r="U2" s="196"/>
      <c r="V2" s="196"/>
      <c r="W2" s="196"/>
      <c r="X2" s="196"/>
      <c r="Y2" s="194"/>
      <c r="Z2" s="192"/>
      <c r="AA2" s="192"/>
      <c r="AB2" s="192"/>
      <c r="AC2" s="195"/>
      <c r="AD2" s="196"/>
      <c r="AE2" s="196"/>
      <c r="AF2" s="196"/>
      <c r="AG2" s="197"/>
      <c r="AH2" s="194"/>
      <c r="AI2" s="192"/>
      <c r="AJ2" s="237"/>
      <c r="AK2" s="237"/>
      <c r="AL2" s="198"/>
      <c r="AM2" s="238"/>
      <c r="AN2" s="238"/>
      <c r="AO2" s="238"/>
      <c r="AP2" s="197"/>
      <c r="AQ2" s="239"/>
      <c r="AR2" s="240"/>
      <c r="AS2" s="199"/>
      <c r="AT2" s="200"/>
      <c r="AU2" s="198"/>
      <c r="AV2" s="196"/>
      <c r="AW2" s="196"/>
      <c r="AX2" s="196"/>
      <c r="AY2" s="197"/>
      <c r="AZ2" s="239"/>
      <c r="BA2" s="240"/>
      <c r="BB2" s="200"/>
      <c r="BC2" s="237"/>
      <c r="BD2" s="241"/>
      <c r="BE2" s="196"/>
      <c r="BF2" s="196"/>
      <c r="BG2" s="196"/>
      <c r="BH2" s="197"/>
      <c r="BI2" s="242"/>
      <c r="BJ2" s="237"/>
      <c r="BK2" s="237"/>
      <c r="BL2" s="237"/>
      <c r="BM2" s="241"/>
      <c r="BN2" s="196"/>
      <c r="BO2" s="196"/>
      <c r="BP2" s="196"/>
      <c r="BQ2" s="197"/>
      <c r="BR2" s="201"/>
      <c r="BS2" s="237"/>
      <c r="BT2" s="237"/>
      <c r="BU2" s="237"/>
      <c r="BV2" s="242"/>
      <c r="BW2" s="237"/>
      <c r="BX2" s="237"/>
      <c r="BY2" s="237"/>
      <c r="BZ2" s="237"/>
      <c r="CA2" s="237"/>
      <c r="CB2" s="437"/>
      <c r="CC2" s="437"/>
      <c r="CD2" s="437"/>
      <c r="CE2" s="437"/>
      <c r="CF2" s="237"/>
      <c r="CG2" s="237"/>
      <c r="CH2" s="237"/>
      <c r="CI2" s="237"/>
      <c r="CJ2" s="197"/>
      <c r="CK2" s="197"/>
      <c r="CL2" s="197"/>
      <c r="CM2" s="197"/>
      <c r="CN2" s="197"/>
      <c r="CO2" s="197"/>
      <c r="CP2" s="197"/>
      <c r="CQ2" s="197"/>
      <c r="CR2" s="197"/>
      <c r="CS2" s="197"/>
      <c r="CT2" s="401"/>
      <c r="CU2" s="237"/>
      <c r="CV2" s="243"/>
      <c r="CW2" s="255"/>
      <c r="CX2" s="4"/>
      <c r="CY2" s="4"/>
    </row>
    <row r="3" spans="1:103" ht="21.6" customHeight="1" thickBot="1" x14ac:dyDescent="0.25">
      <c r="A3" s="256"/>
      <c r="B3" s="256"/>
      <c r="C3" s="202"/>
      <c r="D3" s="927">
        <v>2026</v>
      </c>
      <c r="E3" s="266" t="s">
        <v>44</v>
      </c>
      <c r="F3" s="406"/>
      <c r="G3" s="406"/>
      <c r="H3" s="406"/>
      <c r="I3" s="406"/>
      <c r="J3" s="406"/>
      <c r="K3" s="406"/>
      <c r="L3" s="406"/>
      <c r="M3" s="406"/>
      <c r="N3" s="406"/>
      <c r="O3" s="406"/>
      <c r="P3" s="406"/>
      <c r="Q3" s="406"/>
      <c r="R3" s="406"/>
      <c r="S3" s="406"/>
      <c r="T3" s="406"/>
      <c r="U3" s="406"/>
      <c r="V3" s="406"/>
      <c r="W3" s="406"/>
      <c r="X3" s="406"/>
      <c r="Y3" s="406"/>
      <c r="Z3" s="406"/>
      <c r="AA3" s="406"/>
      <c r="AB3" s="406"/>
      <c r="AC3" s="406"/>
      <c r="AD3" s="406"/>
      <c r="AE3" s="406"/>
      <c r="AF3" s="406"/>
      <c r="AG3" s="406"/>
      <c r="AH3" s="406"/>
      <c r="AI3" s="406"/>
      <c r="AJ3" s="406"/>
      <c r="AK3" s="406"/>
      <c r="AL3" s="406"/>
      <c r="AM3" s="406"/>
      <c r="AN3" s="406"/>
      <c r="AO3" s="406"/>
      <c r="AP3" s="406"/>
      <c r="AQ3" s="406"/>
      <c r="AR3" s="406"/>
      <c r="AS3" s="406"/>
      <c r="AT3" s="406"/>
      <c r="AU3" s="406"/>
      <c r="AV3" s="406"/>
      <c r="AW3" s="406"/>
      <c r="AX3" s="406"/>
      <c r="AY3" s="406"/>
      <c r="AZ3" s="406"/>
      <c r="BA3" s="406"/>
      <c r="BB3" s="406"/>
      <c r="BC3" s="406"/>
      <c r="BD3" s="406"/>
      <c r="BE3" s="406"/>
      <c r="BF3" s="406"/>
      <c r="BG3" s="406"/>
      <c r="BH3" s="406"/>
      <c r="BI3" s="406"/>
      <c r="BJ3" s="406"/>
      <c r="BK3" s="406"/>
      <c r="BL3" s="406"/>
      <c r="BM3" s="406"/>
      <c r="BN3" s="406"/>
      <c r="BO3" s="406"/>
      <c r="BP3" s="406"/>
      <c r="BQ3" s="406"/>
      <c r="BR3" s="406"/>
      <c r="BS3" s="406"/>
      <c r="BT3" s="406"/>
      <c r="BU3" s="406"/>
      <c r="BV3" s="406"/>
      <c r="BW3" s="406"/>
      <c r="BX3" s="406"/>
      <c r="BY3" s="406"/>
      <c r="BZ3" s="406"/>
      <c r="CA3" s="406"/>
      <c r="CB3" s="438"/>
      <c r="CC3" s="438"/>
      <c r="CD3" s="438"/>
      <c r="CE3" s="438"/>
      <c r="CF3" s="406"/>
      <c r="CG3" s="406"/>
      <c r="CH3" s="406"/>
      <c r="CI3" s="406"/>
      <c r="CJ3" s="406"/>
      <c r="CK3" s="406"/>
      <c r="CL3" s="406"/>
      <c r="CM3" s="406"/>
      <c r="CN3" s="366"/>
      <c r="CO3" s="366"/>
      <c r="CP3" s="366"/>
      <c r="CQ3" s="366"/>
      <c r="CR3" s="366"/>
      <c r="CS3" s="366"/>
      <c r="CT3" s="187"/>
      <c r="CU3" s="310"/>
      <c r="CV3" s="246"/>
      <c r="CW3" s="255"/>
      <c r="CX3" s="4"/>
      <c r="CY3" s="4"/>
    </row>
    <row r="4" spans="1:103" ht="18.75" thickTop="1" x14ac:dyDescent="0.2">
      <c r="A4" s="256"/>
      <c r="B4" s="256"/>
      <c r="C4" s="209"/>
      <c r="D4" s="915">
        <v>2025</v>
      </c>
      <c r="E4" s="914"/>
      <c r="F4" s="274"/>
      <c r="G4" s="273"/>
      <c r="H4" s="273"/>
      <c r="I4" s="803" t="s">
        <v>39</v>
      </c>
      <c r="J4" s="805"/>
      <c r="K4" s="805"/>
      <c r="L4" s="291"/>
      <c r="M4" s="302"/>
      <c r="N4" s="242"/>
      <c r="O4" s="275"/>
      <c r="P4" s="275"/>
      <c r="Q4" s="808">
        <f>IF($F8="","",SUM(Q20:S20)-S6)</f>
        <v>330</v>
      </c>
      <c r="R4" s="808"/>
      <c r="S4" s="808"/>
      <c r="T4" s="276"/>
      <c r="U4" s="277"/>
      <c r="V4" s="277"/>
      <c r="W4" s="277"/>
      <c r="X4" s="277"/>
      <c r="Y4" s="275"/>
      <c r="Z4" s="808">
        <f>IF($F8="","",SUM(Z20:AB20)-AB6)</f>
        <v>530</v>
      </c>
      <c r="AA4" s="808"/>
      <c r="AB4" s="808"/>
      <c r="AC4" s="276"/>
      <c r="AD4" s="277"/>
      <c r="AE4" s="277"/>
      <c r="AF4" s="277"/>
      <c r="AG4" s="273"/>
      <c r="AH4" s="275"/>
      <c r="AI4" s="808">
        <f>IF($F8="","",SUM(AI20:AK20)-AK6)</f>
        <v>500</v>
      </c>
      <c r="AJ4" s="808"/>
      <c r="AK4" s="808"/>
      <c r="AL4" s="276"/>
      <c r="AM4" s="277"/>
      <c r="AN4" s="277"/>
      <c r="AO4" s="277"/>
      <c r="AP4" s="273"/>
      <c r="AQ4" s="275"/>
      <c r="AR4" s="808">
        <f>IF($F8="","",SUM(AR20:AT20)-AT6)</f>
        <v>470</v>
      </c>
      <c r="AS4" s="808"/>
      <c r="AT4" s="808"/>
      <c r="AU4" s="278"/>
      <c r="AV4" s="277"/>
      <c r="AW4" s="277"/>
      <c r="AX4" s="277"/>
      <c r="AY4" s="279"/>
      <c r="AZ4" s="280"/>
      <c r="BA4" s="808">
        <f>IF($F8="","",SUM(BA20:BC20)-BC6)</f>
        <v>490</v>
      </c>
      <c r="BB4" s="808"/>
      <c r="BC4" s="808"/>
      <c r="BD4" s="278"/>
      <c r="BE4" s="277"/>
      <c r="BF4" s="277"/>
      <c r="BG4" s="277"/>
      <c r="BH4" s="279"/>
      <c r="BI4" s="280"/>
      <c r="BJ4" s="808">
        <f>IF($F8="","",SUM(BJ20:BL20)-BL6)</f>
        <v>440</v>
      </c>
      <c r="BK4" s="808"/>
      <c r="BL4" s="808"/>
      <c r="BM4" s="278"/>
      <c r="BN4" s="277"/>
      <c r="BO4" s="277"/>
      <c r="BP4" s="277"/>
      <c r="BQ4" s="279"/>
      <c r="BR4" s="281"/>
      <c r="BS4" s="808">
        <f>IF($F8="","",SUM(BS20:BU20)-BU6)</f>
        <v>470</v>
      </c>
      <c r="BT4" s="808"/>
      <c r="BU4" s="808"/>
      <c r="BV4" s="280"/>
      <c r="BW4" s="279"/>
      <c r="BX4" s="279"/>
      <c r="BY4" s="279"/>
      <c r="BZ4" s="279"/>
      <c r="CA4" s="281"/>
      <c r="CB4" s="808">
        <f>IF($F8="","",SUM(CB20:CD20)-CD6)</f>
        <v>510</v>
      </c>
      <c r="CC4" s="808"/>
      <c r="CD4" s="808"/>
      <c r="CE4" s="280"/>
      <c r="CF4" s="279"/>
      <c r="CG4" s="279"/>
      <c r="CH4" s="279"/>
      <c r="CI4" s="279"/>
      <c r="CJ4" s="273"/>
      <c r="CK4" s="808">
        <f>IF($F8="","",SUM(CK20:CM20))</f>
        <v>480</v>
      </c>
      <c r="CL4" s="808"/>
      <c r="CM4" s="808"/>
      <c r="CN4" s="280"/>
      <c r="CO4" s="279"/>
      <c r="CP4" s="279"/>
      <c r="CQ4" s="279"/>
      <c r="CR4" s="273"/>
      <c r="CS4" s="273"/>
      <c r="CT4" s="273"/>
      <c r="CU4" s="292"/>
      <c r="CV4" s="246"/>
      <c r="CW4" s="255"/>
      <c r="CX4" s="4"/>
      <c r="CY4" s="4"/>
    </row>
    <row r="5" spans="1:103" x14ac:dyDescent="0.2">
      <c r="A5" s="256"/>
      <c r="B5" s="256"/>
      <c r="C5" s="209"/>
      <c r="D5" s="916">
        <v>33</v>
      </c>
      <c r="E5" s="588">
        <f>DATE(2025,1,1)+(D5-1)*7+(6-WEEKDAY(DATE(2025,1,1),2))</f>
        <v>45885</v>
      </c>
      <c r="F5" s="213"/>
      <c r="G5" s="214"/>
      <c r="H5" s="214"/>
      <c r="I5" s="804">
        <f>IF(ISERROR(AVERAGE(Q4,Z4,AI4,AR4,BA4,BJ4,BS4,CB4,CK4)),"",AVERAGE(Q4,Z4,AI4,AR4,BA4,BJ4,BS4,CB4,CK4))</f>
        <v>468.88888888888891</v>
      </c>
      <c r="J5" s="806"/>
      <c r="K5" s="806"/>
      <c r="L5" s="295"/>
      <c r="M5" s="372"/>
      <c r="N5" s="245"/>
      <c r="O5" s="215"/>
      <c r="P5" s="215"/>
      <c r="Q5" s="710">
        <f>IF(Q4="","",Q4/Data!$X$1)</f>
        <v>0.27500000000000002</v>
      </c>
      <c r="R5" s="710"/>
      <c r="S5" s="711">
        <f>IF(SUM(X8:X19)=0,"",SUM(X8:X19))</f>
        <v>3</v>
      </c>
      <c r="T5" s="216"/>
      <c r="U5" s="217"/>
      <c r="V5" s="217"/>
      <c r="W5" s="217"/>
      <c r="X5" s="217"/>
      <c r="Y5" s="215"/>
      <c r="Z5" s="710">
        <f>IF(Z4="","",Z4/Data!$X$1)</f>
        <v>0.44166666666666665</v>
      </c>
      <c r="AA5" s="710"/>
      <c r="AB5" s="711">
        <f>IF(SUM(AG8:AG19)=0,"",SUM(AG8:AG19))</f>
        <v>7</v>
      </c>
      <c r="AC5" s="216"/>
      <c r="AD5" s="217"/>
      <c r="AE5" s="217"/>
      <c r="AF5" s="217"/>
      <c r="AG5" s="217"/>
      <c r="AH5" s="215"/>
      <c r="AI5" s="710">
        <f>IF(AI4="","",AI4/Data!$X$1)</f>
        <v>0.41666666666666669</v>
      </c>
      <c r="AJ5" s="710"/>
      <c r="AK5" s="711">
        <f>IF(SUM(AP8:AP19)=0,"",SUM(AP8:AP19))</f>
        <v>6</v>
      </c>
      <c r="AL5" s="216"/>
      <c r="AM5" s="217"/>
      <c r="AN5" s="217"/>
      <c r="AO5" s="217"/>
      <c r="AP5" s="217"/>
      <c r="AQ5" s="215"/>
      <c r="AR5" s="710">
        <f>IF(AR4="","",AR4/Data!$X$1)</f>
        <v>0.39166666666666666</v>
      </c>
      <c r="AS5" s="710"/>
      <c r="AT5" s="711">
        <f>IF(SUM(AY8:AY19)=0,"",SUM(AY8:AY19))</f>
        <v>5</v>
      </c>
      <c r="AU5" s="218"/>
      <c r="AV5" s="217"/>
      <c r="AW5" s="217"/>
      <c r="AX5" s="217"/>
      <c r="AY5" s="217"/>
      <c r="AZ5" s="219"/>
      <c r="BA5" s="710">
        <f>IF(BA4="","",BA4/Data!$X$1)</f>
        <v>0.40833333333333333</v>
      </c>
      <c r="BB5" s="710"/>
      <c r="BC5" s="711">
        <f>IF(SUM(BH8:BH19)=0,"",SUM(BH8:BH19))</f>
        <v>7</v>
      </c>
      <c r="BD5" s="218"/>
      <c r="BE5" s="217"/>
      <c r="BF5" s="217"/>
      <c r="BG5" s="217"/>
      <c r="BH5" s="217"/>
      <c r="BI5" s="219"/>
      <c r="BJ5" s="710">
        <f>IF(BJ4="","",BJ4/Data!$X$1)</f>
        <v>0.36666666666666664</v>
      </c>
      <c r="BK5" s="710"/>
      <c r="BL5" s="711">
        <f>IF(SUM(BQ8:BQ19)=0,"",SUM(BQ8:BQ19))</f>
        <v>5</v>
      </c>
      <c r="BM5" s="218"/>
      <c r="BN5" s="217"/>
      <c r="BO5" s="217"/>
      <c r="BP5" s="217"/>
      <c r="BQ5" s="217"/>
      <c r="BR5" s="220"/>
      <c r="BS5" s="710">
        <f>IF(BS4="","",BS4/Data!$X$1)</f>
        <v>0.39166666666666666</v>
      </c>
      <c r="BT5" s="710"/>
      <c r="BU5" s="711">
        <f>IF(SUM(BZ8:BZ19)=0,"",SUM(BZ8:BZ19))</f>
        <v>7</v>
      </c>
      <c r="BV5" s="219"/>
      <c r="BW5" s="217"/>
      <c r="BX5" s="217"/>
      <c r="BY5" s="217"/>
      <c r="BZ5" s="217"/>
      <c r="CA5" s="220"/>
      <c r="CB5" s="710">
        <f>IF(CB4="","",CB4/Data!$X$1)</f>
        <v>0.42499999999999999</v>
      </c>
      <c r="CC5" s="710"/>
      <c r="CD5" s="711">
        <f>IF(SUM(CI8:CI19)=0,"",SUM(CI8:CI19))</f>
        <v>6</v>
      </c>
      <c r="CE5" s="219"/>
      <c r="CF5" s="217"/>
      <c r="CG5" s="217"/>
      <c r="CH5" s="217"/>
      <c r="CI5" s="217"/>
      <c r="CJ5" s="217"/>
      <c r="CK5" s="710">
        <f>IF(CK4="","",CK4/Data!$X$1)</f>
        <v>0.4</v>
      </c>
      <c r="CL5" s="710"/>
      <c r="CM5" s="711">
        <f>IF(SUM(CR8:CR19)=0,"",SUM(CR8:CR19))</f>
        <v>5</v>
      </c>
      <c r="CN5" s="219"/>
      <c r="CO5" s="217"/>
      <c r="CP5" s="217"/>
      <c r="CQ5" s="217"/>
      <c r="CR5" s="217"/>
      <c r="CS5" s="217"/>
      <c r="CT5" s="217"/>
      <c r="CU5" s="296"/>
      <c r="CV5" s="246"/>
      <c r="CW5" s="255"/>
      <c r="CX5" s="4"/>
      <c r="CY5" s="4"/>
    </row>
    <row r="6" spans="1:103" ht="13.35" customHeight="1" thickBot="1" x14ac:dyDescent="0.25">
      <c r="A6" s="256"/>
      <c r="B6" s="256"/>
      <c r="C6" s="209"/>
      <c r="D6" s="269">
        <v>1</v>
      </c>
      <c r="E6" s="402" t="str">
        <f>IF(E5="","Sett inn dato over her",TEXT(E5,"dddd"))</f>
        <v>lørdag</v>
      </c>
      <c r="F6" s="221"/>
      <c r="G6" s="222"/>
      <c r="H6" s="222"/>
      <c r="I6" s="802"/>
      <c r="J6" s="807"/>
      <c r="K6" s="807"/>
      <c r="L6" s="297"/>
      <c r="M6" s="373"/>
      <c r="N6" s="377"/>
      <c r="O6" s="222"/>
      <c r="P6" s="222"/>
      <c r="Q6" s="385" t="str">
        <f>Data!$E$11</f>
        <v>AHH</v>
      </c>
      <c r="R6" s="386">
        <f>IF($F19="","",RANK(Q4,$Q4:$CL4))</f>
        <v>9</v>
      </c>
      <c r="S6" s="510"/>
      <c r="T6" s="216">
        <v>0</v>
      </c>
      <c r="U6" s="217"/>
      <c r="V6" s="217"/>
      <c r="W6" s="217"/>
      <c r="X6" s="217"/>
      <c r="Y6" s="215"/>
      <c r="Z6" s="385" t="str">
        <f>Data!$E$12</f>
        <v>RB</v>
      </c>
      <c r="AA6" s="386">
        <f>IF($F19="","",RANK(Z4,$Q4:$CL4))</f>
        <v>1</v>
      </c>
      <c r="AB6" s="510">
        <v>50</v>
      </c>
      <c r="AC6" s="216"/>
      <c r="AD6" s="217"/>
      <c r="AE6" s="217"/>
      <c r="AF6" s="217"/>
      <c r="AG6" s="217"/>
      <c r="AH6" s="215"/>
      <c r="AI6" s="385" t="str">
        <f>Data!$E$13</f>
        <v>EB</v>
      </c>
      <c r="AJ6" s="386">
        <f>IF($F19="","",RANK(AI4,$Q4:$CL4))</f>
        <v>3</v>
      </c>
      <c r="AK6" s="510"/>
      <c r="AL6" s="216"/>
      <c r="AM6" s="217"/>
      <c r="AN6" s="217"/>
      <c r="AO6" s="217"/>
      <c r="AP6" s="217"/>
      <c r="AQ6" s="215"/>
      <c r="AR6" s="346" t="str">
        <f>Data!$E$14</f>
        <v>KAF</v>
      </c>
      <c r="AS6" s="386">
        <f>IF($F19="","",RANK(AR4,$Q4:$CL4))</f>
        <v>6</v>
      </c>
      <c r="AT6" s="510"/>
      <c r="AU6" s="216"/>
      <c r="AV6" s="217"/>
      <c r="AW6" s="217"/>
      <c r="AX6" s="217"/>
      <c r="AY6" s="217"/>
      <c r="AZ6" s="215"/>
      <c r="BA6" s="346" t="str">
        <f>Data!$E$15</f>
        <v>ØG</v>
      </c>
      <c r="BB6" s="386">
        <f>IF($F19="","",RANK(BA4,$Q4:$CL4))</f>
        <v>4</v>
      </c>
      <c r="BC6" s="510"/>
      <c r="BD6" s="216"/>
      <c r="BE6" s="217"/>
      <c r="BF6" s="217"/>
      <c r="BG6" s="217"/>
      <c r="BH6" s="217"/>
      <c r="BI6" s="215"/>
      <c r="BJ6" s="346" t="str">
        <f>Data!$E$16</f>
        <v>JH</v>
      </c>
      <c r="BK6" s="386">
        <f>IF($F19="","",RANK(BJ4,$Q4:$CL4))</f>
        <v>8</v>
      </c>
      <c r="BL6" s="510">
        <v>50</v>
      </c>
      <c r="BM6" s="216"/>
      <c r="BN6" s="217"/>
      <c r="BO6" s="217"/>
      <c r="BP6" s="217"/>
      <c r="BQ6" s="217"/>
      <c r="BR6" s="223"/>
      <c r="BS6" s="346" t="str">
        <f>Data!$E$17</f>
        <v>TOH</v>
      </c>
      <c r="BT6" s="386">
        <f>IF($F19="","",RANK(BS4,$Q4:$CL4))</f>
        <v>6</v>
      </c>
      <c r="BU6" s="510">
        <v>50</v>
      </c>
      <c r="BV6" s="215"/>
      <c r="BW6" s="217"/>
      <c r="BX6" s="217"/>
      <c r="BY6" s="217"/>
      <c r="BZ6" s="217"/>
      <c r="CA6" s="223"/>
      <c r="CB6" s="346" t="s">
        <v>26</v>
      </c>
      <c r="CC6" s="386">
        <f>IF($F19="","",RANK(CB4,$Q4:$CM4))</f>
        <v>2</v>
      </c>
      <c r="CD6" s="511"/>
      <c r="CE6" s="215"/>
      <c r="CF6" s="217"/>
      <c r="CG6" s="217"/>
      <c r="CH6" s="217"/>
      <c r="CI6" s="217"/>
      <c r="CJ6" s="217"/>
      <c r="CK6" s="346" t="s">
        <v>27</v>
      </c>
      <c r="CL6" s="386">
        <f>IF($F19="","",RANK(CK4,$Q4:$CM4))</f>
        <v>5</v>
      </c>
      <c r="CM6" s="798"/>
      <c r="CN6" s="215"/>
      <c r="CO6" s="217"/>
      <c r="CP6" s="217"/>
      <c r="CQ6" s="217"/>
      <c r="CR6" s="217"/>
      <c r="CS6" s="217"/>
      <c r="CT6" s="217"/>
      <c r="CU6" s="296"/>
      <c r="CV6" s="246"/>
      <c r="CW6" s="255"/>
      <c r="CX6" s="4"/>
      <c r="CY6" s="4"/>
    </row>
    <row r="7" spans="1:103" s="174" customFormat="1" ht="13.35" customHeight="1" thickBot="1" x14ac:dyDescent="0.25">
      <c r="A7" s="264"/>
      <c r="B7" s="264"/>
      <c r="C7" s="202"/>
      <c r="D7" s="270"/>
      <c r="E7" s="224"/>
      <c r="F7" s="225"/>
      <c r="G7" s="226"/>
      <c r="H7" s="226"/>
      <c r="I7" s="227" t="s">
        <v>45</v>
      </c>
      <c r="J7" s="228" t="s">
        <v>46</v>
      </c>
      <c r="K7" s="229" t="s">
        <v>47</v>
      </c>
      <c r="L7" s="298"/>
      <c r="M7" s="374"/>
      <c r="N7" s="378"/>
      <c r="O7" s="230"/>
      <c r="P7" s="230"/>
      <c r="Q7" s="227" t="s">
        <v>45</v>
      </c>
      <c r="R7" s="228" t="s">
        <v>46</v>
      </c>
      <c r="S7" s="229" t="s">
        <v>47</v>
      </c>
      <c r="T7" s="231"/>
      <c r="U7" s="232"/>
      <c r="V7" s="232"/>
      <c r="W7" s="232"/>
      <c r="X7" s="232"/>
      <c r="Y7" s="230"/>
      <c r="Z7" s="227" t="s">
        <v>45</v>
      </c>
      <c r="AA7" s="228" t="s">
        <v>46</v>
      </c>
      <c r="AB7" s="229" t="s">
        <v>47</v>
      </c>
      <c r="AC7" s="231"/>
      <c r="AD7" s="232"/>
      <c r="AE7" s="232"/>
      <c r="AF7" s="232"/>
      <c r="AG7" s="232"/>
      <c r="AH7" s="230"/>
      <c r="AI7" s="227" t="s">
        <v>45</v>
      </c>
      <c r="AJ7" s="228" t="s">
        <v>46</v>
      </c>
      <c r="AK7" s="229" t="s">
        <v>47</v>
      </c>
      <c r="AL7" s="231"/>
      <c r="AM7" s="232"/>
      <c r="AN7" s="232"/>
      <c r="AO7" s="232"/>
      <c r="AP7" s="232"/>
      <c r="AQ7" s="230"/>
      <c r="AR7" s="227" t="s">
        <v>45</v>
      </c>
      <c r="AS7" s="228" t="s">
        <v>46</v>
      </c>
      <c r="AT7" s="229" t="s">
        <v>47</v>
      </c>
      <c r="AU7" s="231"/>
      <c r="AV7" s="232"/>
      <c r="AW7" s="232"/>
      <c r="AX7" s="232"/>
      <c r="AY7" s="232"/>
      <c r="AZ7" s="230"/>
      <c r="BA7" s="227" t="s">
        <v>45</v>
      </c>
      <c r="BB7" s="228" t="s">
        <v>46</v>
      </c>
      <c r="BC7" s="229" t="s">
        <v>47</v>
      </c>
      <c r="BD7" s="231"/>
      <c r="BE7" s="232"/>
      <c r="BF7" s="232"/>
      <c r="BG7" s="232"/>
      <c r="BH7" s="232"/>
      <c r="BI7" s="230"/>
      <c r="BJ7" s="227" t="s">
        <v>45</v>
      </c>
      <c r="BK7" s="228" t="s">
        <v>46</v>
      </c>
      <c r="BL7" s="229" t="s">
        <v>47</v>
      </c>
      <c r="BM7" s="231"/>
      <c r="BN7" s="232"/>
      <c r="BO7" s="232"/>
      <c r="BP7" s="232"/>
      <c r="BQ7" s="232"/>
      <c r="BR7" s="230"/>
      <c r="BS7" s="227" t="s">
        <v>45</v>
      </c>
      <c r="BT7" s="228" t="s">
        <v>46</v>
      </c>
      <c r="BU7" s="229" t="s">
        <v>47</v>
      </c>
      <c r="BV7" s="231"/>
      <c r="BW7" s="232"/>
      <c r="BX7" s="232"/>
      <c r="BY7" s="232"/>
      <c r="BZ7" s="233"/>
      <c r="CA7" s="230"/>
      <c r="CB7" s="227" t="s">
        <v>45</v>
      </c>
      <c r="CC7" s="228" t="s">
        <v>46</v>
      </c>
      <c r="CD7" s="229" t="s">
        <v>47</v>
      </c>
      <c r="CE7" s="231"/>
      <c r="CF7" s="232"/>
      <c r="CG7" s="232"/>
      <c r="CH7" s="232"/>
      <c r="CI7" s="232"/>
      <c r="CJ7" s="232"/>
      <c r="CK7" s="227" t="s">
        <v>45</v>
      </c>
      <c r="CL7" s="228" t="s">
        <v>46</v>
      </c>
      <c r="CM7" s="229" t="s">
        <v>47</v>
      </c>
      <c r="CN7" s="231"/>
      <c r="CO7" s="232"/>
      <c r="CP7" s="232"/>
      <c r="CQ7" s="232"/>
      <c r="CR7" s="232"/>
      <c r="CS7" s="232"/>
      <c r="CT7" s="234"/>
      <c r="CU7" s="296"/>
      <c r="CV7" s="246"/>
      <c r="CW7" s="265"/>
      <c r="CX7" s="173"/>
      <c r="CY7" s="173"/>
    </row>
    <row r="8" spans="1:103" s="175" customFormat="1" ht="13.35" customHeight="1" outlineLevel="2" x14ac:dyDescent="0.2">
      <c r="A8" s="264"/>
      <c r="B8" s="264"/>
      <c r="C8" s="202"/>
      <c r="D8" s="271">
        <v>1</v>
      </c>
      <c r="E8" s="166" t="s">
        <v>48</v>
      </c>
      <c r="F8" s="468">
        <v>0</v>
      </c>
      <c r="G8" s="472" t="s">
        <v>49</v>
      </c>
      <c r="H8" s="473">
        <v>4</v>
      </c>
      <c r="I8" s="170" t="str">
        <f t="shared" ref="I8:I19" si="0">IF($F8&gt;$H8,"x","")</f>
        <v/>
      </c>
      <c r="J8" s="387" t="str">
        <f t="shared" ref="J8:J19" si="1">IF(F8&lt;&gt;"",IF(H8&lt;&gt;"",IF(F8=H8,"x",""),""),"")</f>
        <v/>
      </c>
      <c r="K8" s="388" t="str">
        <f t="shared" ref="K8:K19" si="2">IF($F8&lt;$H8,"x","")</f>
        <v>x</v>
      </c>
      <c r="L8" s="299"/>
      <c r="M8" s="375"/>
      <c r="N8" s="379"/>
      <c r="O8" s="236"/>
      <c r="P8" s="236"/>
      <c r="Q8" s="480">
        <v>40</v>
      </c>
      <c r="R8" s="481">
        <v>10</v>
      </c>
      <c r="S8" s="482">
        <f t="shared" ref="S8:S19" si="3">IF(Q8="","",100-SUM(Q8:R8))</f>
        <v>50</v>
      </c>
      <c r="T8" s="371"/>
      <c r="U8" s="232" t="str">
        <f t="shared" ref="U8:U19" si="4">IF($I8="x",Q8,"")</f>
        <v/>
      </c>
      <c r="V8" s="232" t="str">
        <f t="shared" ref="V8:V19" si="5">IF($J8="x",R8,"")</f>
        <v/>
      </c>
      <c r="W8" s="232">
        <f t="shared" ref="W8:W19" si="6">IF($K8="x",S8,"")</f>
        <v>50</v>
      </c>
      <c r="X8" s="232">
        <f t="shared" ref="X8:X19" si="7">IF((MAX(U8,V8,W8))=0,"",IF((MAX(U8,V8,W8))=(MAX(Q8,R8,S8)),1,""))</f>
        <v>1</v>
      </c>
      <c r="Y8" s="371"/>
      <c r="Z8" s="495">
        <v>10</v>
      </c>
      <c r="AA8" s="496">
        <v>10</v>
      </c>
      <c r="AB8" s="482">
        <f t="shared" ref="AB8:AB19" si="8">IF(Z8="","",100-SUM(Z8:AA8))</f>
        <v>80</v>
      </c>
      <c r="AC8" s="371"/>
      <c r="AD8" s="232" t="str">
        <f t="shared" ref="AD8:AD19" si="9">IF($I8="x",Z8,"")</f>
        <v/>
      </c>
      <c r="AE8" s="232" t="str">
        <f t="shared" ref="AE8:AE19" si="10">IF($J8="x",AA8,"")</f>
        <v/>
      </c>
      <c r="AF8" s="232">
        <f t="shared" ref="AF8:AF19" si="11">IF($K8="x",AB8,"")</f>
        <v>80</v>
      </c>
      <c r="AG8" s="232">
        <f t="shared" ref="AG8:AG19" si="12">IF((MAX(AD8,AE8,AF8))=0,"",IF((MAX(AD8,AE8,AF8))=(MAX(Z8,AA8,AB8)),1,""))</f>
        <v>1</v>
      </c>
      <c r="AH8" s="371"/>
      <c r="AI8" s="495">
        <v>20</v>
      </c>
      <c r="AJ8" s="496">
        <v>20</v>
      </c>
      <c r="AK8" s="482">
        <f t="shared" ref="AK8:AK19" si="13">IF(AI8="","",100-SUM(AI8:AJ8))</f>
        <v>60</v>
      </c>
      <c r="AL8" s="371"/>
      <c r="AM8" s="232" t="str">
        <f t="shared" ref="AM8:AM19" si="14">IF($I8="x",AI8,"")</f>
        <v/>
      </c>
      <c r="AN8" s="232" t="str">
        <f t="shared" ref="AN8:AN19" si="15">IF($J8="x",AJ8,"")</f>
        <v/>
      </c>
      <c r="AO8" s="232">
        <f t="shared" ref="AO8:AO19" si="16">IF($K8="x",AK8,"")</f>
        <v>60</v>
      </c>
      <c r="AP8" s="232">
        <f t="shared" ref="AP8:AP19" si="17">IF((MAX(AM8,AN8,AO8))=0,"",IF((MAX(AM8,AN8,AO8))=(MAX(AI8,AJ8,AK8)),1,""))</f>
        <v>1</v>
      </c>
      <c r="AQ8" s="371"/>
      <c r="AR8" s="495">
        <v>10</v>
      </c>
      <c r="AS8" s="496">
        <v>10</v>
      </c>
      <c r="AT8" s="482">
        <f t="shared" ref="AT8:AT19" si="18">IF(AR8="","",100-SUM(AR8:AS8))</f>
        <v>80</v>
      </c>
      <c r="AU8" s="371"/>
      <c r="AV8" s="232" t="str">
        <f t="shared" ref="AV8:AV19" si="19">IF($I8="x",AR8,"")</f>
        <v/>
      </c>
      <c r="AW8" s="232" t="str">
        <f t="shared" ref="AW8:AW19" si="20">IF($J8="x",AS8,"")</f>
        <v/>
      </c>
      <c r="AX8" s="232">
        <f t="shared" ref="AX8:AX19" si="21">IF($K8="x",AT8,"")</f>
        <v>80</v>
      </c>
      <c r="AY8" s="232">
        <f t="shared" ref="AY8:AY19" si="22">IF((MAX(AV8,AW8,AX8))=0,"",IF((MAX(AV8,AW8,AX8))=(MAX(AR8,AS8,AT8)),1,""))</f>
        <v>1</v>
      </c>
      <c r="AZ8" s="371"/>
      <c r="BA8" s="495">
        <v>10</v>
      </c>
      <c r="BB8" s="496">
        <v>10</v>
      </c>
      <c r="BC8" s="482">
        <f>IF(BA8="","",100-SUM(BA8:BB8))</f>
        <v>80</v>
      </c>
      <c r="BD8" s="371"/>
      <c r="BE8" s="232" t="str">
        <f t="shared" ref="BE8:BE19" si="23">IF($I8="x",BA8,"")</f>
        <v/>
      </c>
      <c r="BF8" s="232" t="str">
        <f t="shared" ref="BF8:BF19" si="24">IF($J8="x",BB8,"")</f>
        <v/>
      </c>
      <c r="BG8" s="232">
        <f t="shared" ref="BG8:BG19" si="25">IF($K8="x",BC8,"")</f>
        <v>80</v>
      </c>
      <c r="BH8" s="232">
        <f>IF((MAX(BE8,BF8,BG8))=0,"",IF((MAX(BE8,BF8,BG8))=(MAX(BA8,BB8,BC8)),1,""))</f>
        <v>1</v>
      </c>
      <c r="BI8" s="371"/>
      <c r="BJ8" s="495">
        <v>10</v>
      </c>
      <c r="BK8" s="496">
        <v>10</v>
      </c>
      <c r="BL8" s="482">
        <f t="shared" ref="BL8:BL19" si="26">IF(BJ8="","",100-SUM(BJ8:BK8))</f>
        <v>80</v>
      </c>
      <c r="BM8" s="371"/>
      <c r="BN8" s="232" t="str">
        <f t="shared" ref="BN8:BN19" si="27">IF($I8="x",BJ8,"")</f>
        <v/>
      </c>
      <c r="BO8" s="232" t="str">
        <f t="shared" ref="BO8:BO19" si="28">IF($J8="x",BK8,"")</f>
        <v/>
      </c>
      <c r="BP8" s="232">
        <f t="shared" ref="BP8:BP19" si="29">IF($K8="x",BL8,"")</f>
        <v>80</v>
      </c>
      <c r="BQ8" s="232">
        <f>IF((MAX(BN8,BO8,BP8))=0,"",IF((MAX(BN8,BO8,BP8))=(MAX(BJ8,BK8,BL8)),1,""))</f>
        <v>1</v>
      </c>
      <c r="BR8" s="371"/>
      <c r="BS8" s="495">
        <v>20</v>
      </c>
      <c r="BT8" s="496">
        <v>10</v>
      </c>
      <c r="BU8" s="482">
        <f t="shared" ref="BU8:BU19" si="30">IF(BS8="","",100-SUM(BS8:BT8))</f>
        <v>70</v>
      </c>
      <c r="BV8" s="371"/>
      <c r="BW8" s="232" t="str">
        <f t="shared" ref="BW8:BW19" si="31">IF($I8="x",BS8,"")</f>
        <v/>
      </c>
      <c r="BX8" s="232" t="str">
        <f t="shared" ref="BX8:BX19" si="32">IF($J8="x",BT8,"")</f>
        <v/>
      </c>
      <c r="BY8" s="232">
        <f t="shared" ref="BY8:BY19" si="33">IF($K8="x",BU8,"")</f>
        <v>70</v>
      </c>
      <c r="BZ8" s="232">
        <f>IF((MAX(BW8,BX8,BY8))=0,"",IF((MAX(BW8,BX8,BY8))=(MAX(BS8,BT8,BU8)),1,""))</f>
        <v>1</v>
      </c>
      <c r="CA8" s="371"/>
      <c r="CB8" s="501">
        <f t="shared" ref="CB8:CB19" si="34">IFERROR(ROUNDUP((SUM(Q8,Z8,AI8,AR8,BA8,BJ8,BS8)/SUM($Q8:$S8,$Z8:$AB8,$AI8:$AK8,$AR8:$AT8,$BA8:$BC8,$BJ8:$BL8,$BS8:$BU8))*100,-1),"")</f>
        <v>20</v>
      </c>
      <c r="CC8" s="502">
        <f t="shared" ref="CC8:CC19" si="35">IFERROR(ROUNDDOWN((SUM(R8,AA8,AJ8,AS8,BB8,BK8,BT8)/SUM($Q8:$S8,$Z8:$AB8,$AI8:$AK8,$AR8:$AT8,$BA8:$BC8,$BJ8:$BL8,$BS8:$BU8))*100,-1),"")</f>
        <v>10</v>
      </c>
      <c r="CD8" s="503">
        <f t="shared" ref="CD8:CD19" si="36">IF(CB8="","",100-SUM(CB8:CC8))</f>
        <v>70</v>
      </c>
      <c r="CE8" s="371"/>
      <c r="CF8" s="232" t="str">
        <f t="shared" ref="CF8:CF19" si="37">IF($I8="x",CB8,"")</f>
        <v/>
      </c>
      <c r="CG8" s="232" t="str">
        <f t="shared" ref="CG8:CG19" si="38">IF($J8="x",CC8,"")</f>
        <v/>
      </c>
      <c r="CH8" s="232">
        <f t="shared" ref="CH8:CH19" si="39">IF($K8="x",CD8,"")</f>
        <v>70</v>
      </c>
      <c r="CI8" s="232">
        <f>IF((MAX(CF8,CG8,CH8))=0,"",IF((MAX(CF8,CG8,CH8))=(MAX(CB8,CC8,CD8)),1,""))</f>
        <v>1</v>
      </c>
      <c r="CJ8" s="232"/>
      <c r="CK8" s="495">
        <v>10</v>
      </c>
      <c r="CL8" s="496">
        <v>10</v>
      </c>
      <c r="CM8" s="482">
        <f>IF(CK8="","",100-SUM(CK8:CL8))</f>
        <v>80</v>
      </c>
      <c r="CN8" s="371"/>
      <c r="CO8" s="232" t="str">
        <f t="shared" ref="CO8:CO19" si="40">IF($I8="x",CK8,"")</f>
        <v/>
      </c>
      <c r="CP8" s="232" t="str">
        <f t="shared" ref="CP8:CP19" si="41">IF($J8="x",CL8,"")</f>
        <v/>
      </c>
      <c r="CQ8" s="232">
        <f t="shared" ref="CQ8:CQ19" si="42">IF($K8="x",CM8,"")</f>
        <v>80</v>
      </c>
      <c r="CR8" s="232">
        <f>IF((MAX(CO8,CP8,CQ8))=0,"",IF((MAX(CO8,CP8,CQ8))=(MAX(CK8,CL8,CM8)),1,""))</f>
        <v>1</v>
      </c>
      <c r="CS8" s="232"/>
      <c r="CT8" s="371"/>
      <c r="CU8" s="296"/>
      <c r="CV8" s="246"/>
      <c r="CW8" s="264"/>
      <c r="CX8" s="173"/>
      <c r="CY8" s="173"/>
    </row>
    <row r="9" spans="1:103" s="175" customFormat="1" ht="13.35" customHeight="1" outlineLevel="2" x14ac:dyDescent="0.2">
      <c r="A9" s="264"/>
      <c r="B9" s="264"/>
      <c r="C9" s="202"/>
      <c r="D9" s="271">
        <v>2</v>
      </c>
      <c r="E9" s="167" t="s">
        <v>50</v>
      </c>
      <c r="F9" s="469">
        <v>1</v>
      </c>
      <c r="G9" s="474" t="s">
        <v>49</v>
      </c>
      <c r="H9" s="475">
        <v>1</v>
      </c>
      <c r="I9" s="389" t="str">
        <f t="shared" si="0"/>
        <v/>
      </c>
      <c r="J9" s="390" t="str">
        <f t="shared" si="1"/>
        <v>x</v>
      </c>
      <c r="K9" s="391" t="str">
        <f t="shared" si="2"/>
        <v/>
      </c>
      <c r="L9" s="299"/>
      <c r="M9" s="375"/>
      <c r="N9" s="379"/>
      <c r="O9" s="236"/>
      <c r="P9" s="236"/>
      <c r="Q9" s="483">
        <v>60</v>
      </c>
      <c r="R9" s="484">
        <v>10</v>
      </c>
      <c r="S9" s="485">
        <f t="shared" si="3"/>
        <v>30</v>
      </c>
      <c r="T9" s="371"/>
      <c r="U9" s="232" t="str">
        <f t="shared" si="4"/>
        <v/>
      </c>
      <c r="V9" s="232">
        <f t="shared" si="5"/>
        <v>10</v>
      </c>
      <c r="W9" s="232" t="str">
        <f t="shared" si="6"/>
        <v/>
      </c>
      <c r="X9" s="232" t="str">
        <f t="shared" si="7"/>
        <v/>
      </c>
      <c r="Y9" s="371"/>
      <c r="Z9" s="497">
        <v>80</v>
      </c>
      <c r="AA9" s="498">
        <v>10</v>
      </c>
      <c r="AB9" s="485">
        <f t="shared" si="8"/>
        <v>10</v>
      </c>
      <c r="AC9" s="371"/>
      <c r="AD9" s="232" t="str">
        <f t="shared" si="9"/>
        <v/>
      </c>
      <c r="AE9" s="232">
        <f t="shared" si="10"/>
        <v>10</v>
      </c>
      <c r="AF9" s="232" t="str">
        <f t="shared" si="11"/>
        <v/>
      </c>
      <c r="AG9" s="232" t="str">
        <f t="shared" si="12"/>
        <v/>
      </c>
      <c r="AH9" s="371"/>
      <c r="AI9" s="497">
        <v>60</v>
      </c>
      <c r="AJ9" s="498">
        <v>20</v>
      </c>
      <c r="AK9" s="485">
        <f t="shared" si="13"/>
        <v>20</v>
      </c>
      <c r="AL9" s="371"/>
      <c r="AM9" s="232" t="str">
        <f t="shared" si="14"/>
        <v/>
      </c>
      <c r="AN9" s="232">
        <f t="shared" si="15"/>
        <v>20</v>
      </c>
      <c r="AO9" s="232" t="str">
        <f t="shared" si="16"/>
        <v/>
      </c>
      <c r="AP9" s="232" t="str">
        <f t="shared" si="17"/>
        <v/>
      </c>
      <c r="AQ9" s="371"/>
      <c r="AR9" s="497">
        <v>50</v>
      </c>
      <c r="AS9" s="498">
        <v>30</v>
      </c>
      <c r="AT9" s="485">
        <f t="shared" si="18"/>
        <v>20</v>
      </c>
      <c r="AU9" s="371"/>
      <c r="AV9" s="232" t="str">
        <f t="shared" si="19"/>
        <v/>
      </c>
      <c r="AW9" s="232">
        <f t="shared" si="20"/>
        <v>30</v>
      </c>
      <c r="AX9" s="232" t="str">
        <f t="shared" si="21"/>
        <v/>
      </c>
      <c r="AY9" s="232" t="str">
        <f t="shared" si="22"/>
        <v/>
      </c>
      <c r="AZ9" s="371"/>
      <c r="BA9" s="497">
        <v>80</v>
      </c>
      <c r="BB9" s="498">
        <v>10</v>
      </c>
      <c r="BC9" s="485">
        <f>IF(BA9="","",100-SUM(BA9:BB9))</f>
        <v>10</v>
      </c>
      <c r="BD9" s="371"/>
      <c r="BE9" s="232" t="str">
        <f t="shared" si="23"/>
        <v/>
      </c>
      <c r="BF9" s="232">
        <f t="shared" si="24"/>
        <v>10</v>
      </c>
      <c r="BG9" s="232" t="str">
        <f t="shared" si="25"/>
        <v/>
      </c>
      <c r="BH9" s="232" t="str">
        <f t="shared" ref="BH9:BH19" si="43">IF((MAX(BE9,BF9,BG9))=0,"",IF((MAX(BE9,BF9,BG9))=(MAX(BA9,BB9,BC9)),1,""))</f>
        <v/>
      </c>
      <c r="BI9" s="371"/>
      <c r="BJ9" s="497">
        <v>60</v>
      </c>
      <c r="BK9" s="498">
        <v>30</v>
      </c>
      <c r="BL9" s="485">
        <f t="shared" si="26"/>
        <v>10</v>
      </c>
      <c r="BM9" s="371"/>
      <c r="BN9" s="232" t="str">
        <f t="shared" si="27"/>
        <v/>
      </c>
      <c r="BO9" s="232">
        <f t="shared" si="28"/>
        <v>30</v>
      </c>
      <c r="BP9" s="232" t="str">
        <f t="shared" si="29"/>
        <v/>
      </c>
      <c r="BQ9" s="232" t="str">
        <f t="shared" ref="BQ9:BQ19" si="44">IF((MAX(BN9,BO9,BP9))=0,"",IF((MAX(BN9,BO9,BP9))=(MAX(BJ9,BK9,BL9)),1,""))</f>
        <v/>
      </c>
      <c r="BR9" s="371"/>
      <c r="BS9" s="497">
        <v>60</v>
      </c>
      <c r="BT9" s="498">
        <v>20</v>
      </c>
      <c r="BU9" s="485">
        <f t="shared" si="30"/>
        <v>20</v>
      </c>
      <c r="BV9" s="371"/>
      <c r="BW9" s="232" t="str">
        <f t="shared" si="31"/>
        <v/>
      </c>
      <c r="BX9" s="232">
        <f t="shared" si="32"/>
        <v>20</v>
      </c>
      <c r="BY9" s="232" t="str">
        <f t="shared" si="33"/>
        <v/>
      </c>
      <c r="BZ9" s="232" t="str">
        <f t="shared" ref="BZ9:BZ19" si="45">IF((MAX(BW9,BX9,BY9))=0,"",IF((MAX(BW9,BX9,BY9))=(MAX(BS9,BT9,BU9)),1,""))</f>
        <v/>
      </c>
      <c r="CA9" s="371"/>
      <c r="CB9" s="504">
        <f t="shared" si="34"/>
        <v>70</v>
      </c>
      <c r="CC9" s="505">
        <f t="shared" si="35"/>
        <v>10</v>
      </c>
      <c r="CD9" s="506">
        <f t="shared" si="36"/>
        <v>20</v>
      </c>
      <c r="CE9" s="371"/>
      <c r="CF9" s="232" t="str">
        <f t="shared" si="37"/>
        <v/>
      </c>
      <c r="CG9" s="232">
        <f t="shared" si="38"/>
        <v>10</v>
      </c>
      <c r="CH9" s="232" t="str">
        <f t="shared" si="39"/>
        <v/>
      </c>
      <c r="CI9" s="232" t="str">
        <f t="shared" ref="CI9:CI19" si="46">IF((MAX(CF9,CG9,CH9))=0,"",IF((MAX(CF9,CG9,CH9))=(MAX(CB9,CC9,CD9)),1,""))</f>
        <v/>
      </c>
      <c r="CJ9" s="232"/>
      <c r="CK9" s="497">
        <v>70</v>
      </c>
      <c r="CL9" s="498">
        <v>10</v>
      </c>
      <c r="CM9" s="485">
        <f>IF(CK9="","",100-SUM(CK9:CL9))</f>
        <v>20</v>
      </c>
      <c r="CN9" s="371"/>
      <c r="CO9" s="232" t="str">
        <f t="shared" si="40"/>
        <v/>
      </c>
      <c r="CP9" s="232">
        <f t="shared" si="41"/>
        <v>10</v>
      </c>
      <c r="CQ9" s="232" t="str">
        <f t="shared" si="42"/>
        <v/>
      </c>
      <c r="CR9" s="232" t="str">
        <f t="shared" ref="CR9:CR19" si="47">IF((MAX(CO9,CP9,CQ9))=0,"",IF((MAX(CO9,CP9,CQ9))=(MAX(CK9,CL9,CM9)),1,""))</f>
        <v/>
      </c>
      <c r="CS9" s="232"/>
      <c r="CT9" s="371"/>
      <c r="CU9" s="296"/>
      <c r="CV9" s="246"/>
      <c r="CW9" s="264"/>
      <c r="CX9" s="173"/>
      <c r="CY9" s="173"/>
    </row>
    <row r="10" spans="1:103" s="175" customFormat="1" ht="13.35" customHeight="1" outlineLevel="2" thickBot="1" x14ac:dyDescent="0.25">
      <c r="A10" s="264"/>
      <c r="B10" s="264"/>
      <c r="C10" s="202"/>
      <c r="D10" s="271">
        <v>3</v>
      </c>
      <c r="E10" s="168" t="s">
        <v>51</v>
      </c>
      <c r="F10" s="470">
        <v>3</v>
      </c>
      <c r="G10" s="476" t="s">
        <v>49</v>
      </c>
      <c r="H10" s="477">
        <v>0</v>
      </c>
      <c r="I10" s="392" t="str">
        <f t="shared" si="0"/>
        <v>x</v>
      </c>
      <c r="J10" s="393" t="str">
        <f t="shared" si="1"/>
        <v/>
      </c>
      <c r="K10" s="394" t="str">
        <f t="shared" si="2"/>
        <v/>
      </c>
      <c r="L10" s="299"/>
      <c r="M10" s="375"/>
      <c r="N10" s="379"/>
      <c r="O10" s="236"/>
      <c r="P10" s="236"/>
      <c r="Q10" s="486">
        <v>20</v>
      </c>
      <c r="R10" s="487">
        <v>60</v>
      </c>
      <c r="S10" s="488">
        <f t="shared" si="3"/>
        <v>20</v>
      </c>
      <c r="T10" s="371"/>
      <c r="U10" s="232">
        <f t="shared" si="4"/>
        <v>20</v>
      </c>
      <c r="V10" s="232" t="str">
        <f t="shared" si="5"/>
        <v/>
      </c>
      <c r="W10" s="232" t="str">
        <f t="shared" si="6"/>
        <v/>
      </c>
      <c r="X10" s="232" t="str">
        <f t="shared" si="7"/>
        <v/>
      </c>
      <c r="Y10" s="371"/>
      <c r="Z10" s="499">
        <v>10</v>
      </c>
      <c r="AA10" s="500">
        <v>10</v>
      </c>
      <c r="AB10" s="488">
        <f t="shared" si="8"/>
        <v>80</v>
      </c>
      <c r="AC10" s="371"/>
      <c r="AD10" s="232">
        <f t="shared" si="9"/>
        <v>10</v>
      </c>
      <c r="AE10" s="232" t="str">
        <f t="shared" si="10"/>
        <v/>
      </c>
      <c r="AF10" s="232" t="str">
        <f t="shared" si="11"/>
        <v/>
      </c>
      <c r="AG10" s="232" t="str">
        <f t="shared" si="12"/>
        <v/>
      </c>
      <c r="AH10" s="371"/>
      <c r="AI10" s="499">
        <v>40</v>
      </c>
      <c r="AJ10" s="500">
        <v>20</v>
      </c>
      <c r="AK10" s="488">
        <f t="shared" si="13"/>
        <v>40</v>
      </c>
      <c r="AL10" s="371"/>
      <c r="AM10" s="232">
        <f t="shared" si="14"/>
        <v>40</v>
      </c>
      <c r="AN10" s="232" t="str">
        <f t="shared" si="15"/>
        <v/>
      </c>
      <c r="AO10" s="232" t="str">
        <f t="shared" si="16"/>
        <v/>
      </c>
      <c r="AP10" s="232">
        <f t="shared" si="17"/>
        <v>1</v>
      </c>
      <c r="AQ10" s="371"/>
      <c r="AR10" s="499">
        <v>20</v>
      </c>
      <c r="AS10" s="500">
        <v>30</v>
      </c>
      <c r="AT10" s="488">
        <f t="shared" si="18"/>
        <v>50</v>
      </c>
      <c r="AU10" s="371"/>
      <c r="AV10" s="232">
        <f t="shared" si="19"/>
        <v>20</v>
      </c>
      <c r="AW10" s="232" t="str">
        <f t="shared" si="20"/>
        <v/>
      </c>
      <c r="AX10" s="232" t="str">
        <f t="shared" si="21"/>
        <v/>
      </c>
      <c r="AY10" s="232" t="str">
        <f t="shared" si="22"/>
        <v/>
      </c>
      <c r="AZ10" s="371"/>
      <c r="BA10" s="499">
        <v>10</v>
      </c>
      <c r="BB10" s="500">
        <v>10</v>
      </c>
      <c r="BC10" s="488">
        <f>IF(BA10="","",100-SUM(BA10:BB10))</f>
        <v>80</v>
      </c>
      <c r="BD10" s="371"/>
      <c r="BE10" s="232">
        <f t="shared" si="23"/>
        <v>10</v>
      </c>
      <c r="BF10" s="232" t="str">
        <f t="shared" si="24"/>
        <v/>
      </c>
      <c r="BG10" s="232" t="str">
        <f t="shared" si="25"/>
        <v/>
      </c>
      <c r="BH10" s="232" t="str">
        <f t="shared" si="43"/>
        <v/>
      </c>
      <c r="BI10" s="371"/>
      <c r="BJ10" s="499">
        <v>20</v>
      </c>
      <c r="BK10" s="500">
        <v>40</v>
      </c>
      <c r="BL10" s="488">
        <f t="shared" si="26"/>
        <v>40</v>
      </c>
      <c r="BM10" s="371"/>
      <c r="BN10" s="232">
        <f t="shared" si="27"/>
        <v>20</v>
      </c>
      <c r="BO10" s="232" t="str">
        <f t="shared" si="28"/>
        <v/>
      </c>
      <c r="BP10" s="232" t="str">
        <f t="shared" si="29"/>
        <v/>
      </c>
      <c r="BQ10" s="232" t="str">
        <f t="shared" si="44"/>
        <v/>
      </c>
      <c r="BR10" s="371"/>
      <c r="BS10" s="499">
        <v>40</v>
      </c>
      <c r="BT10" s="500">
        <v>30</v>
      </c>
      <c r="BU10" s="488">
        <f t="shared" si="30"/>
        <v>30</v>
      </c>
      <c r="BV10" s="371"/>
      <c r="BW10" s="232">
        <f t="shared" si="31"/>
        <v>40</v>
      </c>
      <c r="BX10" s="232" t="str">
        <f t="shared" si="32"/>
        <v/>
      </c>
      <c r="BY10" s="232" t="str">
        <f t="shared" si="33"/>
        <v/>
      </c>
      <c r="BZ10" s="232">
        <f t="shared" si="45"/>
        <v>1</v>
      </c>
      <c r="CA10" s="371"/>
      <c r="CB10" s="507">
        <f t="shared" si="34"/>
        <v>30</v>
      </c>
      <c r="CC10" s="508">
        <f t="shared" si="35"/>
        <v>20</v>
      </c>
      <c r="CD10" s="509">
        <f t="shared" si="36"/>
        <v>50</v>
      </c>
      <c r="CE10" s="371"/>
      <c r="CF10" s="232">
        <f t="shared" si="37"/>
        <v>30</v>
      </c>
      <c r="CG10" s="232" t="str">
        <f t="shared" si="38"/>
        <v/>
      </c>
      <c r="CH10" s="232" t="str">
        <f t="shared" si="39"/>
        <v/>
      </c>
      <c r="CI10" s="232" t="str">
        <f t="shared" si="46"/>
        <v/>
      </c>
      <c r="CJ10" s="232"/>
      <c r="CK10" s="499">
        <v>20</v>
      </c>
      <c r="CL10" s="500">
        <v>60</v>
      </c>
      <c r="CM10" s="488">
        <f>IF(CK10="","",100-SUM(CK10:CL10))</f>
        <v>20</v>
      </c>
      <c r="CN10" s="371"/>
      <c r="CO10" s="232">
        <f t="shared" si="40"/>
        <v>20</v>
      </c>
      <c r="CP10" s="232" t="str">
        <f t="shared" si="41"/>
        <v/>
      </c>
      <c r="CQ10" s="232" t="str">
        <f t="shared" si="42"/>
        <v/>
      </c>
      <c r="CR10" s="232" t="str">
        <f t="shared" si="47"/>
        <v/>
      </c>
      <c r="CS10" s="232"/>
      <c r="CT10" s="371"/>
      <c r="CU10" s="296"/>
      <c r="CV10" s="246"/>
      <c r="CW10" s="264"/>
      <c r="CX10" s="176"/>
      <c r="CY10" s="176"/>
    </row>
    <row r="11" spans="1:103" s="175" customFormat="1" ht="13.35" customHeight="1" outlineLevel="2" x14ac:dyDescent="0.2">
      <c r="A11" s="264"/>
      <c r="B11" s="264"/>
      <c r="C11" s="202"/>
      <c r="D11" s="271">
        <v>4</v>
      </c>
      <c r="E11" s="166" t="s">
        <v>52</v>
      </c>
      <c r="F11" s="468">
        <v>3</v>
      </c>
      <c r="G11" s="472" t="s">
        <v>49</v>
      </c>
      <c r="H11" s="473">
        <v>0</v>
      </c>
      <c r="I11" s="170" t="str">
        <f t="shared" si="0"/>
        <v>x</v>
      </c>
      <c r="J11" s="387" t="str">
        <f t="shared" si="1"/>
        <v/>
      </c>
      <c r="K11" s="388" t="str">
        <f t="shared" si="2"/>
        <v/>
      </c>
      <c r="L11" s="299"/>
      <c r="M11" s="375"/>
      <c r="N11" s="379"/>
      <c r="O11" s="236"/>
      <c r="P11" s="236"/>
      <c r="Q11" s="480">
        <v>40</v>
      </c>
      <c r="R11" s="481">
        <v>10</v>
      </c>
      <c r="S11" s="482">
        <f t="shared" si="3"/>
        <v>50</v>
      </c>
      <c r="T11" s="371"/>
      <c r="U11" s="232">
        <f t="shared" si="4"/>
        <v>40</v>
      </c>
      <c r="V11" s="232" t="str">
        <f t="shared" si="5"/>
        <v/>
      </c>
      <c r="W11" s="232" t="str">
        <f t="shared" si="6"/>
        <v/>
      </c>
      <c r="X11" s="232" t="str">
        <f t="shared" si="7"/>
        <v/>
      </c>
      <c r="Y11" s="371"/>
      <c r="Z11" s="495">
        <v>80</v>
      </c>
      <c r="AA11" s="496">
        <v>10</v>
      </c>
      <c r="AB11" s="482">
        <f t="shared" si="8"/>
        <v>10</v>
      </c>
      <c r="AC11" s="371"/>
      <c r="AD11" s="232">
        <f t="shared" si="9"/>
        <v>80</v>
      </c>
      <c r="AE11" s="232" t="str">
        <f t="shared" si="10"/>
        <v/>
      </c>
      <c r="AF11" s="232" t="str">
        <f t="shared" si="11"/>
        <v/>
      </c>
      <c r="AG11" s="232">
        <f t="shared" si="12"/>
        <v>1</v>
      </c>
      <c r="AH11" s="371"/>
      <c r="AI11" s="495">
        <v>80</v>
      </c>
      <c r="AJ11" s="496">
        <v>10</v>
      </c>
      <c r="AK11" s="482">
        <f t="shared" si="13"/>
        <v>10</v>
      </c>
      <c r="AL11" s="371"/>
      <c r="AM11" s="232">
        <f t="shared" si="14"/>
        <v>80</v>
      </c>
      <c r="AN11" s="232" t="str">
        <f t="shared" si="15"/>
        <v/>
      </c>
      <c r="AO11" s="232" t="str">
        <f t="shared" si="16"/>
        <v/>
      </c>
      <c r="AP11" s="232">
        <f t="shared" si="17"/>
        <v>1</v>
      </c>
      <c r="AQ11" s="371"/>
      <c r="AR11" s="495">
        <v>70</v>
      </c>
      <c r="AS11" s="496">
        <v>20</v>
      </c>
      <c r="AT11" s="482">
        <f t="shared" si="18"/>
        <v>10</v>
      </c>
      <c r="AU11" s="371"/>
      <c r="AV11" s="232">
        <f t="shared" si="19"/>
        <v>70</v>
      </c>
      <c r="AW11" s="232" t="str">
        <f t="shared" si="20"/>
        <v/>
      </c>
      <c r="AX11" s="232" t="str">
        <f t="shared" si="21"/>
        <v/>
      </c>
      <c r="AY11" s="232">
        <f t="shared" si="22"/>
        <v>1</v>
      </c>
      <c r="AZ11" s="371"/>
      <c r="BA11" s="495">
        <v>80</v>
      </c>
      <c r="BB11" s="496">
        <v>10</v>
      </c>
      <c r="BC11" s="482">
        <f t="shared" ref="BC11:BC19" si="48">IF(BA11="","",100-SUM(BA11:BB11))</f>
        <v>10</v>
      </c>
      <c r="BD11" s="371"/>
      <c r="BE11" s="232">
        <f t="shared" si="23"/>
        <v>80</v>
      </c>
      <c r="BF11" s="232" t="str">
        <f t="shared" si="24"/>
        <v/>
      </c>
      <c r="BG11" s="232" t="str">
        <f t="shared" si="25"/>
        <v/>
      </c>
      <c r="BH11" s="232">
        <f t="shared" si="43"/>
        <v>1</v>
      </c>
      <c r="BI11" s="371"/>
      <c r="BJ11" s="495">
        <v>30</v>
      </c>
      <c r="BK11" s="496">
        <v>40</v>
      </c>
      <c r="BL11" s="482">
        <f t="shared" si="26"/>
        <v>30</v>
      </c>
      <c r="BM11" s="371"/>
      <c r="BN11" s="232">
        <f t="shared" si="27"/>
        <v>30</v>
      </c>
      <c r="BO11" s="232" t="str">
        <f t="shared" si="28"/>
        <v/>
      </c>
      <c r="BP11" s="232" t="str">
        <f t="shared" si="29"/>
        <v/>
      </c>
      <c r="BQ11" s="232" t="str">
        <f t="shared" si="44"/>
        <v/>
      </c>
      <c r="BR11" s="371"/>
      <c r="BS11" s="495">
        <v>70</v>
      </c>
      <c r="BT11" s="496">
        <v>20</v>
      </c>
      <c r="BU11" s="482">
        <f t="shared" si="30"/>
        <v>10</v>
      </c>
      <c r="BV11" s="371"/>
      <c r="BW11" s="232">
        <f t="shared" si="31"/>
        <v>70</v>
      </c>
      <c r="BX11" s="232" t="str">
        <f t="shared" si="32"/>
        <v/>
      </c>
      <c r="BY11" s="232" t="str">
        <f t="shared" si="33"/>
        <v/>
      </c>
      <c r="BZ11" s="232">
        <f t="shared" si="45"/>
        <v>1</v>
      </c>
      <c r="CA11" s="371"/>
      <c r="CB11" s="501">
        <f t="shared" si="34"/>
        <v>70</v>
      </c>
      <c r="CC11" s="502">
        <f t="shared" si="35"/>
        <v>10</v>
      </c>
      <c r="CD11" s="503">
        <f t="shared" si="36"/>
        <v>20</v>
      </c>
      <c r="CE11" s="371"/>
      <c r="CF11" s="232">
        <f t="shared" si="37"/>
        <v>70</v>
      </c>
      <c r="CG11" s="232" t="str">
        <f t="shared" si="38"/>
        <v/>
      </c>
      <c r="CH11" s="232" t="str">
        <f t="shared" si="39"/>
        <v/>
      </c>
      <c r="CI11" s="232">
        <f t="shared" si="46"/>
        <v>1</v>
      </c>
      <c r="CJ11" s="232"/>
      <c r="CK11" s="495">
        <v>80</v>
      </c>
      <c r="CL11" s="496">
        <v>10</v>
      </c>
      <c r="CM11" s="482">
        <f t="shared" ref="CM11:CM19" si="49">IF(CK11="","",100-SUM(CK11:CL11))</f>
        <v>10</v>
      </c>
      <c r="CN11" s="371"/>
      <c r="CO11" s="232">
        <f t="shared" si="40"/>
        <v>80</v>
      </c>
      <c r="CP11" s="232" t="str">
        <f t="shared" si="41"/>
        <v/>
      </c>
      <c r="CQ11" s="232" t="str">
        <f t="shared" si="42"/>
        <v/>
      </c>
      <c r="CR11" s="232">
        <f t="shared" si="47"/>
        <v>1</v>
      </c>
      <c r="CS11" s="232"/>
      <c r="CT11" s="371"/>
      <c r="CU11" s="296"/>
      <c r="CV11" s="246"/>
      <c r="CW11" s="264"/>
      <c r="CX11" s="176"/>
      <c r="CY11" s="176"/>
    </row>
    <row r="12" spans="1:103" s="175" customFormat="1" ht="13.35" customHeight="1" outlineLevel="2" x14ac:dyDescent="0.2">
      <c r="A12" s="264"/>
      <c r="B12" s="264"/>
      <c r="C12" s="202"/>
      <c r="D12" s="271">
        <v>5</v>
      </c>
      <c r="E12" s="167" t="s">
        <v>53</v>
      </c>
      <c r="F12" s="469">
        <v>1</v>
      </c>
      <c r="G12" s="474" t="s">
        <v>49</v>
      </c>
      <c r="H12" s="475">
        <v>2</v>
      </c>
      <c r="I12" s="389" t="str">
        <f t="shared" si="0"/>
        <v/>
      </c>
      <c r="J12" s="390" t="str">
        <f t="shared" si="1"/>
        <v/>
      </c>
      <c r="K12" s="391" t="str">
        <f t="shared" si="2"/>
        <v>x</v>
      </c>
      <c r="L12" s="299"/>
      <c r="M12" s="375"/>
      <c r="N12" s="379"/>
      <c r="O12" s="236"/>
      <c r="P12" s="236"/>
      <c r="Q12" s="483">
        <v>60</v>
      </c>
      <c r="R12" s="484">
        <v>20</v>
      </c>
      <c r="S12" s="485">
        <f t="shared" si="3"/>
        <v>20</v>
      </c>
      <c r="T12" s="371"/>
      <c r="U12" s="232" t="str">
        <f t="shared" si="4"/>
        <v/>
      </c>
      <c r="V12" s="232" t="str">
        <f t="shared" si="5"/>
        <v/>
      </c>
      <c r="W12" s="232">
        <f t="shared" si="6"/>
        <v>20</v>
      </c>
      <c r="X12" s="232" t="str">
        <f t="shared" si="7"/>
        <v/>
      </c>
      <c r="Y12" s="371"/>
      <c r="Z12" s="497">
        <v>10</v>
      </c>
      <c r="AA12" s="498">
        <v>10</v>
      </c>
      <c r="AB12" s="485">
        <f t="shared" si="8"/>
        <v>80</v>
      </c>
      <c r="AC12" s="371"/>
      <c r="AD12" s="232" t="str">
        <f t="shared" si="9"/>
        <v/>
      </c>
      <c r="AE12" s="232" t="str">
        <f t="shared" si="10"/>
        <v/>
      </c>
      <c r="AF12" s="232">
        <f t="shared" si="11"/>
        <v>80</v>
      </c>
      <c r="AG12" s="232">
        <f t="shared" si="12"/>
        <v>1</v>
      </c>
      <c r="AH12" s="371"/>
      <c r="AI12" s="497">
        <v>50</v>
      </c>
      <c r="AJ12" s="498">
        <v>30</v>
      </c>
      <c r="AK12" s="485">
        <f t="shared" si="13"/>
        <v>20</v>
      </c>
      <c r="AL12" s="371"/>
      <c r="AM12" s="232" t="str">
        <f t="shared" si="14"/>
        <v/>
      </c>
      <c r="AN12" s="232" t="str">
        <f t="shared" si="15"/>
        <v/>
      </c>
      <c r="AO12" s="232">
        <f t="shared" si="16"/>
        <v>20</v>
      </c>
      <c r="AP12" s="232" t="str">
        <f t="shared" si="17"/>
        <v/>
      </c>
      <c r="AQ12" s="371"/>
      <c r="AR12" s="497">
        <v>30</v>
      </c>
      <c r="AS12" s="498">
        <v>20</v>
      </c>
      <c r="AT12" s="485">
        <f t="shared" si="18"/>
        <v>50</v>
      </c>
      <c r="AU12" s="371"/>
      <c r="AV12" s="232" t="str">
        <f t="shared" si="19"/>
        <v/>
      </c>
      <c r="AW12" s="232" t="str">
        <f t="shared" si="20"/>
        <v/>
      </c>
      <c r="AX12" s="232">
        <f t="shared" si="21"/>
        <v>50</v>
      </c>
      <c r="AY12" s="232">
        <f t="shared" si="22"/>
        <v>1</v>
      </c>
      <c r="AZ12" s="371"/>
      <c r="BA12" s="497">
        <v>10</v>
      </c>
      <c r="BB12" s="498">
        <v>10</v>
      </c>
      <c r="BC12" s="485">
        <f t="shared" si="48"/>
        <v>80</v>
      </c>
      <c r="BD12" s="371"/>
      <c r="BE12" s="232" t="str">
        <f t="shared" si="23"/>
        <v/>
      </c>
      <c r="BF12" s="232" t="str">
        <f t="shared" si="24"/>
        <v/>
      </c>
      <c r="BG12" s="232">
        <f t="shared" si="25"/>
        <v>80</v>
      </c>
      <c r="BH12" s="232">
        <f t="shared" si="43"/>
        <v>1</v>
      </c>
      <c r="BI12" s="371"/>
      <c r="BJ12" s="497">
        <v>20</v>
      </c>
      <c r="BK12" s="498">
        <v>20</v>
      </c>
      <c r="BL12" s="485">
        <f t="shared" si="26"/>
        <v>60</v>
      </c>
      <c r="BM12" s="371"/>
      <c r="BN12" s="232" t="str">
        <f t="shared" si="27"/>
        <v/>
      </c>
      <c r="BO12" s="232" t="str">
        <f t="shared" si="28"/>
        <v/>
      </c>
      <c r="BP12" s="232">
        <f t="shared" si="29"/>
        <v>60</v>
      </c>
      <c r="BQ12" s="232">
        <f t="shared" si="44"/>
        <v>1</v>
      </c>
      <c r="BR12" s="371"/>
      <c r="BS12" s="497">
        <v>30</v>
      </c>
      <c r="BT12" s="498">
        <v>20</v>
      </c>
      <c r="BU12" s="485">
        <f t="shared" si="30"/>
        <v>50</v>
      </c>
      <c r="BV12" s="371"/>
      <c r="BW12" s="232" t="str">
        <f t="shared" si="31"/>
        <v/>
      </c>
      <c r="BX12" s="232" t="str">
        <f t="shared" si="32"/>
        <v/>
      </c>
      <c r="BY12" s="232">
        <f t="shared" si="33"/>
        <v>50</v>
      </c>
      <c r="BZ12" s="232">
        <f t="shared" si="45"/>
        <v>1</v>
      </c>
      <c r="CA12" s="371"/>
      <c r="CB12" s="504">
        <f t="shared" si="34"/>
        <v>30</v>
      </c>
      <c r="CC12" s="505">
        <f t="shared" si="35"/>
        <v>10</v>
      </c>
      <c r="CD12" s="506">
        <f t="shared" si="36"/>
        <v>60</v>
      </c>
      <c r="CE12" s="371"/>
      <c r="CF12" s="232" t="str">
        <f t="shared" si="37"/>
        <v/>
      </c>
      <c r="CG12" s="232" t="str">
        <f t="shared" si="38"/>
        <v/>
      </c>
      <c r="CH12" s="232">
        <f t="shared" si="39"/>
        <v>60</v>
      </c>
      <c r="CI12" s="232">
        <f t="shared" si="46"/>
        <v>1</v>
      </c>
      <c r="CJ12" s="232"/>
      <c r="CK12" s="497">
        <v>30</v>
      </c>
      <c r="CL12" s="498">
        <v>20</v>
      </c>
      <c r="CM12" s="485">
        <f t="shared" si="49"/>
        <v>50</v>
      </c>
      <c r="CN12" s="371"/>
      <c r="CO12" s="232" t="str">
        <f t="shared" si="40"/>
        <v/>
      </c>
      <c r="CP12" s="232" t="str">
        <f t="shared" si="41"/>
        <v/>
      </c>
      <c r="CQ12" s="232">
        <f t="shared" si="42"/>
        <v>50</v>
      </c>
      <c r="CR12" s="232">
        <f t="shared" si="47"/>
        <v>1</v>
      </c>
      <c r="CS12" s="232"/>
      <c r="CT12" s="371"/>
      <c r="CU12" s="296"/>
      <c r="CV12" s="246"/>
      <c r="CW12" s="264"/>
      <c r="CX12" s="176"/>
      <c r="CY12" s="176"/>
    </row>
    <row r="13" spans="1:103" s="175" customFormat="1" ht="13.35" customHeight="1" outlineLevel="2" thickBot="1" x14ac:dyDescent="0.25">
      <c r="A13" s="264"/>
      <c r="B13" s="264"/>
      <c r="C13" s="202"/>
      <c r="D13" s="271">
        <v>6</v>
      </c>
      <c r="E13" s="168" t="s">
        <v>54</v>
      </c>
      <c r="F13" s="470">
        <v>0</v>
      </c>
      <c r="G13" s="476" t="s">
        <v>49</v>
      </c>
      <c r="H13" s="477">
        <v>0</v>
      </c>
      <c r="I13" s="392" t="str">
        <f t="shared" si="0"/>
        <v/>
      </c>
      <c r="J13" s="393" t="str">
        <f t="shared" si="1"/>
        <v>x</v>
      </c>
      <c r="K13" s="394" t="str">
        <f t="shared" si="2"/>
        <v/>
      </c>
      <c r="L13" s="299"/>
      <c r="M13" s="375"/>
      <c r="N13" s="379"/>
      <c r="O13" s="236"/>
      <c r="P13" s="236"/>
      <c r="Q13" s="489">
        <v>70</v>
      </c>
      <c r="R13" s="490">
        <v>20</v>
      </c>
      <c r="S13" s="491">
        <f t="shared" si="3"/>
        <v>10</v>
      </c>
      <c r="T13" s="371"/>
      <c r="U13" s="232" t="str">
        <f t="shared" si="4"/>
        <v/>
      </c>
      <c r="V13" s="232">
        <f t="shared" si="5"/>
        <v>20</v>
      </c>
      <c r="W13" s="232" t="str">
        <f t="shared" si="6"/>
        <v/>
      </c>
      <c r="X13" s="232" t="str">
        <f t="shared" si="7"/>
        <v/>
      </c>
      <c r="Y13" s="371"/>
      <c r="Z13" s="499">
        <v>80</v>
      </c>
      <c r="AA13" s="500">
        <v>10</v>
      </c>
      <c r="AB13" s="491">
        <f t="shared" si="8"/>
        <v>10</v>
      </c>
      <c r="AC13" s="371"/>
      <c r="AD13" s="232" t="str">
        <f t="shared" si="9"/>
        <v/>
      </c>
      <c r="AE13" s="232">
        <f t="shared" si="10"/>
        <v>10</v>
      </c>
      <c r="AF13" s="232" t="str">
        <f t="shared" si="11"/>
        <v/>
      </c>
      <c r="AG13" s="232" t="str">
        <f t="shared" si="12"/>
        <v/>
      </c>
      <c r="AH13" s="371"/>
      <c r="AI13" s="499">
        <v>60</v>
      </c>
      <c r="AJ13" s="500">
        <v>20</v>
      </c>
      <c r="AK13" s="491">
        <f t="shared" si="13"/>
        <v>20</v>
      </c>
      <c r="AL13" s="371"/>
      <c r="AM13" s="232" t="str">
        <f t="shared" si="14"/>
        <v/>
      </c>
      <c r="AN13" s="232">
        <f t="shared" si="15"/>
        <v>20</v>
      </c>
      <c r="AO13" s="232" t="str">
        <f t="shared" si="16"/>
        <v/>
      </c>
      <c r="AP13" s="232" t="str">
        <f t="shared" si="17"/>
        <v/>
      </c>
      <c r="AQ13" s="371"/>
      <c r="AR13" s="499">
        <v>60</v>
      </c>
      <c r="AS13" s="500">
        <v>20</v>
      </c>
      <c r="AT13" s="491">
        <f t="shared" si="18"/>
        <v>20</v>
      </c>
      <c r="AU13" s="371"/>
      <c r="AV13" s="232" t="str">
        <f t="shared" si="19"/>
        <v/>
      </c>
      <c r="AW13" s="232">
        <f t="shared" si="20"/>
        <v>20</v>
      </c>
      <c r="AX13" s="232" t="str">
        <f t="shared" si="21"/>
        <v/>
      </c>
      <c r="AY13" s="232" t="str">
        <f t="shared" si="22"/>
        <v/>
      </c>
      <c r="AZ13" s="371"/>
      <c r="BA13" s="499">
        <v>80</v>
      </c>
      <c r="BB13" s="500">
        <v>10</v>
      </c>
      <c r="BC13" s="491">
        <f t="shared" si="48"/>
        <v>10</v>
      </c>
      <c r="BD13" s="371"/>
      <c r="BE13" s="232" t="str">
        <f t="shared" si="23"/>
        <v/>
      </c>
      <c r="BF13" s="232">
        <f t="shared" si="24"/>
        <v>10</v>
      </c>
      <c r="BG13" s="232" t="str">
        <f t="shared" si="25"/>
        <v/>
      </c>
      <c r="BH13" s="232" t="str">
        <f t="shared" si="43"/>
        <v/>
      </c>
      <c r="BI13" s="371"/>
      <c r="BJ13" s="499">
        <v>80</v>
      </c>
      <c r="BK13" s="500">
        <v>10</v>
      </c>
      <c r="BL13" s="491">
        <f t="shared" si="26"/>
        <v>10</v>
      </c>
      <c r="BM13" s="371"/>
      <c r="BN13" s="232" t="str">
        <f t="shared" si="27"/>
        <v/>
      </c>
      <c r="BO13" s="232">
        <f t="shared" si="28"/>
        <v>10</v>
      </c>
      <c r="BP13" s="232" t="str">
        <f t="shared" si="29"/>
        <v/>
      </c>
      <c r="BQ13" s="232" t="str">
        <f t="shared" si="44"/>
        <v/>
      </c>
      <c r="BR13" s="371"/>
      <c r="BS13" s="499">
        <v>60</v>
      </c>
      <c r="BT13" s="500">
        <v>20</v>
      </c>
      <c r="BU13" s="491">
        <f t="shared" si="30"/>
        <v>20</v>
      </c>
      <c r="BV13" s="371"/>
      <c r="BW13" s="232" t="str">
        <f t="shared" si="31"/>
        <v/>
      </c>
      <c r="BX13" s="232">
        <f t="shared" si="32"/>
        <v>20</v>
      </c>
      <c r="BY13" s="232" t="str">
        <f t="shared" si="33"/>
        <v/>
      </c>
      <c r="BZ13" s="232" t="str">
        <f t="shared" si="45"/>
        <v/>
      </c>
      <c r="CA13" s="371"/>
      <c r="CB13" s="507">
        <f t="shared" si="34"/>
        <v>70</v>
      </c>
      <c r="CC13" s="508">
        <f t="shared" si="35"/>
        <v>10</v>
      </c>
      <c r="CD13" s="509">
        <f t="shared" si="36"/>
        <v>20</v>
      </c>
      <c r="CE13" s="371"/>
      <c r="CF13" s="232" t="str">
        <f t="shared" si="37"/>
        <v/>
      </c>
      <c r="CG13" s="232">
        <f t="shared" si="38"/>
        <v>10</v>
      </c>
      <c r="CH13" s="232" t="str">
        <f t="shared" si="39"/>
        <v/>
      </c>
      <c r="CI13" s="232" t="str">
        <f t="shared" si="46"/>
        <v/>
      </c>
      <c r="CJ13" s="232"/>
      <c r="CK13" s="499">
        <v>80</v>
      </c>
      <c r="CL13" s="500">
        <v>10</v>
      </c>
      <c r="CM13" s="491">
        <f t="shared" si="49"/>
        <v>10</v>
      </c>
      <c r="CN13" s="371"/>
      <c r="CO13" s="232" t="str">
        <f t="shared" si="40"/>
        <v/>
      </c>
      <c r="CP13" s="232">
        <f t="shared" si="41"/>
        <v>10</v>
      </c>
      <c r="CQ13" s="232" t="str">
        <f t="shared" si="42"/>
        <v/>
      </c>
      <c r="CR13" s="232" t="str">
        <f t="shared" si="47"/>
        <v/>
      </c>
      <c r="CS13" s="232"/>
      <c r="CT13" s="371"/>
      <c r="CU13" s="296"/>
      <c r="CV13" s="246"/>
      <c r="CW13" s="264"/>
      <c r="CX13" s="176"/>
      <c r="CY13" s="176"/>
    </row>
    <row r="14" spans="1:103" s="175" customFormat="1" ht="13.35" customHeight="1" outlineLevel="2" x14ac:dyDescent="0.2">
      <c r="A14" s="264"/>
      <c r="B14" s="264"/>
      <c r="C14" s="202"/>
      <c r="D14" s="271">
        <v>7</v>
      </c>
      <c r="E14" s="166" t="s">
        <v>55</v>
      </c>
      <c r="F14" s="468">
        <v>0</v>
      </c>
      <c r="G14" s="472" t="s">
        <v>49</v>
      </c>
      <c r="H14" s="473">
        <v>3</v>
      </c>
      <c r="I14" s="170" t="str">
        <f t="shared" si="0"/>
        <v/>
      </c>
      <c r="J14" s="387" t="str">
        <f t="shared" si="1"/>
        <v/>
      </c>
      <c r="K14" s="388" t="str">
        <f t="shared" si="2"/>
        <v>x</v>
      </c>
      <c r="L14" s="299"/>
      <c r="M14" s="375"/>
      <c r="N14" s="379"/>
      <c r="O14" s="236"/>
      <c r="P14" s="236"/>
      <c r="Q14" s="480">
        <v>20</v>
      </c>
      <c r="R14" s="481">
        <v>60</v>
      </c>
      <c r="S14" s="482">
        <f t="shared" si="3"/>
        <v>20</v>
      </c>
      <c r="T14" s="371"/>
      <c r="U14" s="232" t="str">
        <f t="shared" si="4"/>
        <v/>
      </c>
      <c r="V14" s="232" t="str">
        <f t="shared" si="5"/>
        <v/>
      </c>
      <c r="W14" s="232">
        <f t="shared" si="6"/>
        <v>20</v>
      </c>
      <c r="X14" s="232" t="str">
        <f t="shared" si="7"/>
        <v/>
      </c>
      <c r="Y14" s="371"/>
      <c r="Z14" s="495">
        <v>40</v>
      </c>
      <c r="AA14" s="496">
        <v>10</v>
      </c>
      <c r="AB14" s="482">
        <f t="shared" si="8"/>
        <v>50</v>
      </c>
      <c r="AC14" s="371"/>
      <c r="AD14" s="232" t="str">
        <f t="shared" si="9"/>
        <v/>
      </c>
      <c r="AE14" s="232" t="str">
        <f t="shared" si="10"/>
        <v/>
      </c>
      <c r="AF14" s="232">
        <f t="shared" si="11"/>
        <v>50</v>
      </c>
      <c r="AG14" s="232">
        <f t="shared" si="12"/>
        <v>1</v>
      </c>
      <c r="AH14" s="371"/>
      <c r="AI14" s="495">
        <v>70</v>
      </c>
      <c r="AJ14" s="496">
        <v>20</v>
      </c>
      <c r="AK14" s="482">
        <f t="shared" si="13"/>
        <v>10</v>
      </c>
      <c r="AL14" s="371"/>
      <c r="AM14" s="232" t="str">
        <f t="shared" si="14"/>
        <v/>
      </c>
      <c r="AN14" s="232" t="str">
        <f t="shared" si="15"/>
        <v/>
      </c>
      <c r="AO14" s="232">
        <f t="shared" si="16"/>
        <v>10</v>
      </c>
      <c r="AP14" s="232" t="str">
        <f t="shared" si="17"/>
        <v/>
      </c>
      <c r="AQ14" s="371"/>
      <c r="AR14" s="495">
        <v>50</v>
      </c>
      <c r="AS14" s="496">
        <v>40</v>
      </c>
      <c r="AT14" s="482">
        <f t="shared" si="18"/>
        <v>10</v>
      </c>
      <c r="AU14" s="371"/>
      <c r="AV14" s="232" t="str">
        <f t="shared" si="19"/>
        <v/>
      </c>
      <c r="AW14" s="232" t="str">
        <f t="shared" si="20"/>
        <v/>
      </c>
      <c r="AX14" s="232">
        <f t="shared" si="21"/>
        <v>10</v>
      </c>
      <c r="AY14" s="232" t="str">
        <f t="shared" si="22"/>
        <v/>
      </c>
      <c r="AZ14" s="371"/>
      <c r="BA14" s="495">
        <v>80</v>
      </c>
      <c r="BB14" s="496">
        <v>10</v>
      </c>
      <c r="BC14" s="482">
        <f t="shared" si="48"/>
        <v>10</v>
      </c>
      <c r="BD14" s="371"/>
      <c r="BE14" s="232" t="str">
        <f t="shared" si="23"/>
        <v/>
      </c>
      <c r="BF14" s="232" t="str">
        <f t="shared" si="24"/>
        <v/>
      </c>
      <c r="BG14" s="232">
        <f t="shared" si="25"/>
        <v>10</v>
      </c>
      <c r="BH14" s="232" t="str">
        <f t="shared" si="43"/>
        <v/>
      </c>
      <c r="BI14" s="371"/>
      <c r="BJ14" s="495">
        <v>30</v>
      </c>
      <c r="BK14" s="496">
        <v>40</v>
      </c>
      <c r="BL14" s="482">
        <f t="shared" si="26"/>
        <v>30</v>
      </c>
      <c r="BM14" s="371"/>
      <c r="BN14" s="232" t="str">
        <f t="shared" si="27"/>
        <v/>
      </c>
      <c r="BO14" s="232" t="str">
        <f t="shared" si="28"/>
        <v/>
      </c>
      <c r="BP14" s="232">
        <f t="shared" si="29"/>
        <v>30</v>
      </c>
      <c r="BQ14" s="232" t="str">
        <f t="shared" si="44"/>
        <v/>
      </c>
      <c r="BR14" s="371"/>
      <c r="BS14" s="495">
        <v>30</v>
      </c>
      <c r="BT14" s="496">
        <v>40</v>
      </c>
      <c r="BU14" s="482">
        <f t="shared" si="30"/>
        <v>30</v>
      </c>
      <c r="BV14" s="371"/>
      <c r="BW14" s="232" t="str">
        <f t="shared" si="31"/>
        <v/>
      </c>
      <c r="BX14" s="232" t="str">
        <f t="shared" si="32"/>
        <v/>
      </c>
      <c r="BY14" s="232">
        <f t="shared" si="33"/>
        <v>30</v>
      </c>
      <c r="BZ14" s="232" t="str">
        <f t="shared" si="45"/>
        <v/>
      </c>
      <c r="CA14" s="371"/>
      <c r="CB14" s="501">
        <f t="shared" si="34"/>
        <v>50</v>
      </c>
      <c r="CC14" s="502">
        <f t="shared" si="35"/>
        <v>30</v>
      </c>
      <c r="CD14" s="503">
        <f t="shared" si="36"/>
        <v>20</v>
      </c>
      <c r="CE14" s="371"/>
      <c r="CF14" s="232" t="str">
        <f t="shared" si="37"/>
        <v/>
      </c>
      <c r="CG14" s="232" t="str">
        <f t="shared" si="38"/>
        <v/>
      </c>
      <c r="CH14" s="232">
        <f t="shared" si="39"/>
        <v>20</v>
      </c>
      <c r="CI14" s="232" t="str">
        <f t="shared" si="46"/>
        <v/>
      </c>
      <c r="CJ14" s="232"/>
      <c r="CK14" s="495">
        <v>20</v>
      </c>
      <c r="CL14" s="496">
        <v>60</v>
      </c>
      <c r="CM14" s="482">
        <f t="shared" si="49"/>
        <v>20</v>
      </c>
      <c r="CN14" s="371"/>
      <c r="CO14" s="232" t="str">
        <f t="shared" si="40"/>
        <v/>
      </c>
      <c r="CP14" s="232" t="str">
        <f t="shared" si="41"/>
        <v/>
      </c>
      <c r="CQ14" s="232">
        <f t="shared" si="42"/>
        <v>20</v>
      </c>
      <c r="CR14" s="232" t="str">
        <f t="shared" si="47"/>
        <v/>
      </c>
      <c r="CS14" s="232"/>
      <c r="CT14" s="371"/>
      <c r="CU14" s="300">
        <v>10</v>
      </c>
      <c r="CV14" s="246"/>
      <c r="CW14" s="264"/>
      <c r="CX14" s="176"/>
      <c r="CY14" s="176"/>
    </row>
    <row r="15" spans="1:103" s="175" customFormat="1" ht="13.35" customHeight="1" outlineLevel="2" x14ac:dyDescent="0.2">
      <c r="A15" s="264"/>
      <c r="B15" s="264"/>
      <c r="C15" s="202"/>
      <c r="D15" s="271">
        <v>8</v>
      </c>
      <c r="E15" s="167" t="s">
        <v>56</v>
      </c>
      <c r="F15" s="469">
        <v>2</v>
      </c>
      <c r="G15" s="474" t="s">
        <v>49</v>
      </c>
      <c r="H15" s="475">
        <v>1</v>
      </c>
      <c r="I15" s="389" t="str">
        <f t="shared" si="0"/>
        <v>x</v>
      </c>
      <c r="J15" s="390" t="str">
        <f t="shared" si="1"/>
        <v/>
      </c>
      <c r="K15" s="391" t="str">
        <f t="shared" si="2"/>
        <v/>
      </c>
      <c r="L15" s="299"/>
      <c r="M15" s="375"/>
      <c r="N15" s="379"/>
      <c r="O15" s="236"/>
      <c r="P15" s="236"/>
      <c r="Q15" s="483">
        <v>30</v>
      </c>
      <c r="R15" s="484">
        <v>20</v>
      </c>
      <c r="S15" s="485">
        <f t="shared" si="3"/>
        <v>50</v>
      </c>
      <c r="T15" s="371"/>
      <c r="U15" s="232">
        <f t="shared" si="4"/>
        <v>30</v>
      </c>
      <c r="V15" s="232" t="str">
        <f t="shared" si="5"/>
        <v/>
      </c>
      <c r="W15" s="232" t="str">
        <f t="shared" si="6"/>
        <v/>
      </c>
      <c r="X15" s="232" t="str">
        <f t="shared" si="7"/>
        <v/>
      </c>
      <c r="Y15" s="371"/>
      <c r="Z15" s="497">
        <v>10</v>
      </c>
      <c r="AA15" s="498">
        <v>10</v>
      </c>
      <c r="AB15" s="485">
        <f t="shared" si="8"/>
        <v>80</v>
      </c>
      <c r="AC15" s="371"/>
      <c r="AD15" s="232">
        <f t="shared" si="9"/>
        <v>10</v>
      </c>
      <c r="AE15" s="232" t="str">
        <f t="shared" si="10"/>
        <v/>
      </c>
      <c r="AF15" s="232" t="str">
        <f t="shared" si="11"/>
        <v/>
      </c>
      <c r="AG15" s="232" t="str">
        <f t="shared" si="12"/>
        <v/>
      </c>
      <c r="AH15" s="371"/>
      <c r="AI15" s="497">
        <v>20</v>
      </c>
      <c r="AJ15" s="498">
        <v>60</v>
      </c>
      <c r="AK15" s="485">
        <f t="shared" si="13"/>
        <v>20</v>
      </c>
      <c r="AL15" s="371"/>
      <c r="AM15" s="232">
        <f t="shared" si="14"/>
        <v>20</v>
      </c>
      <c r="AN15" s="232" t="str">
        <f t="shared" si="15"/>
        <v/>
      </c>
      <c r="AO15" s="232" t="str">
        <f t="shared" si="16"/>
        <v/>
      </c>
      <c r="AP15" s="232" t="str">
        <f t="shared" si="17"/>
        <v/>
      </c>
      <c r="AQ15" s="371"/>
      <c r="AR15" s="497">
        <v>20</v>
      </c>
      <c r="AS15" s="498">
        <v>20</v>
      </c>
      <c r="AT15" s="485">
        <f t="shared" si="18"/>
        <v>60</v>
      </c>
      <c r="AU15" s="371"/>
      <c r="AV15" s="232">
        <f t="shared" si="19"/>
        <v>20</v>
      </c>
      <c r="AW15" s="232" t="str">
        <f t="shared" si="20"/>
        <v/>
      </c>
      <c r="AX15" s="232" t="str">
        <f t="shared" si="21"/>
        <v/>
      </c>
      <c r="AY15" s="232" t="str">
        <f t="shared" si="22"/>
        <v/>
      </c>
      <c r="AZ15" s="371"/>
      <c r="BA15" s="497">
        <v>10</v>
      </c>
      <c r="BB15" s="498">
        <v>10</v>
      </c>
      <c r="BC15" s="485">
        <f t="shared" si="48"/>
        <v>80</v>
      </c>
      <c r="BD15" s="371"/>
      <c r="BE15" s="232">
        <f t="shared" si="23"/>
        <v>10</v>
      </c>
      <c r="BF15" s="232" t="str">
        <f t="shared" si="24"/>
        <v/>
      </c>
      <c r="BG15" s="232" t="str">
        <f t="shared" si="25"/>
        <v/>
      </c>
      <c r="BH15" s="232" t="str">
        <f t="shared" si="43"/>
        <v/>
      </c>
      <c r="BI15" s="371"/>
      <c r="BJ15" s="497">
        <v>70</v>
      </c>
      <c r="BK15" s="498">
        <v>20</v>
      </c>
      <c r="BL15" s="485">
        <f t="shared" si="26"/>
        <v>10</v>
      </c>
      <c r="BM15" s="371"/>
      <c r="BN15" s="232">
        <f t="shared" si="27"/>
        <v>70</v>
      </c>
      <c r="BO15" s="232" t="str">
        <f t="shared" si="28"/>
        <v/>
      </c>
      <c r="BP15" s="232" t="str">
        <f t="shared" si="29"/>
        <v/>
      </c>
      <c r="BQ15" s="232">
        <f t="shared" si="44"/>
        <v>1</v>
      </c>
      <c r="BR15" s="371"/>
      <c r="BS15" s="497">
        <v>20</v>
      </c>
      <c r="BT15" s="498">
        <v>10</v>
      </c>
      <c r="BU15" s="485">
        <f t="shared" si="30"/>
        <v>70</v>
      </c>
      <c r="BV15" s="371"/>
      <c r="BW15" s="232">
        <f t="shared" si="31"/>
        <v>20</v>
      </c>
      <c r="BX15" s="232" t="str">
        <f t="shared" si="32"/>
        <v/>
      </c>
      <c r="BY15" s="232" t="str">
        <f t="shared" si="33"/>
        <v/>
      </c>
      <c r="BZ15" s="232" t="str">
        <f t="shared" si="45"/>
        <v/>
      </c>
      <c r="CA15" s="371"/>
      <c r="CB15" s="504">
        <f t="shared" si="34"/>
        <v>30</v>
      </c>
      <c r="CC15" s="505">
        <f t="shared" si="35"/>
        <v>20</v>
      </c>
      <c r="CD15" s="506">
        <f t="shared" si="36"/>
        <v>50</v>
      </c>
      <c r="CE15" s="371"/>
      <c r="CF15" s="232">
        <f t="shared" si="37"/>
        <v>30</v>
      </c>
      <c r="CG15" s="232" t="str">
        <f t="shared" si="38"/>
        <v/>
      </c>
      <c r="CH15" s="232" t="str">
        <f t="shared" si="39"/>
        <v/>
      </c>
      <c r="CI15" s="232" t="str">
        <f t="shared" si="46"/>
        <v/>
      </c>
      <c r="CJ15" s="232"/>
      <c r="CK15" s="497">
        <v>10</v>
      </c>
      <c r="CL15" s="498">
        <v>10</v>
      </c>
      <c r="CM15" s="485">
        <f t="shared" si="49"/>
        <v>80</v>
      </c>
      <c r="CN15" s="371"/>
      <c r="CO15" s="232">
        <f t="shared" si="40"/>
        <v>10</v>
      </c>
      <c r="CP15" s="232" t="str">
        <f t="shared" si="41"/>
        <v/>
      </c>
      <c r="CQ15" s="232" t="str">
        <f t="shared" si="42"/>
        <v/>
      </c>
      <c r="CR15" s="232" t="str">
        <f t="shared" si="47"/>
        <v/>
      </c>
      <c r="CS15" s="232"/>
      <c r="CT15" s="371"/>
      <c r="CU15" s="300"/>
      <c r="CV15" s="246"/>
      <c r="CW15" s="264"/>
      <c r="CX15" s="176"/>
      <c r="CY15" s="176"/>
    </row>
    <row r="16" spans="1:103" s="175" customFormat="1" ht="13.35" customHeight="1" outlineLevel="2" thickBot="1" x14ac:dyDescent="0.25">
      <c r="A16" s="264"/>
      <c r="B16" s="264"/>
      <c r="C16" s="202"/>
      <c r="D16" s="271">
        <v>9</v>
      </c>
      <c r="E16" s="168" t="s">
        <v>57</v>
      </c>
      <c r="F16" s="470">
        <v>0</v>
      </c>
      <c r="G16" s="476" t="s">
        <v>49</v>
      </c>
      <c r="H16" s="477">
        <v>3</v>
      </c>
      <c r="I16" s="392" t="str">
        <f t="shared" si="0"/>
        <v/>
      </c>
      <c r="J16" s="393" t="str">
        <f t="shared" si="1"/>
        <v/>
      </c>
      <c r="K16" s="394" t="str">
        <f t="shared" si="2"/>
        <v>x</v>
      </c>
      <c r="L16" s="299"/>
      <c r="M16" s="375"/>
      <c r="N16" s="379"/>
      <c r="O16" s="236"/>
      <c r="P16" s="236"/>
      <c r="Q16" s="489">
        <v>20</v>
      </c>
      <c r="R16" s="490">
        <v>30</v>
      </c>
      <c r="S16" s="491">
        <f t="shared" si="3"/>
        <v>50</v>
      </c>
      <c r="T16" s="371"/>
      <c r="U16" s="232" t="str">
        <f t="shared" si="4"/>
        <v/>
      </c>
      <c r="V16" s="232" t="str">
        <f t="shared" si="5"/>
        <v/>
      </c>
      <c r="W16" s="232">
        <f t="shared" si="6"/>
        <v>50</v>
      </c>
      <c r="X16" s="232">
        <f t="shared" si="7"/>
        <v>1</v>
      </c>
      <c r="Y16" s="371"/>
      <c r="Z16" s="499">
        <v>10</v>
      </c>
      <c r="AA16" s="500">
        <v>10</v>
      </c>
      <c r="AB16" s="491">
        <f t="shared" si="8"/>
        <v>80</v>
      </c>
      <c r="AC16" s="371"/>
      <c r="AD16" s="232" t="str">
        <f t="shared" si="9"/>
        <v/>
      </c>
      <c r="AE16" s="232" t="str">
        <f t="shared" si="10"/>
        <v/>
      </c>
      <c r="AF16" s="232">
        <f t="shared" si="11"/>
        <v>80</v>
      </c>
      <c r="AG16" s="232">
        <f t="shared" si="12"/>
        <v>1</v>
      </c>
      <c r="AH16" s="371"/>
      <c r="AI16" s="499">
        <v>40</v>
      </c>
      <c r="AJ16" s="500">
        <v>20</v>
      </c>
      <c r="AK16" s="491">
        <f t="shared" si="13"/>
        <v>40</v>
      </c>
      <c r="AL16" s="371"/>
      <c r="AM16" s="232" t="str">
        <f t="shared" si="14"/>
        <v/>
      </c>
      <c r="AN16" s="232" t="str">
        <f t="shared" si="15"/>
        <v/>
      </c>
      <c r="AO16" s="232">
        <f t="shared" si="16"/>
        <v>40</v>
      </c>
      <c r="AP16" s="232">
        <f t="shared" si="17"/>
        <v>1</v>
      </c>
      <c r="AQ16" s="371"/>
      <c r="AR16" s="499">
        <v>20</v>
      </c>
      <c r="AS16" s="500">
        <v>20</v>
      </c>
      <c r="AT16" s="491">
        <f t="shared" si="18"/>
        <v>60</v>
      </c>
      <c r="AU16" s="371"/>
      <c r="AV16" s="232" t="str">
        <f t="shared" si="19"/>
        <v/>
      </c>
      <c r="AW16" s="232" t="str">
        <f t="shared" si="20"/>
        <v/>
      </c>
      <c r="AX16" s="232">
        <f t="shared" si="21"/>
        <v>60</v>
      </c>
      <c r="AY16" s="232">
        <f t="shared" si="22"/>
        <v>1</v>
      </c>
      <c r="AZ16" s="371"/>
      <c r="BA16" s="499">
        <v>10</v>
      </c>
      <c r="BB16" s="500">
        <v>10</v>
      </c>
      <c r="BC16" s="491">
        <f t="shared" si="48"/>
        <v>80</v>
      </c>
      <c r="BD16" s="371"/>
      <c r="BE16" s="232" t="str">
        <f t="shared" si="23"/>
        <v/>
      </c>
      <c r="BF16" s="232" t="str">
        <f t="shared" si="24"/>
        <v/>
      </c>
      <c r="BG16" s="232">
        <f t="shared" si="25"/>
        <v>80</v>
      </c>
      <c r="BH16" s="232">
        <f t="shared" si="43"/>
        <v>1</v>
      </c>
      <c r="BI16" s="371"/>
      <c r="BJ16" s="499">
        <v>40</v>
      </c>
      <c r="BK16" s="500">
        <v>20</v>
      </c>
      <c r="BL16" s="491">
        <f t="shared" si="26"/>
        <v>40</v>
      </c>
      <c r="BM16" s="371"/>
      <c r="BN16" s="232" t="str">
        <f t="shared" si="27"/>
        <v/>
      </c>
      <c r="BO16" s="232" t="str">
        <f t="shared" si="28"/>
        <v/>
      </c>
      <c r="BP16" s="232">
        <f t="shared" si="29"/>
        <v>40</v>
      </c>
      <c r="BQ16" s="232">
        <f t="shared" si="44"/>
        <v>1</v>
      </c>
      <c r="BR16" s="371"/>
      <c r="BS16" s="499">
        <v>20</v>
      </c>
      <c r="BT16" s="500">
        <v>20</v>
      </c>
      <c r="BU16" s="491">
        <f t="shared" si="30"/>
        <v>60</v>
      </c>
      <c r="BV16" s="371"/>
      <c r="BW16" s="232" t="str">
        <f t="shared" si="31"/>
        <v/>
      </c>
      <c r="BX16" s="232" t="str">
        <f t="shared" si="32"/>
        <v/>
      </c>
      <c r="BY16" s="232">
        <f t="shared" si="33"/>
        <v>60</v>
      </c>
      <c r="BZ16" s="232">
        <f t="shared" si="45"/>
        <v>1</v>
      </c>
      <c r="CA16" s="371"/>
      <c r="CB16" s="507">
        <f t="shared" si="34"/>
        <v>30</v>
      </c>
      <c r="CC16" s="508">
        <f t="shared" si="35"/>
        <v>10</v>
      </c>
      <c r="CD16" s="509">
        <f t="shared" si="36"/>
        <v>60</v>
      </c>
      <c r="CE16" s="371"/>
      <c r="CF16" s="232" t="str">
        <f t="shared" si="37"/>
        <v/>
      </c>
      <c r="CG16" s="232" t="str">
        <f t="shared" si="38"/>
        <v/>
      </c>
      <c r="CH16" s="232">
        <f t="shared" si="39"/>
        <v>60</v>
      </c>
      <c r="CI16" s="232">
        <f t="shared" si="46"/>
        <v>1</v>
      </c>
      <c r="CJ16" s="232"/>
      <c r="CK16" s="499">
        <v>10</v>
      </c>
      <c r="CL16" s="500">
        <v>10</v>
      </c>
      <c r="CM16" s="491">
        <f t="shared" si="49"/>
        <v>80</v>
      </c>
      <c r="CN16" s="371"/>
      <c r="CO16" s="232" t="str">
        <f t="shared" si="40"/>
        <v/>
      </c>
      <c r="CP16" s="232" t="str">
        <f t="shared" si="41"/>
        <v/>
      </c>
      <c r="CQ16" s="232">
        <f t="shared" si="42"/>
        <v>80</v>
      </c>
      <c r="CR16" s="232">
        <f t="shared" si="47"/>
        <v>1</v>
      </c>
      <c r="CS16" s="232"/>
      <c r="CT16" s="371"/>
      <c r="CU16" s="300"/>
      <c r="CV16" s="246"/>
      <c r="CW16" s="264"/>
      <c r="CX16" s="176"/>
      <c r="CY16" s="176"/>
    </row>
    <row r="17" spans="1:103" s="175" customFormat="1" ht="13.35" customHeight="1" outlineLevel="2" x14ac:dyDescent="0.2">
      <c r="A17" s="264"/>
      <c r="B17" s="264"/>
      <c r="C17" s="202"/>
      <c r="D17" s="271">
        <v>10</v>
      </c>
      <c r="E17" s="169" t="s">
        <v>58</v>
      </c>
      <c r="F17" s="471">
        <v>1</v>
      </c>
      <c r="G17" s="478" t="s">
        <v>49</v>
      </c>
      <c r="H17" s="479">
        <v>0</v>
      </c>
      <c r="I17" s="170" t="str">
        <f t="shared" si="0"/>
        <v>x</v>
      </c>
      <c r="J17" s="387" t="str">
        <f t="shared" si="1"/>
        <v/>
      </c>
      <c r="K17" s="388" t="str">
        <f t="shared" si="2"/>
        <v/>
      </c>
      <c r="L17" s="299"/>
      <c r="M17" s="375"/>
      <c r="N17" s="379"/>
      <c r="O17" s="236"/>
      <c r="P17" s="236"/>
      <c r="Q17" s="492">
        <v>40</v>
      </c>
      <c r="R17" s="493">
        <v>40</v>
      </c>
      <c r="S17" s="494">
        <f t="shared" si="3"/>
        <v>20</v>
      </c>
      <c r="T17" s="371"/>
      <c r="U17" s="232">
        <f t="shared" si="4"/>
        <v>40</v>
      </c>
      <c r="V17" s="232" t="str">
        <f t="shared" si="5"/>
        <v/>
      </c>
      <c r="W17" s="232" t="str">
        <f t="shared" si="6"/>
        <v/>
      </c>
      <c r="X17" s="232">
        <f t="shared" si="7"/>
        <v>1</v>
      </c>
      <c r="Y17" s="371"/>
      <c r="Z17" s="495">
        <v>10</v>
      </c>
      <c r="AA17" s="496">
        <v>10</v>
      </c>
      <c r="AB17" s="494">
        <f t="shared" si="8"/>
        <v>80</v>
      </c>
      <c r="AC17" s="371"/>
      <c r="AD17" s="232">
        <f t="shared" si="9"/>
        <v>10</v>
      </c>
      <c r="AE17" s="232" t="str">
        <f t="shared" si="10"/>
        <v/>
      </c>
      <c r="AF17" s="232" t="str">
        <f t="shared" si="11"/>
        <v/>
      </c>
      <c r="AG17" s="232" t="str">
        <f t="shared" si="12"/>
        <v/>
      </c>
      <c r="AH17" s="371"/>
      <c r="AI17" s="495">
        <v>30</v>
      </c>
      <c r="AJ17" s="496">
        <v>30</v>
      </c>
      <c r="AK17" s="494">
        <f t="shared" si="13"/>
        <v>40</v>
      </c>
      <c r="AL17" s="371"/>
      <c r="AM17" s="232">
        <f t="shared" si="14"/>
        <v>30</v>
      </c>
      <c r="AN17" s="232" t="str">
        <f t="shared" si="15"/>
        <v/>
      </c>
      <c r="AO17" s="232" t="str">
        <f t="shared" si="16"/>
        <v/>
      </c>
      <c r="AP17" s="232" t="str">
        <f t="shared" si="17"/>
        <v/>
      </c>
      <c r="AQ17" s="371"/>
      <c r="AR17" s="495">
        <v>30</v>
      </c>
      <c r="AS17" s="496">
        <v>30</v>
      </c>
      <c r="AT17" s="494">
        <f t="shared" si="18"/>
        <v>40</v>
      </c>
      <c r="AU17" s="371"/>
      <c r="AV17" s="232">
        <f t="shared" si="19"/>
        <v>30</v>
      </c>
      <c r="AW17" s="232" t="str">
        <f t="shared" si="20"/>
        <v/>
      </c>
      <c r="AX17" s="232" t="str">
        <f t="shared" si="21"/>
        <v/>
      </c>
      <c r="AY17" s="232" t="str">
        <f t="shared" si="22"/>
        <v/>
      </c>
      <c r="AZ17" s="371"/>
      <c r="BA17" s="495">
        <v>40</v>
      </c>
      <c r="BB17" s="496">
        <v>20</v>
      </c>
      <c r="BC17" s="494">
        <f t="shared" si="48"/>
        <v>40</v>
      </c>
      <c r="BD17" s="371"/>
      <c r="BE17" s="232">
        <f t="shared" si="23"/>
        <v>40</v>
      </c>
      <c r="BF17" s="232" t="str">
        <f t="shared" si="24"/>
        <v/>
      </c>
      <c r="BG17" s="232" t="str">
        <f t="shared" si="25"/>
        <v/>
      </c>
      <c r="BH17" s="232">
        <f t="shared" si="43"/>
        <v>1</v>
      </c>
      <c r="BI17" s="371"/>
      <c r="BJ17" s="495">
        <v>10</v>
      </c>
      <c r="BK17" s="496">
        <v>10</v>
      </c>
      <c r="BL17" s="494">
        <f t="shared" si="26"/>
        <v>80</v>
      </c>
      <c r="BM17" s="371"/>
      <c r="BN17" s="232">
        <f t="shared" si="27"/>
        <v>10</v>
      </c>
      <c r="BO17" s="232" t="str">
        <f t="shared" si="28"/>
        <v/>
      </c>
      <c r="BP17" s="232" t="str">
        <f t="shared" si="29"/>
        <v/>
      </c>
      <c r="BQ17" s="232" t="str">
        <f t="shared" si="44"/>
        <v/>
      </c>
      <c r="BR17" s="371"/>
      <c r="BS17" s="495">
        <v>20</v>
      </c>
      <c r="BT17" s="496">
        <v>10</v>
      </c>
      <c r="BU17" s="494">
        <f t="shared" si="30"/>
        <v>70</v>
      </c>
      <c r="BV17" s="371"/>
      <c r="BW17" s="232">
        <f t="shared" si="31"/>
        <v>20</v>
      </c>
      <c r="BX17" s="232" t="str">
        <f t="shared" si="32"/>
        <v/>
      </c>
      <c r="BY17" s="232" t="str">
        <f t="shared" si="33"/>
        <v/>
      </c>
      <c r="BZ17" s="232" t="str">
        <f t="shared" si="45"/>
        <v/>
      </c>
      <c r="CA17" s="371"/>
      <c r="CB17" s="501">
        <f t="shared" si="34"/>
        <v>30</v>
      </c>
      <c r="CC17" s="502">
        <f t="shared" si="35"/>
        <v>20</v>
      </c>
      <c r="CD17" s="503">
        <f t="shared" si="36"/>
        <v>50</v>
      </c>
      <c r="CE17" s="371"/>
      <c r="CF17" s="232">
        <f t="shared" si="37"/>
        <v>30</v>
      </c>
      <c r="CG17" s="232" t="str">
        <f t="shared" si="38"/>
        <v/>
      </c>
      <c r="CH17" s="232" t="str">
        <f t="shared" si="39"/>
        <v/>
      </c>
      <c r="CI17" s="232" t="str">
        <f t="shared" si="46"/>
        <v/>
      </c>
      <c r="CJ17" s="232"/>
      <c r="CK17" s="495">
        <v>30</v>
      </c>
      <c r="CL17" s="496">
        <v>30</v>
      </c>
      <c r="CM17" s="494">
        <f t="shared" si="49"/>
        <v>40</v>
      </c>
      <c r="CN17" s="371"/>
      <c r="CO17" s="232">
        <f t="shared" si="40"/>
        <v>30</v>
      </c>
      <c r="CP17" s="232" t="str">
        <f t="shared" si="41"/>
        <v/>
      </c>
      <c r="CQ17" s="232" t="str">
        <f t="shared" si="42"/>
        <v/>
      </c>
      <c r="CR17" s="232" t="str">
        <f t="shared" si="47"/>
        <v/>
      </c>
      <c r="CS17" s="232"/>
      <c r="CT17" s="371"/>
      <c r="CU17" s="300"/>
      <c r="CV17" s="246"/>
      <c r="CW17" s="264"/>
      <c r="CX17" s="176"/>
      <c r="CY17" s="176"/>
    </row>
    <row r="18" spans="1:103" s="175" customFormat="1" ht="13.35" customHeight="1" outlineLevel="2" x14ac:dyDescent="0.2">
      <c r="A18" s="264"/>
      <c r="B18" s="264"/>
      <c r="C18" s="202"/>
      <c r="D18" s="271">
        <v>11</v>
      </c>
      <c r="E18" s="167" t="s">
        <v>59</v>
      </c>
      <c r="F18" s="469">
        <v>2</v>
      </c>
      <c r="G18" s="474" t="s">
        <v>49</v>
      </c>
      <c r="H18" s="475">
        <v>1</v>
      </c>
      <c r="I18" s="389" t="str">
        <f t="shared" si="0"/>
        <v>x</v>
      </c>
      <c r="J18" s="390" t="str">
        <f t="shared" si="1"/>
        <v/>
      </c>
      <c r="K18" s="391" t="str">
        <f t="shared" si="2"/>
        <v/>
      </c>
      <c r="L18" s="299"/>
      <c r="M18" s="375"/>
      <c r="N18" s="379"/>
      <c r="O18" s="236"/>
      <c r="P18" s="236"/>
      <c r="Q18" s="483">
        <v>20</v>
      </c>
      <c r="R18" s="484">
        <v>40</v>
      </c>
      <c r="S18" s="485">
        <f t="shared" si="3"/>
        <v>40</v>
      </c>
      <c r="T18" s="371"/>
      <c r="U18" s="232">
        <f t="shared" si="4"/>
        <v>20</v>
      </c>
      <c r="V18" s="232" t="str">
        <f t="shared" si="5"/>
        <v/>
      </c>
      <c r="W18" s="232" t="str">
        <f t="shared" si="6"/>
        <v/>
      </c>
      <c r="X18" s="232" t="str">
        <f t="shared" si="7"/>
        <v/>
      </c>
      <c r="Y18" s="371"/>
      <c r="Z18" s="497">
        <v>80</v>
      </c>
      <c r="AA18" s="498">
        <v>10</v>
      </c>
      <c r="AB18" s="485">
        <f t="shared" si="8"/>
        <v>10</v>
      </c>
      <c r="AC18" s="371"/>
      <c r="AD18" s="232">
        <f t="shared" si="9"/>
        <v>80</v>
      </c>
      <c r="AE18" s="232" t="str">
        <f t="shared" si="10"/>
        <v/>
      </c>
      <c r="AF18" s="232" t="str">
        <f t="shared" si="11"/>
        <v/>
      </c>
      <c r="AG18" s="232">
        <f t="shared" si="12"/>
        <v>1</v>
      </c>
      <c r="AH18" s="371"/>
      <c r="AI18" s="497">
        <v>80</v>
      </c>
      <c r="AJ18" s="498">
        <v>10</v>
      </c>
      <c r="AK18" s="485">
        <f t="shared" si="13"/>
        <v>10</v>
      </c>
      <c r="AL18" s="371"/>
      <c r="AM18" s="232">
        <f t="shared" si="14"/>
        <v>80</v>
      </c>
      <c r="AN18" s="232" t="str">
        <f t="shared" si="15"/>
        <v/>
      </c>
      <c r="AO18" s="232" t="str">
        <f t="shared" si="16"/>
        <v/>
      </c>
      <c r="AP18" s="232">
        <f t="shared" si="17"/>
        <v>1</v>
      </c>
      <c r="AQ18" s="371"/>
      <c r="AR18" s="497">
        <v>10</v>
      </c>
      <c r="AS18" s="498">
        <v>30</v>
      </c>
      <c r="AT18" s="485">
        <f t="shared" si="18"/>
        <v>60</v>
      </c>
      <c r="AU18" s="371"/>
      <c r="AV18" s="232">
        <f t="shared" si="19"/>
        <v>10</v>
      </c>
      <c r="AW18" s="232" t="str">
        <f t="shared" si="20"/>
        <v/>
      </c>
      <c r="AX18" s="232" t="str">
        <f t="shared" si="21"/>
        <v/>
      </c>
      <c r="AY18" s="232" t="str">
        <f t="shared" si="22"/>
        <v/>
      </c>
      <c r="AZ18" s="371"/>
      <c r="BA18" s="497">
        <v>40</v>
      </c>
      <c r="BB18" s="498">
        <v>40</v>
      </c>
      <c r="BC18" s="485">
        <f t="shared" si="48"/>
        <v>20</v>
      </c>
      <c r="BD18" s="371"/>
      <c r="BE18" s="232">
        <f t="shared" si="23"/>
        <v>40</v>
      </c>
      <c r="BF18" s="232" t="str">
        <f t="shared" si="24"/>
        <v/>
      </c>
      <c r="BG18" s="232" t="str">
        <f t="shared" si="25"/>
        <v/>
      </c>
      <c r="BH18" s="232">
        <f t="shared" si="43"/>
        <v>1</v>
      </c>
      <c r="BI18" s="371"/>
      <c r="BJ18" s="497">
        <v>30</v>
      </c>
      <c r="BK18" s="498">
        <v>40</v>
      </c>
      <c r="BL18" s="485">
        <f t="shared" si="26"/>
        <v>30</v>
      </c>
      <c r="BM18" s="371"/>
      <c r="BN18" s="232">
        <f t="shared" si="27"/>
        <v>30</v>
      </c>
      <c r="BO18" s="232" t="str">
        <f t="shared" si="28"/>
        <v/>
      </c>
      <c r="BP18" s="232" t="str">
        <f t="shared" si="29"/>
        <v/>
      </c>
      <c r="BQ18" s="232" t="str">
        <f t="shared" si="44"/>
        <v/>
      </c>
      <c r="BR18" s="371"/>
      <c r="BS18" s="497">
        <v>50</v>
      </c>
      <c r="BT18" s="498">
        <v>20</v>
      </c>
      <c r="BU18" s="485">
        <f t="shared" si="30"/>
        <v>30</v>
      </c>
      <c r="BV18" s="371"/>
      <c r="BW18" s="232">
        <f t="shared" si="31"/>
        <v>50</v>
      </c>
      <c r="BX18" s="232" t="str">
        <f t="shared" si="32"/>
        <v/>
      </c>
      <c r="BY18" s="232" t="str">
        <f t="shared" si="33"/>
        <v/>
      </c>
      <c r="BZ18" s="232">
        <f t="shared" si="45"/>
        <v>1</v>
      </c>
      <c r="CA18" s="371"/>
      <c r="CB18" s="504">
        <f t="shared" si="34"/>
        <v>50</v>
      </c>
      <c r="CC18" s="505">
        <f t="shared" si="35"/>
        <v>20</v>
      </c>
      <c r="CD18" s="506">
        <f t="shared" si="36"/>
        <v>30</v>
      </c>
      <c r="CE18" s="371"/>
      <c r="CF18" s="232">
        <f t="shared" si="37"/>
        <v>50</v>
      </c>
      <c r="CG18" s="232" t="str">
        <f t="shared" si="38"/>
        <v/>
      </c>
      <c r="CH18" s="232" t="str">
        <f t="shared" si="39"/>
        <v/>
      </c>
      <c r="CI18" s="232">
        <f t="shared" si="46"/>
        <v>1</v>
      </c>
      <c r="CJ18" s="232"/>
      <c r="CK18" s="497">
        <v>10</v>
      </c>
      <c r="CL18" s="498">
        <v>30</v>
      </c>
      <c r="CM18" s="485">
        <f t="shared" si="49"/>
        <v>60</v>
      </c>
      <c r="CN18" s="371"/>
      <c r="CO18" s="232">
        <f t="shared" si="40"/>
        <v>10</v>
      </c>
      <c r="CP18" s="232" t="str">
        <f t="shared" si="41"/>
        <v/>
      </c>
      <c r="CQ18" s="232" t="str">
        <f t="shared" si="42"/>
        <v/>
      </c>
      <c r="CR18" s="232" t="str">
        <f t="shared" si="47"/>
        <v/>
      </c>
      <c r="CS18" s="232"/>
      <c r="CT18" s="371"/>
      <c r="CU18" s="300"/>
      <c r="CV18" s="246"/>
      <c r="CW18" s="264"/>
      <c r="CX18" s="176"/>
      <c r="CY18" s="176"/>
    </row>
    <row r="19" spans="1:103" s="175" customFormat="1" ht="13.35" customHeight="1" outlineLevel="2" thickBot="1" x14ac:dyDescent="0.25">
      <c r="A19" s="264"/>
      <c r="B19" s="264"/>
      <c r="C19" s="202"/>
      <c r="D19" s="271">
        <v>12</v>
      </c>
      <c r="E19" s="168" t="s">
        <v>60</v>
      </c>
      <c r="F19" s="470">
        <v>3</v>
      </c>
      <c r="G19" s="476" t="s">
        <v>49</v>
      </c>
      <c r="H19" s="477">
        <v>0</v>
      </c>
      <c r="I19" s="392" t="str">
        <f t="shared" si="0"/>
        <v>x</v>
      </c>
      <c r="J19" s="393" t="str">
        <f t="shared" si="1"/>
        <v/>
      </c>
      <c r="K19" s="394" t="str">
        <f t="shared" si="2"/>
        <v/>
      </c>
      <c r="L19" s="299"/>
      <c r="M19" s="375"/>
      <c r="N19" s="379"/>
      <c r="O19" s="236"/>
      <c r="P19" s="236"/>
      <c r="Q19" s="489">
        <v>10</v>
      </c>
      <c r="R19" s="490">
        <v>80</v>
      </c>
      <c r="S19" s="491">
        <f t="shared" si="3"/>
        <v>10</v>
      </c>
      <c r="T19" s="371"/>
      <c r="U19" s="232">
        <f t="shared" si="4"/>
        <v>10</v>
      </c>
      <c r="V19" s="232" t="str">
        <f t="shared" si="5"/>
        <v/>
      </c>
      <c r="W19" s="232" t="str">
        <f t="shared" si="6"/>
        <v/>
      </c>
      <c r="X19" s="232" t="str">
        <f t="shared" si="7"/>
        <v/>
      </c>
      <c r="Y19" s="371"/>
      <c r="Z19" s="499">
        <v>80</v>
      </c>
      <c r="AA19" s="500">
        <v>10</v>
      </c>
      <c r="AB19" s="491">
        <f t="shared" si="8"/>
        <v>10</v>
      </c>
      <c r="AC19" s="371"/>
      <c r="AD19" s="232">
        <f t="shared" si="9"/>
        <v>80</v>
      </c>
      <c r="AE19" s="232" t="str">
        <f t="shared" si="10"/>
        <v/>
      </c>
      <c r="AF19" s="232" t="str">
        <f t="shared" si="11"/>
        <v/>
      </c>
      <c r="AG19" s="232">
        <f t="shared" si="12"/>
        <v>1</v>
      </c>
      <c r="AH19" s="371"/>
      <c r="AI19" s="499">
        <v>80</v>
      </c>
      <c r="AJ19" s="500">
        <v>10</v>
      </c>
      <c r="AK19" s="491">
        <f t="shared" si="13"/>
        <v>10</v>
      </c>
      <c r="AL19" s="371"/>
      <c r="AM19" s="232">
        <f t="shared" si="14"/>
        <v>80</v>
      </c>
      <c r="AN19" s="232" t="str">
        <f t="shared" si="15"/>
        <v/>
      </c>
      <c r="AO19" s="232" t="str">
        <f t="shared" si="16"/>
        <v/>
      </c>
      <c r="AP19" s="232">
        <f t="shared" si="17"/>
        <v>1</v>
      </c>
      <c r="AQ19" s="371"/>
      <c r="AR19" s="499">
        <v>70</v>
      </c>
      <c r="AS19" s="500">
        <v>20</v>
      </c>
      <c r="AT19" s="491">
        <f t="shared" si="18"/>
        <v>10</v>
      </c>
      <c r="AU19" s="371"/>
      <c r="AV19" s="232">
        <f t="shared" si="19"/>
        <v>70</v>
      </c>
      <c r="AW19" s="232" t="str">
        <f t="shared" si="20"/>
        <v/>
      </c>
      <c r="AX19" s="232" t="str">
        <f t="shared" si="21"/>
        <v/>
      </c>
      <c r="AY19" s="232">
        <f t="shared" si="22"/>
        <v>1</v>
      </c>
      <c r="AZ19" s="371"/>
      <c r="BA19" s="499">
        <v>40</v>
      </c>
      <c r="BB19" s="500">
        <v>40</v>
      </c>
      <c r="BC19" s="491">
        <f t="shared" si="48"/>
        <v>20</v>
      </c>
      <c r="BD19" s="371"/>
      <c r="BE19" s="232">
        <f t="shared" si="23"/>
        <v>40</v>
      </c>
      <c r="BF19" s="232" t="str">
        <f t="shared" si="24"/>
        <v/>
      </c>
      <c r="BG19" s="232" t="str">
        <f t="shared" si="25"/>
        <v/>
      </c>
      <c r="BH19" s="232">
        <f t="shared" si="43"/>
        <v>1</v>
      </c>
      <c r="BI19" s="371"/>
      <c r="BJ19" s="499">
        <v>80</v>
      </c>
      <c r="BK19" s="500">
        <v>10</v>
      </c>
      <c r="BL19" s="491">
        <f t="shared" si="26"/>
        <v>10</v>
      </c>
      <c r="BM19" s="371"/>
      <c r="BN19" s="232">
        <f t="shared" si="27"/>
        <v>80</v>
      </c>
      <c r="BO19" s="232" t="str">
        <f t="shared" si="28"/>
        <v/>
      </c>
      <c r="BP19" s="232" t="str">
        <f t="shared" si="29"/>
        <v/>
      </c>
      <c r="BQ19" s="232">
        <f t="shared" si="44"/>
        <v>1</v>
      </c>
      <c r="BR19" s="371"/>
      <c r="BS19" s="499">
        <v>70</v>
      </c>
      <c r="BT19" s="500">
        <v>10</v>
      </c>
      <c r="BU19" s="491">
        <f t="shared" si="30"/>
        <v>20</v>
      </c>
      <c r="BV19" s="371"/>
      <c r="BW19" s="232">
        <f t="shared" si="31"/>
        <v>70</v>
      </c>
      <c r="BX19" s="232" t="str">
        <f t="shared" si="32"/>
        <v/>
      </c>
      <c r="BY19" s="232" t="str">
        <f t="shared" si="33"/>
        <v/>
      </c>
      <c r="BZ19" s="232">
        <f t="shared" si="45"/>
        <v>1</v>
      </c>
      <c r="CA19" s="371"/>
      <c r="CB19" s="507">
        <f t="shared" si="34"/>
        <v>70</v>
      </c>
      <c r="CC19" s="508">
        <f t="shared" si="35"/>
        <v>20</v>
      </c>
      <c r="CD19" s="509">
        <f t="shared" si="36"/>
        <v>10</v>
      </c>
      <c r="CE19" s="371"/>
      <c r="CF19" s="232">
        <f t="shared" si="37"/>
        <v>70</v>
      </c>
      <c r="CG19" s="232" t="str">
        <f t="shared" si="38"/>
        <v/>
      </c>
      <c r="CH19" s="232" t="str">
        <f t="shared" si="39"/>
        <v/>
      </c>
      <c r="CI19" s="232">
        <f t="shared" si="46"/>
        <v>1</v>
      </c>
      <c r="CJ19" s="232"/>
      <c r="CK19" s="499">
        <v>80</v>
      </c>
      <c r="CL19" s="500">
        <v>10</v>
      </c>
      <c r="CM19" s="491">
        <f t="shared" si="49"/>
        <v>10</v>
      </c>
      <c r="CN19" s="371"/>
      <c r="CO19" s="232">
        <f t="shared" si="40"/>
        <v>80</v>
      </c>
      <c r="CP19" s="232" t="str">
        <f t="shared" si="41"/>
        <v/>
      </c>
      <c r="CQ19" s="232" t="str">
        <f t="shared" si="42"/>
        <v/>
      </c>
      <c r="CR19" s="232">
        <f t="shared" si="47"/>
        <v>1</v>
      </c>
      <c r="CS19" s="232"/>
      <c r="CT19" s="371"/>
      <c r="CU19" s="300"/>
      <c r="CV19" s="246"/>
      <c r="CW19" s="264"/>
      <c r="CX19" s="177"/>
      <c r="CY19" s="176"/>
    </row>
    <row r="20" spans="1:103" s="174" customFormat="1" ht="13.35" customHeight="1" outlineLevel="1" x14ac:dyDescent="0.2">
      <c r="A20" s="264"/>
      <c r="B20" s="264"/>
      <c r="C20" s="202"/>
      <c r="D20" s="272"/>
      <c r="E20" s="235"/>
      <c r="F20" s="395">
        <f>IF(SUM(F8:F19)=0,"",SUM(F8:F19))</f>
        <v>16</v>
      </c>
      <c r="G20" s="370" t="s">
        <v>49</v>
      </c>
      <c r="H20" s="396">
        <f>IF(SUM(H8:H19)=0,"",SUM(H8:H19))</f>
        <v>15</v>
      </c>
      <c r="I20" s="397">
        <f>IF(COUNTIF(I8:I19,"=x")=0,"",COUNTIF(I8:I19,"=x"))</f>
        <v>6</v>
      </c>
      <c r="J20" s="398">
        <f>IF(COUNTIF(J8:J19,"=x")=0,"",COUNTIF(J8:J19,"=x"))</f>
        <v>2</v>
      </c>
      <c r="K20" s="399">
        <f>IF(COUNTIF(K8:K19,"=x")=0,"",COUNTIF(K8:K19,"=x"))</f>
        <v>4</v>
      </c>
      <c r="L20" s="299"/>
      <c r="M20" s="375"/>
      <c r="N20" s="379"/>
      <c r="O20" s="236"/>
      <c r="P20" s="369"/>
      <c r="Q20" s="466">
        <f>SUM(U8:U19)</f>
        <v>160</v>
      </c>
      <c r="R20" s="466">
        <f>SUM(V8:V19)</f>
        <v>30</v>
      </c>
      <c r="S20" s="466">
        <f>SUM(W8:W19)</f>
        <v>140</v>
      </c>
      <c r="T20" s="368"/>
      <c r="U20" s="232"/>
      <c r="V20" s="232"/>
      <c r="W20" s="232"/>
      <c r="X20" s="232"/>
      <c r="Y20" s="367"/>
      <c r="Z20" s="466">
        <f>SUM(AD8:AD19)</f>
        <v>270</v>
      </c>
      <c r="AA20" s="466">
        <f>SUM(AE8:AE19)</f>
        <v>20</v>
      </c>
      <c r="AB20" s="466">
        <f>SUM(AF8:AF19)</f>
        <v>290</v>
      </c>
      <c r="AC20" s="368"/>
      <c r="AD20" s="232"/>
      <c r="AE20" s="232"/>
      <c r="AF20" s="232"/>
      <c r="AG20" s="232"/>
      <c r="AH20" s="367"/>
      <c r="AI20" s="466">
        <f>SUM(AM8:AM19)</f>
        <v>330</v>
      </c>
      <c r="AJ20" s="466">
        <f>SUM(AN8:AN19)</f>
        <v>40</v>
      </c>
      <c r="AK20" s="466">
        <f>SUM(AO8:AO19)</f>
        <v>130</v>
      </c>
      <c r="AL20" s="368"/>
      <c r="AM20" s="232"/>
      <c r="AN20" s="232"/>
      <c r="AO20" s="232"/>
      <c r="AP20" s="232"/>
      <c r="AQ20" s="367"/>
      <c r="AR20" s="466">
        <f>SUM(AV8:AV19)</f>
        <v>220</v>
      </c>
      <c r="AS20" s="466">
        <f>SUM(AW8:AW19)</f>
        <v>50</v>
      </c>
      <c r="AT20" s="466">
        <f>SUM(AX8:AX19)</f>
        <v>200</v>
      </c>
      <c r="AU20" s="368"/>
      <c r="AV20" s="232"/>
      <c r="AW20" s="232"/>
      <c r="AX20" s="232"/>
      <c r="AY20" s="232"/>
      <c r="AZ20" s="367"/>
      <c r="BA20" s="466">
        <f>SUM(BE8:BE19)</f>
        <v>220</v>
      </c>
      <c r="BB20" s="466">
        <f>SUM(BF8:BF19)</f>
        <v>20</v>
      </c>
      <c r="BC20" s="466">
        <f>SUM(BG8:BG19)</f>
        <v>250</v>
      </c>
      <c r="BD20" s="368"/>
      <c r="BE20" s="232"/>
      <c r="BF20" s="232"/>
      <c r="BG20" s="232"/>
      <c r="BH20" s="232"/>
      <c r="BI20" s="367"/>
      <c r="BJ20" s="466">
        <f>SUM(BN8:BN19)</f>
        <v>240</v>
      </c>
      <c r="BK20" s="466">
        <f>SUM(BO8:BO19)</f>
        <v>40</v>
      </c>
      <c r="BL20" s="466">
        <f>SUM(BP8:BP19)</f>
        <v>210</v>
      </c>
      <c r="BM20" s="368"/>
      <c r="BN20" s="232"/>
      <c r="BO20" s="232"/>
      <c r="BP20" s="232"/>
      <c r="BQ20" s="232"/>
      <c r="BR20" s="367"/>
      <c r="BS20" s="466">
        <f>SUM(BW8:BW19)</f>
        <v>270</v>
      </c>
      <c r="BT20" s="466">
        <f>SUM(BX8:BX19)</f>
        <v>40</v>
      </c>
      <c r="BU20" s="466">
        <f>SUM(BY8:BY19)</f>
        <v>210</v>
      </c>
      <c r="BV20" s="368"/>
      <c r="BW20" s="232"/>
      <c r="BX20" s="232"/>
      <c r="BY20" s="232"/>
      <c r="BZ20" s="232"/>
      <c r="CA20" s="369"/>
      <c r="CB20" s="466">
        <f>SUM(CF8:CF19)</f>
        <v>280</v>
      </c>
      <c r="CC20" s="466">
        <f>SUM(CG8:CG19)</f>
        <v>20</v>
      </c>
      <c r="CD20" s="466">
        <f>SUM(CH8:CH19)</f>
        <v>210</v>
      </c>
      <c r="CE20" s="368"/>
      <c r="CF20" s="232"/>
      <c r="CG20" s="232"/>
      <c r="CH20" s="232"/>
      <c r="CI20" s="232"/>
      <c r="CJ20" s="232"/>
      <c r="CK20" s="466">
        <f>SUM(CO8:CO19)</f>
        <v>230</v>
      </c>
      <c r="CL20" s="466">
        <f>SUM(CP8:CP19)</f>
        <v>20</v>
      </c>
      <c r="CM20" s="466">
        <f>SUM(CQ8:CQ19)</f>
        <v>230</v>
      </c>
      <c r="CN20" s="368"/>
      <c r="CO20" s="232"/>
      <c r="CP20" s="232"/>
      <c r="CQ20" s="232"/>
      <c r="CR20" s="232"/>
      <c r="CS20" s="232"/>
      <c r="CT20" s="232"/>
      <c r="CU20" s="300"/>
      <c r="CV20" s="246"/>
      <c r="CW20" s="265"/>
      <c r="CX20" s="5"/>
      <c r="CY20" s="173"/>
    </row>
    <row r="21" spans="1:103" s="174" customFormat="1" ht="13.35" customHeight="1" thickBot="1" x14ac:dyDescent="0.25">
      <c r="A21" s="264"/>
      <c r="B21" s="264"/>
      <c r="C21" s="202"/>
      <c r="D21" s="289"/>
      <c r="E21" s="282"/>
      <c r="F21" s="283"/>
      <c r="G21" s="282"/>
      <c r="H21" s="282"/>
      <c r="I21" s="282"/>
      <c r="J21" s="282"/>
      <c r="K21" s="282"/>
      <c r="L21" s="293"/>
      <c r="M21" s="301"/>
      <c r="N21" s="380"/>
      <c r="O21" s="376"/>
      <c r="P21" s="284"/>
      <c r="Q21" s="285"/>
      <c r="R21" s="285"/>
      <c r="S21" s="285"/>
      <c r="T21" s="286"/>
      <c r="U21" s="287"/>
      <c r="V21" s="287"/>
      <c r="W21" s="287"/>
      <c r="X21" s="287"/>
      <c r="Y21" s="284"/>
      <c r="Z21" s="285"/>
      <c r="AA21" s="285"/>
      <c r="AB21" s="285"/>
      <c r="AC21" s="286"/>
      <c r="AD21" s="287"/>
      <c r="AE21" s="287"/>
      <c r="AF21" s="287"/>
      <c r="AG21" s="288"/>
      <c r="AH21" s="284"/>
      <c r="AI21" s="285"/>
      <c r="AJ21" s="285"/>
      <c r="AK21" s="285"/>
      <c r="AL21" s="286"/>
      <c r="AM21" s="287"/>
      <c r="AN21" s="287"/>
      <c r="AO21" s="287"/>
      <c r="AP21" s="288"/>
      <c r="AQ21" s="284"/>
      <c r="AR21" s="285"/>
      <c r="AS21" s="285"/>
      <c r="AT21" s="285"/>
      <c r="AU21" s="286"/>
      <c r="AV21" s="287"/>
      <c r="AW21" s="287"/>
      <c r="AX21" s="287"/>
      <c r="AY21" s="288"/>
      <c r="AZ21" s="284"/>
      <c r="BA21" s="285"/>
      <c r="BB21" s="285"/>
      <c r="BC21" s="285"/>
      <c r="BD21" s="286"/>
      <c r="BE21" s="287"/>
      <c r="BF21" s="287"/>
      <c r="BG21" s="287"/>
      <c r="BH21" s="288"/>
      <c r="BI21" s="284"/>
      <c r="BJ21" s="284"/>
      <c r="BK21" s="284"/>
      <c r="BL21" s="284"/>
      <c r="BM21" s="284"/>
      <c r="BN21" s="284"/>
      <c r="BO21" s="284"/>
      <c r="BP21" s="284"/>
      <c r="BQ21" s="284"/>
      <c r="BR21" s="284"/>
      <c r="BS21" s="284"/>
      <c r="BT21" s="284"/>
      <c r="BU21" s="284"/>
      <c r="BV21" s="284"/>
      <c r="BW21" s="284"/>
      <c r="BX21" s="284"/>
      <c r="BY21" s="284"/>
      <c r="BZ21" s="284"/>
      <c r="CA21" s="284"/>
      <c r="CB21" s="284"/>
      <c r="CC21" s="284"/>
      <c r="CD21" s="284"/>
      <c r="CE21" s="284"/>
      <c r="CF21" s="284"/>
      <c r="CG21" s="284"/>
      <c r="CH21" s="284"/>
      <c r="CI21" s="284"/>
      <c r="CJ21" s="288"/>
      <c r="CK21" s="288"/>
      <c r="CL21" s="288"/>
      <c r="CM21" s="288"/>
      <c r="CN21" s="288"/>
      <c r="CO21" s="288"/>
      <c r="CP21" s="288"/>
      <c r="CQ21" s="288"/>
      <c r="CR21" s="288"/>
      <c r="CS21" s="288"/>
      <c r="CT21" s="282"/>
      <c r="CU21" s="294"/>
      <c r="CV21" s="246"/>
      <c r="CW21" s="265"/>
      <c r="CX21" s="173"/>
      <c r="CY21" s="173"/>
    </row>
    <row r="22" spans="1:103" ht="14.25" thickTop="1" thickBot="1" x14ac:dyDescent="0.25">
      <c r="A22" s="256"/>
      <c r="B22" s="256"/>
      <c r="C22" s="210"/>
      <c r="D22" s="211"/>
      <c r="E22" s="247"/>
      <c r="F22" s="248"/>
      <c r="G22" s="247"/>
      <c r="H22" s="247"/>
      <c r="I22" s="247"/>
      <c r="J22" s="247"/>
      <c r="K22" s="247"/>
      <c r="L22" s="249"/>
      <c r="M22" s="250"/>
      <c r="N22" s="250"/>
      <c r="O22" s="250"/>
      <c r="P22" s="250"/>
      <c r="Q22" s="247"/>
      <c r="R22" s="247"/>
      <c r="S22" s="247"/>
      <c r="T22" s="251"/>
      <c r="U22" s="252"/>
      <c r="V22" s="252"/>
      <c r="W22" s="252"/>
      <c r="X22" s="252"/>
      <c r="Y22" s="250"/>
      <c r="Z22" s="247"/>
      <c r="AA22" s="247"/>
      <c r="AB22" s="247"/>
      <c r="AC22" s="251"/>
      <c r="AD22" s="252"/>
      <c r="AE22" s="252"/>
      <c r="AF22" s="252"/>
      <c r="AG22" s="247"/>
      <c r="AH22" s="250"/>
      <c r="AI22" s="247"/>
      <c r="AJ22" s="247"/>
      <c r="AK22" s="247"/>
      <c r="AL22" s="251"/>
      <c r="AM22" s="252"/>
      <c r="AN22" s="252"/>
      <c r="AO22" s="252"/>
      <c r="AP22" s="253"/>
      <c r="AQ22" s="250"/>
      <c r="AR22" s="247"/>
      <c r="AS22" s="247"/>
      <c r="AT22" s="247"/>
      <c r="AU22" s="251"/>
      <c r="AV22" s="252"/>
      <c r="AW22" s="252"/>
      <c r="AX22" s="252"/>
      <c r="AY22" s="247"/>
      <c r="AZ22" s="250"/>
      <c r="BA22" s="247"/>
      <c r="BB22" s="247"/>
      <c r="BC22" s="247"/>
      <c r="BD22" s="251"/>
      <c r="BE22" s="252"/>
      <c r="BF22" s="252"/>
      <c r="BG22" s="252"/>
      <c r="BH22" s="247"/>
      <c r="BI22" s="250"/>
      <c r="BJ22" s="247"/>
      <c r="BK22" s="247"/>
      <c r="BL22" s="247"/>
      <c r="BM22" s="251"/>
      <c r="BN22" s="252"/>
      <c r="BO22" s="252"/>
      <c r="BP22" s="252"/>
      <c r="BQ22" s="247"/>
      <c r="BR22" s="212"/>
      <c r="BS22" s="247"/>
      <c r="BT22" s="247"/>
      <c r="BU22" s="247"/>
      <c r="BV22" s="250"/>
      <c r="BW22" s="252"/>
      <c r="BX22" s="252"/>
      <c r="BY22" s="252"/>
      <c r="BZ22" s="247"/>
      <c r="CA22" s="247"/>
      <c r="CB22" s="253"/>
      <c r="CC22" s="253"/>
      <c r="CD22" s="253"/>
      <c r="CE22" s="253"/>
      <c r="CF22" s="247"/>
      <c r="CG22" s="247"/>
      <c r="CH22" s="247"/>
      <c r="CI22" s="247"/>
      <c r="CJ22" s="247"/>
      <c r="CK22" s="247"/>
      <c r="CL22" s="247"/>
      <c r="CM22" s="247"/>
      <c r="CN22" s="247"/>
      <c r="CO22" s="247"/>
      <c r="CP22" s="247"/>
      <c r="CQ22" s="247"/>
      <c r="CR22" s="247"/>
      <c r="CS22" s="247"/>
      <c r="CT22" s="247"/>
      <c r="CU22" s="247"/>
      <c r="CV22" s="254"/>
      <c r="CW22" s="255"/>
      <c r="CX22" s="4"/>
      <c r="CY22" s="4"/>
    </row>
    <row r="23" spans="1:103" ht="13.35" customHeight="1" thickTop="1" thickBot="1" x14ac:dyDescent="0.25">
      <c r="A23" s="256"/>
      <c r="B23" s="256"/>
      <c r="C23" s="257"/>
      <c r="D23" s="258"/>
      <c r="E23" s="258"/>
      <c r="F23" s="259"/>
      <c r="G23" s="258"/>
      <c r="H23" s="258"/>
      <c r="I23" s="258"/>
      <c r="J23" s="258"/>
      <c r="K23" s="258"/>
      <c r="L23" s="260"/>
      <c r="M23" s="258"/>
      <c r="N23" s="258"/>
      <c r="O23" s="258"/>
      <c r="P23" s="258"/>
      <c r="Q23" s="261"/>
      <c r="R23" s="261"/>
      <c r="S23" s="261"/>
      <c r="T23" s="261"/>
      <c r="U23" s="262"/>
      <c r="V23" s="262"/>
      <c r="W23" s="262"/>
      <c r="X23" s="262"/>
      <c r="Y23" s="258"/>
      <c r="Z23" s="261"/>
      <c r="AA23" s="261"/>
      <c r="AB23" s="261"/>
      <c r="AC23" s="261"/>
      <c r="AD23" s="262"/>
      <c r="AE23" s="262"/>
      <c r="AF23" s="262"/>
      <c r="AG23" s="262"/>
      <c r="AH23" s="258"/>
      <c r="AI23" s="261"/>
      <c r="AJ23" s="261"/>
      <c r="AK23" s="261"/>
      <c r="AL23" s="261"/>
      <c r="AM23" s="262"/>
      <c r="AN23" s="262"/>
      <c r="AO23" s="262"/>
      <c r="AP23" s="262"/>
      <c r="AQ23" s="258"/>
      <c r="AR23" s="261"/>
      <c r="AS23" s="261"/>
      <c r="AT23" s="261"/>
      <c r="AU23" s="261"/>
      <c r="AV23" s="262"/>
      <c r="AW23" s="262"/>
      <c r="AX23" s="262"/>
      <c r="AY23" s="262"/>
      <c r="AZ23" s="258"/>
      <c r="BA23" s="261"/>
      <c r="BB23" s="261"/>
      <c r="BC23" s="263"/>
      <c r="BD23" s="263"/>
      <c r="BE23" s="262"/>
      <c r="BF23" s="262"/>
      <c r="BG23" s="262"/>
      <c r="BH23" s="262"/>
      <c r="BI23" s="258"/>
      <c r="BJ23" s="263"/>
      <c r="BK23" s="263"/>
      <c r="BL23" s="263"/>
      <c r="BM23" s="263"/>
      <c r="BN23" s="262"/>
      <c r="BO23" s="262"/>
      <c r="BP23" s="262"/>
      <c r="BQ23" s="262"/>
      <c r="BR23" s="258"/>
      <c r="BS23" s="263"/>
      <c r="BT23" s="263"/>
      <c r="BU23" s="263"/>
      <c r="BV23" s="263"/>
      <c r="BW23" s="262"/>
      <c r="BX23" s="262"/>
      <c r="BY23" s="262"/>
      <c r="BZ23" s="262"/>
      <c r="CA23" s="262"/>
      <c r="CB23" s="262"/>
      <c r="CC23" s="262"/>
      <c r="CD23" s="262"/>
      <c r="CE23" s="262"/>
      <c r="CF23" s="262"/>
      <c r="CG23" s="262"/>
      <c r="CH23" s="262"/>
      <c r="CI23" s="262"/>
      <c r="CJ23" s="262"/>
      <c r="CK23" s="262"/>
      <c r="CL23" s="262"/>
      <c r="CM23" s="262"/>
      <c r="CN23" s="262"/>
      <c r="CO23" s="262"/>
      <c r="CP23" s="262"/>
      <c r="CQ23" s="262"/>
      <c r="CR23" s="262"/>
      <c r="CS23" s="262"/>
      <c r="CT23" s="264"/>
      <c r="CU23" s="256"/>
      <c r="CV23" s="256"/>
      <c r="CW23" s="256"/>
      <c r="CX23" s="4"/>
      <c r="CY23" s="4"/>
    </row>
    <row r="24" spans="1:103" ht="21.6" customHeight="1" thickTop="1" x14ac:dyDescent="0.2">
      <c r="A24" s="256"/>
      <c r="B24" s="256"/>
      <c r="C24" s="190"/>
      <c r="D24" s="191"/>
      <c r="E24" s="865" t="str">
        <f>$E$2</f>
        <v>STPS 2026</v>
      </c>
      <c r="F24" s="267"/>
      <c r="G24" s="267"/>
      <c r="H24" s="267"/>
      <c r="I24" s="192"/>
      <c r="J24" s="192"/>
      <c r="K24" s="192"/>
      <c r="L24" s="193"/>
      <c r="M24" s="192"/>
      <c r="N24" s="192"/>
      <c r="O24" s="192"/>
      <c r="P24" s="194"/>
      <c r="Q24" s="192"/>
      <c r="R24" s="192"/>
      <c r="S24" s="192"/>
      <c r="T24" s="195"/>
      <c r="U24" s="196"/>
      <c r="V24" s="196"/>
      <c r="W24" s="196"/>
      <c r="X24" s="196"/>
      <c r="Y24" s="194"/>
      <c r="Z24" s="192"/>
      <c r="AA24" s="192"/>
      <c r="AB24" s="192"/>
      <c r="AC24" s="195"/>
      <c r="AD24" s="196"/>
      <c r="AE24" s="196"/>
      <c r="AF24" s="196"/>
      <c r="AG24" s="197"/>
      <c r="AH24" s="194"/>
      <c r="AI24" s="192"/>
      <c r="AJ24" s="237"/>
      <c r="AK24" s="237"/>
      <c r="AL24" s="198"/>
      <c r="AM24" s="196"/>
      <c r="AN24" s="196"/>
      <c r="AO24" s="196"/>
      <c r="AP24" s="197"/>
      <c r="AQ24" s="239"/>
      <c r="AR24" s="240"/>
      <c r="AS24" s="199"/>
      <c r="AT24" s="200"/>
      <c r="AU24" s="198"/>
      <c r="AV24" s="196"/>
      <c r="AW24" s="196"/>
      <c r="AX24" s="196"/>
      <c r="AY24" s="197"/>
      <c r="AZ24" s="239"/>
      <c r="BA24" s="240"/>
      <c r="BB24" s="200"/>
      <c r="BC24" s="237"/>
      <c r="BD24" s="241"/>
      <c r="BE24" s="196"/>
      <c r="BF24" s="196"/>
      <c r="BG24" s="196"/>
      <c r="BH24" s="197"/>
      <c r="BI24" s="242"/>
      <c r="BJ24" s="237"/>
      <c r="BK24" s="237"/>
      <c r="BL24" s="237"/>
      <c r="BM24" s="241"/>
      <c r="BN24" s="196"/>
      <c r="BO24" s="196"/>
      <c r="BP24" s="196"/>
      <c r="BQ24" s="197"/>
      <c r="BR24" s="201"/>
      <c r="BS24" s="237"/>
      <c r="BT24" s="237"/>
      <c r="BU24" s="237"/>
      <c r="BV24" s="242"/>
      <c r="BW24" s="196"/>
      <c r="BX24" s="196"/>
      <c r="BY24" s="196"/>
      <c r="BZ24" s="197"/>
      <c r="CA24" s="197"/>
      <c r="CB24" s="197"/>
      <c r="CC24" s="197"/>
      <c r="CD24" s="197"/>
      <c r="CE24" s="197"/>
      <c r="CF24" s="197"/>
      <c r="CG24" s="197"/>
      <c r="CH24" s="197"/>
      <c r="CI24" s="197"/>
      <c r="CJ24" s="197"/>
      <c r="CK24" s="197"/>
      <c r="CL24" s="197"/>
      <c r="CM24" s="197"/>
      <c r="CN24" s="197"/>
      <c r="CO24" s="197"/>
      <c r="CP24" s="197"/>
      <c r="CQ24" s="197"/>
      <c r="CR24" s="197"/>
      <c r="CS24" s="197"/>
      <c r="CT24" s="237"/>
      <c r="CU24" s="237"/>
      <c r="CV24" s="243"/>
      <c r="CW24" s="255"/>
      <c r="CX24" s="4"/>
      <c r="CY24" s="4"/>
    </row>
    <row r="25" spans="1:103" ht="21.6" customHeight="1" thickBot="1" x14ac:dyDescent="0.25">
      <c r="A25" s="256"/>
      <c r="B25" s="256"/>
      <c r="C25" s="202"/>
      <c r="D25" s="188"/>
      <c r="E25" s="266" t="str">
        <f>E3</f>
        <v>Skorgen Tippelag</v>
      </c>
      <c r="F25" s="268"/>
      <c r="G25" s="268"/>
      <c r="H25" s="268"/>
      <c r="I25" s="203"/>
      <c r="J25" s="203"/>
      <c r="K25" s="203"/>
      <c r="L25" s="204"/>
      <c r="M25" s="203"/>
      <c r="N25" s="203"/>
      <c r="O25" s="203"/>
      <c r="P25" s="205"/>
      <c r="Q25" s="203"/>
      <c r="R25" s="203"/>
      <c r="S25" s="203"/>
      <c r="T25" s="206"/>
      <c r="U25" s="207"/>
      <c r="V25" s="207"/>
      <c r="W25" s="207"/>
      <c r="X25" s="207"/>
      <c r="Y25" s="205"/>
      <c r="Z25" s="203"/>
      <c r="AA25" s="203"/>
      <c r="AB25" s="203"/>
      <c r="AC25" s="206"/>
      <c r="AD25" s="207"/>
      <c r="AE25" s="207"/>
      <c r="AF25" s="207"/>
      <c r="AG25" s="208"/>
      <c r="AH25" s="205"/>
      <c r="AI25" s="203"/>
      <c r="AJ25" s="187"/>
      <c r="AK25" s="187"/>
      <c r="AL25" s="244"/>
      <c r="AM25" s="207"/>
      <c r="AN25" s="207"/>
      <c r="AO25" s="207"/>
      <c r="AP25" s="208"/>
      <c r="AQ25" s="245"/>
      <c r="AR25" s="187"/>
      <c r="AS25" s="187"/>
      <c r="AT25" s="187"/>
      <c r="AU25" s="244"/>
      <c r="AV25" s="207"/>
      <c r="AW25" s="207"/>
      <c r="AX25" s="207"/>
      <c r="AY25" s="208"/>
      <c r="AZ25" s="245"/>
      <c r="BA25" s="187"/>
      <c r="BB25" s="187"/>
      <c r="BC25" s="187"/>
      <c r="BD25" s="244"/>
      <c r="BE25" s="207"/>
      <c r="BF25" s="207"/>
      <c r="BG25" s="207"/>
      <c r="BH25" s="208"/>
      <c r="BI25" s="245"/>
      <c r="BJ25" s="187"/>
      <c r="BK25" s="187"/>
      <c r="BL25" s="187"/>
      <c r="BM25" s="244"/>
      <c r="BN25" s="207"/>
      <c r="BO25" s="207"/>
      <c r="BP25" s="207"/>
      <c r="BQ25" s="208"/>
      <c r="BR25" s="189"/>
      <c r="BS25" s="187"/>
      <c r="BT25" s="187"/>
      <c r="BU25" s="187"/>
      <c r="BV25" s="245"/>
      <c r="BW25" s="207"/>
      <c r="BX25" s="207"/>
      <c r="BY25" s="207"/>
      <c r="BZ25" s="208"/>
      <c r="CA25" s="208"/>
      <c r="CB25" s="208"/>
      <c r="CC25" s="208"/>
      <c r="CD25" s="208"/>
      <c r="CE25" s="208"/>
      <c r="CF25" s="208"/>
      <c r="CG25" s="208"/>
      <c r="CH25" s="208"/>
      <c r="CI25" s="208"/>
      <c r="CJ25" s="208"/>
      <c r="CK25" s="208"/>
      <c r="CL25" s="208"/>
      <c r="CM25" s="208"/>
      <c r="CN25" s="208"/>
      <c r="CO25" s="208"/>
      <c r="CP25" s="208"/>
      <c r="CQ25" s="208"/>
      <c r="CR25" s="208"/>
      <c r="CS25" s="208"/>
      <c r="CT25" s="187"/>
      <c r="CU25" s="187"/>
      <c r="CV25" s="246"/>
      <c r="CW25" s="255"/>
      <c r="CX25" s="4"/>
      <c r="CY25" s="4"/>
    </row>
    <row r="26" spans="1:103" ht="18.75" thickTop="1" x14ac:dyDescent="0.2">
      <c r="A26" s="256"/>
      <c r="B26" s="256"/>
      <c r="C26" s="209"/>
      <c r="D26" s="290"/>
      <c r="E26" s="273"/>
      <c r="F26" s="274"/>
      <c r="G26" s="273"/>
      <c r="H26" s="273"/>
      <c r="I26" s="803" t="s">
        <v>39</v>
      </c>
      <c r="J26" s="805"/>
      <c r="K26" s="805"/>
      <c r="L26" s="291"/>
      <c r="M26" s="302"/>
      <c r="N26" s="242"/>
      <c r="O26" s="275"/>
      <c r="P26" s="275"/>
      <c r="Q26" s="808">
        <f>IF($F30="","",SUM(Q42:S42)-S28)</f>
        <v>530</v>
      </c>
      <c r="R26" s="808"/>
      <c r="S26" s="808"/>
      <c r="T26" s="276"/>
      <c r="U26" s="277"/>
      <c r="V26" s="277"/>
      <c r="W26" s="277"/>
      <c r="X26" s="277"/>
      <c r="Y26" s="275"/>
      <c r="Z26" s="808">
        <f>IF($F30="","",SUM(Z42:AB42)-AB28)</f>
        <v>610</v>
      </c>
      <c r="AA26" s="808"/>
      <c r="AB26" s="808"/>
      <c r="AC26" s="276"/>
      <c r="AD26" s="277"/>
      <c r="AE26" s="277"/>
      <c r="AF26" s="277"/>
      <c r="AG26" s="273"/>
      <c r="AH26" s="275"/>
      <c r="AI26" s="808">
        <f>IF($F30="","",SUM(AI42:AK42)-AK28)</f>
        <v>510</v>
      </c>
      <c r="AJ26" s="808"/>
      <c r="AK26" s="808"/>
      <c r="AL26" s="276"/>
      <c r="AM26" s="277"/>
      <c r="AN26" s="277"/>
      <c r="AO26" s="277"/>
      <c r="AP26" s="273"/>
      <c r="AQ26" s="275"/>
      <c r="AR26" s="808">
        <f>IF($F30="","",SUM(AR42:AT42)-AT28)</f>
        <v>570</v>
      </c>
      <c r="AS26" s="808"/>
      <c r="AT26" s="808"/>
      <c r="AU26" s="278"/>
      <c r="AV26" s="277"/>
      <c r="AW26" s="277"/>
      <c r="AX26" s="277"/>
      <c r="AY26" s="279"/>
      <c r="AZ26" s="280"/>
      <c r="BA26" s="808">
        <f>IF($F30="","",SUM(BA42:BC42)-BC28)</f>
        <v>680</v>
      </c>
      <c r="BB26" s="808"/>
      <c r="BC26" s="808"/>
      <c r="BD26" s="278"/>
      <c r="BE26" s="277"/>
      <c r="BF26" s="277"/>
      <c r="BG26" s="277"/>
      <c r="BH26" s="279"/>
      <c r="BI26" s="280"/>
      <c r="BJ26" s="808">
        <f>IF($F30="","",SUM(BJ42:BL42)-BL28)</f>
        <v>530</v>
      </c>
      <c r="BK26" s="808"/>
      <c r="BL26" s="808"/>
      <c r="BM26" s="278"/>
      <c r="BN26" s="277"/>
      <c r="BO26" s="277"/>
      <c r="BP26" s="277"/>
      <c r="BQ26" s="279"/>
      <c r="BR26" s="281"/>
      <c r="BS26" s="808">
        <f>IF($F30="","",SUM(BS42:BU42)-BU28)</f>
        <v>480</v>
      </c>
      <c r="BT26" s="808"/>
      <c r="BU26" s="808"/>
      <c r="BV26" s="280"/>
      <c r="BW26" s="279"/>
      <c r="BX26" s="279"/>
      <c r="BY26" s="279"/>
      <c r="BZ26" s="279"/>
      <c r="CA26" s="281"/>
      <c r="CB26" s="808">
        <f>IF($F30="","",SUM(CB42:CD42)-CD28)</f>
        <v>580</v>
      </c>
      <c r="CC26" s="808"/>
      <c r="CD26" s="808"/>
      <c r="CE26" s="280"/>
      <c r="CF26" s="279"/>
      <c r="CG26" s="279"/>
      <c r="CH26" s="279"/>
      <c r="CI26" s="279"/>
      <c r="CJ26" s="273"/>
      <c r="CK26" s="808">
        <f>IF($F30="","",SUM(CK42:CM42))</f>
        <v>580</v>
      </c>
      <c r="CL26" s="808"/>
      <c r="CM26" s="808"/>
      <c r="CN26" s="280"/>
      <c r="CO26" s="279"/>
      <c r="CP26" s="279"/>
      <c r="CQ26" s="279"/>
      <c r="CR26" s="273"/>
      <c r="CS26" s="273"/>
      <c r="CT26" s="273"/>
      <c r="CU26" s="292"/>
      <c r="CV26" s="246"/>
      <c r="CW26" s="255"/>
      <c r="CX26" s="4"/>
      <c r="CY26" s="4"/>
    </row>
    <row r="27" spans="1:103" x14ac:dyDescent="0.2">
      <c r="A27" s="256"/>
      <c r="B27" s="256"/>
      <c r="C27" s="209"/>
      <c r="D27" s="916">
        <v>34</v>
      </c>
      <c r="E27" s="588">
        <f>DATE($D$4,1,1)+(D27-1)*7+(6-WEEKDAY(DATE($D$4,1,1),2))</f>
        <v>45892</v>
      </c>
      <c r="F27" s="213"/>
      <c r="G27" s="214"/>
      <c r="H27" s="214"/>
      <c r="I27" s="804">
        <f>IF(ISERROR(AVERAGE(Q26,Z26,AI26,AR26,BA26,BJ26,BS26,CB26,CK26)),"",AVERAGE(Q26,Z26,AI26,AR26,BA26,BJ26,BS26,CB26,CK26))</f>
        <v>563.33333333333337</v>
      </c>
      <c r="J27" s="806"/>
      <c r="K27" s="806"/>
      <c r="L27" s="295"/>
      <c r="M27" s="372"/>
      <c r="N27" s="245"/>
      <c r="O27" s="215"/>
      <c r="P27" s="215"/>
      <c r="Q27" s="710">
        <f>IF(Q26="","",Q26/Data!$X$1)</f>
        <v>0.44166666666666665</v>
      </c>
      <c r="R27" s="710"/>
      <c r="S27" s="711">
        <f>IF(SUM(X30:X41)=0,"",SUM(X30:X41))</f>
        <v>6</v>
      </c>
      <c r="T27" s="216"/>
      <c r="U27" s="217"/>
      <c r="V27" s="217"/>
      <c r="W27" s="217"/>
      <c r="X27" s="217"/>
      <c r="Y27" s="215"/>
      <c r="Z27" s="710">
        <f>IF(Z26="","",Z26/Data!$X$1)</f>
        <v>0.5083333333333333</v>
      </c>
      <c r="AA27" s="710"/>
      <c r="AB27" s="711">
        <f>IF(SUM(AG30:AG41)=0,"",SUM(AG30:AG41))</f>
        <v>7</v>
      </c>
      <c r="AC27" s="216"/>
      <c r="AD27" s="217"/>
      <c r="AE27" s="217"/>
      <c r="AF27" s="217"/>
      <c r="AG27" s="217"/>
      <c r="AH27" s="215"/>
      <c r="AI27" s="710">
        <f>IF(AI26="","",AI26/Data!$X$1)</f>
        <v>0.42499999999999999</v>
      </c>
      <c r="AJ27" s="710"/>
      <c r="AK27" s="711">
        <f>IF(SUM(AP30:AP41)=0,"",SUM(AP30:AP41))</f>
        <v>7</v>
      </c>
      <c r="AL27" s="216"/>
      <c r="AM27" s="217"/>
      <c r="AN27" s="217"/>
      <c r="AO27" s="217"/>
      <c r="AP27" s="217"/>
      <c r="AQ27" s="215"/>
      <c r="AR27" s="710">
        <f>IF(AR26="","",AR26/Data!$X$1)</f>
        <v>0.47499999999999998</v>
      </c>
      <c r="AS27" s="710"/>
      <c r="AT27" s="711">
        <f>IF(SUM(AY30:AY41)=0,"",SUM(AY30:AY41))</f>
        <v>8</v>
      </c>
      <c r="AU27" s="218"/>
      <c r="AV27" s="217"/>
      <c r="AW27" s="217"/>
      <c r="AX27" s="217"/>
      <c r="AY27" s="217"/>
      <c r="AZ27" s="219"/>
      <c r="BA27" s="710">
        <f>IF(BA26="","",BA26/Data!$X$1)</f>
        <v>0.56666666666666665</v>
      </c>
      <c r="BB27" s="710"/>
      <c r="BC27" s="711">
        <f>IF(SUM(BH30:BH41)=0,"",SUM(BH30:BH41))</f>
        <v>8</v>
      </c>
      <c r="BD27" s="218"/>
      <c r="BE27" s="217"/>
      <c r="BF27" s="217"/>
      <c r="BG27" s="217"/>
      <c r="BH27" s="217"/>
      <c r="BI27" s="219"/>
      <c r="BJ27" s="710">
        <f>IF(BJ26="","",BJ26/Data!$X$1)</f>
        <v>0.44166666666666665</v>
      </c>
      <c r="BK27" s="710"/>
      <c r="BL27" s="711">
        <f>IF(SUM(BQ30:BQ41)=0,"",SUM(BQ30:BQ41))</f>
        <v>6</v>
      </c>
      <c r="BM27" s="218"/>
      <c r="BN27" s="217"/>
      <c r="BO27" s="217"/>
      <c r="BP27" s="217"/>
      <c r="BQ27" s="217"/>
      <c r="BR27" s="220"/>
      <c r="BS27" s="710">
        <f>IF(BS26="","",BS26/Data!$X$1)</f>
        <v>0.4</v>
      </c>
      <c r="BT27" s="710"/>
      <c r="BU27" s="711">
        <f>IF(SUM(BZ30:BZ41)=0,"",SUM(BZ30:BZ41))</f>
        <v>6</v>
      </c>
      <c r="BV27" s="219"/>
      <c r="BW27" s="217"/>
      <c r="BX27" s="217"/>
      <c r="BY27" s="217"/>
      <c r="BZ27" s="217"/>
      <c r="CA27" s="220"/>
      <c r="CB27" s="710">
        <f>IF(CB26="","",CB26/Data!$X$1)</f>
        <v>0.48333333333333334</v>
      </c>
      <c r="CC27" s="710"/>
      <c r="CD27" s="711">
        <f>IF(SUM(CI30:CI41)=0,"",SUM(CI30:CI41))</f>
        <v>7</v>
      </c>
      <c r="CE27" s="219"/>
      <c r="CF27" s="217"/>
      <c r="CG27" s="217"/>
      <c r="CH27" s="217"/>
      <c r="CI27" s="217"/>
      <c r="CJ27" s="217"/>
      <c r="CK27" s="710">
        <f>IF(CK26="","",CK26/Data!$X$1)</f>
        <v>0.48333333333333334</v>
      </c>
      <c r="CL27" s="710"/>
      <c r="CM27" s="711">
        <f>IF(SUM(CR30:CR41)=0,"",SUM(CR30:CR41))</f>
        <v>7</v>
      </c>
      <c r="CN27" s="219"/>
      <c r="CO27" s="217"/>
      <c r="CP27" s="217"/>
      <c r="CQ27" s="217"/>
      <c r="CR27" s="217"/>
      <c r="CS27" s="217"/>
      <c r="CT27" s="217"/>
      <c r="CU27" s="296"/>
      <c r="CV27" s="246"/>
      <c r="CW27" s="255"/>
      <c r="CX27" s="4"/>
      <c r="CY27" s="4"/>
    </row>
    <row r="28" spans="1:103" ht="13.35" customHeight="1" thickBot="1" x14ac:dyDescent="0.25">
      <c r="A28" s="256"/>
      <c r="B28" s="256"/>
      <c r="C28" s="209"/>
      <c r="D28" s="269">
        <f>D6+1</f>
        <v>2</v>
      </c>
      <c r="E28" s="402" t="s">
        <v>61</v>
      </c>
      <c r="F28" s="221"/>
      <c r="G28" s="222"/>
      <c r="H28" s="222"/>
      <c r="I28" s="802"/>
      <c r="J28" s="807"/>
      <c r="K28" s="807"/>
      <c r="L28" s="297"/>
      <c r="M28" s="373"/>
      <c r="N28" s="377"/>
      <c r="O28" s="222"/>
      <c r="P28" s="222"/>
      <c r="Q28" s="385" t="str">
        <f>Data!$E$11</f>
        <v>AHH</v>
      </c>
      <c r="R28" s="386">
        <f>IF($F41="","",RANK(Q26,$Q26:$CL26))</f>
        <v>6</v>
      </c>
      <c r="S28" s="510"/>
      <c r="T28" s="216">
        <v>0</v>
      </c>
      <c r="U28" s="217"/>
      <c r="V28" s="217"/>
      <c r="W28" s="217"/>
      <c r="X28" s="217"/>
      <c r="Y28" s="215"/>
      <c r="Z28" s="385" t="str">
        <f>Data!$E$12</f>
        <v>RB</v>
      </c>
      <c r="AA28" s="386">
        <f>IF($F41="","",RANK(Z26,$Q26:$CL26))</f>
        <v>2</v>
      </c>
      <c r="AB28" s="510"/>
      <c r="AC28" s="216"/>
      <c r="AD28" s="217"/>
      <c r="AE28" s="217"/>
      <c r="AF28" s="217"/>
      <c r="AG28" s="217"/>
      <c r="AH28" s="215"/>
      <c r="AI28" s="385" t="str">
        <f>Data!$E$13</f>
        <v>EB</v>
      </c>
      <c r="AJ28" s="386">
        <f>IF($F41="","",RANK(AI26,$Q26:$CL26))</f>
        <v>8</v>
      </c>
      <c r="AK28" s="510"/>
      <c r="AL28" s="216"/>
      <c r="AM28" s="217"/>
      <c r="AN28" s="217"/>
      <c r="AO28" s="217"/>
      <c r="AP28" s="217"/>
      <c r="AQ28" s="215"/>
      <c r="AR28" s="346" t="str">
        <f>Data!$E$14</f>
        <v>KAF</v>
      </c>
      <c r="AS28" s="386">
        <f>IF($F41="","",RANK(AR26,$Q26:$CL26))</f>
        <v>5</v>
      </c>
      <c r="AT28" s="510"/>
      <c r="AU28" s="216"/>
      <c r="AV28" s="217"/>
      <c r="AW28" s="217"/>
      <c r="AX28" s="217"/>
      <c r="AY28" s="217"/>
      <c r="AZ28" s="215"/>
      <c r="BA28" s="346" t="str">
        <f>Data!$E$15</f>
        <v>ØG</v>
      </c>
      <c r="BB28" s="386">
        <f>IF($F41="","",RANK(BA26,$Q26:$CL26))</f>
        <v>1</v>
      </c>
      <c r="BC28" s="510"/>
      <c r="BD28" s="216"/>
      <c r="BE28" s="217"/>
      <c r="BF28" s="217"/>
      <c r="BG28" s="217"/>
      <c r="BH28" s="217"/>
      <c r="BI28" s="215"/>
      <c r="BJ28" s="346" t="str">
        <f>Data!$E$16</f>
        <v>JH</v>
      </c>
      <c r="BK28" s="386">
        <f>IF($F41="","",RANK(BJ26,$Q26:$CL26))</f>
        <v>6</v>
      </c>
      <c r="BL28" s="510"/>
      <c r="BM28" s="216"/>
      <c r="BN28" s="217"/>
      <c r="BO28" s="217"/>
      <c r="BP28" s="217"/>
      <c r="BQ28" s="217"/>
      <c r="BR28" s="223"/>
      <c r="BS28" s="346" t="str">
        <f>Data!$E$17</f>
        <v>TOH</v>
      </c>
      <c r="BT28" s="386">
        <f>IF($F41="","",RANK(BS26,$Q26:$CL26))</f>
        <v>9</v>
      </c>
      <c r="BU28" s="510"/>
      <c r="BV28" s="215"/>
      <c r="BW28" s="217"/>
      <c r="BX28" s="217"/>
      <c r="BY28" s="217"/>
      <c r="BZ28" s="217"/>
      <c r="CA28" s="223"/>
      <c r="CB28" s="346" t="s">
        <v>26</v>
      </c>
      <c r="CC28" s="386">
        <f>IF($F41="","",RANK(CB26,$Q26:$CM26))</f>
        <v>3</v>
      </c>
      <c r="CD28" s="511"/>
      <c r="CE28" s="215"/>
      <c r="CF28" s="217"/>
      <c r="CG28" s="217"/>
      <c r="CH28" s="217"/>
      <c r="CI28" s="217"/>
      <c r="CJ28" s="217"/>
      <c r="CK28" s="346" t="s">
        <v>27</v>
      </c>
      <c r="CL28" s="386">
        <f>IF($F41="","",RANK(CK26,$Q26:$CM26))</f>
        <v>3</v>
      </c>
      <c r="CM28" s="798"/>
      <c r="CN28" s="215"/>
      <c r="CO28" s="217"/>
      <c r="CP28" s="217"/>
      <c r="CQ28" s="217"/>
      <c r="CR28" s="217"/>
      <c r="CS28" s="217"/>
      <c r="CT28" s="217"/>
      <c r="CU28" s="296"/>
      <c r="CV28" s="246"/>
      <c r="CW28" s="255"/>
      <c r="CX28" s="4"/>
      <c r="CY28" s="4"/>
    </row>
    <row r="29" spans="1:103" s="174" customFormat="1" ht="13.35" customHeight="1" thickBot="1" x14ac:dyDescent="0.25">
      <c r="A29" s="264"/>
      <c r="B29" s="264"/>
      <c r="C29" s="202"/>
      <c r="D29" s="270"/>
      <c r="E29" s="224"/>
      <c r="F29" s="225"/>
      <c r="G29" s="226"/>
      <c r="H29" s="226"/>
      <c r="I29" s="227" t="s">
        <v>45</v>
      </c>
      <c r="J29" s="228" t="s">
        <v>46</v>
      </c>
      <c r="K29" s="229" t="s">
        <v>47</v>
      </c>
      <c r="L29" s="298"/>
      <c r="M29" s="374"/>
      <c r="N29" s="378"/>
      <c r="O29" s="230"/>
      <c r="P29" s="230"/>
      <c r="Q29" s="227" t="s">
        <v>45</v>
      </c>
      <c r="R29" s="228" t="s">
        <v>46</v>
      </c>
      <c r="S29" s="229" t="s">
        <v>47</v>
      </c>
      <c r="T29" s="231"/>
      <c r="U29" s="232"/>
      <c r="V29" s="232"/>
      <c r="W29" s="232"/>
      <c r="X29" s="232"/>
      <c r="Y29" s="230"/>
      <c r="Z29" s="227" t="s">
        <v>45</v>
      </c>
      <c r="AA29" s="228" t="s">
        <v>46</v>
      </c>
      <c r="AB29" s="229" t="s">
        <v>47</v>
      </c>
      <c r="AC29" s="231"/>
      <c r="AD29" s="232"/>
      <c r="AE29" s="232"/>
      <c r="AF29" s="232"/>
      <c r="AG29" s="232"/>
      <c r="AH29" s="230"/>
      <c r="AI29" s="227" t="s">
        <v>45</v>
      </c>
      <c r="AJ29" s="228" t="s">
        <v>46</v>
      </c>
      <c r="AK29" s="229" t="s">
        <v>47</v>
      </c>
      <c r="AL29" s="231"/>
      <c r="AM29" s="232"/>
      <c r="AN29" s="232"/>
      <c r="AO29" s="232"/>
      <c r="AP29" s="232"/>
      <c r="AQ29" s="230"/>
      <c r="AR29" s="227" t="s">
        <v>45</v>
      </c>
      <c r="AS29" s="228" t="s">
        <v>46</v>
      </c>
      <c r="AT29" s="229" t="s">
        <v>47</v>
      </c>
      <c r="AU29" s="231"/>
      <c r="AV29" s="232"/>
      <c r="AW29" s="232"/>
      <c r="AX29" s="232"/>
      <c r="AY29" s="232"/>
      <c r="AZ29" s="230"/>
      <c r="BA29" s="227" t="s">
        <v>45</v>
      </c>
      <c r="BB29" s="228" t="s">
        <v>46</v>
      </c>
      <c r="BC29" s="229" t="s">
        <v>47</v>
      </c>
      <c r="BD29" s="231"/>
      <c r="BE29" s="232"/>
      <c r="BF29" s="232"/>
      <c r="BG29" s="232"/>
      <c r="BH29" s="232"/>
      <c r="BI29" s="230"/>
      <c r="BJ29" s="227" t="s">
        <v>45</v>
      </c>
      <c r="BK29" s="228" t="s">
        <v>46</v>
      </c>
      <c r="BL29" s="229" t="s">
        <v>47</v>
      </c>
      <c r="BM29" s="231"/>
      <c r="BN29" s="232"/>
      <c r="BO29" s="232"/>
      <c r="BP29" s="232"/>
      <c r="BQ29" s="232"/>
      <c r="BR29" s="230"/>
      <c r="BS29" s="227" t="s">
        <v>45</v>
      </c>
      <c r="BT29" s="228" t="s">
        <v>46</v>
      </c>
      <c r="BU29" s="229" t="s">
        <v>47</v>
      </c>
      <c r="BV29" s="231"/>
      <c r="BW29" s="232"/>
      <c r="BX29" s="232"/>
      <c r="BY29" s="232"/>
      <c r="BZ29" s="233"/>
      <c r="CA29" s="230"/>
      <c r="CB29" s="227" t="s">
        <v>45</v>
      </c>
      <c r="CC29" s="228" t="s">
        <v>46</v>
      </c>
      <c r="CD29" s="229" t="s">
        <v>47</v>
      </c>
      <c r="CE29" s="231"/>
      <c r="CF29" s="232"/>
      <c r="CG29" s="232"/>
      <c r="CH29" s="232"/>
      <c r="CI29" s="232"/>
      <c r="CJ29" s="232"/>
      <c r="CK29" s="227" t="s">
        <v>45</v>
      </c>
      <c r="CL29" s="228" t="s">
        <v>46</v>
      </c>
      <c r="CM29" s="229" t="s">
        <v>47</v>
      </c>
      <c r="CN29" s="231"/>
      <c r="CO29" s="232"/>
      <c r="CP29" s="232"/>
      <c r="CQ29" s="232"/>
      <c r="CR29" s="232"/>
      <c r="CS29" s="232"/>
      <c r="CT29" s="234"/>
      <c r="CU29" s="296"/>
      <c r="CV29" s="246"/>
      <c r="CW29" s="265"/>
      <c r="CX29" s="173"/>
      <c r="CY29" s="173"/>
    </row>
    <row r="30" spans="1:103" s="175" customFormat="1" ht="13.35" customHeight="1" outlineLevel="2" x14ac:dyDescent="0.2">
      <c r="A30" s="264"/>
      <c r="B30" s="264"/>
      <c r="C30" s="202"/>
      <c r="D30" s="271">
        <v>1</v>
      </c>
      <c r="E30" s="166" t="s">
        <v>62</v>
      </c>
      <c r="F30" s="468">
        <v>5</v>
      </c>
      <c r="G30" s="472" t="s">
        <v>49</v>
      </c>
      <c r="H30" s="473">
        <v>0</v>
      </c>
      <c r="I30" s="170" t="str">
        <f t="shared" ref="I30:I41" si="50">IF($F30&gt;$H30,"x","")</f>
        <v>x</v>
      </c>
      <c r="J30" s="387" t="str">
        <f t="shared" ref="J30:J41" si="51">IF(F30&lt;&gt;"",IF(H30&lt;&gt;"",IF(F30=H30,"x",""),""),"")</f>
        <v/>
      </c>
      <c r="K30" s="388" t="str">
        <f t="shared" ref="K30:K41" si="52">IF($F30&lt;$H30,"x","")</f>
        <v/>
      </c>
      <c r="L30" s="299"/>
      <c r="M30" s="375"/>
      <c r="N30" s="379"/>
      <c r="O30" s="236"/>
      <c r="P30" s="236"/>
      <c r="Q30" s="480">
        <v>50</v>
      </c>
      <c r="R30" s="481">
        <v>10</v>
      </c>
      <c r="S30" s="482">
        <f>IF(Q30="","",100-SUM(Q30:R30))</f>
        <v>40</v>
      </c>
      <c r="T30" s="371"/>
      <c r="U30" s="232">
        <f t="shared" ref="U30:U41" si="53">IF($I30="x",Q30,"")</f>
        <v>50</v>
      </c>
      <c r="V30" s="232" t="str">
        <f t="shared" ref="V30:V41" si="54">IF($J30="x",R30,"")</f>
        <v/>
      </c>
      <c r="W30" s="232" t="str">
        <f t="shared" ref="W30:W41" si="55">IF($K30="x",S30,"")</f>
        <v/>
      </c>
      <c r="X30" s="232">
        <f>IF((MAX(U30,V30,W30))=0,"",IF((MAX(U30,V30,W30))=(MAX(Q30,R30,S30)),1,""))</f>
        <v>1</v>
      </c>
      <c r="Y30" s="371"/>
      <c r="Z30" s="495">
        <v>80</v>
      </c>
      <c r="AA30" s="496">
        <v>10</v>
      </c>
      <c r="AB30" s="482">
        <f t="shared" ref="AB30:AB41" si="56">IF(Z30="","",100-SUM(Z30:AA30))</f>
        <v>10</v>
      </c>
      <c r="AC30" s="371"/>
      <c r="AD30" s="232">
        <f t="shared" ref="AD30:AD41" si="57">IF($I30="x",Z30,"")</f>
        <v>80</v>
      </c>
      <c r="AE30" s="232" t="str">
        <f t="shared" ref="AE30:AE41" si="58">IF($J30="x",AA30,"")</f>
        <v/>
      </c>
      <c r="AF30" s="232" t="str">
        <f t="shared" ref="AF30:AF41" si="59">IF($K30="x",AB30,"")</f>
        <v/>
      </c>
      <c r="AG30" s="232">
        <f>IF((MAX(AD30,AE30,AF30))=0,"",IF((MAX(AD30,AE30,AF30))=(MAX(Z30,AA30,AB30)),1,""))</f>
        <v>1</v>
      </c>
      <c r="AH30" s="371"/>
      <c r="AI30" s="495">
        <v>80</v>
      </c>
      <c r="AJ30" s="496">
        <v>10</v>
      </c>
      <c r="AK30" s="482">
        <f t="shared" ref="AK30:AK41" si="60">IF(AI30="","",100-SUM(AI30:AJ30))</f>
        <v>10</v>
      </c>
      <c r="AL30" s="371"/>
      <c r="AM30" s="232">
        <f t="shared" ref="AM30:AM41" si="61">IF($I30="x",AI30,"")</f>
        <v>80</v>
      </c>
      <c r="AN30" s="232" t="str">
        <f t="shared" ref="AN30:AN41" si="62">IF($J30="x",AJ30,"")</f>
        <v/>
      </c>
      <c r="AO30" s="232" t="str">
        <f t="shared" ref="AO30:AO41" si="63">IF($K30="x",AK30,"")</f>
        <v/>
      </c>
      <c r="AP30" s="232">
        <f>IF((MAX(AM30,AN30,AO30))=0,"",IF((MAX(AM30,AN30,AO30))=(MAX(AI30,AJ30,AK30)),1,""))</f>
        <v>1</v>
      </c>
      <c r="AQ30" s="371"/>
      <c r="AR30" s="495">
        <v>80</v>
      </c>
      <c r="AS30" s="496">
        <v>10</v>
      </c>
      <c r="AT30" s="482">
        <f t="shared" ref="AT30:AT41" si="64">IF(AR30="","",100-SUM(AR30:AS30))</f>
        <v>10</v>
      </c>
      <c r="AU30" s="371"/>
      <c r="AV30" s="232">
        <f t="shared" ref="AV30:AV41" si="65">IF($I30="x",AR30,"")</f>
        <v>80</v>
      </c>
      <c r="AW30" s="232" t="str">
        <f t="shared" ref="AW30:AW41" si="66">IF($J30="x",AS30,"")</f>
        <v/>
      </c>
      <c r="AX30" s="232" t="str">
        <f t="shared" ref="AX30:AX41" si="67">IF($K30="x",AT30,"")</f>
        <v/>
      </c>
      <c r="AY30" s="232">
        <f>IF((MAX(AV30,AW30,AX30))=0,"",IF((MAX(AV30,AW30,AX30))=(MAX(AR30,AS30,AT30)),1,""))</f>
        <v>1</v>
      </c>
      <c r="AZ30" s="371"/>
      <c r="BA30" s="495">
        <v>80</v>
      </c>
      <c r="BB30" s="496">
        <v>10</v>
      </c>
      <c r="BC30" s="482">
        <f t="shared" ref="BC30:BC41" si="68">IF(BA30="","",100-SUM(BA30:BB30))</f>
        <v>10</v>
      </c>
      <c r="BD30" s="371"/>
      <c r="BE30" s="232">
        <f t="shared" ref="BE30:BE41" si="69">IF($I30="x",BA30,"")</f>
        <v>80</v>
      </c>
      <c r="BF30" s="232" t="str">
        <f t="shared" ref="BF30:BF41" si="70">IF($J30="x",BB30,"")</f>
        <v/>
      </c>
      <c r="BG30" s="232" t="str">
        <f t="shared" ref="BG30:BG41" si="71">IF($K30="x",BC30,"")</f>
        <v/>
      </c>
      <c r="BH30" s="232">
        <f>IF((MAX(BE30,BF30,BG30))=0,"",IF((MAX(BE30,BF30,BG30))=(MAX(BA30,BB30,BC30)),1,""))</f>
        <v>1</v>
      </c>
      <c r="BI30" s="371"/>
      <c r="BJ30" s="495">
        <v>20</v>
      </c>
      <c r="BK30" s="496">
        <v>20</v>
      </c>
      <c r="BL30" s="482">
        <f t="shared" ref="BL30:BL41" si="72">IF(BJ30="","",100-SUM(BJ30:BK30))</f>
        <v>60</v>
      </c>
      <c r="BM30" s="371"/>
      <c r="BN30" s="232">
        <f t="shared" ref="BN30:BN41" si="73">IF($I30="x",BJ30,"")</f>
        <v>20</v>
      </c>
      <c r="BO30" s="232" t="str">
        <f t="shared" ref="BO30:BO41" si="74">IF($J30="x",BK30,"")</f>
        <v/>
      </c>
      <c r="BP30" s="232" t="str">
        <f t="shared" ref="BP30:BP41" si="75">IF($K30="x",BL30,"")</f>
        <v/>
      </c>
      <c r="BQ30" s="232" t="str">
        <f>IF((MAX(BN30,BO30,BP30))=0,"",IF((MAX(BN30,BO30,BP30))=(MAX(BJ30,BK30,BL30)),1,""))</f>
        <v/>
      </c>
      <c r="BR30" s="371"/>
      <c r="BS30" s="495">
        <v>60</v>
      </c>
      <c r="BT30" s="496">
        <v>20</v>
      </c>
      <c r="BU30" s="482">
        <f t="shared" ref="BU30:BU41" si="76">IF(BS30="","",100-SUM(BS30:BT30))</f>
        <v>20</v>
      </c>
      <c r="BV30" s="371"/>
      <c r="BW30" s="232">
        <f t="shared" ref="BW30:BW41" si="77">IF($I30="x",BS30,"")</f>
        <v>60</v>
      </c>
      <c r="BX30" s="232" t="str">
        <f t="shared" ref="BX30:BX41" si="78">IF($J30="x",BT30,"")</f>
        <v/>
      </c>
      <c r="BY30" s="232" t="str">
        <f t="shared" ref="BY30:BY41" si="79">IF($K30="x",BU30,"")</f>
        <v/>
      </c>
      <c r="BZ30" s="232">
        <f>IF((MAX(BW30,BX30,BY30))=0,"",IF((MAX(BW30,BX30,BY30))=(MAX(BS30,BT30,BU30)),1,""))</f>
        <v>1</v>
      </c>
      <c r="CA30" s="371"/>
      <c r="CB30" s="501">
        <f t="shared" ref="CB30:CB41" si="80">IFERROR(ROUNDUP((SUM(Q30,Z30,AI30,AR30,BA30,BJ30,BS30)/SUM($Q30:$S30,$Z30:$AB30,$AI30:$AK30,$AR30:$AT30,$BA30:$BC30,$BJ30:$BL30,$BS30:$BU30))*100,-1),"")</f>
        <v>70</v>
      </c>
      <c r="CC30" s="502">
        <f t="shared" ref="CC30:CC41" si="81">IFERROR(ROUNDDOWN((SUM(R30,AA30,AJ30,AS30,BB30,BK30,BT30)/SUM($Q30:$S30,$Z30:$AB30,$AI30:$AK30,$AR30:$AT30,$BA30:$BC30,$BJ30:$BL30,$BS30:$BU30))*100,-1),"")</f>
        <v>10</v>
      </c>
      <c r="CD30" s="503">
        <f t="shared" ref="CD30:CD41" si="82">IF(CB30="","",100-SUM(CB30:CC30))</f>
        <v>20</v>
      </c>
      <c r="CE30" s="371"/>
      <c r="CF30" s="232">
        <f t="shared" ref="CF30:CF41" si="83">IF($I30="x",CB30,"")</f>
        <v>70</v>
      </c>
      <c r="CG30" s="232" t="str">
        <f t="shared" ref="CG30:CG41" si="84">IF($J30="x",CC30,"")</f>
        <v/>
      </c>
      <c r="CH30" s="232" t="str">
        <f t="shared" ref="CH30:CH41" si="85">IF($K30="x",CD30,"")</f>
        <v/>
      </c>
      <c r="CI30" s="232">
        <f>IF((MAX(CF30,CG30,CH30))=0,"",IF((MAX(CF30,CG30,CH30))=(MAX(CB30,CC30,CD30)),1,""))</f>
        <v>1</v>
      </c>
      <c r="CJ30" s="232"/>
      <c r="CK30" s="495">
        <v>80</v>
      </c>
      <c r="CL30" s="496">
        <v>10</v>
      </c>
      <c r="CM30" s="482">
        <f t="shared" ref="CM30:CM41" si="86">IF(CK30="","",100-SUM(CK30:CL30))</f>
        <v>10</v>
      </c>
      <c r="CN30" s="371"/>
      <c r="CO30" s="232">
        <f t="shared" ref="CO30:CO41" si="87">IF($I30="x",CK30,"")</f>
        <v>80</v>
      </c>
      <c r="CP30" s="232" t="str">
        <f t="shared" ref="CP30:CP41" si="88">IF($J30="x",CL30,"")</f>
        <v/>
      </c>
      <c r="CQ30" s="232" t="str">
        <f t="shared" ref="CQ30:CQ41" si="89">IF($K30="x",CM30,"")</f>
        <v/>
      </c>
      <c r="CR30" s="232">
        <f>IF((MAX(CO30,CP30,CQ30))=0,"",IF((MAX(CO30,CP30,CQ30))=(MAX(CK30,CL30,CM30)),1,""))</f>
        <v>1</v>
      </c>
      <c r="CS30" s="232"/>
      <c r="CT30" s="371"/>
      <c r="CU30" s="296"/>
      <c r="CV30" s="246"/>
      <c r="CW30" s="264"/>
      <c r="CX30" s="173"/>
      <c r="CY30" s="173"/>
    </row>
    <row r="31" spans="1:103" s="175" customFormat="1" ht="13.35" customHeight="1" outlineLevel="2" x14ac:dyDescent="0.2">
      <c r="A31" s="264"/>
      <c r="B31" s="264"/>
      <c r="C31" s="202"/>
      <c r="D31" s="271">
        <v>2</v>
      </c>
      <c r="E31" s="167" t="s">
        <v>63</v>
      </c>
      <c r="F31" s="469">
        <v>1</v>
      </c>
      <c r="G31" s="474" t="s">
        <v>49</v>
      </c>
      <c r="H31" s="475">
        <v>0</v>
      </c>
      <c r="I31" s="389" t="str">
        <f t="shared" si="50"/>
        <v>x</v>
      </c>
      <c r="J31" s="390" t="str">
        <f t="shared" si="51"/>
        <v/>
      </c>
      <c r="K31" s="391" t="str">
        <f t="shared" si="52"/>
        <v/>
      </c>
      <c r="L31" s="299"/>
      <c r="M31" s="375"/>
      <c r="N31" s="379"/>
      <c r="O31" s="236"/>
      <c r="P31" s="236"/>
      <c r="Q31" s="483">
        <v>30</v>
      </c>
      <c r="R31" s="484">
        <v>20</v>
      </c>
      <c r="S31" s="485">
        <f t="shared" ref="S31:S41" si="90">IF(Q31="","",100-SUM(Q31:R31))</f>
        <v>50</v>
      </c>
      <c r="T31" s="371"/>
      <c r="U31" s="232">
        <f t="shared" si="53"/>
        <v>30</v>
      </c>
      <c r="V31" s="232" t="str">
        <f t="shared" si="54"/>
        <v/>
      </c>
      <c r="W31" s="232" t="str">
        <f t="shared" si="55"/>
        <v/>
      </c>
      <c r="X31" s="232" t="str">
        <f t="shared" ref="X31:X41" si="91">IF((MAX(U31,V31,W31))=0,"",IF((MAX(U31,V31,W31))=(MAX(Q31,R31,S31)),1,""))</f>
        <v/>
      </c>
      <c r="Y31" s="371"/>
      <c r="Z31" s="497">
        <v>80</v>
      </c>
      <c r="AA31" s="498">
        <v>10</v>
      </c>
      <c r="AB31" s="485">
        <f t="shared" si="56"/>
        <v>10</v>
      </c>
      <c r="AC31" s="371"/>
      <c r="AD31" s="232">
        <f t="shared" si="57"/>
        <v>80</v>
      </c>
      <c r="AE31" s="232" t="str">
        <f t="shared" si="58"/>
        <v/>
      </c>
      <c r="AF31" s="232" t="str">
        <f t="shared" si="59"/>
        <v/>
      </c>
      <c r="AG31" s="232">
        <f t="shared" ref="AG31:AG41" si="92">IF((MAX(AD31,AE31,AF31))=0,"",IF((MAX(AD31,AE31,AF31))=(MAX(Z31,AA31,AB31)),1,""))</f>
        <v>1</v>
      </c>
      <c r="AH31" s="371"/>
      <c r="AI31" s="497">
        <v>70</v>
      </c>
      <c r="AJ31" s="498">
        <v>20</v>
      </c>
      <c r="AK31" s="485">
        <f t="shared" si="60"/>
        <v>10</v>
      </c>
      <c r="AL31" s="371"/>
      <c r="AM31" s="232">
        <f t="shared" si="61"/>
        <v>70</v>
      </c>
      <c r="AN31" s="232" t="str">
        <f t="shared" si="62"/>
        <v/>
      </c>
      <c r="AO31" s="232" t="str">
        <f t="shared" si="63"/>
        <v/>
      </c>
      <c r="AP31" s="232">
        <f t="shared" ref="AP31:AP41" si="93">IF((MAX(AM31,AN31,AO31))=0,"",IF((MAX(AM31,AN31,AO31))=(MAX(AI31,AJ31,AK31)),1,""))</f>
        <v>1</v>
      </c>
      <c r="AQ31" s="371"/>
      <c r="AR31" s="497">
        <v>50</v>
      </c>
      <c r="AS31" s="498">
        <v>20</v>
      </c>
      <c r="AT31" s="485">
        <f t="shared" si="64"/>
        <v>30</v>
      </c>
      <c r="AU31" s="371"/>
      <c r="AV31" s="232">
        <f t="shared" si="65"/>
        <v>50</v>
      </c>
      <c r="AW31" s="232" t="str">
        <f t="shared" si="66"/>
        <v/>
      </c>
      <c r="AX31" s="232" t="str">
        <f t="shared" si="67"/>
        <v/>
      </c>
      <c r="AY31" s="232">
        <f t="shared" ref="AY31:AY41" si="94">IF((MAX(AV31,AW31,AX31))=0,"",IF((MAX(AV31,AW31,AX31))=(MAX(AR31,AS31,AT31)),1,""))</f>
        <v>1</v>
      </c>
      <c r="AZ31" s="371"/>
      <c r="BA31" s="497">
        <v>80</v>
      </c>
      <c r="BB31" s="498">
        <v>10</v>
      </c>
      <c r="BC31" s="485">
        <f t="shared" si="68"/>
        <v>10</v>
      </c>
      <c r="BD31" s="371"/>
      <c r="BE31" s="232">
        <f t="shared" si="69"/>
        <v>80</v>
      </c>
      <c r="BF31" s="232" t="str">
        <f t="shared" si="70"/>
        <v/>
      </c>
      <c r="BG31" s="232" t="str">
        <f t="shared" si="71"/>
        <v/>
      </c>
      <c r="BH31" s="232">
        <f t="shared" ref="BH31:BH41" si="95">IF((MAX(BE31,BF31,BG31))=0,"",IF((MAX(BE31,BF31,BG31))=(MAX(BA31,BB31,BC31)),1,""))</f>
        <v>1</v>
      </c>
      <c r="BI31" s="371"/>
      <c r="BJ31" s="497">
        <v>40</v>
      </c>
      <c r="BK31" s="498">
        <v>40</v>
      </c>
      <c r="BL31" s="485">
        <f t="shared" si="72"/>
        <v>20</v>
      </c>
      <c r="BM31" s="371"/>
      <c r="BN31" s="232">
        <f t="shared" si="73"/>
        <v>40</v>
      </c>
      <c r="BO31" s="232" t="str">
        <f t="shared" si="74"/>
        <v/>
      </c>
      <c r="BP31" s="232" t="str">
        <f t="shared" si="75"/>
        <v/>
      </c>
      <c r="BQ31" s="232">
        <f t="shared" ref="BQ31:BQ41" si="96">IF((MAX(BN31,BO31,BP31))=0,"",IF((MAX(BN31,BO31,BP31))=(MAX(BJ31,BK31,BL31)),1,""))</f>
        <v>1</v>
      </c>
      <c r="BR31" s="371"/>
      <c r="BS31" s="497">
        <v>20</v>
      </c>
      <c r="BT31" s="498">
        <v>10</v>
      </c>
      <c r="BU31" s="485">
        <f t="shared" si="76"/>
        <v>70</v>
      </c>
      <c r="BV31" s="371"/>
      <c r="BW31" s="232">
        <f t="shared" si="77"/>
        <v>20</v>
      </c>
      <c r="BX31" s="232" t="str">
        <f t="shared" si="78"/>
        <v/>
      </c>
      <c r="BY31" s="232" t="str">
        <f t="shared" si="79"/>
        <v/>
      </c>
      <c r="BZ31" s="232" t="str">
        <f t="shared" ref="BZ31:BZ41" si="97">IF((MAX(BW31,BX31,BY31))=0,"",IF((MAX(BW31,BX31,BY31))=(MAX(BS31,BT31,BU31)),1,""))</f>
        <v/>
      </c>
      <c r="CA31" s="371"/>
      <c r="CB31" s="504">
        <f t="shared" si="80"/>
        <v>60</v>
      </c>
      <c r="CC31" s="505">
        <f t="shared" si="81"/>
        <v>10</v>
      </c>
      <c r="CD31" s="506">
        <f t="shared" si="82"/>
        <v>30</v>
      </c>
      <c r="CE31" s="371"/>
      <c r="CF31" s="232">
        <f t="shared" si="83"/>
        <v>60</v>
      </c>
      <c r="CG31" s="232" t="str">
        <f t="shared" si="84"/>
        <v/>
      </c>
      <c r="CH31" s="232" t="str">
        <f t="shared" si="85"/>
        <v/>
      </c>
      <c r="CI31" s="232">
        <f t="shared" ref="CI31:CI41" si="98">IF((MAX(CF31,CG31,CH31))=0,"",IF((MAX(CF31,CG31,CH31))=(MAX(CB31,CC31,CD31)),1,""))</f>
        <v>1</v>
      </c>
      <c r="CJ31" s="232"/>
      <c r="CK31" s="497">
        <v>60</v>
      </c>
      <c r="CL31" s="498">
        <v>10</v>
      </c>
      <c r="CM31" s="485">
        <f t="shared" si="86"/>
        <v>30</v>
      </c>
      <c r="CN31" s="371"/>
      <c r="CO31" s="232">
        <f t="shared" si="87"/>
        <v>60</v>
      </c>
      <c r="CP31" s="232" t="str">
        <f t="shared" si="88"/>
        <v/>
      </c>
      <c r="CQ31" s="232" t="str">
        <f t="shared" si="89"/>
        <v/>
      </c>
      <c r="CR31" s="232">
        <f t="shared" ref="CR31:CR41" si="99">IF((MAX(CO31,CP31,CQ31))=0,"",IF((MAX(CO31,CP31,CQ31))=(MAX(CK31,CL31,CM31)),1,""))</f>
        <v>1</v>
      </c>
      <c r="CS31" s="232"/>
      <c r="CT31" s="371"/>
      <c r="CU31" s="296"/>
      <c r="CV31" s="246"/>
      <c r="CW31" s="264"/>
      <c r="CX31" s="173"/>
      <c r="CY31" s="173"/>
    </row>
    <row r="32" spans="1:103" s="175" customFormat="1" ht="13.35" customHeight="1" outlineLevel="2" thickBot="1" x14ac:dyDescent="0.25">
      <c r="A32" s="264"/>
      <c r="B32" s="264"/>
      <c r="C32" s="202"/>
      <c r="D32" s="271">
        <v>3</v>
      </c>
      <c r="E32" s="168" t="s">
        <v>64</v>
      </c>
      <c r="F32" s="470">
        <v>2</v>
      </c>
      <c r="G32" s="476" t="s">
        <v>49</v>
      </c>
      <c r="H32" s="477">
        <v>0</v>
      </c>
      <c r="I32" s="392" t="str">
        <f t="shared" si="50"/>
        <v>x</v>
      </c>
      <c r="J32" s="393" t="str">
        <f t="shared" si="51"/>
        <v/>
      </c>
      <c r="K32" s="394" t="str">
        <f t="shared" si="52"/>
        <v/>
      </c>
      <c r="L32" s="299"/>
      <c r="M32" s="375"/>
      <c r="N32" s="379"/>
      <c r="O32" s="236"/>
      <c r="P32" s="236"/>
      <c r="Q32" s="486">
        <v>80</v>
      </c>
      <c r="R32" s="487">
        <v>10</v>
      </c>
      <c r="S32" s="488">
        <f t="shared" si="90"/>
        <v>10</v>
      </c>
      <c r="T32" s="371"/>
      <c r="U32" s="232">
        <f t="shared" si="53"/>
        <v>80</v>
      </c>
      <c r="V32" s="232" t="str">
        <f t="shared" si="54"/>
        <v/>
      </c>
      <c r="W32" s="232" t="str">
        <f t="shared" si="55"/>
        <v/>
      </c>
      <c r="X32" s="232">
        <f t="shared" si="91"/>
        <v>1</v>
      </c>
      <c r="Y32" s="371"/>
      <c r="Z32" s="499">
        <v>80</v>
      </c>
      <c r="AA32" s="500">
        <v>10</v>
      </c>
      <c r="AB32" s="488">
        <f t="shared" si="56"/>
        <v>10</v>
      </c>
      <c r="AC32" s="371"/>
      <c r="AD32" s="232">
        <f t="shared" si="57"/>
        <v>80</v>
      </c>
      <c r="AE32" s="232" t="str">
        <f t="shared" si="58"/>
        <v/>
      </c>
      <c r="AF32" s="232" t="str">
        <f t="shared" si="59"/>
        <v/>
      </c>
      <c r="AG32" s="232">
        <f t="shared" si="92"/>
        <v>1</v>
      </c>
      <c r="AH32" s="371"/>
      <c r="AI32" s="499">
        <v>10</v>
      </c>
      <c r="AJ32" s="500">
        <v>10</v>
      </c>
      <c r="AK32" s="488">
        <f t="shared" si="60"/>
        <v>80</v>
      </c>
      <c r="AL32" s="371"/>
      <c r="AM32" s="232">
        <f t="shared" si="61"/>
        <v>10</v>
      </c>
      <c r="AN32" s="232" t="str">
        <f t="shared" si="62"/>
        <v/>
      </c>
      <c r="AO32" s="232" t="str">
        <f t="shared" si="63"/>
        <v/>
      </c>
      <c r="AP32" s="232" t="str">
        <f t="shared" si="93"/>
        <v/>
      </c>
      <c r="AQ32" s="371"/>
      <c r="AR32" s="499">
        <v>40</v>
      </c>
      <c r="AS32" s="500">
        <v>30</v>
      </c>
      <c r="AT32" s="488">
        <f t="shared" si="64"/>
        <v>30</v>
      </c>
      <c r="AU32" s="371"/>
      <c r="AV32" s="232">
        <f t="shared" si="65"/>
        <v>40</v>
      </c>
      <c r="AW32" s="232" t="str">
        <f t="shared" si="66"/>
        <v/>
      </c>
      <c r="AX32" s="232" t="str">
        <f t="shared" si="67"/>
        <v/>
      </c>
      <c r="AY32" s="232">
        <f t="shared" si="94"/>
        <v>1</v>
      </c>
      <c r="AZ32" s="371"/>
      <c r="BA32" s="499">
        <v>80</v>
      </c>
      <c r="BB32" s="500">
        <v>10</v>
      </c>
      <c r="BC32" s="488">
        <f t="shared" si="68"/>
        <v>10</v>
      </c>
      <c r="BD32" s="371"/>
      <c r="BE32" s="232">
        <f t="shared" si="69"/>
        <v>80</v>
      </c>
      <c r="BF32" s="232" t="str">
        <f t="shared" si="70"/>
        <v/>
      </c>
      <c r="BG32" s="232" t="str">
        <f t="shared" si="71"/>
        <v/>
      </c>
      <c r="BH32" s="232">
        <f t="shared" si="95"/>
        <v>1</v>
      </c>
      <c r="BI32" s="371"/>
      <c r="BJ32" s="499">
        <v>20</v>
      </c>
      <c r="BK32" s="500">
        <v>30</v>
      </c>
      <c r="BL32" s="488">
        <f t="shared" si="72"/>
        <v>50</v>
      </c>
      <c r="BM32" s="371"/>
      <c r="BN32" s="232">
        <f t="shared" si="73"/>
        <v>20</v>
      </c>
      <c r="BO32" s="232" t="str">
        <f t="shared" si="74"/>
        <v/>
      </c>
      <c r="BP32" s="232" t="str">
        <f t="shared" si="75"/>
        <v/>
      </c>
      <c r="BQ32" s="232" t="str">
        <f t="shared" si="96"/>
        <v/>
      </c>
      <c r="BR32" s="371"/>
      <c r="BS32" s="499">
        <v>10</v>
      </c>
      <c r="BT32" s="500">
        <v>10</v>
      </c>
      <c r="BU32" s="488">
        <f t="shared" si="76"/>
        <v>80</v>
      </c>
      <c r="BV32" s="371"/>
      <c r="BW32" s="232">
        <f t="shared" si="77"/>
        <v>10</v>
      </c>
      <c r="BX32" s="232" t="str">
        <f t="shared" si="78"/>
        <v/>
      </c>
      <c r="BY32" s="232" t="str">
        <f t="shared" si="79"/>
        <v/>
      </c>
      <c r="BZ32" s="232" t="str">
        <f t="shared" si="97"/>
        <v/>
      </c>
      <c r="CA32" s="371"/>
      <c r="CB32" s="507">
        <f t="shared" si="80"/>
        <v>50</v>
      </c>
      <c r="CC32" s="508">
        <f t="shared" si="81"/>
        <v>10</v>
      </c>
      <c r="CD32" s="509">
        <f t="shared" si="82"/>
        <v>40</v>
      </c>
      <c r="CE32" s="371"/>
      <c r="CF32" s="232">
        <f t="shared" si="83"/>
        <v>50</v>
      </c>
      <c r="CG32" s="232" t="str">
        <f t="shared" si="84"/>
        <v/>
      </c>
      <c r="CH32" s="232" t="str">
        <f t="shared" si="85"/>
        <v/>
      </c>
      <c r="CI32" s="232">
        <f t="shared" si="98"/>
        <v>1</v>
      </c>
      <c r="CJ32" s="232"/>
      <c r="CK32" s="499">
        <v>50</v>
      </c>
      <c r="CL32" s="500">
        <v>20</v>
      </c>
      <c r="CM32" s="488">
        <f t="shared" si="86"/>
        <v>30</v>
      </c>
      <c r="CN32" s="371"/>
      <c r="CO32" s="232">
        <f t="shared" si="87"/>
        <v>50</v>
      </c>
      <c r="CP32" s="232" t="str">
        <f t="shared" si="88"/>
        <v/>
      </c>
      <c r="CQ32" s="232" t="str">
        <f t="shared" si="89"/>
        <v/>
      </c>
      <c r="CR32" s="232">
        <f t="shared" si="99"/>
        <v>1</v>
      </c>
      <c r="CS32" s="232"/>
      <c r="CT32" s="371"/>
      <c r="CU32" s="296"/>
      <c r="CV32" s="246"/>
      <c r="CW32" s="264"/>
      <c r="CX32" s="176"/>
      <c r="CY32" s="176"/>
    </row>
    <row r="33" spans="1:103" s="175" customFormat="1" ht="13.35" customHeight="1" outlineLevel="2" x14ac:dyDescent="0.2">
      <c r="A33" s="264"/>
      <c r="B33" s="264"/>
      <c r="C33" s="202"/>
      <c r="D33" s="271">
        <v>4</v>
      </c>
      <c r="E33" s="166" t="s">
        <v>65</v>
      </c>
      <c r="F33" s="468">
        <v>1</v>
      </c>
      <c r="G33" s="472" t="s">
        <v>49</v>
      </c>
      <c r="H33" s="473">
        <v>0</v>
      </c>
      <c r="I33" s="170" t="str">
        <f t="shared" si="50"/>
        <v>x</v>
      </c>
      <c r="J33" s="387" t="str">
        <f t="shared" si="51"/>
        <v/>
      </c>
      <c r="K33" s="388" t="str">
        <f t="shared" si="52"/>
        <v/>
      </c>
      <c r="L33" s="299"/>
      <c r="M33" s="375"/>
      <c r="N33" s="379"/>
      <c r="O33" s="236"/>
      <c r="P33" s="236"/>
      <c r="Q33" s="480">
        <v>60</v>
      </c>
      <c r="R33" s="481">
        <v>20</v>
      </c>
      <c r="S33" s="482">
        <f t="shared" si="90"/>
        <v>20</v>
      </c>
      <c r="T33" s="371"/>
      <c r="U33" s="232">
        <f t="shared" si="53"/>
        <v>60</v>
      </c>
      <c r="V33" s="232" t="str">
        <f t="shared" si="54"/>
        <v/>
      </c>
      <c r="W33" s="232" t="str">
        <f t="shared" si="55"/>
        <v/>
      </c>
      <c r="X33" s="232">
        <f t="shared" si="91"/>
        <v>1</v>
      </c>
      <c r="Y33" s="371"/>
      <c r="Z33" s="495">
        <v>10</v>
      </c>
      <c r="AA33" s="496">
        <v>10</v>
      </c>
      <c r="AB33" s="482">
        <f t="shared" si="56"/>
        <v>80</v>
      </c>
      <c r="AC33" s="371"/>
      <c r="AD33" s="232">
        <f t="shared" si="57"/>
        <v>10</v>
      </c>
      <c r="AE33" s="232" t="str">
        <f t="shared" si="58"/>
        <v/>
      </c>
      <c r="AF33" s="232" t="str">
        <f t="shared" si="59"/>
        <v/>
      </c>
      <c r="AG33" s="232" t="str">
        <f t="shared" si="92"/>
        <v/>
      </c>
      <c r="AH33" s="371"/>
      <c r="AI33" s="495">
        <v>20</v>
      </c>
      <c r="AJ33" s="496">
        <v>20</v>
      </c>
      <c r="AK33" s="482">
        <f t="shared" si="60"/>
        <v>60</v>
      </c>
      <c r="AL33" s="371"/>
      <c r="AM33" s="232">
        <f t="shared" si="61"/>
        <v>20</v>
      </c>
      <c r="AN33" s="232" t="str">
        <f t="shared" si="62"/>
        <v/>
      </c>
      <c r="AO33" s="232" t="str">
        <f t="shared" si="63"/>
        <v/>
      </c>
      <c r="AP33" s="232" t="str">
        <f t="shared" si="93"/>
        <v/>
      </c>
      <c r="AQ33" s="371"/>
      <c r="AR33" s="495">
        <v>10</v>
      </c>
      <c r="AS33" s="496">
        <v>40</v>
      </c>
      <c r="AT33" s="482">
        <f t="shared" si="64"/>
        <v>50</v>
      </c>
      <c r="AU33" s="371"/>
      <c r="AV33" s="232">
        <f t="shared" si="65"/>
        <v>10</v>
      </c>
      <c r="AW33" s="232" t="str">
        <f t="shared" si="66"/>
        <v/>
      </c>
      <c r="AX33" s="232" t="str">
        <f t="shared" si="67"/>
        <v/>
      </c>
      <c r="AY33" s="232" t="str">
        <f t="shared" si="94"/>
        <v/>
      </c>
      <c r="AZ33" s="371"/>
      <c r="BA33" s="495">
        <v>80</v>
      </c>
      <c r="BB33" s="496">
        <v>10</v>
      </c>
      <c r="BC33" s="482">
        <f t="shared" si="68"/>
        <v>10</v>
      </c>
      <c r="BD33" s="371"/>
      <c r="BE33" s="232">
        <f t="shared" si="69"/>
        <v>80</v>
      </c>
      <c r="BF33" s="232" t="str">
        <f t="shared" si="70"/>
        <v/>
      </c>
      <c r="BG33" s="232" t="str">
        <f t="shared" si="71"/>
        <v/>
      </c>
      <c r="BH33" s="232">
        <f t="shared" si="95"/>
        <v>1</v>
      </c>
      <c r="BI33" s="371"/>
      <c r="BJ33" s="495">
        <v>20</v>
      </c>
      <c r="BK33" s="496">
        <v>20</v>
      </c>
      <c r="BL33" s="482">
        <f t="shared" si="72"/>
        <v>60</v>
      </c>
      <c r="BM33" s="371"/>
      <c r="BN33" s="232">
        <f t="shared" si="73"/>
        <v>20</v>
      </c>
      <c r="BO33" s="232" t="str">
        <f t="shared" si="74"/>
        <v/>
      </c>
      <c r="BP33" s="232" t="str">
        <f t="shared" si="75"/>
        <v/>
      </c>
      <c r="BQ33" s="232" t="str">
        <f t="shared" si="96"/>
        <v/>
      </c>
      <c r="BR33" s="371"/>
      <c r="BS33" s="495">
        <v>20</v>
      </c>
      <c r="BT33" s="496">
        <v>10</v>
      </c>
      <c r="BU33" s="482">
        <f t="shared" si="76"/>
        <v>70</v>
      </c>
      <c r="BV33" s="371"/>
      <c r="BW33" s="232">
        <f t="shared" si="77"/>
        <v>20</v>
      </c>
      <c r="BX33" s="232" t="str">
        <f t="shared" si="78"/>
        <v/>
      </c>
      <c r="BY33" s="232" t="str">
        <f t="shared" si="79"/>
        <v/>
      </c>
      <c r="BZ33" s="232" t="str">
        <f t="shared" si="97"/>
        <v/>
      </c>
      <c r="CA33" s="371"/>
      <c r="CB33" s="501">
        <f t="shared" si="80"/>
        <v>40</v>
      </c>
      <c r="CC33" s="502">
        <f t="shared" si="81"/>
        <v>10</v>
      </c>
      <c r="CD33" s="503">
        <f t="shared" si="82"/>
        <v>50</v>
      </c>
      <c r="CE33" s="371"/>
      <c r="CF33" s="232">
        <f t="shared" si="83"/>
        <v>40</v>
      </c>
      <c r="CG33" s="232" t="str">
        <f t="shared" si="84"/>
        <v/>
      </c>
      <c r="CH33" s="232" t="str">
        <f t="shared" si="85"/>
        <v/>
      </c>
      <c r="CI33" s="232" t="str">
        <f t="shared" si="98"/>
        <v/>
      </c>
      <c r="CJ33" s="232"/>
      <c r="CK33" s="495">
        <v>20</v>
      </c>
      <c r="CL33" s="496">
        <v>20</v>
      </c>
      <c r="CM33" s="482">
        <f t="shared" si="86"/>
        <v>60</v>
      </c>
      <c r="CN33" s="371"/>
      <c r="CO33" s="232">
        <f t="shared" si="87"/>
        <v>20</v>
      </c>
      <c r="CP33" s="232" t="str">
        <f t="shared" si="88"/>
        <v/>
      </c>
      <c r="CQ33" s="232" t="str">
        <f t="shared" si="89"/>
        <v/>
      </c>
      <c r="CR33" s="232" t="str">
        <f t="shared" si="99"/>
        <v/>
      </c>
      <c r="CS33" s="232"/>
      <c r="CT33" s="371"/>
      <c r="CU33" s="296"/>
      <c r="CV33" s="246"/>
      <c r="CW33" s="264"/>
      <c r="CX33" s="176"/>
      <c r="CY33" s="176"/>
    </row>
    <row r="34" spans="1:103" s="175" customFormat="1" ht="13.35" customHeight="1" outlineLevel="2" x14ac:dyDescent="0.2">
      <c r="A34" s="264"/>
      <c r="B34" s="264"/>
      <c r="C34" s="202"/>
      <c r="D34" s="271">
        <v>5</v>
      </c>
      <c r="E34" s="167" t="s">
        <v>66</v>
      </c>
      <c r="F34" s="469">
        <v>3</v>
      </c>
      <c r="G34" s="474" t="s">
        <v>49</v>
      </c>
      <c r="H34" s="475">
        <v>1</v>
      </c>
      <c r="I34" s="389" t="str">
        <f t="shared" si="50"/>
        <v>x</v>
      </c>
      <c r="J34" s="390" t="str">
        <f t="shared" si="51"/>
        <v/>
      </c>
      <c r="K34" s="391" t="str">
        <f t="shared" si="52"/>
        <v/>
      </c>
      <c r="L34" s="299"/>
      <c r="M34" s="375"/>
      <c r="N34" s="379"/>
      <c r="O34" s="236"/>
      <c r="P34" s="236"/>
      <c r="Q34" s="483">
        <v>40</v>
      </c>
      <c r="R34" s="484">
        <v>30</v>
      </c>
      <c r="S34" s="485">
        <f t="shared" si="90"/>
        <v>30</v>
      </c>
      <c r="T34" s="371"/>
      <c r="U34" s="232">
        <f t="shared" si="53"/>
        <v>40</v>
      </c>
      <c r="V34" s="232" t="str">
        <f t="shared" si="54"/>
        <v/>
      </c>
      <c r="W34" s="232" t="str">
        <f t="shared" si="55"/>
        <v/>
      </c>
      <c r="X34" s="232">
        <f t="shared" si="91"/>
        <v>1</v>
      </c>
      <c r="Y34" s="371"/>
      <c r="Z34" s="497">
        <v>80</v>
      </c>
      <c r="AA34" s="498">
        <v>10</v>
      </c>
      <c r="AB34" s="485">
        <f t="shared" si="56"/>
        <v>10</v>
      </c>
      <c r="AC34" s="371"/>
      <c r="AD34" s="232">
        <f t="shared" si="57"/>
        <v>80</v>
      </c>
      <c r="AE34" s="232" t="str">
        <f t="shared" si="58"/>
        <v/>
      </c>
      <c r="AF34" s="232" t="str">
        <f t="shared" si="59"/>
        <v/>
      </c>
      <c r="AG34" s="232">
        <f t="shared" si="92"/>
        <v>1</v>
      </c>
      <c r="AH34" s="371"/>
      <c r="AI34" s="497">
        <v>40</v>
      </c>
      <c r="AJ34" s="498">
        <v>20</v>
      </c>
      <c r="AK34" s="485">
        <f t="shared" si="60"/>
        <v>40</v>
      </c>
      <c r="AL34" s="371"/>
      <c r="AM34" s="232">
        <f t="shared" si="61"/>
        <v>40</v>
      </c>
      <c r="AN34" s="232" t="str">
        <f t="shared" si="62"/>
        <v/>
      </c>
      <c r="AO34" s="232" t="str">
        <f t="shared" si="63"/>
        <v/>
      </c>
      <c r="AP34" s="232">
        <f t="shared" si="93"/>
        <v>1</v>
      </c>
      <c r="AQ34" s="371"/>
      <c r="AR34" s="497">
        <v>50</v>
      </c>
      <c r="AS34" s="498">
        <v>30</v>
      </c>
      <c r="AT34" s="485">
        <f t="shared" si="64"/>
        <v>20</v>
      </c>
      <c r="AU34" s="371"/>
      <c r="AV34" s="232">
        <f t="shared" si="65"/>
        <v>50</v>
      </c>
      <c r="AW34" s="232" t="str">
        <f t="shared" si="66"/>
        <v/>
      </c>
      <c r="AX34" s="232" t="str">
        <f t="shared" si="67"/>
        <v/>
      </c>
      <c r="AY34" s="232">
        <f t="shared" si="94"/>
        <v>1</v>
      </c>
      <c r="AZ34" s="371"/>
      <c r="BA34" s="497">
        <v>80</v>
      </c>
      <c r="BB34" s="498">
        <v>10</v>
      </c>
      <c r="BC34" s="485">
        <f t="shared" si="68"/>
        <v>10</v>
      </c>
      <c r="BD34" s="371"/>
      <c r="BE34" s="232">
        <f t="shared" si="69"/>
        <v>80</v>
      </c>
      <c r="BF34" s="232" t="str">
        <f t="shared" si="70"/>
        <v/>
      </c>
      <c r="BG34" s="232" t="str">
        <f t="shared" si="71"/>
        <v/>
      </c>
      <c r="BH34" s="232">
        <f t="shared" si="95"/>
        <v>1</v>
      </c>
      <c r="BI34" s="371"/>
      <c r="BJ34" s="497">
        <v>80</v>
      </c>
      <c r="BK34" s="498">
        <v>10</v>
      </c>
      <c r="BL34" s="485">
        <f t="shared" si="72"/>
        <v>10</v>
      </c>
      <c r="BM34" s="371"/>
      <c r="BN34" s="232">
        <f t="shared" si="73"/>
        <v>80</v>
      </c>
      <c r="BO34" s="232" t="str">
        <f t="shared" si="74"/>
        <v/>
      </c>
      <c r="BP34" s="232" t="str">
        <f t="shared" si="75"/>
        <v/>
      </c>
      <c r="BQ34" s="232">
        <f t="shared" si="96"/>
        <v>1</v>
      </c>
      <c r="BR34" s="371"/>
      <c r="BS34" s="497">
        <v>20</v>
      </c>
      <c r="BT34" s="498">
        <v>20</v>
      </c>
      <c r="BU34" s="485">
        <f t="shared" si="76"/>
        <v>60</v>
      </c>
      <c r="BV34" s="371"/>
      <c r="BW34" s="232">
        <f t="shared" si="77"/>
        <v>20</v>
      </c>
      <c r="BX34" s="232" t="str">
        <f t="shared" si="78"/>
        <v/>
      </c>
      <c r="BY34" s="232" t="str">
        <f t="shared" si="79"/>
        <v/>
      </c>
      <c r="BZ34" s="232" t="str">
        <f t="shared" si="97"/>
        <v/>
      </c>
      <c r="CA34" s="371"/>
      <c r="CB34" s="504">
        <f t="shared" si="80"/>
        <v>60</v>
      </c>
      <c r="CC34" s="505">
        <f t="shared" si="81"/>
        <v>10</v>
      </c>
      <c r="CD34" s="506">
        <f t="shared" si="82"/>
        <v>30</v>
      </c>
      <c r="CE34" s="371"/>
      <c r="CF34" s="232">
        <f t="shared" si="83"/>
        <v>60</v>
      </c>
      <c r="CG34" s="232" t="str">
        <f t="shared" si="84"/>
        <v/>
      </c>
      <c r="CH34" s="232" t="str">
        <f t="shared" si="85"/>
        <v/>
      </c>
      <c r="CI34" s="232">
        <f t="shared" si="98"/>
        <v>1</v>
      </c>
      <c r="CJ34" s="232"/>
      <c r="CK34" s="497">
        <v>80</v>
      </c>
      <c r="CL34" s="498">
        <v>10</v>
      </c>
      <c r="CM34" s="485">
        <f t="shared" si="86"/>
        <v>10</v>
      </c>
      <c r="CN34" s="371"/>
      <c r="CO34" s="232">
        <f t="shared" si="87"/>
        <v>80</v>
      </c>
      <c r="CP34" s="232" t="str">
        <f t="shared" si="88"/>
        <v/>
      </c>
      <c r="CQ34" s="232" t="str">
        <f t="shared" si="89"/>
        <v/>
      </c>
      <c r="CR34" s="232">
        <f t="shared" si="99"/>
        <v>1</v>
      </c>
      <c r="CS34" s="232"/>
      <c r="CT34" s="371"/>
      <c r="CU34" s="296"/>
      <c r="CV34" s="246"/>
      <c r="CW34" s="264"/>
      <c r="CX34" s="176"/>
      <c r="CY34" s="176"/>
    </row>
    <row r="35" spans="1:103" s="175" customFormat="1" ht="13.35" customHeight="1" outlineLevel="2" thickBot="1" x14ac:dyDescent="0.25">
      <c r="A35" s="264"/>
      <c r="B35" s="264"/>
      <c r="C35" s="202"/>
      <c r="D35" s="271">
        <v>6</v>
      </c>
      <c r="E35" s="168" t="s">
        <v>67</v>
      </c>
      <c r="F35" s="470">
        <v>1</v>
      </c>
      <c r="G35" s="476" t="s">
        <v>49</v>
      </c>
      <c r="H35" s="477">
        <v>1</v>
      </c>
      <c r="I35" s="392" t="str">
        <f t="shared" si="50"/>
        <v/>
      </c>
      <c r="J35" s="393" t="str">
        <f t="shared" si="51"/>
        <v>x</v>
      </c>
      <c r="K35" s="394" t="str">
        <f t="shared" si="52"/>
        <v/>
      </c>
      <c r="L35" s="299"/>
      <c r="M35" s="375"/>
      <c r="N35" s="379"/>
      <c r="O35" s="236"/>
      <c r="P35" s="236"/>
      <c r="Q35" s="489">
        <v>60</v>
      </c>
      <c r="R35" s="490">
        <v>20</v>
      </c>
      <c r="S35" s="491">
        <f t="shared" si="90"/>
        <v>20</v>
      </c>
      <c r="T35" s="371"/>
      <c r="U35" s="232" t="str">
        <f t="shared" si="53"/>
        <v/>
      </c>
      <c r="V35" s="232">
        <f t="shared" si="54"/>
        <v>20</v>
      </c>
      <c r="W35" s="232" t="str">
        <f t="shared" si="55"/>
        <v/>
      </c>
      <c r="X35" s="232" t="str">
        <f t="shared" si="91"/>
        <v/>
      </c>
      <c r="Y35" s="371"/>
      <c r="Z35" s="499">
        <v>80</v>
      </c>
      <c r="AA35" s="500">
        <v>10</v>
      </c>
      <c r="AB35" s="491">
        <f t="shared" si="56"/>
        <v>10</v>
      </c>
      <c r="AC35" s="371"/>
      <c r="AD35" s="232" t="str">
        <f t="shared" si="57"/>
        <v/>
      </c>
      <c r="AE35" s="232">
        <f t="shared" si="58"/>
        <v>10</v>
      </c>
      <c r="AF35" s="232" t="str">
        <f t="shared" si="59"/>
        <v/>
      </c>
      <c r="AG35" s="232" t="str">
        <f t="shared" si="92"/>
        <v/>
      </c>
      <c r="AH35" s="371"/>
      <c r="AI35" s="499">
        <v>50</v>
      </c>
      <c r="AJ35" s="500">
        <v>20</v>
      </c>
      <c r="AK35" s="491">
        <f t="shared" si="60"/>
        <v>30</v>
      </c>
      <c r="AL35" s="371"/>
      <c r="AM35" s="232" t="str">
        <f t="shared" si="61"/>
        <v/>
      </c>
      <c r="AN35" s="232">
        <f t="shared" si="62"/>
        <v>20</v>
      </c>
      <c r="AO35" s="232" t="str">
        <f t="shared" si="63"/>
        <v/>
      </c>
      <c r="AP35" s="232" t="str">
        <f t="shared" si="93"/>
        <v/>
      </c>
      <c r="AQ35" s="371"/>
      <c r="AR35" s="499">
        <v>50</v>
      </c>
      <c r="AS35" s="500">
        <v>30</v>
      </c>
      <c r="AT35" s="491">
        <f t="shared" si="64"/>
        <v>20</v>
      </c>
      <c r="AU35" s="371"/>
      <c r="AV35" s="232" t="str">
        <f t="shared" si="65"/>
        <v/>
      </c>
      <c r="AW35" s="232">
        <f t="shared" si="66"/>
        <v>30</v>
      </c>
      <c r="AX35" s="232" t="str">
        <f t="shared" si="67"/>
        <v/>
      </c>
      <c r="AY35" s="232" t="str">
        <f t="shared" si="94"/>
        <v/>
      </c>
      <c r="AZ35" s="371"/>
      <c r="BA35" s="499">
        <v>80</v>
      </c>
      <c r="BB35" s="500">
        <v>10</v>
      </c>
      <c r="BC35" s="491">
        <f t="shared" si="68"/>
        <v>10</v>
      </c>
      <c r="BD35" s="371"/>
      <c r="BE35" s="232" t="str">
        <f t="shared" si="69"/>
        <v/>
      </c>
      <c r="BF35" s="232">
        <f t="shared" si="70"/>
        <v>10</v>
      </c>
      <c r="BG35" s="232" t="str">
        <f t="shared" si="71"/>
        <v/>
      </c>
      <c r="BH35" s="232" t="str">
        <f t="shared" si="95"/>
        <v/>
      </c>
      <c r="BI35" s="371"/>
      <c r="BJ35" s="499">
        <v>60</v>
      </c>
      <c r="BK35" s="500">
        <v>20</v>
      </c>
      <c r="BL35" s="491">
        <f t="shared" si="72"/>
        <v>20</v>
      </c>
      <c r="BM35" s="371"/>
      <c r="BN35" s="232" t="str">
        <f t="shared" si="73"/>
        <v/>
      </c>
      <c r="BO35" s="232">
        <f t="shared" si="74"/>
        <v>20</v>
      </c>
      <c r="BP35" s="232" t="str">
        <f t="shared" si="75"/>
        <v/>
      </c>
      <c r="BQ35" s="232" t="str">
        <f t="shared" si="96"/>
        <v/>
      </c>
      <c r="BR35" s="371"/>
      <c r="BS35" s="499">
        <v>50</v>
      </c>
      <c r="BT35" s="500">
        <v>20</v>
      </c>
      <c r="BU35" s="491">
        <f t="shared" si="76"/>
        <v>30</v>
      </c>
      <c r="BV35" s="371"/>
      <c r="BW35" s="232" t="str">
        <f t="shared" si="77"/>
        <v/>
      </c>
      <c r="BX35" s="232">
        <f t="shared" si="78"/>
        <v>20</v>
      </c>
      <c r="BY35" s="232" t="str">
        <f t="shared" si="79"/>
        <v/>
      </c>
      <c r="BZ35" s="232" t="str">
        <f t="shared" si="97"/>
        <v/>
      </c>
      <c r="CA35" s="371"/>
      <c r="CB35" s="507">
        <f t="shared" si="80"/>
        <v>70</v>
      </c>
      <c r="CC35" s="508">
        <f t="shared" si="81"/>
        <v>10</v>
      </c>
      <c r="CD35" s="509">
        <f t="shared" si="82"/>
        <v>20</v>
      </c>
      <c r="CE35" s="371"/>
      <c r="CF35" s="232" t="str">
        <f t="shared" si="83"/>
        <v/>
      </c>
      <c r="CG35" s="232">
        <f t="shared" si="84"/>
        <v>10</v>
      </c>
      <c r="CH35" s="232" t="str">
        <f t="shared" si="85"/>
        <v/>
      </c>
      <c r="CI35" s="232" t="str">
        <f t="shared" si="98"/>
        <v/>
      </c>
      <c r="CJ35" s="232"/>
      <c r="CK35" s="499">
        <v>70</v>
      </c>
      <c r="CL35" s="500">
        <v>10</v>
      </c>
      <c r="CM35" s="491">
        <f t="shared" si="86"/>
        <v>20</v>
      </c>
      <c r="CN35" s="371"/>
      <c r="CO35" s="232" t="str">
        <f t="shared" si="87"/>
        <v/>
      </c>
      <c r="CP35" s="232">
        <f t="shared" si="88"/>
        <v>10</v>
      </c>
      <c r="CQ35" s="232" t="str">
        <f t="shared" si="89"/>
        <v/>
      </c>
      <c r="CR35" s="232" t="str">
        <f t="shared" si="99"/>
        <v/>
      </c>
      <c r="CS35" s="232"/>
      <c r="CT35" s="371"/>
      <c r="CU35" s="296"/>
      <c r="CV35" s="246"/>
      <c r="CW35" s="264"/>
      <c r="CX35" s="176"/>
      <c r="CY35" s="176"/>
    </row>
    <row r="36" spans="1:103" s="175" customFormat="1" ht="13.35" customHeight="1" outlineLevel="2" x14ac:dyDescent="0.2">
      <c r="A36" s="264"/>
      <c r="B36" s="264"/>
      <c r="C36" s="202"/>
      <c r="D36" s="271">
        <v>7</v>
      </c>
      <c r="E36" s="166" t="s">
        <v>68</v>
      </c>
      <c r="F36" s="468">
        <v>1</v>
      </c>
      <c r="G36" s="472" t="s">
        <v>49</v>
      </c>
      <c r="H36" s="473">
        <v>1</v>
      </c>
      <c r="I36" s="170" t="str">
        <f t="shared" si="50"/>
        <v/>
      </c>
      <c r="J36" s="387" t="str">
        <f t="shared" si="51"/>
        <v>x</v>
      </c>
      <c r="K36" s="388" t="str">
        <f t="shared" si="52"/>
        <v/>
      </c>
      <c r="L36" s="299"/>
      <c r="M36" s="375"/>
      <c r="N36" s="379"/>
      <c r="O36" s="236"/>
      <c r="P36" s="236"/>
      <c r="Q36" s="480">
        <v>10</v>
      </c>
      <c r="R36" s="481">
        <v>30</v>
      </c>
      <c r="S36" s="482">
        <f t="shared" si="90"/>
        <v>60</v>
      </c>
      <c r="T36" s="371"/>
      <c r="U36" s="232" t="str">
        <f t="shared" si="53"/>
        <v/>
      </c>
      <c r="V36" s="232">
        <f t="shared" si="54"/>
        <v>30</v>
      </c>
      <c r="W36" s="232" t="str">
        <f t="shared" si="55"/>
        <v/>
      </c>
      <c r="X36" s="232" t="str">
        <f t="shared" si="91"/>
        <v/>
      </c>
      <c r="Y36" s="371"/>
      <c r="Z36" s="495">
        <v>10</v>
      </c>
      <c r="AA36" s="496">
        <v>10</v>
      </c>
      <c r="AB36" s="482">
        <f t="shared" si="56"/>
        <v>80</v>
      </c>
      <c r="AC36" s="371"/>
      <c r="AD36" s="232" t="str">
        <f t="shared" si="57"/>
        <v/>
      </c>
      <c r="AE36" s="232">
        <f t="shared" si="58"/>
        <v>10</v>
      </c>
      <c r="AF36" s="232" t="str">
        <f t="shared" si="59"/>
        <v/>
      </c>
      <c r="AG36" s="232" t="str">
        <f t="shared" si="92"/>
        <v/>
      </c>
      <c r="AH36" s="371"/>
      <c r="AI36" s="495">
        <v>80</v>
      </c>
      <c r="AJ36" s="496">
        <v>10</v>
      </c>
      <c r="AK36" s="482">
        <f t="shared" si="60"/>
        <v>10</v>
      </c>
      <c r="AL36" s="371"/>
      <c r="AM36" s="232" t="str">
        <f t="shared" si="61"/>
        <v/>
      </c>
      <c r="AN36" s="232">
        <f t="shared" si="62"/>
        <v>10</v>
      </c>
      <c r="AO36" s="232" t="str">
        <f t="shared" si="63"/>
        <v/>
      </c>
      <c r="AP36" s="232" t="str">
        <f t="shared" si="93"/>
        <v/>
      </c>
      <c r="AQ36" s="371"/>
      <c r="AR36" s="495">
        <v>30</v>
      </c>
      <c r="AS36" s="496">
        <v>30</v>
      </c>
      <c r="AT36" s="482">
        <f t="shared" si="64"/>
        <v>40</v>
      </c>
      <c r="AU36" s="371"/>
      <c r="AV36" s="232" t="str">
        <f t="shared" si="65"/>
        <v/>
      </c>
      <c r="AW36" s="232">
        <f t="shared" si="66"/>
        <v>30</v>
      </c>
      <c r="AX36" s="232" t="str">
        <f t="shared" si="67"/>
        <v/>
      </c>
      <c r="AY36" s="232" t="str">
        <f t="shared" si="94"/>
        <v/>
      </c>
      <c r="AZ36" s="371"/>
      <c r="BA36" s="495">
        <v>80</v>
      </c>
      <c r="BB36" s="496">
        <v>10</v>
      </c>
      <c r="BC36" s="482">
        <f t="shared" si="68"/>
        <v>10</v>
      </c>
      <c r="BD36" s="371"/>
      <c r="BE36" s="232" t="str">
        <f t="shared" si="69"/>
        <v/>
      </c>
      <c r="BF36" s="232">
        <f t="shared" si="70"/>
        <v>10</v>
      </c>
      <c r="BG36" s="232" t="str">
        <f t="shared" si="71"/>
        <v/>
      </c>
      <c r="BH36" s="232" t="str">
        <f t="shared" si="95"/>
        <v/>
      </c>
      <c r="BI36" s="371"/>
      <c r="BJ36" s="495">
        <v>70</v>
      </c>
      <c r="BK36" s="496">
        <v>20</v>
      </c>
      <c r="BL36" s="482">
        <f t="shared" si="72"/>
        <v>10</v>
      </c>
      <c r="BM36" s="371"/>
      <c r="BN36" s="232" t="str">
        <f t="shared" si="73"/>
        <v/>
      </c>
      <c r="BO36" s="232">
        <f t="shared" si="74"/>
        <v>20</v>
      </c>
      <c r="BP36" s="232" t="str">
        <f t="shared" si="75"/>
        <v/>
      </c>
      <c r="BQ36" s="232" t="str">
        <f t="shared" si="96"/>
        <v/>
      </c>
      <c r="BR36" s="371"/>
      <c r="BS36" s="495">
        <v>30</v>
      </c>
      <c r="BT36" s="496">
        <v>40</v>
      </c>
      <c r="BU36" s="482">
        <f t="shared" si="76"/>
        <v>30</v>
      </c>
      <c r="BV36" s="371"/>
      <c r="BW36" s="232" t="str">
        <f t="shared" si="77"/>
        <v/>
      </c>
      <c r="BX36" s="232">
        <f t="shared" si="78"/>
        <v>40</v>
      </c>
      <c r="BY36" s="232" t="str">
        <f t="shared" si="79"/>
        <v/>
      </c>
      <c r="BZ36" s="232">
        <f t="shared" si="97"/>
        <v>1</v>
      </c>
      <c r="CA36" s="371"/>
      <c r="CB36" s="501">
        <f t="shared" si="80"/>
        <v>50</v>
      </c>
      <c r="CC36" s="502">
        <f t="shared" si="81"/>
        <v>20</v>
      </c>
      <c r="CD36" s="503">
        <f t="shared" si="82"/>
        <v>30</v>
      </c>
      <c r="CE36" s="371"/>
      <c r="CF36" s="232" t="str">
        <f t="shared" si="83"/>
        <v/>
      </c>
      <c r="CG36" s="232">
        <f t="shared" si="84"/>
        <v>20</v>
      </c>
      <c r="CH36" s="232" t="str">
        <f t="shared" si="85"/>
        <v/>
      </c>
      <c r="CI36" s="232" t="str">
        <f t="shared" si="98"/>
        <v/>
      </c>
      <c r="CJ36" s="232"/>
      <c r="CK36" s="495">
        <v>20</v>
      </c>
      <c r="CL36" s="496">
        <v>20</v>
      </c>
      <c r="CM36" s="482">
        <f t="shared" si="86"/>
        <v>60</v>
      </c>
      <c r="CN36" s="371"/>
      <c r="CO36" s="232" t="str">
        <f t="shared" si="87"/>
        <v/>
      </c>
      <c r="CP36" s="232">
        <f t="shared" si="88"/>
        <v>20</v>
      </c>
      <c r="CQ36" s="232" t="str">
        <f t="shared" si="89"/>
        <v/>
      </c>
      <c r="CR36" s="232" t="str">
        <f t="shared" si="99"/>
        <v/>
      </c>
      <c r="CS36" s="232"/>
      <c r="CT36" s="371"/>
      <c r="CU36" s="300"/>
      <c r="CV36" s="246"/>
      <c r="CW36" s="264"/>
      <c r="CX36" s="176"/>
      <c r="CY36" s="176"/>
    </row>
    <row r="37" spans="1:103" s="175" customFormat="1" ht="13.35" customHeight="1" outlineLevel="2" x14ac:dyDescent="0.2">
      <c r="A37" s="264"/>
      <c r="B37" s="264"/>
      <c r="C37" s="202"/>
      <c r="D37" s="271">
        <v>8</v>
      </c>
      <c r="E37" s="167" t="s">
        <v>69</v>
      </c>
      <c r="F37" s="469">
        <v>1</v>
      </c>
      <c r="G37" s="474" t="s">
        <v>49</v>
      </c>
      <c r="H37" s="475">
        <v>2</v>
      </c>
      <c r="I37" s="389" t="str">
        <f t="shared" si="50"/>
        <v/>
      </c>
      <c r="J37" s="390" t="str">
        <f t="shared" si="51"/>
        <v/>
      </c>
      <c r="K37" s="391" t="str">
        <f t="shared" si="52"/>
        <v>x</v>
      </c>
      <c r="L37" s="299"/>
      <c r="M37" s="375"/>
      <c r="N37" s="379"/>
      <c r="O37" s="236"/>
      <c r="P37" s="236"/>
      <c r="Q37" s="483">
        <v>60</v>
      </c>
      <c r="R37" s="484">
        <v>20</v>
      </c>
      <c r="S37" s="485">
        <f t="shared" si="90"/>
        <v>20</v>
      </c>
      <c r="T37" s="371"/>
      <c r="U37" s="232" t="str">
        <f t="shared" si="53"/>
        <v/>
      </c>
      <c r="V37" s="232" t="str">
        <f t="shared" si="54"/>
        <v/>
      </c>
      <c r="W37" s="232">
        <f t="shared" si="55"/>
        <v>20</v>
      </c>
      <c r="X37" s="232" t="str">
        <f t="shared" si="91"/>
        <v/>
      </c>
      <c r="Y37" s="371"/>
      <c r="Z37" s="497">
        <v>80</v>
      </c>
      <c r="AA37" s="498">
        <v>10</v>
      </c>
      <c r="AB37" s="485">
        <f t="shared" si="56"/>
        <v>10</v>
      </c>
      <c r="AC37" s="371"/>
      <c r="AD37" s="232" t="str">
        <f t="shared" si="57"/>
        <v/>
      </c>
      <c r="AE37" s="232" t="str">
        <f t="shared" si="58"/>
        <v/>
      </c>
      <c r="AF37" s="232">
        <f t="shared" si="59"/>
        <v>10</v>
      </c>
      <c r="AG37" s="232" t="str">
        <f t="shared" si="92"/>
        <v/>
      </c>
      <c r="AH37" s="371"/>
      <c r="AI37" s="497">
        <v>40</v>
      </c>
      <c r="AJ37" s="498">
        <v>20</v>
      </c>
      <c r="AK37" s="485">
        <f t="shared" si="60"/>
        <v>40</v>
      </c>
      <c r="AL37" s="371"/>
      <c r="AM37" s="232" t="str">
        <f t="shared" si="61"/>
        <v/>
      </c>
      <c r="AN37" s="232" t="str">
        <f t="shared" si="62"/>
        <v/>
      </c>
      <c r="AO37" s="232">
        <f t="shared" si="63"/>
        <v>40</v>
      </c>
      <c r="AP37" s="232">
        <f t="shared" si="93"/>
        <v>1</v>
      </c>
      <c r="AQ37" s="371"/>
      <c r="AR37" s="497">
        <v>30</v>
      </c>
      <c r="AS37" s="498">
        <v>20</v>
      </c>
      <c r="AT37" s="485">
        <f t="shared" si="64"/>
        <v>50</v>
      </c>
      <c r="AU37" s="371"/>
      <c r="AV37" s="232" t="str">
        <f t="shared" si="65"/>
        <v/>
      </c>
      <c r="AW37" s="232" t="str">
        <f t="shared" si="66"/>
        <v/>
      </c>
      <c r="AX37" s="232">
        <f t="shared" si="67"/>
        <v>50</v>
      </c>
      <c r="AY37" s="232">
        <f t="shared" si="94"/>
        <v>1</v>
      </c>
      <c r="AZ37" s="371"/>
      <c r="BA37" s="497">
        <v>80</v>
      </c>
      <c r="BB37" s="498">
        <v>10</v>
      </c>
      <c r="BC37" s="485">
        <f t="shared" si="68"/>
        <v>10</v>
      </c>
      <c r="BD37" s="371"/>
      <c r="BE37" s="232" t="str">
        <f t="shared" si="69"/>
        <v/>
      </c>
      <c r="BF37" s="232" t="str">
        <f t="shared" si="70"/>
        <v/>
      </c>
      <c r="BG37" s="232">
        <f t="shared" si="71"/>
        <v>10</v>
      </c>
      <c r="BH37" s="232" t="str">
        <f t="shared" si="95"/>
        <v/>
      </c>
      <c r="BI37" s="371"/>
      <c r="BJ37" s="497">
        <v>70</v>
      </c>
      <c r="BK37" s="498">
        <v>20</v>
      </c>
      <c r="BL37" s="485">
        <f t="shared" si="72"/>
        <v>10</v>
      </c>
      <c r="BM37" s="371"/>
      <c r="BN37" s="232" t="str">
        <f t="shared" si="73"/>
        <v/>
      </c>
      <c r="BO37" s="232" t="str">
        <f t="shared" si="74"/>
        <v/>
      </c>
      <c r="BP37" s="232">
        <f t="shared" si="75"/>
        <v>10</v>
      </c>
      <c r="BQ37" s="232" t="str">
        <f t="shared" si="96"/>
        <v/>
      </c>
      <c r="BR37" s="371"/>
      <c r="BS37" s="497">
        <v>30</v>
      </c>
      <c r="BT37" s="498">
        <v>10</v>
      </c>
      <c r="BU37" s="485">
        <f t="shared" si="76"/>
        <v>60</v>
      </c>
      <c r="BV37" s="371"/>
      <c r="BW37" s="232" t="str">
        <f t="shared" si="77"/>
        <v/>
      </c>
      <c r="BX37" s="232" t="str">
        <f t="shared" si="78"/>
        <v/>
      </c>
      <c r="BY37" s="232">
        <f t="shared" si="79"/>
        <v>60</v>
      </c>
      <c r="BZ37" s="232">
        <f t="shared" si="97"/>
        <v>1</v>
      </c>
      <c r="CA37" s="371"/>
      <c r="CB37" s="504">
        <f t="shared" si="80"/>
        <v>60</v>
      </c>
      <c r="CC37" s="505">
        <f t="shared" si="81"/>
        <v>10</v>
      </c>
      <c r="CD37" s="506">
        <f t="shared" si="82"/>
        <v>30</v>
      </c>
      <c r="CE37" s="371"/>
      <c r="CF37" s="232" t="str">
        <f t="shared" si="83"/>
        <v/>
      </c>
      <c r="CG37" s="232" t="str">
        <f t="shared" si="84"/>
        <v/>
      </c>
      <c r="CH37" s="232">
        <f t="shared" si="85"/>
        <v>30</v>
      </c>
      <c r="CI37" s="232" t="str">
        <f t="shared" si="98"/>
        <v/>
      </c>
      <c r="CJ37" s="232"/>
      <c r="CK37" s="497">
        <v>60</v>
      </c>
      <c r="CL37" s="498">
        <v>20</v>
      </c>
      <c r="CM37" s="485">
        <f t="shared" si="86"/>
        <v>20</v>
      </c>
      <c r="CN37" s="371"/>
      <c r="CO37" s="232" t="str">
        <f t="shared" si="87"/>
        <v/>
      </c>
      <c r="CP37" s="232" t="str">
        <f t="shared" si="88"/>
        <v/>
      </c>
      <c r="CQ37" s="232">
        <f t="shared" si="89"/>
        <v>20</v>
      </c>
      <c r="CR37" s="232" t="str">
        <f t="shared" si="99"/>
        <v/>
      </c>
      <c r="CS37" s="232"/>
      <c r="CT37" s="371"/>
      <c r="CU37" s="300"/>
      <c r="CV37" s="246"/>
      <c r="CW37" s="264"/>
      <c r="CX37" s="176"/>
      <c r="CY37" s="176"/>
    </row>
    <row r="38" spans="1:103" s="175" customFormat="1" ht="13.35" customHeight="1" outlineLevel="2" thickBot="1" x14ac:dyDescent="0.25">
      <c r="A38" s="264"/>
      <c r="B38" s="264"/>
      <c r="C38" s="202"/>
      <c r="D38" s="271">
        <v>9</v>
      </c>
      <c r="E38" s="168" t="s">
        <v>70</v>
      </c>
      <c r="F38" s="470">
        <v>1</v>
      </c>
      <c r="G38" s="476" t="s">
        <v>49</v>
      </c>
      <c r="H38" s="477">
        <v>1</v>
      </c>
      <c r="I38" s="392" t="str">
        <f t="shared" si="50"/>
        <v/>
      </c>
      <c r="J38" s="393" t="str">
        <f t="shared" si="51"/>
        <v>x</v>
      </c>
      <c r="K38" s="394" t="str">
        <f t="shared" si="52"/>
        <v/>
      </c>
      <c r="L38" s="299"/>
      <c r="M38" s="375"/>
      <c r="N38" s="379"/>
      <c r="O38" s="236"/>
      <c r="P38" s="236"/>
      <c r="Q38" s="489">
        <v>70</v>
      </c>
      <c r="R38" s="490">
        <v>20</v>
      </c>
      <c r="S38" s="491">
        <f t="shared" si="90"/>
        <v>10</v>
      </c>
      <c r="T38" s="371"/>
      <c r="U38" s="232" t="str">
        <f t="shared" si="53"/>
        <v/>
      </c>
      <c r="V38" s="232">
        <f t="shared" si="54"/>
        <v>20</v>
      </c>
      <c r="W38" s="232" t="str">
        <f t="shared" si="55"/>
        <v/>
      </c>
      <c r="X38" s="232" t="str">
        <f t="shared" si="91"/>
        <v/>
      </c>
      <c r="Y38" s="371"/>
      <c r="Z38" s="499">
        <v>80</v>
      </c>
      <c r="AA38" s="500">
        <v>10</v>
      </c>
      <c r="AB38" s="491">
        <f t="shared" si="56"/>
        <v>10</v>
      </c>
      <c r="AC38" s="371"/>
      <c r="AD38" s="232" t="str">
        <f t="shared" si="57"/>
        <v/>
      </c>
      <c r="AE38" s="232">
        <f t="shared" si="58"/>
        <v>10</v>
      </c>
      <c r="AF38" s="232" t="str">
        <f t="shared" si="59"/>
        <v/>
      </c>
      <c r="AG38" s="232" t="str">
        <f t="shared" si="92"/>
        <v/>
      </c>
      <c r="AH38" s="371"/>
      <c r="AI38" s="499">
        <v>80</v>
      </c>
      <c r="AJ38" s="500">
        <v>10</v>
      </c>
      <c r="AK38" s="491">
        <f t="shared" si="60"/>
        <v>10</v>
      </c>
      <c r="AL38" s="371"/>
      <c r="AM38" s="232" t="str">
        <f t="shared" si="61"/>
        <v/>
      </c>
      <c r="AN38" s="232">
        <f t="shared" si="62"/>
        <v>10</v>
      </c>
      <c r="AO38" s="232" t="str">
        <f t="shared" si="63"/>
        <v/>
      </c>
      <c r="AP38" s="232" t="str">
        <f t="shared" si="93"/>
        <v/>
      </c>
      <c r="AQ38" s="371"/>
      <c r="AR38" s="499">
        <v>70</v>
      </c>
      <c r="AS38" s="500">
        <v>20</v>
      </c>
      <c r="AT38" s="491">
        <f t="shared" si="64"/>
        <v>10</v>
      </c>
      <c r="AU38" s="371"/>
      <c r="AV38" s="232" t="str">
        <f t="shared" si="65"/>
        <v/>
      </c>
      <c r="AW38" s="232">
        <f t="shared" si="66"/>
        <v>20</v>
      </c>
      <c r="AX38" s="232" t="str">
        <f t="shared" si="67"/>
        <v/>
      </c>
      <c r="AY38" s="232" t="str">
        <f t="shared" si="94"/>
        <v/>
      </c>
      <c r="AZ38" s="371"/>
      <c r="BA38" s="499">
        <v>80</v>
      </c>
      <c r="BB38" s="500">
        <v>10</v>
      </c>
      <c r="BC38" s="491">
        <f t="shared" si="68"/>
        <v>10</v>
      </c>
      <c r="BD38" s="371"/>
      <c r="BE38" s="232" t="str">
        <f t="shared" si="69"/>
        <v/>
      </c>
      <c r="BF38" s="232">
        <f t="shared" si="70"/>
        <v>10</v>
      </c>
      <c r="BG38" s="232" t="str">
        <f t="shared" si="71"/>
        <v/>
      </c>
      <c r="BH38" s="232" t="str">
        <f t="shared" si="95"/>
        <v/>
      </c>
      <c r="BI38" s="371"/>
      <c r="BJ38" s="499">
        <v>20</v>
      </c>
      <c r="BK38" s="500">
        <v>60</v>
      </c>
      <c r="BL38" s="491">
        <f t="shared" si="72"/>
        <v>20</v>
      </c>
      <c r="BM38" s="371"/>
      <c r="BN38" s="232" t="str">
        <f t="shared" si="73"/>
        <v/>
      </c>
      <c r="BO38" s="232">
        <f t="shared" si="74"/>
        <v>60</v>
      </c>
      <c r="BP38" s="232" t="str">
        <f t="shared" si="75"/>
        <v/>
      </c>
      <c r="BQ38" s="232">
        <f t="shared" si="96"/>
        <v>1</v>
      </c>
      <c r="BR38" s="371"/>
      <c r="BS38" s="499">
        <v>80</v>
      </c>
      <c r="BT38" s="500">
        <v>10</v>
      </c>
      <c r="BU38" s="491">
        <f t="shared" si="76"/>
        <v>10</v>
      </c>
      <c r="BV38" s="371"/>
      <c r="BW38" s="232" t="str">
        <f t="shared" si="77"/>
        <v/>
      </c>
      <c r="BX38" s="232">
        <f t="shared" si="78"/>
        <v>10</v>
      </c>
      <c r="BY38" s="232" t="str">
        <f t="shared" si="79"/>
        <v/>
      </c>
      <c r="BZ38" s="232" t="str">
        <f t="shared" si="97"/>
        <v/>
      </c>
      <c r="CA38" s="371"/>
      <c r="CB38" s="507">
        <f t="shared" si="80"/>
        <v>70</v>
      </c>
      <c r="CC38" s="508">
        <f t="shared" si="81"/>
        <v>20</v>
      </c>
      <c r="CD38" s="509">
        <f t="shared" si="82"/>
        <v>10</v>
      </c>
      <c r="CE38" s="371"/>
      <c r="CF38" s="232" t="str">
        <f t="shared" si="83"/>
        <v/>
      </c>
      <c r="CG38" s="232">
        <f t="shared" si="84"/>
        <v>20</v>
      </c>
      <c r="CH38" s="232" t="str">
        <f t="shared" si="85"/>
        <v/>
      </c>
      <c r="CI38" s="232" t="str">
        <f t="shared" si="98"/>
        <v/>
      </c>
      <c r="CJ38" s="232"/>
      <c r="CK38" s="499">
        <v>80</v>
      </c>
      <c r="CL38" s="500">
        <v>10</v>
      </c>
      <c r="CM38" s="491">
        <f t="shared" si="86"/>
        <v>10</v>
      </c>
      <c r="CN38" s="371"/>
      <c r="CO38" s="232" t="str">
        <f t="shared" si="87"/>
        <v/>
      </c>
      <c r="CP38" s="232">
        <f t="shared" si="88"/>
        <v>10</v>
      </c>
      <c r="CQ38" s="232" t="str">
        <f t="shared" si="89"/>
        <v/>
      </c>
      <c r="CR38" s="232" t="str">
        <f t="shared" si="99"/>
        <v/>
      </c>
      <c r="CS38" s="232"/>
      <c r="CT38" s="371"/>
      <c r="CU38" s="300"/>
      <c r="CV38" s="246"/>
      <c r="CW38" s="264"/>
      <c r="CX38" s="176"/>
      <c r="CY38" s="176"/>
    </row>
    <row r="39" spans="1:103" s="175" customFormat="1" ht="13.35" customHeight="1" outlineLevel="2" x14ac:dyDescent="0.2">
      <c r="A39" s="264"/>
      <c r="B39" s="264"/>
      <c r="C39" s="202"/>
      <c r="D39" s="271">
        <v>10</v>
      </c>
      <c r="E39" s="169" t="s">
        <v>71</v>
      </c>
      <c r="F39" s="471">
        <v>1</v>
      </c>
      <c r="G39" s="478" t="s">
        <v>49</v>
      </c>
      <c r="H39" s="479">
        <v>2</v>
      </c>
      <c r="I39" s="170" t="str">
        <f t="shared" si="50"/>
        <v/>
      </c>
      <c r="J39" s="387" t="str">
        <f t="shared" si="51"/>
        <v/>
      </c>
      <c r="K39" s="388" t="str">
        <f t="shared" si="52"/>
        <v>x</v>
      </c>
      <c r="L39" s="299"/>
      <c r="M39" s="375"/>
      <c r="N39" s="379"/>
      <c r="O39" s="236"/>
      <c r="P39" s="236"/>
      <c r="Q39" s="492">
        <v>10</v>
      </c>
      <c r="R39" s="493">
        <v>10</v>
      </c>
      <c r="S39" s="494">
        <f t="shared" si="90"/>
        <v>80</v>
      </c>
      <c r="T39" s="371"/>
      <c r="U39" s="232" t="str">
        <f t="shared" si="53"/>
        <v/>
      </c>
      <c r="V39" s="232" t="str">
        <f t="shared" si="54"/>
        <v/>
      </c>
      <c r="W39" s="232">
        <f t="shared" si="55"/>
        <v>80</v>
      </c>
      <c r="X39" s="232">
        <f t="shared" si="91"/>
        <v>1</v>
      </c>
      <c r="Y39" s="371"/>
      <c r="Z39" s="495">
        <v>10</v>
      </c>
      <c r="AA39" s="496">
        <v>10</v>
      </c>
      <c r="AB39" s="494">
        <f t="shared" si="56"/>
        <v>80</v>
      </c>
      <c r="AC39" s="371"/>
      <c r="AD39" s="232" t="str">
        <f t="shared" si="57"/>
        <v/>
      </c>
      <c r="AE39" s="232" t="str">
        <f t="shared" si="58"/>
        <v/>
      </c>
      <c r="AF39" s="232">
        <f t="shared" si="59"/>
        <v>80</v>
      </c>
      <c r="AG39" s="232">
        <f t="shared" si="92"/>
        <v>1</v>
      </c>
      <c r="AH39" s="371"/>
      <c r="AI39" s="495">
        <v>10</v>
      </c>
      <c r="AJ39" s="496">
        <v>10</v>
      </c>
      <c r="AK39" s="494">
        <f t="shared" si="60"/>
        <v>80</v>
      </c>
      <c r="AL39" s="371"/>
      <c r="AM39" s="232" t="str">
        <f t="shared" si="61"/>
        <v/>
      </c>
      <c r="AN39" s="232" t="str">
        <f t="shared" si="62"/>
        <v/>
      </c>
      <c r="AO39" s="232">
        <f t="shared" si="63"/>
        <v>80</v>
      </c>
      <c r="AP39" s="232">
        <f t="shared" si="93"/>
        <v>1</v>
      </c>
      <c r="AQ39" s="371"/>
      <c r="AR39" s="495">
        <v>10</v>
      </c>
      <c r="AS39" s="496">
        <v>10</v>
      </c>
      <c r="AT39" s="494">
        <f t="shared" si="64"/>
        <v>80</v>
      </c>
      <c r="AU39" s="371"/>
      <c r="AV39" s="232" t="str">
        <f t="shared" si="65"/>
        <v/>
      </c>
      <c r="AW39" s="232" t="str">
        <f t="shared" si="66"/>
        <v/>
      </c>
      <c r="AX39" s="232">
        <f t="shared" si="67"/>
        <v>80</v>
      </c>
      <c r="AY39" s="232">
        <f t="shared" si="94"/>
        <v>1</v>
      </c>
      <c r="AZ39" s="371"/>
      <c r="BA39" s="495">
        <v>10</v>
      </c>
      <c r="BB39" s="496">
        <v>10</v>
      </c>
      <c r="BC39" s="494">
        <f t="shared" si="68"/>
        <v>80</v>
      </c>
      <c r="BD39" s="371"/>
      <c r="BE39" s="232" t="str">
        <f t="shared" si="69"/>
        <v/>
      </c>
      <c r="BF39" s="232" t="str">
        <f t="shared" si="70"/>
        <v/>
      </c>
      <c r="BG39" s="232">
        <f t="shared" si="71"/>
        <v>80</v>
      </c>
      <c r="BH39" s="232">
        <f t="shared" si="95"/>
        <v>1</v>
      </c>
      <c r="BI39" s="371"/>
      <c r="BJ39" s="495">
        <v>10</v>
      </c>
      <c r="BK39" s="496">
        <v>10</v>
      </c>
      <c r="BL39" s="494">
        <f t="shared" si="72"/>
        <v>80</v>
      </c>
      <c r="BM39" s="371"/>
      <c r="BN39" s="232" t="str">
        <f t="shared" si="73"/>
        <v/>
      </c>
      <c r="BO39" s="232" t="str">
        <f t="shared" si="74"/>
        <v/>
      </c>
      <c r="BP39" s="232">
        <f t="shared" si="75"/>
        <v>80</v>
      </c>
      <c r="BQ39" s="232">
        <f t="shared" si="96"/>
        <v>1</v>
      </c>
      <c r="BR39" s="371"/>
      <c r="BS39" s="495">
        <v>10</v>
      </c>
      <c r="BT39" s="496">
        <v>10</v>
      </c>
      <c r="BU39" s="494">
        <f t="shared" si="76"/>
        <v>80</v>
      </c>
      <c r="BV39" s="371"/>
      <c r="BW39" s="232" t="str">
        <f t="shared" si="77"/>
        <v/>
      </c>
      <c r="BX39" s="232" t="str">
        <f t="shared" si="78"/>
        <v/>
      </c>
      <c r="BY39" s="232">
        <f t="shared" si="79"/>
        <v>80</v>
      </c>
      <c r="BZ39" s="232">
        <f t="shared" si="97"/>
        <v>1</v>
      </c>
      <c r="CA39" s="371"/>
      <c r="CB39" s="501">
        <f t="shared" si="80"/>
        <v>10</v>
      </c>
      <c r="CC39" s="502">
        <f t="shared" si="81"/>
        <v>10</v>
      </c>
      <c r="CD39" s="503">
        <f t="shared" si="82"/>
        <v>80</v>
      </c>
      <c r="CE39" s="371"/>
      <c r="CF39" s="232" t="str">
        <f t="shared" si="83"/>
        <v/>
      </c>
      <c r="CG39" s="232" t="str">
        <f t="shared" si="84"/>
        <v/>
      </c>
      <c r="CH39" s="232">
        <f t="shared" si="85"/>
        <v>80</v>
      </c>
      <c r="CI39" s="232">
        <f t="shared" si="98"/>
        <v>1</v>
      </c>
      <c r="CJ39" s="232"/>
      <c r="CK39" s="495">
        <v>10</v>
      </c>
      <c r="CL39" s="496">
        <v>10</v>
      </c>
      <c r="CM39" s="494">
        <f t="shared" si="86"/>
        <v>80</v>
      </c>
      <c r="CN39" s="371"/>
      <c r="CO39" s="232" t="str">
        <f t="shared" si="87"/>
        <v/>
      </c>
      <c r="CP39" s="232" t="str">
        <f t="shared" si="88"/>
        <v/>
      </c>
      <c r="CQ39" s="232">
        <f t="shared" si="89"/>
        <v>80</v>
      </c>
      <c r="CR39" s="232">
        <f t="shared" si="99"/>
        <v>1</v>
      </c>
      <c r="CS39" s="232"/>
      <c r="CT39" s="371"/>
      <c r="CU39" s="300"/>
      <c r="CV39" s="246"/>
      <c r="CW39" s="264"/>
      <c r="CX39" s="176"/>
      <c r="CY39" s="176"/>
    </row>
    <row r="40" spans="1:103" s="175" customFormat="1" ht="13.35" customHeight="1" outlineLevel="2" x14ac:dyDescent="0.2">
      <c r="A40" s="264"/>
      <c r="B40" s="264"/>
      <c r="C40" s="202"/>
      <c r="D40" s="271">
        <v>11</v>
      </c>
      <c r="E40" s="167" t="s">
        <v>72</v>
      </c>
      <c r="F40" s="469">
        <v>2</v>
      </c>
      <c r="G40" s="474" t="s">
        <v>49</v>
      </c>
      <c r="H40" s="475">
        <v>3</v>
      </c>
      <c r="I40" s="389" t="str">
        <f t="shared" si="50"/>
        <v/>
      </c>
      <c r="J40" s="390" t="str">
        <f t="shared" si="51"/>
        <v/>
      </c>
      <c r="K40" s="391" t="str">
        <f t="shared" si="52"/>
        <v>x</v>
      </c>
      <c r="L40" s="299"/>
      <c r="M40" s="375"/>
      <c r="N40" s="379"/>
      <c r="O40" s="236"/>
      <c r="P40" s="236"/>
      <c r="Q40" s="483">
        <v>10</v>
      </c>
      <c r="R40" s="484">
        <v>70</v>
      </c>
      <c r="S40" s="485">
        <f t="shared" si="90"/>
        <v>20</v>
      </c>
      <c r="T40" s="371"/>
      <c r="U40" s="232" t="str">
        <f t="shared" si="53"/>
        <v/>
      </c>
      <c r="V40" s="232" t="str">
        <f t="shared" si="54"/>
        <v/>
      </c>
      <c r="W40" s="232">
        <f t="shared" si="55"/>
        <v>20</v>
      </c>
      <c r="X40" s="232" t="str">
        <f t="shared" si="91"/>
        <v/>
      </c>
      <c r="Y40" s="371"/>
      <c r="Z40" s="497">
        <v>10</v>
      </c>
      <c r="AA40" s="498">
        <v>10</v>
      </c>
      <c r="AB40" s="485">
        <f t="shared" si="56"/>
        <v>80</v>
      </c>
      <c r="AC40" s="371"/>
      <c r="AD40" s="232" t="str">
        <f t="shared" si="57"/>
        <v/>
      </c>
      <c r="AE40" s="232" t="str">
        <f t="shared" si="58"/>
        <v/>
      </c>
      <c r="AF40" s="232">
        <f t="shared" si="59"/>
        <v>80</v>
      </c>
      <c r="AG40" s="232">
        <f t="shared" si="92"/>
        <v>1</v>
      </c>
      <c r="AH40" s="371"/>
      <c r="AI40" s="497">
        <v>30</v>
      </c>
      <c r="AJ40" s="498">
        <v>20</v>
      </c>
      <c r="AK40" s="485">
        <f t="shared" si="60"/>
        <v>50</v>
      </c>
      <c r="AL40" s="371"/>
      <c r="AM40" s="232" t="str">
        <f t="shared" si="61"/>
        <v/>
      </c>
      <c r="AN40" s="232" t="str">
        <f t="shared" si="62"/>
        <v/>
      </c>
      <c r="AO40" s="232">
        <f t="shared" si="63"/>
        <v>50</v>
      </c>
      <c r="AP40" s="232">
        <f t="shared" si="93"/>
        <v>1</v>
      </c>
      <c r="AQ40" s="371"/>
      <c r="AR40" s="497">
        <v>10</v>
      </c>
      <c r="AS40" s="498">
        <v>20</v>
      </c>
      <c r="AT40" s="485">
        <f t="shared" si="64"/>
        <v>70</v>
      </c>
      <c r="AU40" s="371"/>
      <c r="AV40" s="232" t="str">
        <f t="shared" si="65"/>
        <v/>
      </c>
      <c r="AW40" s="232" t="str">
        <f t="shared" si="66"/>
        <v/>
      </c>
      <c r="AX40" s="232">
        <f t="shared" si="67"/>
        <v>70</v>
      </c>
      <c r="AY40" s="232">
        <f t="shared" si="94"/>
        <v>1</v>
      </c>
      <c r="AZ40" s="371"/>
      <c r="BA40" s="497">
        <v>10</v>
      </c>
      <c r="BB40" s="498">
        <v>10</v>
      </c>
      <c r="BC40" s="485">
        <f t="shared" si="68"/>
        <v>80</v>
      </c>
      <c r="BD40" s="371"/>
      <c r="BE40" s="232" t="str">
        <f t="shared" si="69"/>
        <v/>
      </c>
      <c r="BF40" s="232" t="str">
        <f t="shared" si="70"/>
        <v/>
      </c>
      <c r="BG40" s="232">
        <f t="shared" si="71"/>
        <v>80</v>
      </c>
      <c r="BH40" s="232">
        <f t="shared" si="95"/>
        <v>1</v>
      </c>
      <c r="BI40" s="371"/>
      <c r="BJ40" s="497">
        <v>10</v>
      </c>
      <c r="BK40" s="498">
        <v>10</v>
      </c>
      <c r="BL40" s="485">
        <f t="shared" si="72"/>
        <v>80</v>
      </c>
      <c r="BM40" s="371"/>
      <c r="BN40" s="232" t="str">
        <f t="shared" si="73"/>
        <v/>
      </c>
      <c r="BO40" s="232" t="str">
        <f t="shared" si="74"/>
        <v/>
      </c>
      <c r="BP40" s="232">
        <f t="shared" si="75"/>
        <v>80</v>
      </c>
      <c r="BQ40" s="232">
        <f t="shared" si="96"/>
        <v>1</v>
      </c>
      <c r="BR40" s="371"/>
      <c r="BS40" s="497">
        <v>10</v>
      </c>
      <c r="BT40" s="498">
        <v>10</v>
      </c>
      <c r="BU40" s="485">
        <f t="shared" si="76"/>
        <v>80</v>
      </c>
      <c r="BV40" s="371"/>
      <c r="BW40" s="232" t="str">
        <f t="shared" si="77"/>
        <v/>
      </c>
      <c r="BX40" s="232" t="str">
        <f t="shared" si="78"/>
        <v/>
      </c>
      <c r="BY40" s="232">
        <f t="shared" si="79"/>
        <v>80</v>
      </c>
      <c r="BZ40" s="232">
        <f t="shared" si="97"/>
        <v>1</v>
      </c>
      <c r="CA40" s="371"/>
      <c r="CB40" s="504">
        <f t="shared" si="80"/>
        <v>20</v>
      </c>
      <c r="CC40" s="505">
        <f t="shared" si="81"/>
        <v>20</v>
      </c>
      <c r="CD40" s="506">
        <f t="shared" si="82"/>
        <v>60</v>
      </c>
      <c r="CE40" s="371"/>
      <c r="CF40" s="232" t="str">
        <f t="shared" si="83"/>
        <v/>
      </c>
      <c r="CG40" s="232" t="str">
        <f t="shared" si="84"/>
        <v/>
      </c>
      <c r="CH40" s="232">
        <f t="shared" si="85"/>
        <v>60</v>
      </c>
      <c r="CI40" s="232">
        <f t="shared" si="98"/>
        <v>1</v>
      </c>
      <c r="CJ40" s="232"/>
      <c r="CK40" s="497">
        <v>10</v>
      </c>
      <c r="CL40" s="498">
        <v>20</v>
      </c>
      <c r="CM40" s="485">
        <f t="shared" si="86"/>
        <v>70</v>
      </c>
      <c r="CN40" s="371"/>
      <c r="CO40" s="232" t="str">
        <f t="shared" si="87"/>
        <v/>
      </c>
      <c r="CP40" s="232" t="str">
        <f t="shared" si="88"/>
        <v/>
      </c>
      <c r="CQ40" s="232">
        <f t="shared" si="89"/>
        <v>70</v>
      </c>
      <c r="CR40" s="232">
        <f t="shared" si="99"/>
        <v>1</v>
      </c>
      <c r="CS40" s="232"/>
      <c r="CT40" s="371"/>
      <c r="CU40" s="300"/>
      <c r="CV40" s="246"/>
      <c r="CW40" s="264"/>
      <c r="CX40" s="176"/>
      <c r="CY40" s="176"/>
    </row>
    <row r="41" spans="1:103" s="175" customFormat="1" ht="13.35" customHeight="1" outlineLevel="2" thickBot="1" x14ac:dyDescent="0.25">
      <c r="A41" s="264"/>
      <c r="B41" s="264"/>
      <c r="C41" s="202"/>
      <c r="D41" s="271">
        <v>12</v>
      </c>
      <c r="E41" s="168" t="s">
        <v>73</v>
      </c>
      <c r="F41" s="470">
        <v>3</v>
      </c>
      <c r="G41" s="476" t="s">
        <v>49</v>
      </c>
      <c r="H41" s="477">
        <v>1</v>
      </c>
      <c r="I41" s="392" t="str">
        <f t="shared" si="50"/>
        <v>x</v>
      </c>
      <c r="J41" s="393" t="str">
        <f t="shared" si="51"/>
        <v/>
      </c>
      <c r="K41" s="394" t="str">
        <f t="shared" si="52"/>
        <v/>
      </c>
      <c r="L41" s="299"/>
      <c r="M41" s="375"/>
      <c r="N41" s="379"/>
      <c r="O41" s="236"/>
      <c r="P41" s="236"/>
      <c r="Q41" s="489">
        <v>80</v>
      </c>
      <c r="R41" s="490">
        <v>10</v>
      </c>
      <c r="S41" s="491">
        <f t="shared" si="90"/>
        <v>10</v>
      </c>
      <c r="T41" s="371"/>
      <c r="U41" s="232">
        <f t="shared" si="53"/>
        <v>80</v>
      </c>
      <c r="V41" s="232" t="str">
        <f t="shared" si="54"/>
        <v/>
      </c>
      <c r="W41" s="232" t="str">
        <f t="shared" si="55"/>
        <v/>
      </c>
      <c r="X41" s="232">
        <f t="shared" si="91"/>
        <v>1</v>
      </c>
      <c r="Y41" s="371"/>
      <c r="Z41" s="499">
        <v>80</v>
      </c>
      <c r="AA41" s="500">
        <v>10</v>
      </c>
      <c r="AB41" s="491">
        <f t="shared" si="56"/>
        <v>10</v>
      </c>
      <c r="AC41" s="371"/>
      <c r="AD41" s="232">
        <f t="shared" si="57"/>
        <v>80</v>
      </c>
      <c r="AE41" s="232" t="str">
        <f t="shared" si="58"/>
        <v/>
      </c>
      <c r="AF41" s="232" t="str">
        <f t="shared" si="59"/>
        <v/>
      </c>
      <c r="AG41" s="232">
        <f t="shared" si="92"/>
        <v>1</v>
      </c>
      <c r="AH41" s="371"/>
      <c r="AI41" s="499">
        <v>80</v>
      </c>
      <c r="AJ41" s="500">
        <v>10</v>
      </c>
      <c r="AK41" s="491">
        <f t="shared" si="60"/>
        <v>10</v>
      </c>
      <c r="AL41" s="371"/>
      <c r="AM41" s="232">
        <f t="shared" si="61"/>
        <v>80</v>
      </c>
      <c r="AN41" s="232" t="str">
        <f t="shared" si="62"/>
        <v/>
      </c>
      <c r="AO41" s="232" t="str">
        <f t="shared" si="63"/>
        <v/>
      </c>
      <c r="AP41" s="232">
        <f t="shared" si="93"/>
        <v>1</v>
      </c>
      <c r="AQ41" s="371"/>
      <c r="AR41" s="499">
        <v>60</v>
      </c>
      <c r="AS41" s="500">
        <v>30</v>
      </c>
      <c r="AT41" s="491">
        <f t="shared" si="64"/>
        <v>10</v>
      </c>
      <c r="AU41" s="371"/>
      <c r="AV41" s="232">
        <f t="shared" si="65"/>
        <v>60</v>
      </c>
      <c r="AW41" s="232" t="str">
        <f t="shared" si="66"/>
        <v/>
      </c>
      <c r="AX41" s="232" t="str">
        <f t="shared" si="67"/>
        <v/>
      </c>
      <c r="AY41" s="232">
        <f t="shared" si="94"/>
        <v>1</v>
      </c>
      <c r="AZ41" s="371"/>
      <c r="BA41" s="499">
        <v>80</v>
      </c>
      <c r="BB41" s="500">
        <v>10</v>
      </c>
      <c r="BC41" s="491">
        <f t="shared" si="68"/>
        <v>10</v>
      </c>
      <c r="BD41" s="371"/>
      <c r="BE41" s="232">
        <f t="shared" si="69"/>
        <v>80</v>
      </c>
      <c r="BF41" s="232" t="str">
        <f t="shared" si="70"/>
        <v/>
      </c>
      <c r="BG41" s="232" t="str">
        <f t="shared" si="71"/>
        <v/>
      </c>
      <c r="BH41" s="232">
        <f t="shared" si="95"/>
        <v>1</v>
      </c>
      <c r="BI41" s="371"/>
      <c r="BJ41" s="499">
        <v>80</v>
      </c>
      <c r="BK41" s="500">
        <v>10</v>
      </c>
      <c r="BL41" s="491">
        <f t="shared" si="72"/>
        <v>10</v>
      </c>
      <c r="BM41" s="371"/>
      <c r="BN41" s="232">
        <f t="shared" si="73"/>
        <v>80</v>
      </c>
      <c r="BO41" s="232" t="str">
        <f t="shared" si="74"/>
        <v/>
      </c>
      <c r="BP41" s="232" t="str">
        <f t="shared" si="75"/>
        <v/>
      </c>
      <c r="BQ41" s="232">
        <f t="shared" si="96"/>
        <v>1</v>
      </c>
      <c r="BR41" s="371"/>
      <c r="BS41" s="499">
        <v>60</v>
      </c>
      <c r="BT41" s="500">
        <v>20</v>
      </c>
      <c r="BU41" s="491">
        <f t="shared" si="76"/>
        <v>20</v>
      </c>
      <c r="BV41" s="371"/>
      <c r="BW41" s="232">
        <f t="shared" si="77"/>
        <v>60</v>
      </c>
      <c r="BX41" s="232" t="str">
        <f t="shared" si="78"/>
        <v/>
      </c>
      <c r="BY41" s="232" t="str">
        <f t="shared" si="79"/>
        <v/>
      </c>
      <c r="BZ41" s="232">
        <f t="shared" si="97"/>
        <v>1</v>
      </c>
      <c r="CA41" s="371"/>
      <c r="CB41" s="507">
        <f t="shared" si="80"/>
        <v>80</v>
      </c>
      <c r="CC41" s="508">
        <f t="shared" si="81"/>
        <v>10</v>
      </c>
      <c r="CD41" s="509">
        <f t="shared" si="82"/>
        <v>10</v>
      </c>
      <c r="CE41" s="371"/>
      <c r="CF41" s="232">
        <f t="shared" si="83"/>
        <v>80</v>
      </c>
      <c r="CG41" s="232" t="str">
        <f t="shared" si="84"/>
        <v/>
      </c>
      <c r="CH41" s="232" t="str">
        <f t="shared" si="85"/>
        <v/>
      </c>
      <c r="CI41" s="232">
        <f t="shared" si="98"/>
        <v>1</v>
      </c>
      <c r="CJ41" s="232"/>
      <c r="CK41" s="499">
        <v>80</v>
      </c>
      <c r="CL41" s="500">
        <v>10</v>
      </c>
      <c r="CM41" s="491">
        <f t="shared" si="86"/>
        <v>10</v>
      </c>
      <c r="CN41" s="371"/>
      <c r="CO41" s="232">
        <f t="shared" si="87"/>
        <v>80</v>
      </c>
      <c r="CP41" s="232" t="str">
        <f t="shared" si="88"/>
        <v/>
      </c>
      <c r="CQ41" s="232" t="str">
        <f t="shared" si="89"/>
        <v/>
      </c>
      <c r="CR41" s="232">
        <f t="shared" si="99"/>
        <v>1</v>
      </c>
      <c r="CS41" s="232"/>
      <c r="CT41" s="371"/>
      <c r="CU41" s="300"/>
      <c r="CV41" s="246"/>
      <c r="CW41" s="264"/>
      <c r="CX41" s="177"/>
      <c r="CY41" s="176"/>
    </row>
    <row r="42" spans="1:103" s="174" customFormat="1" ht="13.35" customHeight="1" outlineLevel="1" x14ac:dyDescent="0.2">
      <c r="A42" s="264"/>
      <c r="B42" s="264"/>
      <c r="C42" s="202"/>
      <c r="D42" s="272"/>
      <c r="E42" s="235"/>
      <c r="F42" s="395">
        <f>IF(SUM(F30:F41)=0,"",SUM(F30:F41))</f>
        <v>22</v>
      </c>
      <c r="G42" s="370" t="s">
        <v>49</v>
      </c>
      <c r="H42" s="396">
        <f>IF(SUM(H30:H41)=0,"",SUM(H30:H41))</f>
        <v>12</v>
      </c>
      <c r="I42" s="397">
        <f>IF(COUNTIF(I30:I41,"=x")=0,"",COUNTIF(I30:I41,"=x"))</f>
        <v>6</v>
      </c>
      <c r="J42" s="398">
        <f>IF(COUNTIF(J30:J41,"=x")=0,"",COUNTIF(J30:J41,"=x"))</f>
        <v>3</v>
      </c>
      <c r="K42" s="399">
        <f>IF(COUNTIF(K30:K41,"=x")=0,"",COUNTIF(K30:K41,"=x"))</f>
        <v>3</v>
      </c>
      <c r="L42" s="299"/>
      <c r="M42" s="375"/>
      <c r="N42" s="379"/>
      <c r="O42" s="236"/>
      <c r="P42" s="369"/>
      <c r="Q42" s="466">
        <f>SUM(U30:U41)</f>
        <v>340</v>
      </c>
      <c r="R42" s="466">
        <f>SUM(V30:V41)</f>
        <v>70</v>
      </c>
      <c r="S42" s="466">
        <f>SUM(W30:W41)</f>
        <v>120</v>
      </c>
      <c r="T42" s="368"/>
      <c r="U42" s="232"/>
      <c r="V42" s="232"/>
      <c r="W42" s="232"/>
      <c r="X42" s="232"/>
      <c r="Y42" s="367"/>
      <c r="Z42" s="466">
        <f>SUM(AD30:AD41)</f>
        <v>410</v>
      </c>
      <c r="AA42" s="466">
        <f>SUM(AE30:AE41)</f>
        <v>30</v>
      </c>
      <c r="AB42" s="466">
        <f>SUM(AF30:AF41)</f>
        <v>170</v>
      </c>
      <c r="AC42" s="368"/>
      <c r="AD42" s="232"/>
      <c r="AE42" s="232"/>
      <c r="AF42" s="232"/>
      <c r="AG42" s="232"/>
      <c r="AH42" s="367"/>
      <c r="AI42" s="466">
        <f>SUM(AM30:AM41)</f>
        <v>300</v>
      </c>
      <c r="AJ42" s="466">
        <f>SUM(AN30:AN41)</f>
        <v>40</v>
      </c>
      <c r="AK42" s="466">
        <f>SUM(AO30:AO41)</f>
        <v>170</v>
      </c>
      <c r="AL42" s="368"/>
      <c r="AM42" s="232"/>
      <c r="AN42" s="232"/>
      <c r="AO42" s="232"/>
      <c r="AP42" s="232"/>
      <c r="AQ42" s="367"/>
      <c r="AR42" s="466">
        <f>SUM(AV30:AV41)</f>
        <v>290</v>
      </c>
      <c r="AS42" s="466">
        <f>SUM(AW30:AW41)</f>
        <v>80</v>
      </c>
      <c r="AT42" s="466">
        <f>SUM(AX30:AX41)</f>
        <v>200</v>
      </c>
      <c r="AU42" s="368"/>
      <c r="AV42" s="232"/>
      <c r="AW42" s="232"/>
      <c r="AX42" s="232"/>
      <c r="AY42" s="232"/>
      <c r="AZ42" s="367"/>
      <c r="BA42" s="466">
        <f>SUM(BE30:BE41)</f>
        <v>480</v>
      </c>
      <c r="BB42" s="466">
        <f>SUM(BF30:BF41)</f>
        <v>30</v>
      </c>
      <c r="BC42" s="466">
        <f>SUM(BG30:BG41)</f>
        <v>170</v>
      </c>
      <c r="BD42" s="368"/>
      <c r="BE42" s="232"/>
      <c r="BF42" s="232"/>
      <c r="BG42" s="232"/>
      <c r="BH42" s="232"/>
      <c r="BI42" s="367"/>
      <c r="BJ42" s="466">
        <f>SUM(BN30:BN41)</f>
        <v>260</v>
      </c>
      <c r="BK42" s="466">
        <f>SUM(BO30:BO41)</f>
        <v>100</v>
      </c>
      <c r="BL42" s="466">
        <f>SUM(BP30:BP41)</f>
        <v>170</v>
      </c>
      <c r="BM42" s="368"/>
      <c r="BN42" s="232"/>
      <c r="BO42" s="232"/>
      <c r="BP42" s="232"/>
      <c r="BQ42" s="232"/>
      <c r="BR42" s="367"/>
      <c r="BS42" s="466">
        <f>SUM(BW30:BW41)</f>
        <v>190</v>
      </c>
      <c r="BT42" s="466">
        <f>SUM(BX30:BX41)</f>
        <v>70</v>
      </c>
      <c r="BU42" s="466">
        <f>SUM(BY30:BY41)</f>
        <v>220</v>
      </c>
      <c r="BV42" s="368"/>
      <c r="BW42" s="232"/>
      <c r="BX42" s="232"/>
      <c r="BY42" s="232"/>
      <c r="BZ42" s="232"/>
      <c r="CA42" s="369"/>
      <c r="CB42" s="466">
        <f>SUM(CF30:CF41)</f>
        <v>360</v>
      </c>
      <c r="CC42" s="466">
        <f>SUM(CG30:CG41)</f>
        <v>50</v>
      </c>
      <c r="CD42" s="466">
        <f>SUM(CH30:CH41)</f>
        <v>170</v>
      </c>
      <c r="CE42" s="368"/>
      <c r="CF42" s="232"/>
      <c r="CG42" s="232"/>
      <c r="CH42" s="232"/>
      <c r="CI42" s="232"/>
      <c r="CJ42" s="232"/>
      <c r="CK42" s="466">
        <f>SUM(CO30:CO41)</f>
        <v>370</v>
      </c>
      <c r="CL42" s="466">
        <f>SUM(CP30:CP41)</f>
        <v>40</v>
      </c>
      <c r="CM42" s="466">
        <f>SUM(CQ30:CQ41)</f>
        <v>170</v>
      </c>
      <c r="CN42" s="368"/>
      <c r="CO42" s="232"/>
      <c r="CP42" s="232"/>
      <c r="CQ42" s="232"/>
      <c r="CR42" s="232"/>
      <c r="CS42" s="232"/>
      <c r="CT42" s="232"/>
      <c r="CU42" s="300"/>
      <c r="CV42" s="246"/>
      <c r="CW42" s="265"/>
      <c r="CX42" s="5"/>
      <c r="CY42" s="173"/>
    </row>
    <row r="43" spans="1:103" s="174" customFormat="1" ht="13.35" customHeight="1" outlineLevel="1" thickBot="1" x14ac:dyDescent="0.25">
      <c r="A43" s="264"/>
      <c r="B43" s="264"/>
      <c r="C43" s="202"/>
      <c r="D43" s="289"/>
      <c r="E43" s="282"/>
      <c r="F43" s="283"/>
      <c r="G43" s="282"/>
      <c r="H43" s="282"/>
      <c r="I43" s="282"/>
      <c r="J43" s="282"/>
      <c r="K43" s="282"/>
      <c r="L43" s="293"/>
      <c r="M43" s="301"/>
      <c r="N43" s="380"/>
      <c r="O43" s="376"/>
      <c r="P43" s="284"/>
      <c r="Q43" s="285"/>
      <c r="R43" s="285"/>
      <c r="S43" s="285"/>
      <c r="T43" s="286"/>
      <c r="U43" s="287"/>
      <c r="V43" s="287"/>
      <c r="W43" s="287"/>
      <c r="X43" s="287"/>
      <c r="Y43" s="284"/>
      <c r="Z43" s="285"/>
      <c r="AA43" s="285"/>
      <c r="AB43" s="285"/>
      <c r="AC43" s="286"/>
      <c r="AD43" s="287"/>
      <c r="AE43" s="287"/>
      <c r="AF43" s="287"/>
      <c r="AG43" s="288"/>
      <c r="AH43" s="284"/>
      <c r="AI43" s="285"/>
      <c r="AJ43" s="285"/>
      <c r="AK43" s="285"/>
      <c r="AL43" s="286"/>
      <c r="AM43" s="287"/>
      <c r="AN43" s="287"/>
      <c r="AO43" s="287"/>
      <c r="AP43" s="288"/>
      <c r="AQ43" s="284"/>
      <c r="AR43" s="285"/>
      <c r="AS43" s="285"/>
      <c r="AT43" s="285"/>
      <c r="AU43" s="286"/>
      <c r="AV43" s="287"/>
      <c r="AW43" s="287"/>
      <c r="AX43" s="287"/>
      <c r="AY43" s="288"/>
      <c r="AZ43" s="284"/>
      <c r="BA43" s="285"/>
      <c r="BB43" s="285"/>
      <c r="BC43" s="285"/>
      <c r="BD43" s="286"/>
      <c r="BE43" s="287"/>
      <c r="BF43" s="287"/>
      <c r="BG43" s="287"/>
      <c r="BH43" s="288"/>
      <c r="BI43" s="284"/>
      <c r="BJ43" s="284"/>
      <c r="BK43" s="284"/>
      <c r="BL43" s="284"/>
      <c r="BM43" s="284"/>
      <c r="BN43" s="284"/>
      <c r="BO43" s="284"/>
      <c r="BP43" s="284"/>
      <c r="BQ43" s="284"/>
      <c r="BR43" s="284"/>
      <c r="BS43" s="284"/>
      <c r="BT43" s="284"/>
      <c r="BU43" s="284"/>
      <c r="BV43" s="284"/>
      <c r="BW43" s="284"/>
      <c r="BX43" s="284"/>
      <c r="BY43" s="284"/>
      <c r="BZ43" s="284"/>
      <c r="CA43" s="284"/>
      <c r="CB43" s="284"/>
      <c r="CC43" s="284"/>
      <c r="CD43" s="284"/>
      <c r="CE43" s="284"/>
      <c r="CF43" s="284"/>
      <c r="CG43" s="284"/>
      <c r="CH43" s="284"/>
      <c r="CI43" s="284"/>
      <c r="CJ43" s="288"/>
      <c r="CK43" s="288"/>
      <c r="CL43" s="288"/>
      <c r="CM43" s="288"/>
      <c r="CN43" s="288"/>
      <c r="CO43" s="288"/>
      <c r="CP43" s="288"/>
      <c r="CQ43" s="288"/>
      <c r="CR43" s="288"/>
      <c r="CS43" s="288"/>
      <c r="CT43" s="282"/>
      <c r="CU43" s="294"/>
      <c r="CV43" s="246"/>
      <c r="CW43" s="265"/>
      <c r="CX43" s="5"/>
      <c r="CY43" s="173"/>
    </row>
    <row r="44" spans="1:103" ht="14.25" thickTop="1" thickBot="1" x14ac:dyDescent="0.25">
      <c r="A44" s="256"/>
      <c r="B44" s="256"/>
      <c r="C44" s="210"/>
      <c r="D44" s="211"/>
      <c r="E44" s="247"/>
      <c r="F44" s="248"/>
      <c r="G44" s="247"/>
      <c r="H44" s="247"/>
      <c r="I44" s="247"/>
      <c r="J44" s="247"/>
      <c r="K44" s="247"/>
      <c r="L44" s="249"/>
      <c r="M44" s="250"/>
      <c r="N44" s="250"/>
      <c r="O44" s="250"/>
      <c r="P44" s="250"/>
      <c r="Q44" s="247"/>
      <c r="R44" s="247"/>
      <c r="S44" s="247"/>
      <c r="T44" s="251"/>
      <c r="U44" s="252"/>
      <c r="V44" s="252"/>
      <c r="W44" s="252"/>
      <c r="X44" s="252"/>
      <c r="Y44" s="250"/>
      <c r="Z44" s="247"/>
      <c r="AA44" s="247"/>
      <c r="AB44" s="247"/>
      <c r="AC44" s="251"/>
      <c r="AD44" s="252"/>
      <c r="AE44" s="252"/>
      <c r="AF44" s="252"/>
      <c r="AG44" s="247"/>
      <c r="AH44" s="250"/>
      <c r="AI44" s="247"/>
      <c r="AJ44" s="247"/>
      <c r="AK44" s="247"/>
      <c r="AL44" s="251"/>
      <c r="AM44" s="252"/>
      <c r="AN44" s="252"/>
      <c r="AO44" s="252"/>
      <c r="AP44" s="247"/>
      <c r="AQ44" s="250"/>
      <c r="AR44" s="247"/>
      <c r="AS44" s="247"/>
      <c r="AT44" s="247"/>
      <c r="AU44" s="251"/>
      <c r="AV44" s="252"/>
      <c r="AW44" s="252"/>
      <c r="AX44" s="252"/>
      <c r="AY44" s="247"/>
      <c r="AZ44" s="250"/>
      <c r="BA44" s="247"/>
      <c r="BB44" s="247"/>
      <c r="BC44" s="247"/>
      <c r="BD44" s="251"/>
      <c r="BE44" s="252"/>
      <c r="BF44" s="252"/>
      <c r="BG44" s="252"/>
      <c r="BH44" s="247"/>
      <c r="BI44" s="250"/>
      <c r="BJ44" s="247"/>
      <c r="BK44" s="247"/>
      <c r="BL44" s="247"/>
      <c r="BM44" s="251"/>
      <c r="BN44" s="252"/>
      <c r="BO44" s="252"/>
      <c r="BP44" s="252"/>
      <c r="BQ44" s="247"/>
      <c r="BR44" s="212"/>
      <c r="BS44" s="247"/>
      <c r="BT44" s="247"/>
      <c r="BU44" s="247"/>
      <c r="BV44" s="250"/>
      <c r="BW44" s="252"/>
      <c r="BX44" s="252"/>
      <c r="BY44" s="252"/>
      <c r="BZ44" s="247"/>
      <c r="CA44" s="247"/>
      <c r="CB44" s="253"/>
      <c r="CC44" s="253"/>
      <c r="CD44" s="253"/>
      <c r="CE44" s="253"/>
      <c r="CF44" s="247"/>
      <c r="CG44" s="247"/>
      <c r="CH44" s="247"/>
      <c r="CI44" s="247"/>
      <c r="CJ44" s="247"/>
      <c r="CK44" s="247"/>
      <c r="CL44" s="247"/>
      <c r="CM44" s="247"/>
      <c r="CN44" s="247"/>
      <c r="CO44" s="247"/>
      <c r="CP44" s="247"/>
      <c r="CQ44" s="247"/>
      <c r="CR44" s="247"/>
      <c r="CS44" s="247"/>
      <c r="CT44" s="247"/>
      <c r="CU44" s="247"/>
      <c r="CV44" s="254"/>
      <c r="CW44" s="255"/>
      <c r="CX44" s="4"/>
      <c r="CY44" s="4"/>
    </row>
    <row r="45" spans="1:103" s="171" customFormat="1" ht="14.25" thickTop="1" thickBot="1" x14ac:dyDescent="0.25">
      <c r="A45" s="255"/>
      <c r="B45" s="255"/>
      <c r="C45" s="255"/>
      <c r="D45" s="255"/>
      <c r="E45" s="255"/>
      <c r="F45" s="255"/>
      <c r="G45" s="255"/>
      <c r="H45" s="255"/>
      <c r="I45" s="255"/>
      <c r="J45" s="255"/>
      <c r="K45" s="255"/>
      <c r="L45" s="255"/>
      <c r="M45" s="255"/>
      <c r="N45" s="255"/>
      <c r="O45" s="255"/>
      <c r="P45" s="255"/>
      <c r="Q45" s="255"/>
      <c r="R45" s="255"/>
      <c r="S45" s="255"/>
      <c r="T45" s="255"/>
      <c r="U45" s="255"/>
      <c r="V45" s="255"/>
      <c r="W45" s="255"/>
      <c r="X45" s="255"/>
      <c r="Y45" s="255"/>
      <c r="Z45" s="255"/>
      <c r="AA45" s="255"/>
      <c r="AB45" s="255"/>
      <c r="AC45" s="255"/>
      <c r="AD45" s="255"/>
      <c r="AE45" s="255"/>
      <c r="AF45" s="255"/>
      <c r="AG45" s="255"/>
      <c r="AH45" s="255"/>
      <c r="AI45" s="255"/>
      <c r="AJ45" s="255"/>
      <c r="AK45" s="255"/>
      <c r="AL45" s="255"/>
      <c r="AM45" s="255"/>
      <c r="AN45" s="255"/>
      <c r="AO45" s="255"/>
      <c r="AP45" s="255"/>
      <c r="AQ45" s="255"/>
      <c r="AR45" s="255"/>
      <c r="AS45" s="255"/>
      <c r="AT45" s="255"/>
      <c r="AU45" s="255"/>
      <c r="AV45" s="255"/>
      <c r="AW45" s="255"/>
      <c r="AX45" s="255"/>
      <c r="AY45" s="255"/>
      <c r="AZ45" s="255"/>
      <c r="BA45" s="255"/>
      <c r="BB45" s="255"/>
      <c r="BC45" s="255"/>
      <c r="BD45" s="255"/>
      <c r="BE45" s="255"/>
      <c r="BF45" s="255"/>
      <c r="BG45" s="255"/>
      <c r="BH45" s="255"/>
      <c r="BI45" s="255"/>
      <c r="BJ45" s="255"/>
      <c r="BK45" s="255"/>
      <c r="BL45" s="255"/>
      <c r="BM45" s="255"/>
      <c r="BN45" s="255"/>
      <c r="BO45" s="255"/>
      <c r="BP45" s="255"/>
      <c r="BQ45" s="255"/>
      <c r="BR45" s="255"/>
      <c r="BS45" s="255"/>
      <c r="BT45" s="255"/>
      <c r="BU45" s="255"/>
      <c r="BV45" s="255"/>
      <c r="BW45" s="255"/>
      <c r="BX45" s="255"/>
      <c r="BY45" s="255"/>
      <c r="BZ45" s="255"/>
      <c r="CA45" s="255"/>
      <c r="CB45" s="436"/>
      <c r="CC45" s="436"/>
      <c r="CD45" s="436"/>
      <c r="CE45" s="436"/>
      <c r="CF45" s="255"/>
      <c r="CG45" s="255"/>
      <c r="CH45" s="255"/>
      <c r="CI45" s="255"/>
      <c r="CJ45" s="255"/>
      <c r="CK45" s="255"/>
      <c r="CL45" s="255"/>
      <c r="CM45" s="255"/>
      <c r="CN45" s="255"/>
      <c r="CO45" s="255"/>
      <c r="CP45" s="255"/>
      <c r="CQ45" s="255"/>
      <c r="CR45" s="255"/>
      <c r="CS45" s="255"/>
      <c r="CT45" s="255"/>
      <c r="CU45" s="255"/>
      <c r="CV45" s="255"/>
      <c r="CW45" s="255"/>
      <c r="CX45" s="15"/>
      <c r="CY45" s="15"/>
    </row>
    <row r="46" spans="1:103" ht="21.6" customHeight="1" thickTop="1" x14ac:dyDescent="0.3">
      <c r="A46" s="256"/>
      <c r="B46" s="256"/>
      <c r="C46" s="190"/>
      <c r="D46" s="191"/>
      <c r="E46" s="865" t="str">
        <f>$E$2</f>
        <v>STPS 2026</v>
      </c>
      <c r="F46" s="267"/>
      <c r="G46" s="267"/>
      <c r="H46" s="267"/>
      <c r="I46" s="192"/>
      <c r="J46" s="192"/>
      <c r="K46" s="192"/>
      <c r="L46" s="193"/>
      <c r="M46" s="192"/>
      <c r="N46" s="192"/>
      <c r="O46" s="192"/>
      <c r="P46" s="194"/>
      <c r="Q46" s="192"/>
      <c r="R46" s="192"/>
      <c r="S46" s="192"/>
      <c r="T46" s="195"/>
      <c r="U46" s="196"/>
      <c r="V46" s="196"/>
      <c r="W46" s="196"/>
      <c r="X46" s="196"/>
      <c r="Y46" s="194"/>
      <c r="Z46" s="192"/>
      <c r="AA46" s="192"/>
      <c r="AB46" s="192"/>
      <c r="AC46" s="195"/>
      <c r="AD46" s="196"/>
      <c r="AE46" s="196"/>
      <c r="AF46" s="196"/>
      <c r="AG46" s="197"/>
      <c r="AH46" s="194"/>
      <c r="AI46" s="192"/>
      <c r="AJ46" s="237"/>
      <c r="AK46" s="237"/>
      <c r="AL46" s="198"/>
      <c r="AM46" s="238"/>
      <c r="AN46" s="238"/>
      <c r="AO46" s="238"/>
      <c r="AP46" s="197"/>
      <c r="AQ46" s="239"/>
      <c r="AR46" s="240"/>
      <c r="AS46" s="199"/>
      <c r="AT46" s="200"/>
      <c r="AU46" s="198"/>
      <c r="AV46" s="196"/>
      <c r="AW46" s="196"/>
      <c r="AX46" s="196"/>
      <c r="AY46" s="197"/>
      <c r="AZ46" s="239"/>
      <c r="BA46" s="240"/>
      <c r="BB46" s="200"/>
      <c r="BC46" s="237"/>
      <c r="BD46" s="241"/>
      <c r="BE46" s="196"/>
      <c r="BF46" s="196"/>
      <c r="BG46" s="196"/>
      <c r="BH46" s="197"/>
      <c r="BI46" s="242"/>
      <c r="BJ46" s="237"/>
      <c r="BK46" s="237"/>
      <c r="BL46" s="237"/>
      <c r="BM46" s="241"/>
      <c r="BN46" s="196"/>
      <c r="BO46" s="196"/>
      <c r="BP46" s="196"/>
      <c r="BQ46" s="197"/>
      <c r="BR46" s="201"/>
      <c r="BS46" s="237"/>
      <c r="BT46" s="237"/>
      <c r="BU46" s="237"/>
      <c r="BV46" s="242"/>
      <c r="BW46" s="237"/>
      <c r="BX46" s="237"/>
      <c r="BY46" s="237"/>
      <c r="BZ46" s="237"/>
      <c r="CA46" s="237"/>
      <c r="CB46" s="437"/>
      <c r="CC46" s="437"/>
      <c r="CD46" s="437"/>
      <c r="CE46" s="437"/>
      <c r="CF46" s="237"/>
      <c r="CG46" s="237"/>
      <c r="CH46" s="237"/>
      <c r="CI46" s="237"/>
      <c r="CJ46" s="197"/>
      <c r="CK46" s="197"/>
      <c r="CL46" s="197"/>
      <c r="CM46" s="197"/>
      <c r="CN46" s="197"/>
      <c r="CO46" s="197"/>
      <c r="CP46" s="197"/>
      <c r="CQ46" s="197"/>
      <c r="CR46" s="197"/>
      <c r="CS46" s="197"/>
      <c r="CT46" s="401"/>
      <c r="CU46" s="237"/>
      <c r="CV46" s="243"/>
      <c r="CW46" s="255"/>
      <c r="CX46" s="4"/>
      <c r="CY46" s="4"/>
    </row>
    <row r="47" spans="1:103" ht="21.6" customHeight="1" thickBot="1" x14ac:dyDescent="0.25">
      <c r="A47" s="256"/>
      <c r="B47" s="256"/>
      <c r="C47" s="202"/>
      <c r="D47" s="188"/>
      <c r="E47" s="266" t="str">
        <f>E3</f>
        <v>Skorgen Tippelag</v>
      </c>
      <c r="F47" s="406"/>
      <c r="G47" s="406"/>
      <c r="H47" s="406"/>
      <c r="I47" s="406"/>
      <c r="J47" s="406"/>
      <c r="K47" s="406"/>
      <c r="L47" s="406"/>
      <c r="M47" s="406"/>
      <c r="N47" s="406"/>
      <c r="O47" s="406"/>
      <c r="P47" s="406"/>
      <c r="Q47" s="406"/>
      <c r="R47" s="406"/>
      <c r="S47" s="406"/>
      <c r="T47" s="406"/>
      <c r="U47" s="406"/>
      <c r="V47" s="406"/>
      <c r="W47" s="406"/>
      <c r="X47" s="406"/>
      <c r="Y47" s="406"/>
      <c r="Z47" s="406"/>
      <c r="AA47" s="406"/>
      <c r="AB47" s="406"/>
      <c r="AC47" s="406"/>
      <c r="AD47" s="406"/>
      <c r="AE47" s="406"/>
      <c r="AF47" s="406"/>
      <c r="AG47" s="406"/>
      <c r="AH47" s="406"/>
      <c r="AI47" s="406"/>
      <c r="AJ47" s="406"/>
      <c r="AK47" s="406"/>
      <c r="AL47" s="406"/>
      <c r="AM47" s="406"/>
      <c r="AN47" s="406"/>
      <c r="AO47" s="406"/>
      <c r="AP47" s="406"/>
      <c r="AQ47" s="406"/>
      <c r="AR47" s="406"/>
      <c r="AS47" s="406"/>
      <c r="AT47" s="406"/>
      <c r="AU47" s="406"/>
      <c r="AV47" s="406"/>
      <c r="AW47" s="406"/>
      <c r="AX47" s="406"/>
      <c r="AY47" s="406"/>
      <c r="AZ47" s="406"/>
      <c r="BA47" s="406"/>
      <c r="BB47" s="406"/>
      <c r="BC47" s="406"/>
      <c r="BD47" s="406"/>
      <c r="BE47" s="406"/>
      <c r="BF47" s="406"/>
      <c r="BG47" s="406"/>
      <c r="BH47" s="406"/>
      <c r="BI47" s="406"/>
      <c r="BJ47" s="406"/>
      <c r="BK47" s="406"/>
      <c r="BL47" s="406"/>
      <c r="BM47" s="406"/>
      <c r="BN47" s="406"/>
      <c r="BO47" s="406"/>
      <c r="BP47" s="406"/>
      <c r="BQ47" s="406"/>
      <c r="BR47" s="406"/>
      <c r="BS47" s="406"/>
      <c r="BT47" s="406"/>
      <c r="BU47" s="406"/>
      <c r="BV47" s="406"/>
      <c r="BW47" s="406"/>
      <c r="BX47" s="406"/>
      <c r="BY47" s="406"/>
      <c r="BZ47" s="406"/>
      <c r="CA47" s="406"/>
      <c r="CB47" s="438"/>
      <c r="CC47" s="438"/>
      <c r="CD47" s="438"/>
      <c r="CE47" s="438"/>
      <c r="CF47" s="406"/>
      <c r="CG47" s="406"/>
      <c r="CH47" s="406"/>
      <c r="CI47" s="406"/>
      <c r="CJ47" s="406"/>
      <c r="CK47" s="406"/>
      <c r="CL47" s="406"/>
      <c r="CM47" s="406"/>
      <c r="CN47" s="366"/>
      <c r="CO47" s="366"/>
      <c r="CP47" s="366"/>
      <c r="CQ47" s="366"/>
      <c r="CR47" s="366"/>
      <c r="CS47" s="366"/>
      <c r="CT47" s="187"/>
      <c r="CU47" s="310"/>
      <c r="CV47" s="246"/>
      <c r="CW47" s="255"/>
      <c r="CX47" s="4"/>
      <c r="CY47" s="4"/>
    </row>
    <row r="48" spans="1:103" ht="18.75" thickTop="1" x14ac:dyDescent="0.2">
      <c r="A48" s="256"/>
      <c r="B48" s="256"/>
      <c r="C48" s="209"/>
      <c r="D48" s="290"/>
      <c r="E48" s="273"/>
      <c r="F48" s="274"/>
      <c r="G48" s="273"/>
      <c r="H48" s="273"/>
      <c r="I48" s="803" t="s">
        <v>39</v>
      </c>
      <c r="J48" s="805"/>
      <c r="K48" s="805"/>
      <c r="L48" s="291"/>
      <c r="M48" s="302"/>
      <c r="N48" s="242"/>
      <c r="O48" s="275"/>
      <c r="P48" s="275"/>
      <c r="Q48" s="808">
        <f>IF($F52="","",SUM(Q64:S64)-S50)</f>
        <v>480</v>
      </c>
      <c r="R48" s="808"/>
      <c r="S48" s="808"/>
      <c r="T48" s="276"/>
      <c r="U48" s="277"/>
      <c r="V48" s="277"/>
      <c r="W48" s="277"/>
      <c r="X48" s="277"/>
      <c r="Y48" s="275"/>
      <c r="Z48" s="808">
        <f>IF($F52="","",SUM(Z64:AB64)-AB50)</f>
        <v>400</v>
      </c>
      <c r="AA48" s="808"/>
      <c r="AB48" s="808"/>
      <c r="AC48" s="276"/>
      <c r="AD48" s="277"/>
      <c r="AE48" s="277"/>
      <c r="AF48" s="277"/>
      <c r="AG48" s="273"/>
      <c r="AH48" s="275"/>
      <c r="AI48" s="808">
        <f>IF($F52="","",SUM(AI64:AK64)-AK50)</f>
        <v>450</v>
      </c>
      <c r="AJ48" s="808"/>
      <c r="AK48" s="808"/>
      <c r="AL48" s="276"/>
      <c r="AM48" s="277"/>
      <c r="AN48" s="277"/>
      <c r="AO48" s="277"/>
      <c r="AP48" s="273"/>
      <c r="AQ48" s="275"/>
      <c r="AR48" s="808">
        <f>IF($F52="","",SUM(AR64:AT64)-AT50)</f>
        <v>510</v>
      </c>
      <c r="AS48" s="808"/>
      <c r="AT48" s="808"/>
      <c r="AU48" s="278"/>
      <c r="AV48" s="277"/>
      <c r="AW48" s="277"/>
      <c r="AX48" s="277"/>
      <c r="AY48" s="279"/>
      <c r="AZ48" s="280"/>
      <c r="BA48" s="808">
        <f>IF($F52="","",SUM(BA64:BC64)-BC50)</f>
        <v>400</v>
      </c>
      <c r="BB48" s="808"/>
      <c r="BC48" s="808"/>
      <c r="BD48" s="278"/>
      <c r="BE48" s="277"/>
      <c r="BF48" s="277"/>
      <c r="BG48" s="277"/>
      <c r="BH48" s="279"/>
      <c r="BI48" s="280"/>
      <c r="BJ48" s="808">
        <f>IF($F52="","",SUM(BJ64:BL64)-BL50)</f>
        <v>590</v>
      </c>
      <c r="BK48" s="808"/>
      <c r="BL48" s="808"/>
      <c r="BM48" s="278"/>
      <c r="BN48" s="277"/>
      <c r="BO48" s="277"/>
      <c r="BP48" s="277"/>
      <c r="BQ48" s="279"/>
      <c r="BR48" s="281"/>
      <c r="BS48" s="808">
        <f>IF($F52="","",SUM(BS64:BU64)-BU50)</f>
        <v>440</v>
      </c>
      <c r="BT48" s="808"/>
      <c r="BU48" s="808"/>
      <c r="BV48" s="280"/>
      <c r="BW48" s="279"/>
      <c r="BX48" s="279"/>
      <c r="BY48" s="279"/>
      <c r="BZ48" s="279"/>
      <c r="CA48" s="281"/>
      <c r="CB48" s="808">
        <f>IF($F52="","",SUM(CB64:CD64)-CD50)</f>
        <v>460</v>
      </c>
      <c r="CC48" s="808"/>
      <c r="CD48" s="808"/>
      <c r="CE48" s="280"/>
      <c r="CF48" s="279"/>
      <c r="CG48" s="279"/>
      <c r="CH48" s="279"/>
      <c r="CI48" s="279"/>
      <c r="CJ48" s="273"/>
      <c r="CK48" s="808">
        <f>IF($F52="","",SUM(CK64:CM64))</f>
        <v>570</v>
      </c>
      <c r="CL48" s="808"/>
      <c r="CM48" s="808"/>
      <c r="CN48" s="280"/>
      <c r="CO48" s="279"/>
      <c r="CP48" s="279"/>
      <c r="CQ48" s="279"/>
      <c r="CR48" s="273"/>
      <c r="CS48" s="273"/>
      <c r="CT48" s="273"/>
      <c r="CU48" s="292"/>
      <c r="CV48" s="246"/>
      <c r="CW48" s="255"/>
      <c r="CX48" s="4"/>
      <c r="CY48" s="4"/>
    </row>
    <row r="49" spans="1:103" x14ac:dyDescent="0.2">
      <c r="A49" s="256"/>
      <c r="B49" s="256"/>
      <c r="C49" s="209"/>
      <c r="D49" s="916">
        <v>38</v>
      </c>
      <c r="E49" s="588">
        <f>DATE($D$4,1,1)+(D49-1)*7+(6-WEEKDAY(DATE($D$4,1,1),2))</f>
        <v>45920</v>
      </c>
      <c r="F49" s="213"/>
      <c r="G49" s="214"/>
      <c r="H49" s="214"/>
      <c r="I49" s="804">
        <f>IF(ISERROR(AVERAGE(Q48,Z48,AI48,AR48,BA48,BJ48,BS48,CB48,CK48)),"",AVERAGE(Q48,Z48,AI48,AR48,BA48,BJ48,BS48,CB48,CK48))</f>
        <v>477.77777777777777</v>
      </c>
      <c r="J49" s="806"/>
      <c r="K49" s="806"/>
      <c r="L49" s="295"/>
      <c r="M49" s="372"/>
      <c r="N49" s="245"/>
      <c r="O49" s="215"/>
      <c r="P49" s="215"/>
      <c r="Q49" s="710">
        <f>IF(Q48="","",Q48/Data!$X$1)</f>
        <v>0.4</v>
      </c>
      <c r="R49" s="710"/>
      <c r="S49" s="711">
        <f>IF(SUM(X52:X63)=0,"",SUM(X52:X63))</f>
        <v>4</v>
      </c>
      <c r="T49" s="216"/>
      <c r="U49" s="217"/>
      <c r="V49" s="217"/>
      <c r="W49" s="217"/>
      <c r="X49" s="217"/>
      <c r="Y49" s="215"/>
      <c r="Z49" s="710">
        <f>IF(Z48="","",Z48/Data!$X$1)</f>
        <v>0.33333333333333331</v>
      </c>
      <c r="AA49" s="710"/>
      <c r="AB49" s="711">
        <f>IF(SUM(AG52:AG63)=0,"",SUM(AG52:AG63))</f>
        <v>4</v>
      </c>
      <c r="AC49" s="216"/>
      <c r="AD49" s="217"/>
      <c r="AE49" s="217"/>
      <c r="AF49" s="217"/>
      <c r="AG49" s="217"/>
      <c r="AH49" s="215"/>
      <c r="AI49" s="710">
        <f>IF(AI48="","",AI48/Data!$X$1)</f>
        <v>0.375</v>
      </c>
      <c r="AJ49" s="710"/>
      <c r="AK49" s="711">
        <f>IF(SUM(AP52:AP63)=0,"",SUM(AP52:AP63))</f>
        <v>6</v>
      </c>
      <c r="AL49" s="216"/>
      <c r="AM49" s="217"/>
      <c r="AN49" s="217"/>
      <c r="AO49" s="217"/>
      <c r="AP49" s="217"/>
      <c r="AQ49" s="215"/>
      <c r="AR49" s="710">
        <f>IF(AR48="","",AR48/Data!$X$1)</f>
        <v>0.42499999999999999</v>
      </c>
      <c r="AS49" s="710"/>
      <c r="AT49" s="711">
        <f>IF(SUM(AY52:AY63)=0,"",SUM(AY52:AY63))</f>
        <v>6</v>
      </c>
      <c r="AU49" s="218"/>
      <c r="AV49" s="217"/>
      <c r="AW49" s="217"/>
      <c r="AX49" s="217"/>
      <c r="AY49" s="217"/>
      <c r="AZ49" s="219"/>
      <c r="BA49" s="710">
        <f>IF(BA48="","",BA48/Data!$X$1)</f>
        <v>0.33333333333333331</v>
      </c>
      <c r="BB49" s="710"/>
      <c r="BC49" s="711">
        <f>IF(SUM(BH52:BH63)=0,"",SUM(BH52:BH63))</f>
        <v>4</v>
      </c>
      <c r="BD49" s="218"/>
      <c r="BE49" s="217"/>
      <c r="BF49" s="217"/>
      <c r="BG49" s="217"/>
      <c r="BH49" s="217"/>
      <c r="BI49" s="219"/>
      <c r="BJ49" s="710">
        <f>IF(BJ48="","",BJ48/Data!$X$1)</f>
        <v>0.49166666666666664</v>
      </c>
      <c r="BK49" s="710"/>
      <c r="BL49" s="711">
        <f>IF(SUM(BQ52:BQ63)=0,"",SUM(BQ52:BQ63))</f>
        <v>7</v>
      </c>
      <c r="BM49" s="218"/>
      <c r="BN49" s="217"/>
      <c r="BO49" s="217"/>
      <c r="BP49" s="217"/>
      <c r="BQ49" s="217"/>
      <c r="BR49" s="220"/>
      <c r="BS49" s="710">
        <f>IF(BS48="","",BS48/Data!$X$1)</f>
        <v>0.36666666666666664</v>
      </c>
      <c r="BT49" s="710"/>
      <c r="BU49" s="711">
        <f>IF(SUM(BZ52:BZ63)=0,"",SUM(BZ52:BZ63))</f>
        <v>4</v>
      </c>
      <c r="BV49" s="219"/>
      <c r="BW49" s="217"/>
      <c r="BX49" s="217"/>
      <c r="BY49" s="217"/>
      <c r="BZ49" s="217"/>
      <c r="CA49" s="220"/>
      <c r="CB49" s="710">
        <f>IF(CB48="","",CB48/Data!$X$1)</f>
        <v>0.38333333333333336</v>
      </c>
      <c r="CC49" s="710"/>
      <c r="CD49" s="711">
        <f>IF(SUM(CI52:CI63)=0,"",SUM(CI52:CI63))</f>
        <v>6</v>
      </c>
      <c r="CE49" s="219"/>
      <c r="CF49" s="217"/>
      <c r="CG49" s="217"/>
      <c r="CH49" s="217"/>
      <c r="CI49" s="217"/>
      <c r="CJ49" s="217"/>
      <c r="CK49" s="710">
        <f>IF(CK48="","",CK48/Data!$X$1)</f>
        <v>0.47499999999999998</v>
      </c>
      <c r="CL49" s="710"/>
      <c r="CM49" s="711">
        <f>IF(SUM(CR52:CR63)=0,"",SUM(CR52:CR63))</f>
        <v>7</v>
      </c>
      <c r="CN49" s="219"/>
      <c r="CO49" s="217"/>
      <c r="CP49" s="217"/>
      <c r="CQ49" s="217"/>
      <c r="CR49" s="217"/>
      <c r="CS49" s="217"/>
      <c r="CT49" s="217"/>
      <c r="CU49" s="296"/>
      <c r="CV49" s="246"/>
      <c r="CW49" s="255"/>
      <c r="CX49" s="4"/>
      <c r="CY49" s="4"/>
    </row>
    <row r="50" spans="1:103" ht="13.35" customHeight="1" thickBot="1" x14ac:dyDescent="0.25">
      <c r="A50" s="256"/>
      <c r="B50" s="256"/>
      <c r="C50" s="209"/>
      <c r="D50" s="269">
        <f>D28+1</f>
        <v>3</v>
      </c>
      <c r="E50" s="402" t="s">
        <v>61</v>
      </c>
      <c r="F50" s="221"/>
      <c r="G50" s="222"/>
      <c r="H50" s="222"/>
      <c r="I50" s="802"/>
      <c r="J50" s="807"/>
      <c r="K50" s="807"/>
      <c r="L50" s="297"/>
      <c r="M50" s="373"/>
      <c r="N50" s="377"/>
      <c r="O50" s="222"/>
      <c r="P50" s="222"/>
      <c r="Q50" s="385" t="str">
        <f>Data!$E$11</f>
        <v>AHH</v>
      </c>
      <c r="R50" s="386">
        <f>IF($F63="","",RANK(Q48,$Q48:$CL48))</f>
        <v>4</v>
      </c>
      <c r="S50" s="510"/>
      <c r="T50" s="216">
        <v>0</v>
      </c>
      <c r="U50" s="217"/>
      <c r="V50" s="217"/>
      <c r="W50" s="217"/>
      <c r="X50" s="217"/>
      <c r="Y50" s="215"/>
      <c r="Z50" s="385" t="str">
        <f>Data!$E$12</f>
        <v>RB</v>
      </c>
      <c r="AA50" s="386">
        <f>IF($F63="","",RANK(Z48,$Q48:$CL48))</f>
        <v>8</v>
      </c>
      <c r="AB50" s="510"/>
      <c r="AC50" s="216"/>
      <c r="AD50" s="217"/>
      <c r="AE50" s="217"/>
      <c r="AF50" s="217"/>
      <c r="AG50" s="217"/>
      <c r="AH50" s="215"/>
      <c r="AI50" s="385" t="str">
        <f>Data!$E$13</f>
        <v>EB</v>
      </c>
      <c r="AJ50" s="386">
        <f>IF($F63="","",RANK(AI48,$Q48:$CL48))</f>
        <v>6</v>
      </c>
      <c r="AK50" s="510"/>
      <c r="AL50" s="216"/>
      <c r="AM50" s="217"/>
      <c r="AN50" s="217"/>
      <c r="AO50" s="217"/>
      <c r="AP50" s="217"/>
      <c r="AQ50" s="215"/>
      <c r="AR50" s="346" t="str">
        <f>Data!$E$14</f>
        <v>KAF</v>
      </c>
      <c r="AS50" s="386">
        <f>IF($F63="","",RANK(AR48,$Q48:$CL48))</f>
        <v>3</v>
      </c>
      <c r="AT50" s="510"/>
      <c r="AU50" s="216"/>
      <c r="AV50" s="217"/>
      <c r="AW50" s="217"/>
      <c r="AX50" s="217"/>
      <c r="AY50" s="217"/>
      <c r="AZ50" s="215"/>
      <c r="BA50" s="346" t="str">
        <f>Data!$E$15</f>
        <v>ØG</v>
      </c>
      <c r="BB50" s="386">
        <f>IF($F63="","",RANK(BA48,$Q48:$CL48))</f>
        <v>8</v>
      </c>
      <c r="BC50" s="510"/>
      <c r="BD50" s="216"/>
      <c r="BE50" s="217"/>
      <c r="BF50" s="217"/>
      <c r="BG50" s="217"/>
      <c r="BH50" s="217"/>
      <c r="BI50" s="215"/>
      <c r="BJ50" s="346" t="str">
        <f>Data!$E$16</f>
        <v>JH</v>
      </c>
      <c r="BK50" s="386">
        <f>IF($F63="","",RANK(BJ48,$Q48:$CL48))</f>
        <v>1</v>
      </c>
      <c r="BL50" s="510"/>
      <c r="BM50" s="216"/>
      <c r="BN50" s="217"/>
      <c r="BO50" s="217"/>
      <c r="BP50" s="217"/>
      <c r="BQ50" s="217"/>
      <c r="BR50" s="223"/>
      <c r="BS50" s="346" t="str">
        <f>Data!$E$17</f>
        <v>TOH</v>
      </c>
      <c r="BT50" s="386">
        <f>IF($F63="","",RANK(BS48,$Q48:$CL48))</f>
        <v>7</v>
      </c>
      <c r="BU50" s="510"/>
      <c r="BV50" s="215"/>
      <c r="BW50" s="217"/>
      <c r="BX50" s="217"/>
      <c r="BY50" s="217"/>
      <c r="BZ50" s="217"/>
      <c r="CA50" s="223"/>
      <c r="CB50" s="346" t="s">
        <v>26</v>
      </c>
      <c r="CC50" s="386">
        <f>IF($F63="","",RANK(CB48,$Q48:$CM48))</f>
        <v>5</v>
      </c>
      <c r="CD50" s="511"/>
      <c r="CE50" s="215"/>
      <c r="CF50" s="217"/>
      <c r="CG50" s="217"/>
      <c r="CH50" s="217"/>
      <c r="CI50" s="217"/>
      <c r="CJ50" s="217"/>
      <c r="CK50" s="346" t="s">
        <v>27</v>
      </c>
      <c r="CL50" s="386">
        <f>IF($F63="","",RANK(CK48,$Q48:$CM48))</f>
        <v>2</v>
      </c>
      <c r="CM50" s="798"/>
      <c r="CN50" s="215"/>
      <c r="CO50" s="217"/>
      <c r="CP50" s="217"/>
      <c r="CQ50" s="217"/>
      <c r="CR50" s="217"/>
      <c r="CS50" s="217"/>
      <c r="CT50" s="217"/>
      <c r="CU50" s="296"/>
      <c r="CV50" s="246"/>
      <c r="CW50" s="255"/>
      <c r="CX50" s="4"/>
      <c r="CY50" s="4"/>
    </row>
    <row r="51" spans="1:103" s="174" customFormat="1" ht="13.35" customHeight="1" thickBot="1" x14ac:dyDescent="0.25">
      <c r="A51" s="264"/>
      <c r="B51" s="264"/>
      <c r="C51" s="202"/>
      <c r="D51" s="270"/>
      <c r="E51" s="224"/>
      <c r="F51" s="225"/>
      <c r="G51" s="226"/>
      <c r="H51" s="226"/>
      <c r="I51" s="227" t="s">
        <v>45</v>
      </c>
      <c r="J51" s="228" t="s">
        <v>46</v>
      </c>
      <c r="K51" s="229" t="s">
        <v>47</v>
      </c>
      <c r="L51" s="298"/>
      <c r="M51" s="374"/>
      <c r="N51" s="378"/>
      <c r="O51" s="230"/>
      <c r="P51" s="230"/>
      <c r="Q51" s="227" t="s">
        <v>45</v>
      </c>
      <c r="R51" s="228" t="s">
        <v>46</v>
      </c>
      <c r="S51" s="229" t="s">
        <v>47</v>
      </c>
      <c r="T51" s="231"/>
      <c r="U51" s="232"/>
      <c r="V51" s="232"/>
      <c r="W51" s="232"/>
      <c r="X51" s="232"/>
      <c r="Y51" s="230"/>
      <c r="Z51" s="227" t="s">
        <v>45</v>
      </c>
      <c r="AA51" s="228" t="s">
        <v>46</v>
      </c>
      <c r="AB51" s="229" t="s">
        <v>47</v>
      </c>
      <c r="AC51" s="231"/>
      <c r="AD51" s="232"/>
      <c r="AE51" s="232"/>
      <c r="AF51" s="232"/>
      <c r="AG51" s="232"/>
      <c r="AH51" s="230"/>
      <c r="AI51" s="227" t="s">
        <v>45</v>
      </c>
      <c r="AJ51" s="228" t="s">
        <v>46</v>
      </c>
      <c r="AK51" s="229" t="s">
        <v>47</v>
      </c>
      <c r="AL51" s="231"/>
      <c r="AM51" s="232"/>
      <c r="AN51" s="232"/>
      <c r="AO51" s="232"/>
      <c r="AP51" s="232"/>
      <c r="AQ51" s="230"/>
      <c r="AR51" s="227" t="s">
        <v>45</v>
      </c>
      <c r="AS51" s="228" t="s">
        <v>46</v>
      </c>
      <c r="AT51" s="229" t="s">
        <v>47</v>
      </c>
      <c r="AU51" s="231"/>
      <c r="AV51" s="232"/>
      <c r="AW51" s="232"/>
      <c r="AX51" s="232"/>
      <c r="AY51" s="232"/>
      <c r="AZ51" s="230"/>
      <c r="BA51" s="227" t="s">
        <v>45</v>
      </c>
      <c r="BB51" s="228" t="s">
        <v>46</v>
      </c>
      <c r="BC51" s="229" t="s">
        <v>47</v>
      </c>
      <c r="BD51" s="231"/>
      <c r="BE51" s="232"/>
      <c r="BF51" s="232"/>
      <c r="BG51" s="232"/>
      <c r="BH51" s="232"/>
      <c r="BI51" s="230"/>
      <c r="BJ51" s="227" t="s">
        <v>45</v>
      </c>
      <c r="BK51" s="228" t="s">
        <v>46</v>
      </c>
      <c r="BL51" s="229" t="s">
        <v>47</v>
      </c>
      <c r="BM51" s="231"/>
      <c r="BN51" s="232"/>
      <c r="BO51" s="232"/>
      <c r="BP51" s="232"/>
      <c r="BQ51" s="232"/>
      <c r="BR51" s="230"/>
      <c r="BS51" s="227" t="s">
        <v>45</v>
      </c>
      <c r="BT51" s="228" t="s">
        <v>46</v>
      </c>
      <c r="BU51" s="229" t="s">
        <v>47</v>
      </c>
      <c r="BV51" s="231"/>
      <c r="BW51" s="232"/>
      <c r="BX51" s="232"/>
      <c r="BY51" s="232"/>
      <c r="BZ51" s="233"/>
      <c r="CA51" s="230"/>
      <c r="CB51" s="227" t="s">
        <v>45</v>
      </c>
      <c r="CC51" s="228" t="s">
        <v>46</v>
      </c>
      <c r="CD51" s="229" t="s">
        <v>47</v>
      </c>
      <c r="CE51" s="231"/>
      <c r="CF51" s="232"/>
      <c r="CG51" s="232"/>
      <c r="CH51" s="232"/>
      <c r="CI51" s="232"/>
      <c r="CJ51" s="232"/>
      <c r="CK51" s="227" t="s">
        <v>45</v>
      </c>
      <c r="CL51" s="228" t="s">
        <v>46</v>
      </c>
      <c r="CM51" s="229" t="s">
        <v>47</v>
      </c>
      <c r="CN51" s="231"/>
      <c r="CO51" s="232"/>
      <c r="CP51" s="232"/>
      <c r="CQ51" s="232"/>
      <c r="CR51" s="232"/>
      <c r="CS51" s="232"/>
      <c r="CT51" s="234"/>
      <c r="CU51" s="296"/>
      <c r="CV51" s="246"/>
      <c r="CW51" s="265"/>
      <c r="CX51" s="173"/>
      <c r="CY51" s="173"/>
    </row>
    <row r="52" spans="1:103" s="175" customFormat="1" ht="13.35" customHeight="1" outlineLevel="2" x14ac:dyDescent="0.2">
      <c r="A52" s="264"/>
      <c r="B52" s="264"/>
      <c r="C52" s="202"/>
      <c r="D52" s="271">
        <v>1</v>
      </c>
      <c r="E52" s="166" t="s">
        <v>74</v>
      </c>
      <c r="F52" s="468">
        <v>3</v>
      </c>
      <c r="G52" s="472" t="s">
        <v>49</v>
      </c>
      <c r="H52" s="473">
        <v>1</v>
      </c>
      <c r="I52" s="170" t="str">
        <f t="shared" ref="I52:I63" si="100">IF($F52&gt;$H52,"x","")</f>
        <v>x</v>
      </c>
      <c r="J52" s="387" t="str">
        <f t="shared" ref="J52:J63" si="101">IF(F52&lt;&gt;"",IF(H52&lt;&gt;"",IF(F52=H52,"x",""),""),"")</f>
        <v/>
      </c>
      <c r="K52" s="388" t="str">
        <f t="shared" ref="K52:K63" si="102">IF($F52&lt;$H52,"x","")</f>
        <v/>
      </c>
      <c r="L52" s="299"/>
      <c r="M52" s="375"/>
      <c r="N52" s="379"/>
      <c r="O52" s="236"/>
      <c r="P52" s="236"/>
      <c r="Q52" s="480">
        <v>50</v>
      </c>
      <c r="R52" s="481">
        <v>30</v>
      </c>
      <c r="S52" s="482">
        <f>IF(Q52="","",100-SUM(Q52:R52))</f>
        <v>20</v>
      </c>
      <c r="T52" s="371"/>
      <c r="U52" s="232">
        <f t="shared" ref="U52:U63" si="103">IF($I52="x",Q52,"")</f>
        <v>50</v>
      </c>
      <c r="V52" s="232" t="str">
        <f t="shared" ref="V52:V63" si="104">IF($J52="x",R52,"")</f>
        <v/>
      </c>
      <c r="W52" s="232" t="str">
        <f t="shared" ref="W52:W63" si="105">IF($K52="x",S52,"")</f>
        <v/>
      </c>
      <c r="X52" s="232">
        <f>IF((MAX(U52,V52,W52))=0,"",IF((MAX(U52,V52,W52))=(MAX(Q52,R52,S52)),1,""))</f>
        <v>1</v>
      </c>
      <c r="Y52" s="371"/>
      <c r="Z52" s="495">
        <v>80</v>
      </c>
      <c r="AA52" s="496">
        <v>10</v>
      </c>
      <c r="AB52" s="482">
        <f t="shared" ref="AB52:AB63" si="106">IF(Z52="","",100-SUM(Z52:AA52))</f>
        <v>10</v>
      </c>
      <c r="AC52" s="371"/>
      <c r="AD52" s="232">
        <f t="shared" ref="AD52:AD63" si="107">IF($I52="x",Z52,"")</f>
        <v>80</v>
      </c>
      <c r="AE52" s="232" t="str">
        <f t="shared" ref="AE52:AE63" si="108">IF($J52="x",AA52,"")</f>
        <v/>
      </c>
      <c r="AF52" s="232" t="str">
        <f t="shared" ref="AF52:AF63" si="109">IF($K52="x",AB52,"")</f>
        <v/>
      </c>
      <c r="AG52" s="232">
        <f>IF((MAX(AD52,AE52,AF52))=0,"",IF((MAX(AD52,AE52,AF52))=(MAX(Z52,AA52,AB52)),1,""))</f>
        <v>1</v>
      </c>
      <c r="AH52" s="371"/>
      <c r="AI52" s="495">
        <v>40</v>
      </c>
      <c r="AJ52" s="496">
        <v>20</v>
      </c>
      <c r="AK52" s="482">
        <f t="shared" ref="AK52:AK63" si="110">IF(AI52="","",100-SUM(AI52:AJ52))</f>
        <v>40</v>
      </c>
      <c r="AL52" s="371"/>
      <c r="AM52" s="232">
        <f t="shared" ref="AM52:AM63" si="111">IF($I52="x",AI52,"")</f>
        <v>40</v>
      </c>
      <c r="AN52" s="232" t="str">
        <f t="shared" ref="AN52:AN63" si="112">IF($J52="x",AJ52,"")</f>
        <v/>
      </c>
      <c r="AO52" s="232" t="str">
        <f t="shared" ref="AO52:AO63" si="113">IF($K52="x",AK52,"")</f>
        <v/>
      </c>
      <c r="AP52" s="232">
        <f>IF((MAX(AM52,AN52,AO52))=0,"",IF((MAX(AM52,AN52,AO52))=(MAX(AI52,AJ52,AK52)),1,""))</f>
        <v>1</v>
      </c>
      <c r="AQ52" s="371"/>
      <c r="AR52" s="495">
        <v>60</v>
      </c>
      <c r="AS52" s="496">
        <v>20</v>
      </c>
      <c r="AT52" s="482">
        <f t="shared" ref="AT52:AT63" si="114">IF(AR52="","",100-SUM(AR52:AS52))</f>
        <v>20</v>
      </c>
      <c r="AU52" s="371"/>
      <c r="AV52" s="232">
        <f t="shared" ref="AV52:AV63" si="115">IF($I52="x",AR52,"")</f>
        <v>60</v>
      </c>
      <c r="AW52" s="232" t="str">
        <f t="shared" ref="AW52:AW63" si="116">IF($J52="x",AS52,"")</f>
        <v/>
      </c>
      <c r="AX52" s="232" t="str">
        <f t="shared" ref="AX52:AX63" si="117">IF($K52="x",AT52,"")</f>
        <v/>
      </c>
      <c r="AY52" s="232">
        <f>IF((MAX(AV52,AW52,AX52))=0,"",IF((MAX(AV52,AW52,AX52))=(MAX(AR52,AS52,AT52)),1,""))</f>
        <v>1</v>
      </c>
      <c r="AZ52" s="371"/>
      <c r="BA52" s="495">
        <v>80</v>
      </c>
      <c r="BB52" s="496">
        <v>10</v>
      </c>
      <c r="BC52" s="482">
        <f t="shared" ref="BC52:BC63" si="118">IF(BA52="","",100-SUM(BA52:BB52))</f>
        <v>10</v>
      </c>
      <c r="BD52" s="371"/>
      <c r="BE52" s="232">
        <f t="shared" ref="BE52:BE63" si="119">IF($I52="x",BA52,"")</f>
        <v>80</v>
      </c>
      <c r="BF52" s="232" t="str">
        <f t="shared" ref="BF52:BF63" si="120">IF($J52="x",BB52,"")</f>
        <v/>
      </c>
      <c r="BG52" s="232" t="str">
        <f t="shared" ref="BG52:BG63" si="121">IF($K52="x",BC52,"")</f>
        <v/>
      </c>
      <c r="BH52" s="232">
        <f>IF((MAX(BE52,BF52,BG52))=0,"",IF((MAX(BE52,BF52,BG52))=(MAX(BA52,BB52,BC52)),1,""))</f>
        <v>1</v>
      </c>
      <c r="BI52" s="371"/>
      <c r="BJ52" s="495">
        <v>80</v>
      </c>
      <c r="BK52" s="496">
        <v>10</v>
      </c>
      <c r="BL52" s="482">
        <f t="shared" ref="BL52:BL63" si="122">IF(BJ52="","",100-SUM(BJ52:BK52))</f>
        <v>10</v>
      </c>
      <c r="BM52" s="371"/>
      <c r="BN52" s="232">
        <f t="shared" ref="BN52:BN63" si="123">IF($I52="x",BJ52,"")</f>
        <v>80</v>
      </c>
      <c r="BO52" s="232" t="str">
        <f t="shared" ref="BO52:BO63" si="124">IF($J52="x",BK52,"")</f>
        <v/>
      </c>
      <c r="BP52" s="232" t="str">
        <f t="shared" ref="BP52:BP63" si="125">IF($K52="x",BL52,"")</f>
        <v/>
      </c>
      <c r="BQ52" s="232">
        <f>IF((MAX(BN52,BO52,BP52))=0,"",IF((MAX(BN52,BO52,BP52))=(MAX(BJ52,BK52,BL52)),1,""))</f>
        <v>1</v>
      </c>
      <c r="BR52" s="371"/>
      <c r="BS52" s="495">
        <v>50</v>
      </c>
      <c r="BT52" s="496">
        <v>30</v>
      </c>
      <c r="BU52" s="482">
        <f t="shared" ref="BU52:BU63" si="126">IF(BS52="","",100-SUM(BS52:BT52))</f>
        <v>20</v>
      </c>
      <c r="BV52" s="371"/>
      <c r="BW52" s="232">
        <f t="shared" ref="BW52:BW63" si="127">IF($I52="x",BS52,"")</f>
        <v>50</v>
      </c>
      <c r="BX52" s="232" t="str">
        <f t="shared" ref="BX52:BX63" si="128">IF($J52="x",BT52,"")</f>
        <v/>
      </c>
      <c r="BY52" s="232" t="str">
        <f t="shared" ref="BY52:BY63" si="129">IF($K52="x",BU52,"")</f>
        <v/>
      </c>
      <c r="BZ52" s="232">
        <f>IF((MAX(BW52,BX52,BY52))=0,"",IF((MAX(BW52,BX52,BY52))=(MAX(BS52,BT52,BU52)),1,""))</f>
        <v>1</v>
      </c>
      <c r="CA52" s="371"/>
      <c r="CB52" s="504">
        <f t="shared" ref="CB52:CB63" si="130">IFERROR(ROUNDUP((SUM(Q52,Z52,AI52,AR52,BA52,BJ52,BS52)/SUM($Q52:$S52,$Z52:$AB52,$AI52:$AK52,$AR52:$AT52,$BA52:$BC52,$BJ52:$BL52,$BS52:$BU52))*100,-1),"")</f>
        <v>70</v>
      </c>
      <c r="CC52" s="502">
        <f t="shared" ref="CC52:CC63" si="131">IFERROR(ROUNDDOWN((SUM(R52,AA52,AJ52,AS52,BB52,BK52,BT52)/SUM($Q52:$S52,$Z52:$AB52,$AI52:$AK52,$AR52:$AT52,$BA52:$BC52,$BJ52:$BL52,$BS52:$BU52))*100,-1),"")</f>
        <v>10</v>
      </c>
      <c r="CD52" s="503">
        <f t="shared" ref="CD52:CD63" si="132">IF(CB52="","",100-SUM(CB52:CC52))</f>
        <v>20</v>
      </c>
      <c r="CE52" s="371"/>
      <c r="CF52" s="232">
        <f t="shared" ref="CF52:CF63" si="133">IF($I52="x",CB52,"")</f>
        <v>70</v>
      </c>
      <c r="CG52" s="232" t="str">
        <f t="shared" ref="CG52:CG63" si="134">IF($J52="x",CC52,"")</f>
        <v/>
      </c>
      <c r="CH52" s="232" t="str">
        <f t="shared" ref="CH52:CH63" si="135">IF($K52="x",CD52,"")</f>
        <v/>
      </c>
      <c r="CI52" s="232">
        <f>IF((MAX(CF52,CG52,CH52))=0,"",IF((MAX(CF52,CG52,CH52))=(MAX(CB52,CC52,CD52)),1,""))</f>
        <v>1</v>
      </c>
      <c r="CJ52" s="232"/>
      <c r="CK52" s="495">
        <v>80</v>
      </c>
      <c r="CL52" s="496">
        <v>10</v>
      </c>
      <c r="CM52" s="482">
        <f t="shared" ref="CM52:CM63" si="136">IF(CK52="","",100-SUM(CK52:CL52))</f>
        <v>10</v>
      </c>
      <c r="CN52" s="371"/>
      <c r="CO52" s="232">
        <f t="shared" ref="CO52:CO63" si="137">IF($I52="x",CK52,"")</f>
        <v>80</v>
      </c>
      <c r="CP52" s="232" t="str">
        <f t="shared" ref="CP52:CP63" si="138">IF($J52="x",CL52,"")</f>
        <v/>
      </c>
      <c r="CQ52" s="232" t="str">
        <f t="shared" ref="CQ52:CQ63" si="139">IF($K52="x",CM52,"")</f>
        <v/>
      </c>
      <c r="CR52" s="232">
        <f>IF((MAX(CO52,CP52,CQ52))=0,"",IF((MAX(CO52,CP52,CQ52))=(MAX(CK52,CL52,CM52)),1,""))</f>
        <v>1</v>
      </c>
      <c r="CS52" s="232"/>
      <c r="CT52" s="371"/>
      <c r="CU52" s="296"/>
      <c r="CV52" s="246"/>
      <c r="CW52" s="264"/>
      <c r="CX52" s="173"/>
      <c r="CY52" s="173"/>
    </row>
    <row r="53" spans="1:103" s="175" customFormat="1" ht="13.35" customHeight="1" outlineLevel="2" x14ac:dyDescent="0.2">
      <c r="A53" s="264"/>
      <c r="B53" s="264"/>
      <c r="C53" s="202"/>
      <c r="D53" s="271">
        <v>2</v>
      </c>
      <c r="E53" s="167" t="s">
        <v>75</v>
      </c>
      <c r="F53" s="469">
        <v>2</v>
      </c>
      <c r="G53" s="474" t="s">
        <v>49</v>
      </c>
      <c r="H53" s="475">
        <v>1</v>
      </c>
      <c r="I53" s="389" t="str">
        <f t="shared" si="100"/>
        <v>x</v>
      </c>
      <c r="J53" s="390" t="str">
        <f t="shared" si="101"/>
        <v/>
      </c>
      <c r="K53" s="391" t="str">
        <f t="shared" si="102"/>
        <v/>
      </c>
      <c r="L53" s="299"/>
      <c r="M53" s="375"/>
      <c r="N53" s="379"/>
      <c r="O53" s="236"/>
      <c r="P53" s="236"/>
      <c r="Q53" s="483">
        <v>30</v>
      </c>
      <c r="R53" s="484">
        <v>30</v>
      </c>
      <c r="S53" s="485">
        <f t="shared" ref="S53:S63" si="140">IF(Q53="","",100-SUM(Q53:R53))</f>
        <v>40</v>
      </c>
      <c r="T53" s="371"/>
      <c r="U53" s="232">
        <f t="shared" si="103"/>
        <v>30</v>
      </c>
      <c r="V53" s="232" t="str">
        <f t="shared" si="104"/>
        <v/>
      </c>
      <c r="W53" s="232" t="str">
        <f t="shared" si="105"/>
        <v/>
      </c>
      <c r="X53" s="232" t="str">
        <f t="shared" ref="X53:X63" si="141">IF((MAX(U53,V53,W53))=0,"",IF((MAX(U53,V53,W53))=(MAX(Q53,R53,S53)),1,""))</f>
        <v/>
      </c>
      <c r="Y53" s="371"/>
      <c r="Z53" s="497">
        <v>10</v>
      </c>
      <c r="AA53" s="498">
        <v>10</v>
      </c>
      <c r="AB53" s="485">
        <f t="shared" si="106"/>
        <v>80</v>
      </c>
      <c r="AC53" s="371"/>
      <c r="AD53" s="232">
        <f t="shared" si="107"/>
        <v>10</v>
      </c>
      <c r="AE53" s="232" t="str">
        <f t="shared" si="108"/>
        <v/>
      </c>
      <c r="AF53" s="232" t="str">
        <f t="shared" si="109"/>
        <v/>
      </c>
      <c r="AG53" s="232" t="str">
        <f t="shared" ref="AG53:AG63" si="142">IF((MAX(AD53,AE53,AF53))=0,"",IF((MAX(AD53,AE53,AF53))=(MAX(Z53,AA53,AB53)),1,""))</f>
        <v/>
      </c>
      <c r="AH53" s="371"/>
      <c r="AI53" s="497">
        <v>30</v>
      </c>
      <c r="AJ53" s="498">
        <v>50</v>
      </c>
      <c r="AK53" s="485">
        <f t="shared" si="110"/>
        <v>20</v>
      </c>
      <c r="AL53" s="371"/>
      <c r="AM53" s="232">
        <f t="shared" si="111"/>
        <v>30</v>
      </c>
      <c r="AN53" s="232" t="str">
        <f t="shared" si="112"/>
        <v/>
      </c>
      <c r="AO53" s="232" t="str">
        <f t="shared" si="113"/>
        <v/>
      </c>
      <c r="AP53" s="232" t="str">
        <f t="shared" ref="AP53:AP63" si="143">IF((MAX(AM53,AN53,AO53))=0,"",IF((MAX(AM53,AN53,AO53))=(MAX(AI53,AJ53,AK53)),1,""))</f>
        <v/>
      </c>
      <c r="AQ53" s="371"/>
      <c r="AR53" s="497">
        <v>30</v>
      </c>
      <c r="AS53" s="498">
        <v>20</v>
      </c>
      <c r="AT53" s="485">
        <f t="shared" si="114"/>
        <v>50</v>
      </c>
      <c r="AU53" s="371"/>
      <c r="AV53" s="232">
        <f t="shared" si="115"/>
        <v>30</v>
      </c>
      <c r="AW53" s="232" t="str">
        <f t="shared" si="116"/>
        <v/>
      </c>
      <c r="AX53" s="232" t="str">
        <f t="shared" si="117"/>
        <v/>
      </c>
      <c r="AY53" s="232" t="str">
        <f t="shared" ref="AY53:AY63" si="144">IF((MAX(AV53,AW53,AX53))=0,"",IF((MAX(AV53,AW53,AX53))=(MAX(AR53,AS53,AT53)),1,""))</f>
        <v/>
      </c>
      <c r="AZ53" s="371"/>
      <c r="BA53" s="497">
        <v>10</v>
      </c>
      <c r="BB53" s="498">
        <v>10</v>
      </c>
      <c r="BC53" s="485">
        <f t="shared" si="118"/>
        <v>80</v>
      </c>
      <c r="BD53" s="371"/>
      <c r="BE53" s="232">
        <f t="shared" si="119"/>
        <v>10</v>
      </c>
      <c r="BF53" s="232" t="str">
        <f t="shared" si="120"/>
        <v/>
      </c>
      <c r="BG53" s="232" t="str">
        <f t="shared" si="121"/>
        <v/>
      </c>
      <c r="BH53" s="232" t="str">
        <f t="shared" ref="BH53:BH63" si="145">IF((MAX(BE53,BF53,BG53))=0,"",IF((MAX(BE53,BF53,BG53))=(MAX(BA53,BB53,BC53)),1,""))</f>
        <v/>
      </c>
      <c r="BI53" s="371"/>
      <c r="BJ53" s="497">
        <v>10</v>
      </c>
      <c r="BK53" s="498">
        <v>30</v>
      </c>
      <c r="BL53" s="485">
        <f t="shared" si="122"/>
        <v>60</v>
      </c>
      <c r="BM53" s="371"/>
      <c r="BN53" s="232">
        <f t="shared" si="123"/>
        <v>10</v>
      </c>
      <c r="BO53" s="232" t="str">
        <f t="shared" si="124"/>
        <v/>
      </c>
      <c r="BP53" s="232" t="str">
        <f t="shared" si="125"/>
        <v/>
      </c>
      <c r="BQ53" s="232" t="str">
        <f t="shared" ref="BQ53:BQ63" si="146">IF((MAX(BN53,BO53,BP53))=0,"",IF((MAX(BN53,BO53,BP53))=(MAX(BJ53,BK53,BL53)),1,""))</f>
        <v/>
      </c>
      <c r="BR53" s="371"/>
      <c r="BS53" s="497">
        <v>20</v>
      </c>
      <c r="BT53" s="498">
        <v>20</v>
      </c>
      <c r="BU53" s="485">
        <f t="shared" si="126"/>
        <v>60</v>
      </c>
      <c r="BV53" s="371"/>
      <c r="BW53" s="232">
        <f t="shared" si="127"/>
        <v>20</v>
      </c>
      <c r="BX53" s="232" t="str">
        <f t="shared" si="128"/>
        <v/>
      </c>
      <c r="BY53" s="232" t="str">
        <f t="shared" si="129"/>
        <v/>
      </c>
      <c r="BZ53" s="232" t="str">
        <f t="shared" ref="BZ53:BZ63" si="147">IF((MAX(BW53,BX53,BY53))=0,"",IF((MAX(BW53,BX53,BY53))=(MAX(BS53,BT53,BU53)),1,""))</f>
        <v/>
      </c>
      <c r="CA53" s="371"/>
      <c r="CB53" s="504">
        <f t="shared" si="130"/>
        <v>20</v>
      </c>
      <c r="CC53" s="505">
        <f t="shared" si="131"/>
        <v>20</v>
      </c>
      <c r="CD53" s="506">
        <f t="shared" si="132"/>
        <v>60</v>
      </c>
      <c r="CE53" s="371"/>
      <c r="CF53" s="232">
        <f t="shared" si="133"/>
        <v>20</v>
      </c>
      <c r="CG53" s="232" t="str">
        <f t="shared" si="134"/>
        <v/>
      </c>
      <c r="CH53" s="232" t="str">
        <f t="shared" si="135"/>
        <v/>
      </c>
      <c r="CI53" s="232" t="str">
        <f t="shared" ref="CI53:CI63" si="148">IF((MAX(CF53,CG53,CH53))=0,"",IF((MAX(CF53,CG53,CH53))=(MAX(CB53,CC53,CD53)),1,""))</f>
        <v/>
      </c>
      <c r="CJ53" s="232"/>
      <c r="CK53" s="497">
        <v>20</v>
      </c>
      <c r="CL53" s="498">
        <v>20</v>
      </c>
      <c r="CM53" s="485">
        <f t="shared" si="136"/>
        <v>60</v>
      </c>
      <c r="CN53" s="371"/>
      <c r="CO53" s="232">
        <f t="shared" si="137"/>
        <v>20</v>
      </c>
      <c r="CP53" s="232" t="str">
        <f t="shared" si="138"/>
        <v/>
      </c>
      <c r="CQ53" s="232" t="str">
        <f t="shared" si="139"/>
        <v/>
      </c>
      <c r="CR53" s="232" t="str">
        <f t="shared" ref="CR53:CR63" si="149">IF((MAX(CO53,CP53,CQ53))=0,"",IF((MAX(CO53,CP53,CQ53))=(MAX(CK53,CL53,CM53)),1,""))</f>
        <v/>
      </c>
      <c r="CS53" s="232"/>
      <c r="CT53" s="371"/>
      <c r="CU53" s="296"/>
      <c r="CV53" s="246"/>
      <c r="CW53" s="264"/>
      <c r="CX53" s="173"/>
      <c r="CY53" s="173"/>
    </row>
    <row r="54" spans="1:103" s="175" customFormat="1" ht="13.35" customHeight="1" outlineLevel="2" thickBot="1" x14ac:dyDescent="0.25">
      <c r="A54" s="264"/>
      <c r="B54" s="264"/>
      <c r="C54" s="202"/>
      <c r="D54" s="271">
        <v>3</v>
      </c>
      <c r="E54" s="168" t="s">
        <v>76</v>
      </c>
      <c r="F54" s="470">
        <v>2</v>
      </c>
      <c r="G54" s="476" t="s">
        <v>49</v>
      </c>
      <c r="H54" s="477">
        <v>2</v>
      </c>
      <c r="I54" s="392" t="str">
        <f t="shared" si="100"/>
        <v/>
      </c>
      <c r="J54" s="393" t="str">
        <f t="shared" si="101"/>
        <v>x</v>
      </c>
      <c r="K54" s="394" t="str">
        <f t="shared" si="102"/>
        <v/>
      </c>
      <c r="L54" s="299"/>
      <c r="M54" s="375"/>
      <c r="N54" s="379"/>
      <c r="O54" s="236"/>
      <c r="P54" s="236"/>
      <c r="Q54" s="486">
        <v>50</v>
      </c>
      <c r="R54" s="487">
        <v>30</v>
      </c>
      <c r="S54" s="488">
        <f t="shared" si="140"/>
        <v>20</v>
      </c>
      <c r="T54" s="371"/>
      <c r="U54" s="232" t="str">
        <f t="shared" si="103"/>
        <v/>
      </c>
      <c r="V54" s="232">
        <f t="shared" si="104"/>
        <v>30</v>
      </c>
      <c r="W54" s="232" t="str">
        <f t="shared" si="105"/>
        <v/>
      </c>
      <c r="X54" s="232" t="str">
        <f t="shared" si="141"/>
        <v/>
      </c>
      <c r="Y54" s="371"/>
      <c r="Z54" s="499">
        <v>80</v>
      </c>
      <c r="AA54" s="500">
        <v>10</v>
      </c>
      <c r="AB54" s="488">
        <f t="shared" si="106"/>
        <v>10</v>
      </c>
      <c r="AC54" s="371"/>
      <c r="AD54" s="232" t="str">
        <f t="shared" si="107"/>
        <v/>
      </c>
      <c r="AE54" s="232">
        <f t="shared" si="108"/>
        <v>10</v>
      </c>
      <c r="AF54" s="232" t="str">
        <f t="shared" si="109"/>
        <v/>
      </c>
      <c r="AG54" s="232" t="str">
        <f t="shared" si="142"/>
        <v/>
      </c>
      <c r="AH54" s="371"/>
      <c r="AI54" s="499">
        <v>10</v>
      </c>
      <c r="AJ54" s="500">
        <v>10</v>
      </c>
      <c r="AK54" s="488">
        <f t="shared" si="110"/>
        <v>80</v>
      </c>
      <c r="AL54" s="371"/>
      <c r="AM54" s="232" t="str">
        <f t="shared" si="111"/>
        <v/>
      </c>
      <c r="AN54" s="232">
        <f t="shared" si="112"/>
        <v>10</v>
      </c>
      <c r="AO54" s="232" t="str">
        <f t="shared" si="113"/>
        <v/>
      </c>
      <c r="AP54" s="232" t="str">
        <f t="shared" si="143"/>
        <v/>
      </c>
      <c r="AQ54" s="371"/>
      <c r="AR54" s="499">
        <v>60</v>
      </c>
      <c r="AS54" s="500">
        <v>10</v>
      </c>
      <c r="AT54" s="488">
        <f t="shared" si="114"/>
        <v>30</v>
      </c>
      <c r="AU54" s="371"/>
      <c r="AV54" s="232" t="str">
        <f t="shared" si="115"/>
        <v/>
      </c>
      <c r="AW54" s="232">
        <f t="shared" si="116"/>
        <v>10</v>
      </c>
      <c r="AX54" s="232" t="str">
        <f t="shared" si="117"/>
        <v/>
      </c>
      <c r="AY54" s="232" t="str">
        <f t="shared" si="144"/>
        <v/>
      </c>
      <c r="AZ54" s="371"/>
      <c r="BA54" s="499">
        <v>10</v>
      </c>
      <c r="BB54" s="500">
        <v>10</v>
      </c>
      <c r="BC54" s="488">
        <f t="shared" si="118"/>
        <v>80</v>
      </c>
      <c r="BD54" s="371"/>
      <c r="BE54" s="232" t="str">
        <f t="shared" si="119"/>
        <v/>
      </c>
      <c r="BF54" s="232">
        <f t="shared" si="120"/>
        <v>10</v>
      </c>
      <c r="BG54" s="232" t="str">
        <f t="shared" si="121"/>
        <v/>
      </c>
      <c r="BH54" s="232" t="str">
        <f t="shared" si="145"/>
        <v/>
      </c>
      <c r="BI54" s="371"/>
      <c r="BJ54" s="499">
        <v>10</v>
      </c>
      <c r="BK54" s="500">
        <v>10</v>
      </c>
      <c r="BL54" s="488">
        <f t="shared" si="122"/>
        <v>80</v>
      </c>
      <c r="BM54" s="371"/>
      <c r="BN54" s="232" t="str">
        <f t="shared" si="123"/>
        <v/>
      </c>
      <c r="BO54" s="232">
        <f t="shared" si="124"/>
        <v>10</v>
      </c>
      <c r="BP54" s="232" t="str">
        <f t="shared" si="125"/>
        <v/>
      </c>
      <c r="BQ54" s="232" t="str">
        <f t="shared" si="146"/>
        <v/>
      </c>
      <c r="BR54" s="371"/>
      <c r="BS54" s="499">
        <v>40</v>
      </c>
      <c r="BT54" s="500">
        <v>30</v>
      </c>
      <c r="BU54" s="488">
        <f t="shared" si="126"/>
        <v>30</v>
      </c>
      <c r="BV54" s="371"/>
      <c r="BW54" s="232" t="str">
        <f t="shared" si="127"/>
        <v/>
      </c>
      <c r="BX54" s="232">
        <f t="shared" si="128"/>
        <v>30</v>
      </c>
      <c r="BY54" s="232" t="str">
        <f t="shared" si="129"/>
        <v/>
      </c>
      <c r="BZ54" s="232" t="str">
        <f t="shared" si="147"/>
        <v/>
      </c>
      <c r="CA54" s="371"/>
      <c r="CB54" s="507">
        <f t="shared" si="130"/>
        <v>40</v>
      </c>
      <c r="CC54" s="508">
        <f t="shared" si="131"/>
        <v>10</v>
      </c>
      <c r="CD54" s="509">
        <f t="shared" si="132"/>
        <v>50</v>
      </c>
      <c r="CE54" s="371"/>
      <c r="CF54" s="232" t="str">
        <f t="shared" si="133"/>
        <v/>
      </c>
      <c r="CG54" s="232">
        <f t="shared" si="134"/>
        <v>10</v>
      </c>
      <c r="CH54" s="232" t="str">
        <f t="shared" si="135"/>
        <v/>
      </c>
      <c r="CI54" s="232" t="str">
        <f t="shared" si="148"/>
        <v/>
      </c>
      <c r="CJ54" s="232"/>
      <c r="CK54" s="499">
        <v>30</v>
      </c>
      <c r="CL54" s="500">
        <v>20</v>
      </c>
      <c r="CM54" s="488">
        <f t="shared" si="136"/>
        <v>50</v>
      </c>
      <c r="CN54" s="371"/>
      <c r="CO54" s="232" t="str">
        <f t="shared" si="137"/>
        <v/>
      </c>
      <c r="CP54" s="232">
        <f t="shared" si="138"/>
        <v>20</v>
      </c>
      <c r="CQ54" s="232" t="str">
        <f t="shared" si="139"/>
        <v/>
      </c>
      <c r="CR54" s="232" t="str">
        <f t="shared" si="149"/>
        <v/>
      </c>
      <c r="CS54" s="232"/>
      <c r="CT54" s="371"/>
      <c r="CU54" s="296"/>
      <c r="CV54" s="246"/>
      <c r="CW54" s="264"/>
      <c r="CX54" s="176"/>
      <c r="CY54" s="176"/>
    </row>
    <row r="55" spans="1:103" s="175" customFormat="1" ht="13.35" customHeight="1" outlineLevel="2" x14ac:dyDescent="0.2">
      <c r="A55" s="264"/>
      <c r="B55" s="264"/>
      <c r="C55" s="202"/>
      <c r="D55" s="271">
        <v>4</v>
      </c>
      <c r="E55" s="166" t="s">
        <v>77</v>
      </c>
      <c r="F55" s="468">
        <v>1</v>
      </c>
      <c r="G55" s="472" t="s">
        <v>49</v>
      </c>
      <c r="H55" s="473">
        <v>1</v>
      </c>
      <c r="I55" s="170" t="str">
        <f t="shared" si="100"/>
        <v/>
      </c>
      <c r="J55" s="387" t="str">
        <f t="shared" si="101"/>
        <v>x</v>
      </c>
      <c r="K55" s="388" t="str">
        <f t="shared" si="102"/>
        <v/>
      </c>
      <c r="L55" s="299"/>
      <c r="M55" s="375"/>
      <c r="N55" s="379"/>
      <c r="O55" s="236"/>
      <c r="P55" s="236"/>
      <c r="Q55" s="480">
        <v>30</v>
      </c>
      <c r="R55" s="481">
        <v>30</v>
      </c>
      <c r="S55" s="482">
        <f t="shared" si="140"/>
        <v>40</v>
      </c>
      <c r="T55" s="371"/>
      <c r="U55" s="232" t="str">
        <f t="shared" si="103"/>
        <v/>
      </c>
      <c r="V55" s="232">
        <f t="shared" si="104"/>
        <v>30</v>
      </c>
      <c r="W55" s="232" t="str">
        <f t="shared" si="105"/>
        <v/>
      </c>
      <c r="X55" s="232" t="str">
        <f t="shared" si="141"/>
        <v/>
      </c>
      <c r="Y55" s="371"/>
      <c r="Z55" s="495">
        <v>10</v>
      </c>
      <c r="AA55" s="496">
        <v>10</v>
      </c>
      <c r="AB55" s="482">
        <f t="shared" si="106"/>
        <v>80</v>
      </c>
      <c r="AC55" s="371"/>
      <c r="AD55" s="232" t="str">
        <f t="shared" si="107"/>
        <v/>
      </c>
      <c r="AE55" s="232">
        <f t="shared" si="108"/>
        <v>10</v>
      </c>
      <c r="AF55" s="232" t="str">
        <f t="shared" si="109"/>
        <v/>
      </c>
      <c r="AG55" s="232" t="str">
        <f t="shared" si="142"/>
        <v/>
      </c>
      <c r="AH55" s="371"/>
      <c r="AI55" s="495">
        <v>20</v>
      </c>
      <c r="AJ55" s="496">
        <v>20</v>
      </c>
      <c r="AK55" s="482">
        <f t="shared" si="110"/>
        <v>60</v>
      </c>
      <c r="AL55" s="371"/>
      <c r="AM55" s="232" t="str">
        <f t="shared" si="111"/>
        <v/>
      </c>
      <c r="AN55" s="232">
        <f t="shared" si="112"/>
        <v>20</v>
      </c>
      <c r="AO55" s="232" t="str">
        <f t="shared" si="113"/>
        <v/>
      </c>
      <c r="AP55" s="232" t="str">
        <f t="shared" si="143"/>
        <v/>
      </c>
      <c r="AQ55" s="371"/>
      <c r="AR55" s="495">
        <v>40</v>
      </c>
      <c r="AS55" s="496">
        <v>30</v>
      </c>
      <c r="AT55" s="482">
        <f t="shared" si="114"/>
        <v>30</v>
      </c>
      <c r="AU55" s="371"/>
      <c r="AV55" s="232" t="str">
        <f t="shared" si="115"/>
        <v/>
      </c>
      <c r="AW55" s="232">
        <f t="shared" si="116"/>
        <v>30</v>
      </c>
      <c r="AX55" s="232" t="str">
        <f t="shared" si="117"/>
        <v/>
      </c>
      <c r="AY55" s="232" t="str">
        <f t="shared" si="144"/>
        <v/>
      </c>
      <c r="AZ55" s="371"/>
      <c r="BA55" s="495">
        <v>80</v>
      </c>
      <c r="BB55" s="496">
        <v>10</v>
      </c>
      <c r="BC55" s="482">
        <f t="shared" si="118"/>
        <v>10</v>
      </c>
      <c r="BD55" s="371"/>
      <c r="BE55" s="232" t="str">
        <f t="shared" si="119"/>
        <v/>
      </c>
      <c r="BF55" s="232">
        <f t="shared" si="120"/>
        <v>10</v>
      </c>
      <c r="BG55" s="232" t="str">
        <f t="shared" si="121"/>
        <v/>
      </c>
      <c r="BH55" s="232" t="str">
        <f t="shared" si="145"/>
        <v/>
      </c>
      <c r="BI55" s="371"/>
      <c r="BJ55" s="495">
        <v>30</v>
      </c>
      <c r="BK55" s="496">
        <v>40</v>
      </c>
      <c r="BL55" s="482">
        <f t="shared" si="122"/>
        <v>30</v>
      </c>
      <c r="BM55" s="371"/>
      <c r="BN55" s="232" t="str">
        <f t="shared" si="123"/>
        <v/>
      </c>
      <c r="BO55" s="232">
        <f t="shared" si="124"/>
        <v>40</v>
      </c>
      <c r="BP55" s="232" t="str">
        <f t="shared" si="125"/>
        <v/>
      </c>
      <c r="BQ55" s="232">
        <f t="shared" si="146"/>
        <v>1</v>
      </c>
      <c r="BR55" s="371"/>
      <c r="BS55" s="495">
        <v>30</v>
      </c>
      <c r="BT55" s="496">
        <v>20</v>
      </c>
      <c r="BU55" s="482">
        <f t="shared" si="126"/>
        <v>50</v>
      </c>
      <c r="BV55" s="371"/>
      <c r="BW55" s="232" t="str">
        <f t="shared" si="127"/>
        <v/>
      </c>
      <c r="BX55" s="232">
        <f t="shared" si="128"/>
        <v>20</v>
      </c>
      <c r="BY55" s="232" t="str">
        <f t="shared" si="129"/>
        <v/>
      </c>
      <c r="BZ55" s="232" t="str">
        <f t="shared" si="147"/>
        <v/>
      </c>
      <c r="CA55" s="371"/>
      <c r="CB55" s="501">
        <f t="shared" si="130"/>
        <v>40</v>
      </c>
      <c r="CC55" s="502">
        <f t="shared" si="131"/>
        <v>20</v>
      </c>
      <c r="CD55" s="503">
        <f t="shared" si="132"/>
        <v>40</v>
      </c>
      <c r="CE55" s="371"/>
      <c r="CF55" s="232" t="str">
        <f t="shared" si="133"/>
        <v/>
      </c>
      <c r="CG55" s="232">
        <f t="shared" si="134"/>
        <v>20</v>
      </c>
      <c r="CH55" s="232" t="str">
        <f t="shared" si="135"/>
        <v/>
      </c>
      <c r="CI55" s="232" t="str">
        <f t="shared" si="148"/>
        <v/>
      </c>
      <c r="CJ55" s="232"/>
      <c r="CK55" s="495">
        <v>30</v>
      </c>
      <c r="CL55" s="496">
        <v>40</v>
      </c>
      <c r="CM55" s="482">
        <f t="shared" si="136"/>
        <v>30</v>
      </c>
      <c r="CN55" s="371"/>
      <c r="CO55" s="232" t="str">
        <f t="shared" si="137"/>
        <v/>
      </c>
      <c r="CP55" s="232">
        <f t="shared" si="138"/>
        <v>40</v>
      </c>
      <c r="CQ55" s="232" t="str">
        <f t="shared" si="139"/>
        <v/>
      </c>
      <c r="CR55" s="232">
        <f t="shared" si="149"/>
        <v>1</v>
      </c>
      <c r="CS55" s="232"/>
      <c r="CT55" s="371"/>
      <c r="CU55" s="296"/>
      <c r="CV55" s="246"/>
      <c r="CW55" s="264"/>
      <c r="CX55" s="176"/>
      <c r="CY55" s="176"/>
    </row>
    <row r="56" spans="1:103" s="175" customFormat="1" ht="13.35" customHeight="1" outlineLevel="2" x14ac:dyDescent="0.2">
      <c r="A56" s="264"/>
      <c r="B56" s="264"/>
      <c r="C56" s="202"/>
      <c r="D56" s="271">
        <v>5</v>
      </c>
      <c r="E56" s="167" t="s">
        <v>78</v>
      </c>
      <c r="F56" s="469">
        <v>1</v>
      </c>
      <c r="G56" s="474" t="s">
        <v>49</v>
      </c>
      <c r="H56" s="475">
        <v>2</v>
      </c>
      <c r="I56" s="389" t="str">
        <f t="shared" si="100"/>
        <v/>
      </c>
      <c r="J56" s="390" t="str">
        <f t="shared" si="101"/>
        <v/>
      </c>
      <c r="K56" s="391" t="str">
        <f t="shared" si="102"/>
        <v>x</v>
      </c>
      <c r="L56" s="299"/>
      <c r="M56" s="375"/>
      <c r="N56" s="379"/>
      <c r="O56" s="236"/>
      <c r="P56" s="236"/>
      <c r="Q56" s="483">
        <v>40</v>
      </c>
      <c r="R56" s="484">
        <v>30</v>
      </c>
      <c r="S56" s="485">
        <f t="shared" si="140"/>
        <v>30</v>
      </c>
      <c r="T56" s="371"/>
      <c r="U56" s="232" t="str">
        <f t="shared" si="103"/>
        <v/>
      </c>
      <c r="V56" s="232" t="str">
        <f t="shared" si="104"/>
        <v/>
      </c>
      <c r="W56" s="232">
        <f t="shared" si="105"/>
        <v>30</v>
      </c>
      <c r="X56" s="232" t="str">
        <f t="shared" si="141"/>
        <v/>
      </c>
      <c r="Y56" s="371"/>
      <c r="Z56" s="497">
        <v>80</v>
      </c>
      <c r="AA56" s="498">
        <v>10</v>
      </c>
      <c r="AB56" s="485">
        <f t="shared" si="106"/>
        <v>10</v>
      </c>
      <c r="AC56" s="371"/>
      <c r="AD56" s="232" t="str">
        <f t="shared" si="107"/>
        <v/>
      </c>
      <c r="AE56" s="232" t="str">
        <f t="shared" si="108"/>
        <v/>
      </c>
      <c r="AF56" s="232">
        <f t="shared" si="109"/>
        <v>10</v>
      </c>
      <c r="AG56" s="232" t="str">
        <f t="shared" si="142"/>
        <v/>
      </c>
      <c r="AH56" s="371"/>
      <c r="AI56" s="497">
        <v>80</v>
      </c>
      <c r="AJ56" s="498">
        <v>10</v>
      </c>
      <c r="AK56" s="485">
        <f t="shared" si="110"/>
        <v>10</v>
      </c>
      <c r="AL56" s="371"/>
      <c r="AM56" s="232" t="str">
        <f t="shared" si="111"/>
        <v/>
      </c>
      <c r="AN56" s="232" t="str">
        <f t="shared" si="112"/>
        <v/>
      </c>
      <c r="AO56" s="232">
        <f t="shared" si="113"/>
        <v>10</v>
      </c>
      <c r="AP56" s="232" t="str">
        <f t="shared" si="143"/>
        <v/>
      </c>
      <c r="AQ56" s="371"/>
      <c r="AR56" s="497">
        <v>10</v>
      </c>
      <c r="AS56" s="498">
        <v>30</v>
      </c>
      <c r="AT56" s="485">
        <f t="shared" si="114"/>
        <v>60</v>
      </c>
      <c r="AU56" s="371"/>
      <c r="AV56" s="232" t="str">
        <f t="shared" si="115"/>
        <v/>
      </c>
      <c r="AW56" s="232" t="str">
        <f t="shared" si="116"/>
        <v/>
      </c>
      <c r="AX56" s="232">
        <f t="shared" si="117"/>
        <v>60</v>
      </c>
      <c r="AY56" s="232">
        <f t="shared" si="144"/>
        <v>1</v>
      </c>
      <c r="AZ56" s="371"/>
      <c r="BA56" s="497">
        <v>10</v>
      </c>
      <c r="BB56" s="498">
        <v>10</v>
      </c>
      <c r="BC56" s="485">
        <f t="shared" si="118"/>
        <v>80</v>
      </c>
      <c r="BD56" s="371"/>
      <c r="BE56" s="232" t="str">
        <f t="shared" si="119"/>
        <v/>
      </c>
      <c r="BF56" s="232" t="str">
        <f t="shared" si="120"/>
        <v/>
      </c>
      <c r="BG56" s="232">
        <f t="shared" si="121"/>
        <v>80</v>
      </c>
      <c r="BH56" s="232">
        <f t="shared" si="145"/>
        <v>1</v>
      </c>
      <c r="BI56" s="371"/>
      <c r="BJ56" s="497">
        <v>10</v>
      </c>
      <c r="BK56" s="498">
        <v>10</v>
      </c>
      <c r="BL56" s="485">
        <f t="shared" si="122"/>
        <v>80</v>
      </c>
      <c r="BM56" s="371"/>
      <c r="BN56" s="232" t="str">
        <f t="shared" si="123"/>
        <v/>
      </c>
      <c r="BO56" s="232" t="str">
        <f t="shared" si="124"/>
        <v/>
      </c>
      <c r="BP56" s="232">
        <f t="shared" si="125"/>
        <v>80</v>
      </c>
      <c r="BQ56" s="232">
        <f t="shared" si="146"/>
        <v>1</v>
      </c>
      <c r="BR56" s="371"/>
      <c r="BS56" s="497">
        <v>40</v>
      </c>
      <c r="BT56" s="498">
        <v>40</v>
      </c>
      <c r="BU56" s="485">
        <f t="shared" si="126"/>
        <v>20</v>
      </c>
      <c r="BV56" s="371"/>
      <c r="BW56" s="232" t="str">
        <f t="shared" si="127"/>
        <v/>
      </c>
      <c r="BX56" s="232" t="str">
        <f t="shared" si="128"/>
        <v/>
      </c>
      <c r="BY56" s="232">
        <f t="shared" si="129"/>
        <v>20</v>
      </c>
      <c r="BZ56" s="232" t="str">
        <f t="shared" si="147"/>
        <v/>
      </c>
      <c r="CA56" s="371"/>
      <c r="CB56" s="504">
        <f t="shared" si="130"/>
        <v>40</v>
      </c>
      <c r="CC56" s="505">
        <f t="shared" si="131"/>
        <v>20</v>
      </c>
      <c r="CD56" s="506">
        <f t="shared" si="132"/>
        <v>40</v>
      </c>
      <c r="CE56" s="371"/>
      <c r="CF56" s="232" t="str">
        <f t="shared" si="133"/>
        <v/>
      </c>
      <c r="CG56" s="232" t="str">
        <f t="shared" si="134"/>
        <v/>
      </c>
      <c r="CH56" s="232">
        <f t="shared" si="135"/>
        <v>40</v>
      </c>
      <c r="CI56" s="232">
        <f t="shared" si="148"/>
        <v>1</v>
      </c>
      <c r="CJ56" s="232"/>
      <c r="CK56" s="497">
        <v>10</v>
      </c>
      <c r="CL56" s="498">
        <v>10</v>
      </c>
      <c r="CM56" s="485">
        <f t="shared" si="136"/>
        <v>80</v>
      </c>
      <c r="CN56" s="371"/>
      <c r="CO56" s="232" t="str">
        <f t="shared" si="137"/>
        <v/>
      </c>
      <c r="CP56" s="232" t="str">
        <f t="shared" si="138"/>
        <v/>
      </c>
      <c r="CQ56" s="232">
        <f t="shared" si="139"/>
        <v>80</v>
      </c>
      <c r="CR56" s="232">
        <f t="shared" si="149"/>
        <v>1</v>
      </c>
      <c r="CS56" s="232"/>
      <c r="CT56" s="371"/>
      <c r="CU56" s="296"/>
      <c r="CV56" s="246"/>
      <c r="CW56" s="264"/>
      <c r="CX56" s="176"/>
      <c r="CY56" s="176"/>
    </row>
    <row r="57" spans="1:103" s="175" customFormat="1" ht="13.35" customHeight="1" outlineLevel="2" thickBot="1" x14ac:dyDescent="0.25">
      <c r="A57" s="264"/>
      <c r="B57" s="264"/>
      <c r="C57" s="202"/>
      <c r="D57" s="271">
        <v>6</v>
      </c>
      <c r="E57" s="168" t="s">
        <v>79</v>
      </c>
      <c r="F57" s="470">
        <v>1</v>
      </c>
      <c r="G57" s="476" t="s">
        <v>49</v>
      </c>
      <c r="H57" s="477">
        <v>3</v>
      </c>
      <c r="I57" s="392" t="str">
        <f t="shared" si="100"/>
        <v/>
      </c>
      <c r="J57" s="393" t="str">
        <f t="shared" si="101"/>
        <v/>
      </c>
      <c r="K57" s="394" t="str">
        <f t="shared" si="102"/>
        <v>x</v>
      </c>
      <c r="L57" s="299"/>
      <c r="M57" s="375"/>
      <c r="N57" s="379"/>
      <c r="O57" s="236"/>
      <c r="P57" s="236"/>
      <c r="Q57" s="489">
        <v>40</v>
      </c>
      <c r="R57" s="490">
        <v>30</v>
      </c>
      <c r="S57" s="491">
        <f t="shared" si="140"/>
        <v>30</v>
      </c>
      <c r="T57" s="371"/>
      <c r="U57" s="232" t="str">
        <f t="shared" si="103"/>
        <v/>
      </c>
      <c r="V57" s="232" t="str">
        <f t="shared" si="104"/>
        <v/>
      </c>
      <c r="W57" s="232">
        <f t="shared" si="105"/>
        <v>30</v>
      </c>
      <c r="X57" s="232" t="str">
        <f t="shared" si="141"/>
        <v/>
      </c>
      <c r="Y57" s="371"/>
      <c r="Z57" s="499">
        <v>10</v>
      </c>
      <c r="AA57" s="500">
        <v>80</v>
      </c>
      <c r="AB57" s="491">
        <f t="shared" si="106"/>
        <v>10</v>
      </c>
      <c r="AC57" s="371"/>
      <c r="AD57" s="232" t="str">
        <f t="shared" si="107"/>
        <v/>
      </c>
      <c r="AE57" s="232" t="str">
        <f t="shared" si="108"/>
        <v/>
      </c>
      <c r="AF57" s="232">
        <f t="shared" si="109"/>
        <v>10</v>
      </c>
      <c r="AG57" s="232" t="str">
        <f t="shared" si="142"/>
        <v/>
      </c>
      <c r="AH57" s="371"/>
      <c r="AI57" s="499">
        <v>40</v>
      </c>
      <c r="AJ57" s="500">
        <v>20</v>
      </c>
      <c r="AK57" s="491">
        <f t="shared" si="110"/>
        <v>40</v>
      </c>
      <c r="AL57" s="371"/>
      <c r="AM57" s="232" t="str">
        <f t="shared" si="111"/>
        <v/>
      </c>
      <c r="AN57" s="232" t="str">
        <f t="shared" si="112"/>
        <v/>
      </c>
      <c r="AO57" s="232">
        <f t="shared" si="113"/>
        <v>40</v>
      </c>
      <c r="AP57" s="232">
        <f t="shared" si="143"/>
        <v>1</v>
      </c>
      <c r="AQ57" s="371"/>
      <c r="AR57" s="499">
        <v>30</v>
      </c>
      <c r="AS57" s="500">
        <v>30</v>
      </c>
      <c r="AT57" s="491">
        <f t="shared" si="114"/>
        <v>40</v>
      </c>
      <c r="AU57" s="371"/>
      <c r="AV57" s="232" t="str">
        <f t="shared" si="115"/>
        <v/>
      </c>
      <c r="AW57" s="232" t="str">
        <f t="shared" si="116"/>
        <v/>
      </c>
      <c r="AX57" s="232">
        <f t="shared" si="117"/>
        <v>40</v>
      </c>
      <c r="AY57" s="232">
        <f t="shared" si="144"/>
        <v>1</v>
      </c>
      <c r="AZ57" s="371"/>
      <c r="BA57" s="499">
        <v>10</v>
      </c>
      <c r="BB57" s="500">
        <v>80</v>
      </c>
      <c r="BC57" s="491">
        <f t="shared" si="118"/>
        <v>10</v>
      </c>
      <c r="BD57" s="371"/>
      <c r="BE57" s="232" t="str">
        <f t="shared" si="119"/>
        <v/>
      </c>
      <c r="BF57" s="232" t="str">
        <f t="shared" si="120"/>
        <v/>
      </c>
      <c r="BG57" s="232">
        <f t="shared" si="121"/>
        <v>10</v>
      </c>
      <c r="BH57" s="232" t="str">
        <f t="shared" si="145"/>
        <v/>
      </c>
      <c r="BI57" s="371"/>
      <c r="BJ57" s="499">
        <v>10</v>
      </c>
      <c r="BK57" s="500">
        <v>10</v>
      </c>
      <c r="BL57" s="491">
        <f t="shared" si="122"/>
        <v>80</v>
      </c>
      <c r="BM57" s="371"/>
      <c r="BN57" s="232" t="str">
        <f t="shared" si="123"/>
        <v/>
      </c>
      <c r="BO57" s="232" t="str">
        <f t="shared" si="124"/>
        <v/>
      </c>
      <c r="BP57" s="232">
        <f t="shared" si="125"/>
        <v>80</v>
      </c>
      <c r="BQ57" s="232">
        <f t="shared" si="146"/>
        <v>1</v>
      </c>
      <c r="BR57" s="371"/>
      <c r="BS57" s="499">
        <v>50</v>
      </c>
      <c r="BT57" s="500">
        <v>20</v>
      </c>
      <c r="BU57" s="491">
        <f t="shared" si="126"/>
        <v>30</v>
      </c>
      <c r="BV57" s="371"/>
      <c r="BW57" s="232" t="str">
        <f t="shared" si="127"/>
        <v/>
      </c>
      <c r="BX57" s="232" t="str">
        <f t="shared" si="128"/>
        <v/>
      </c>
      <c r="BY57" s="232">
        <f t="shared" si="129"/>
        <v>30</v>
      </c>
      <c r="BZ57" s="232" t="str">
        <f t="shared" si="147"/>
        <v/>
      </c>
      <c r="CA57" s="371"/>
      <c r="CB57" s="507">
        <f t="shared" si="130"/>
        <v>30</v>
      </c>
      <c r="CC57" s="508">
        <f t="shared" si="131"/>
        <v>30</v>
      </c>
      <c r="CD57" s="509">
        <f t="shared" si="132"/>
        <v>40</v>
      </c>
      <c r="CE57" s="371"/>
      <c r="CF57" s="232" t="str">
        <f t="shared" si="133"/>
        <v/>
      </c>
      <c r="CG57" s="232" t="str">
        <f t="shared" si="134"/>
        <v/>
      </c>
      <c r="CH57" s="232">
        <f t="shared" si="135"/>
        <v>40</v>
      </c>
      <c r="CI57" s="232">
        <f t="shared" si="148"/>
        <v>1</v>
      </c>
      <c r="CJ57" s="232"/>
      <c r="CK57" s="499">
        <v>30</v>
      </c>
      <c r="CL57" s="500">
        <v>30</v>
      </c>
      <c r="CM57" s="491">
        <f t="shared" si="136"/>
        <v>40</v>
      </c>
      <c r="CN57" s="371"/>
      <c r="CO57" s="232" t="str">
        <f t="shared" si="137"/>
        <v/>
      </c>
      <c r="CP57" s="232" t="str">
        <f t="shared" si="138"/>
        <v/>
      </c>
      <c r="CQ57" s="232">
        <f t="shared" si="139"/>
        <v>40</v>
      </c>
      <c r="CR57" s="232">
        <f t="shared" si="149"/>
        <v>1</v>
      </c>
      <c r="CS57" s="232"/>
      <c r="CT57" s="371"/>
      <c r="CU57" s="296"/>
      <c r="CV57" s="246"/>
      <c r="CW57" s="264"/>
      <c r="CX57" s="176"/>
      <c r="CY57" s="176"/>
    </row>
    <row r="58" spans="1:103" s="175" customFormat="1" ht="13.35" customHeight="1" outlineLevel="2" x14ac:dyDescent="0.2">
      <c r="A58" s="264"/>
      <c r="B58" s="264"/>
      <c r="C58" s="202"/>
      <c r="D58" s="271">
        <v>7</v>
      </c>
      <c r="E58" s="166" t="s">
        <v>80</v>
      </c>
      <c r="F58" s="468">
        <v>1</v>
      </c>
      <c r="G58" s="472" t="s">
        <v>49</v>
      </c>
      <c r="H58" s="473">
        <v>1</v>
      </c>
      <c r="I58" s="170" t="str">
        <f t="shared" si="100"/>
        <v/>
      </c>
      <c r="J58" s="387" t="str">
        <f t="shared" si="101"/>
        <v>x</v>
      </c>
      <c r="K58" s="388" t="str">
        <f t="shared" si="102"/>
        <v/>
      </c>
      <c r="L58" s="299"/>
      <c r="M58" s="375"/>
      <c r="N58" s="379"/>
      <c r="O58" s="236"/>
      <c r="P58" s="236"/>
      <c r="Q58" s="480">
        <v>50</v>
      </c>
      <c r="R58" s="481">
        <v>30</v>
      </c>
      <c r="S58" s="482">
        <f t="shared" si="140"/>
        <v>20</v>
      </c>
      <c r="T58" s="371"/>
      <c r="U58" s="232" t="str">
        <f t="shared" si="103"/>
        <v/>
      </c>
      <c r="V58" s="232">
        <f t="shared" si="104"/>
        <v>30</v>
      </c>
      <c r="W58" s="232" t="str">
        <f t="shared" si="105"/>
        <v/>
      </c>
      <c r="X58" s="232" t="str">
        <f t="shared" si="141"/>
        <v/>
      </c>
      <c r="Y58" s="371"/>
      <c r="Z58" s="495">
        <v>80</v>
      </c>
      <c r="AA58" s="496">
        <v>10</v>
      </c>
      <c r="AB58" s="482">
        <f t="shared" si="106"/>
        <v>10</v>
      </c>
      <c r="AC58" s="371"/>
      <c r="AD58" s="232" t="str">
        <f t="shared" si="107"/>
        <v/>
      </c>
      <c r="AE58" s="232">
        <f t="shared" si="108"/>
        <v>10</v>
      </c>
      <c r="AF58" s="232" t="str">
        <f t="shared" si="109"/>
        <v/>
      </c>
      <c r="AG58" s="232" t="str">
        <f t="shared" si="142"/>
        <v/>
      </c>
      <c r="AH58" s="371"/>
      <c r="AI58" s="495">
        <v>80</v>
      </c>
      <c r="AJ58" s="496">
        <v>10</v>
      </c>
      <c r="AK58" s="482">
        <f t="shared" si="110"/>
        <v>10</v>
      </c>
      <c r="AL58" s="371"/>
      <c r="AM58" s="232" t="str">
        <f t="shared" si="111"/>
        <v/>
      </c>
      <c r="AN58" s="232">
        <f t="shared" si="112"/>
        <v>10</v>
      </c>
      <c r="AO58" s="232" t="str">
        <f t="shared" si="113"/>
        <v/>
      </c>
      <c r="AP58" s="232" t="str">
        <f t="shared" si="143"/>
        <v/>
      </c>
      <c r="AQ58" s="371"/>
      <c r="AR58" s="495">
        <v>70</v>
      </c>
      <c r="AS58" s="496">
        <v>20</v>
      </c>
      <c r="AT58" s="482">
        <f t="shared" si="114"/>
        <v>10</v>
      </c>
      <c r="AU58" s="371"/>
      <c r="AV58" s="232" t="str">
        <f t="shared" si="115"/>
        <v/>
      </c>
      <c r="AW58" s="232">
        <f t="shared" si="116"/>
        <v>20</v>
      </c>
      <c r="AX58" s="232" t="str">
        <f t="shared" si="117"/>
        <v/>
      </c>
      <c r="AY58" s="232" t="str">
        <f t="shared" si="144"/>
        <v/>
      </c>
      <c r="AZ58" s="371"/>
      <c r="BA58" s="495">
        <v>80</v>
      </c>
      <c r="BB58" s="496">
        <v>10</v>
      </c>
      <c r="BC58" s="482">
        <f t="shared" si="118"/>
        <v>10</v>
      </c>
      <c r="BD58" s="371"/>
      <c r="BE58" s="232" t="str">
        <f t="shared" si="119"/>
        <v/>
      </c>
      <c r="BF58" s="232">
        <f t="shared" si="120"/>
        <v>10</v>
      </c>
      <c r="BG58" s="232" t="str">
        <f t="shared" si="121"/>
        <v/>
      </c>
      <c r="BH58" s="232" t="str">
        <f t="shared" si="145"/>
        <v/>
      </c>
      <c r="BI58" s="371"/>
      <c r="BJ58" s="495">
        <v>80</v>
      </c>
      <c r="BK58" s="496">
        <v>10</v>
      </c>
      <c r="BL58" s="482">
        <f t="shared" si="122"/>
        <v>10</v>
      </c>
      <c r="BM58" s="371"/>
      <c r="BN58" s="232" t="str">
        <f t="shared" si="123"/>
        <v/>
      </c>
      <c r="BO58" s="232">
        <f t="shared" si="124"/>
        <v>10</v>
      </c>
      <c r="BP58" s="232" t="str">
        <f t="shared" si="125"/>
        <v/>
      </c>
      <c r="BQ58" s="232" t="str">
        <f t="shared" si="146"/>
        <v/>
      </c>
      <c r="BR58" s="371"/>
      <c r="BS58" s="495">
        <v>40</v>
      </c>
      <c r="BT58" s="496">
        <v>20</v>
      </c>
      <c r="BU58" s="482">
        <f t="shared" si="126"/>
        <v>40</v>
      </c>
      <c r="BV58" s="371"/>
      <c r="BW58" s="232" t="str">
        <f t="shared" si="127"/>
        <v/>
      </c>
      <c r="BX58" s="232">
        <f t="shared" si="128"/>
        <v>20</v>
      </c>
      <c r="BY58" s="232" t="str">
        <f t="shared" si="129"/>
        <v/>
      </c>
      <c r="BZ58" s="232" t="str">
        <f t="shared" si="147"/>
        <v/>
      </c>
      <c r="CA58" s="371"/>
      <c r="CB58" s="501">
        <f t="shared" si="130"/>
        <v>70</v>
      </c>
      <c r="CC58" s="502">
        <f t="shared" si="131"/>
        <v>10</v>
      </c>
      <c r="CD58" s="503">
        <f t="shared" si="132"/>
        <v>20</v>
      </c>
      <c r="CE58" s="371"/>
      <c r="CF58" s="232" t="str">
        <f t="shared" si="133"/>
        <v/>
      </c>
      <c r="CG58" s="232">
        <f t="shared" si="134"/>
        <v>10</v>
      </c>
      <c r="CH58" s="232" t="str">
        <f t="shared" si="135"/>
        <v/>
      </c>
      <c r="CI58" s="232" t="str">
        <f t="shared" si="148"/>
        <v/>
      </c>
      <c r="CJ58" s="232"/>
      <c r="CK58" s="495">
        <v>80</v>
      </c>
      <c r="CL58" s="496">
        <v>10</v>
      </c>
      <c r="CM58" s="482">
        <f t="shared" si="136"/>
        <v>10</v>
      </c>
      <c r="CN58" s="371"/>
      <c r="CO58" s="232" t="str">
        <f t="shared" si="137"/>
        <v/>
      </c>
      <c r="CP58" s="232">
        <f t="shared" si="138"/>
        <v>10</v>
      </c>
      <c r="CQ58" s="232" t="str">
        <f t="shared" si="139"/>
        <v/>
      </c>
      <c r="CR58" s="232" t="str">
        <f t="shared" si="149"/>
        <v/>
      </c>
      <c r="CS58" s="232"/>
      <c r="CT58" s="371"/>
      <c r="CU58" s="300"/>
      <c r="CV58" s="246"/>
      <c r="CW58" s="264"/>
      <c r="CX58" s="176"/>
      <c r="CY58" s="176"/>
    </row>
    <row r="59" spans="1:103" s="175" customFormat="1" ht="13.35" customHeight="1" outlineLevel="2" x14ac:dyDescent="0.2">
      <c r="A59" s="264"/>
      <c r="B59" s="264"/>
      <c r="C59" s="202"/>
      <c r="D59" s="271">
        <v>8</v>
      </c>
      <c r="E59" s="167" t="s">
        <v>81</v>
      </c>
      <c r="F59" s="469">
        <v>0</v>
      </c>
      <c r="G59" s="474" t="s">
        <v>49</v>
      </c>
      <c r="H59" s="475">
        <v>3</v>
      </c>
      <c r="I59" s="389" t="str">
        <f t="shared" si="100"/>
        <v/>
      </c>
      <c r="J59" s="390" t="str">
        <f t="shared" si="101"/>
        <v/>
      </c>
      <c r="K59" s="391" t="str">
        <f t="shared" si="102"/>
        <v>x</v>
      </c>
      <c r="L59" s="299"/>
      <c r="M59" s="375"/>
      <c r="N59" s="379"/>
      <c r="O59" s="236"/>
      <c r="P59" s="236"/>
      <c r="Q59" s="483">
        <v>30</v>
      </c>
      <c r="R59" s="484">
        <v>30</v>
      </c>
      <c r="S59" s="485">
        <f t="shared" si="140"/>
        <v>40</v>
      </c>
      <c r="T59" s="371"/>
      <c r="U59" s="232" t="str">
        <f t="shared" si="103"/>
        <v/>
      </c>
      <c r="V59" s="232" t="str">
        <f t="shared" si="104"/>
        <v/>
      </c>
      <c r="W59" s="232">
        <f t="shared" si="105"/>
        <v>40</v>
      </c>
      <c r="X59" s="232">
        <f t="shared" si="141"/>
        <v>1</v>
      </c>
      <c r="Y59" s="371"/>
      <c r="Z59" s="497">
        <v>10</v>
      </c>
      <c r="AA59" s="498">
        <v>10</v>
      </c>
      <c r="AB59" s="485">
        <f t="shared" si="106"/>
        <v>80</v>
      </c>
      <c r="AC59" s="371"/>
      <c r="AD59" s="232" t="str">
        <f t="shared" si="107"/>
        <v/>
      </c>
      <c r="AE59" s="232" t="str">
        <f t="shared" si="108"/>
        <v/>
      </c>
      <c r="AF59" s="232">
        <f t="shared" si="109"/>
        <v>80</v>
      </c>
      <c r="AG59" s="232">
        <f t="shared" si="142"/>
        <v>1</v>
      </c>
      <c r="AH59" s="371"/>
      <c r="AI59" s="497">
        <v>10</v>
      </c>
      <c r="AJ59" s="498">
        <v>10</v>
      </c>
      <c r="AK59" s="485">
        <f t="shared" si="110"/>
        <v>80</v>
      </c>
      <c r="AL59" s="371"/>
      <c r="AM59" s="232" t="str">
        <f t="shared" si="111"/>
        <v/>
      </c>
      <c r="AN59" s="232" t="str">
        <f t="shared" si="112"/>
        <v/>
      </c>
      <c r="AO59" s="232">
        <f t="shared" si="113"/>
        <v>80</v>
      </c>
      <c r="AP59" s="232">
        <f t="shared" si="143"/>
        <v>1</v>
      </c>
      <c r="AQ59" s="371"/>
      <c r="AR59" s="497">
        <v>10</v>
      </c>
      <c r="AS59" s="498">
        <v>10</v>
      </c>
      <c r="AT59" s="485">
        <f t="shared" si="114"/>
        <v>80</v>
      </c>
      <c r="AU59" s="371"/>
      <c r="AV59" s="232" t="str">
        <f t="shared" si="115"/>
        <v/>
      </c>
      <c r="AW59" s="232" t="str">
        <f t="shared" si="116"/>
        <v/>
      </c>
      <c r="AX59" s="232">
        <f t="shared" si="117"/>
        <v>80</v>
      </c>
      <c r="AY59" s="232">
        <f t="shared" si="144"/>
        <v>1</v>
      </c>
      <c r="AZ59" s="371"/>
      <c r="BA59" s="497">
        <v>80</v>
      </c>
      <c r="BB59" s="498">
        <v>10</v>
      </c>
      <c r="BC59" s="485">
        <f t="shared" si="118"/>
        <v>10</v>
      </c>
      <c r="BD59" s="371"/>
      <c r="BE59" s="232" t="str">
        <f t="shared" si="119"/>
        <v/>
      </c>
      <c r="BF59" s="232" t="str">
        <f t="shared" si="120"/>
        <v/>
      </c>
      <c r="BG59" s="232">
        <f t="shared" si="121"/>
        <v>10</v>
      </c>
      <c r="BH59" s="232" t="str">
        <f t="shared" si="145"/>
        <v/>
      </c>
      <c r="BI59" s="371"/>
      <c r="BJ59" s="497">
        <v>10</v>
      </c>
      <c r="BK59" s="498">
        <v>10</v>
      </c>
      <c r="BL59" s="485">
        <f t="shared" si="122"/>
        <v>80</v>
      </c>
      <c r="BM59" s="371"/>
      <c r="BN59" s="232" t="str">
        <f t="shared" si="123"/>
        <v/>
      </c>
      <c r="BO59" s="232" t="str">
        <f t="shared" si="124"/>
        <v/>
      </c>
      <c r="BP59" s="232">
        <f t="shared" si="125"/>
        <v>80</v>
      </c>
      <c r="BQ59" s="232">
        <f t="shared" si="146"/>
        <v>1</v>
      </c>
      <c r="BR59" s="371"/>
      <c r="BS59" s="497">
        <v>40</v>
      </c>
      <c r="BT59" s="498">
        <v>20</v>
      </c>
      <c r="BU59" s="485">
        <f t="shared" si="126"/>
        <v>40</v>
      </c>
      <c r="BV59" s="371"/>
      <c r="BW59" s="232" t="str">
        <f t="shared" si="127"/>
        <v/>
      </c>
      <c r="BX59" s="232" t="str">
        <f t="shared" si="128"/>
        <v/>
      </c>
      <c r="BY59" s="232">
        <f t="shared" si="129"/>
        <v>40</v>
      </c>
      <c r="BZ59" s="232">
        <f t="shared" si="147"/>
        <v>1</v>
      </c>
      <c r="CA59" s="371"/>
      <c r="CB59" s="504">
        <f t="shared" si="130"/>
        <v>30</v>
      </c>
      <c r="CC59" s="505">
        <f t="shared" si="131"/>
        <v>10</v>
      </c>
      <c r="CD59" s="506">
        <f t="shared" si="132"/>
        <v>60</v>
      </c>
      <c r="CE59" s="371"/>
      <c r="CF59" s="232" t="str">
        <f t="shared" si="133"/>
        <v/>
      </c>
      <c r="CG59" s="232" t="str">
        <f t="shared" si="134"/>
        <v/>
      </c>
      <c r="CH59" s="232">
        <f t="shared" si="135"/>
        <v>60</v>
      </c>
      <c r="CI59" s="232">
        <f t="shared" si="148"/>
        <v>1</v>
      </c>
      <c r="CJ59" s="232"/>
      <c r="CK59" s="497">
        <v>10</v>
      </c>
      <c r="CL59" s="498">
        <v>10</v>
      </c>
      <c r="CM59" s="485">
        <f t="shared" si="136"/>
        <v>80</v>
      </c>
      <c r="CN59" s="371"/>
      <c r="CO59" s="232" t="str">
        <f t="shared" si="137"/>
        <v/>
      </c>
      <c r="CP59" s="232" t="str">
        <f t="shared" si="138"/>
        <v/>
      </c>
      <c r="CQ59" s="232">
        <f t="shared" si="139"/>
        <v>80</v>
      </c>
      <c r="CR59" s="232">
        <f t="shared" si="149"/>
        <v>1</v>
      </c>
      <c r="CS59" s="232"/>
      <c r="CT59" s="371"/>
      <c r="CU59" s="300"/>
      <c r="CV59" s="246"/>
      <c r="CW59" s="264"/>
      <c r="CX59" s="176"/>
      <c r="CY59" s="176"/>
    </row>
    <row r="60" spans="1:103" s="175" customFormat="1" ht="13.35" customHeight="1" outlineLevel="2" thickBot="1" x14ac:dyDescent="0.25">
      <c r="A60" s="264"/>
      <c r="B60" s="264"/>
      <c r="C60" s="202"/>
      <c r="D60" s="271">
        <v>9</v>
      </c>
      <c r="E60" s="168" t="s">
        <v>82</v>
      </c>
      <c r="F60" s="470">
        <v>2</v>
      </c>
      <c r="G60" s="476" t="s">
        <v>49</v>
      </c>
      <c r="H60" s="477">
        <v>3</v>
      </c>
      <c r="I60" s="392" t="str">
        <f t="shared" si="100"/>
        <v/>
      </c>
      <c r="J60" s="393" t="str">
        <f t="shared" si="101"/>
        <v/>
      </c>
      <c r="K60" s="394" t="str">
        <f t="shared" si="102"/>
        <v>x</v>
      </c>
      <c r="L60" s="299"/>
      <c r="M60" s="375"/>
      <c r="N60" s="379"/>
      <c r="O60" s="236"/>
      <c r="P60" s="236"/>
      <c r="Q60" s="489">
        <v>60</v>
      </c>
      <c r="R60" s="490">
        <v>20</v>
      </c>
      <c r="S60" s="491">
        <f t="shared" si="140"/>
        <v>20</v>
      </c>
      <c r="T60" s="371"/>
      <c r="U60" s="232" t="str">
        <f t="shared" si="103"/>
        <v/>
      </c>
      <c r="V60" s="232" t="str">
        <f t="shared" si="104"/>
        <v/>
      </c>
      <c r="W60" s="232">
        <f t="shared" si="105"/>
        <v>20</v>
      </c>
      <c r="X60" s="232" t="str">
        <f t="shared" si="141"/>
        <v/>
      </c>
      <c r="Y60" s="371"/>
      <c r="Z60" s="499">
        <v>80</v>
      </c>
      <c r="AA60" s="500">
        <v>10</v>
      </c>
      <c r="AB60" s="491">
        <f t="shared" si="106"/>
        <v>10</v>
      </c>
      <c r="AC60" s="371"/>
      <c r="AD60" s="232" t="str">
        <f t="shared" si="107"/>
        <v/>
      </c>
      <c r="AE60" s="232" t="str">
        <f t="shared" si="108"/>
        <v/>
      </c>
      <c r="AF60" s="232">
        <f t="shared" si="109"/>
        <v>10</v>
      </c>
      <c r="AG60" s="232" t="str">
        <f t="shared" si="142"/>
        <v/>
      </c>
      <c r="AH60" s="371"/>
      <c r="AI60" s="499">
        <v>70</v>
      </c>
      <c r="AJ60" s="500">
        <v>20</v>
      </c>
      <c r="AK60" s="491">
        <f t="shared" si="110"/>
        <v>10</v>
      </c>
      <c r="AL60" s="371"/>
      <c r="AM60" s="232" t="str">
        <f t="shared" si="111"/>
        <v/>
      </c>
      <c r="AN60" s="232" t="str">
        <f t="shared" si="112"/>
        <v/>
      </c>
      <c r="AO60" s="232">
        <f t="shared" si="113"/>
        <v>10</v>
      </c>
      <c r="AP60" s="232" t="str">
        <f t="shared" si="143"/>
        <v/>
      </c>
      <c r="AQ60" s="371"/>
      <c r="AR60" s="499">
        <v>80</v>
      </c>
      <c r="AS60" s="500">
        <v>10</v>
      </c>
      <c r="AT60" s="491">
        <f t="shared" si="114"/>
        <v>10</v>
      </c>
      <c r="AU60" s="371"/>
      <c r="AV60" s="232" t="str">
        <f t="shared" si="115"/>
        <v/>
      </c>
      <c r="AW60" s="232" t="str">
        <f t="shared" si="116"/>
        <v/>
      </c>
      <c r="AX60" s="232">
        <f t="shared" si="117"/>
        <v>10</v>
      </c>
      <c r="AY60" s="232" t="str">
        <f t="shared" si="144"/>
        <v/>
      </c>
      <c r="AZ60" s="371"/>
      <c r="BA60" s="499">
        <v>80</v>
      </c>
      <c r="BB60" s="500">
        <v>10</v>
      </c>
      <c r="BC60" s="491">
        <f t="shared" si="118"/>
        <v>10</v>
      </c>
      <c r="BD60" s="371"/>
      <c r="BE60" s="232" t="str">
        <f t="shared" si="119"/>
        <v/>
      </c>
      <c r="BF60" s="232" t="str">
        <f t="shared" si="120"/>
        <v/>
      </c>
      <c r="BG60" s="232">
        <f t="shared" si="121"/>
        <v>10</v>
      </c>
      <c r="BH60" s="232" t="str">
        <f t="shared" si="145"/>
        <v/>
      </c>
      <c r="BI60" s="371"/>
      <c r="BJ60" s="499">
        <v>80</v>
      </c>
      <c r="BK60" s="500">
        <v>10</v>
      </c>
      <c r="BL60" s="491">
        <f t="shared" si="122"/>
        <v>10</v>
      </c>
      <c r="BM60" s="371"/>
      <c r="BN60" s="232" t="str">
        <f t="shared" si="123"/>
        <v/>
      </c>
      <c r="BO60" s="232" t="str">
        <f t="shared" si="124"/>
        <v/>
      </c>
      <c r="BP60" s="232">
        <f t="shared" si="125"/>
        <v>10</v>
      </c>
      <c r="BQ60" s="232" t="str">
        <f t="shared" si="146"/>
        <v/>
      </c>
      <c r="BR60" s="371"/>
      <c r="BS60" s="499">
        <v>60</v>
      </c>
      <c r="BT60" s="500">
        <v>20</v>
      </c>
      <c r="BU60" s="491">
        <f t="shared" si="126"/>
        <v>20</v>
      </c>
      <c r="BV60" s="371"/>
      <c r="BW60" s="232" t="str">
        <f t="shared" si="127"/>
        <v/>
      </c>
      <c r="BX60" s="232" t="str">
        <f t="shared" si="128"/>
        <v/>
      </c>
      <c r="BY60" s="232">
        <f t="shared" si="129"/>
        <v>20</v>
      </c>
      <c r="BZ60" s="232" t="str">
        <f t="shared" si="147"/>
        <v/>
      </c>
      <c r="CA60" s="371"/>
      <c r="CB60" s="507">
        <f t="shared" si="130"/>
        <v>80</v>
      </c>
      <c r="CC60" s="508">
        <f t="shared" si="131"/>
        <v>10</v>
      </c>
      <c r="CD60" s="509">
        <f t="shared" si="132"/>
        <v>10</v>
      </c>
      <c r="CE60" s="371"/>
      <c r="CF60" s="232" t="str">
        <f t="shared" si="133"/>
        <v/>
      </c>
      <c r="CG60" s="232" t="str">
        <f t="shared" si="134"/>
        <v/>
      </c>
      <c r="CH60" s="232">
        <f t="shared" si="135"/>
        <v>10</v>
      </c>
      <c r="CI60" s="232" t="str">
        <f t="shared" si="148"/>
        <v/>
      </c>
      <c r="CJ60" s="232"/>
      <c r="CK60" s="499">
        <v>80</v>
      </c>
      <c r="CL60" s="500">
        <v>10</v>
      </c>
      <c r="CM60" s="491">
        <f t="shared" si="136"/>
        <v>10</v>
      </c>
      <c r="CN60" s="371"/>
      <c r="CO60" s="232" t="str">
        <f t="shared" si="137"/>
        <v/>
      </c>
      <c r="CP60" s="232" t="str">
        <f t="shared" si="138"/>
        <v/>
      </c>
      <c r="CQ60" s="232">
        <f t="shared" si="139"/>
        <v>10</v>
      </c>
      <c r="CR60" s="232" t="str">
        <f t="shared" si="149"/>
        <v/>
      </c>
      <c r="CS60" s="232"/>
      <c r="CT60" s="371"/>
      <c r="CU60" s="300"/>
      <c r="CV60" s="246"/>
      <c r="CW60" s="264"/>
      <c r="CX60" s="176"/>
      <c r="CY60" s="176"/>
    </row>
    <row r="61" spans="1:103" s="175" customFormat="1" ht="13.35" customHeight="1" outlineLevel="2" x14ac:dyDescent="0.2">
      <c r="A61" s="264"/>
      <c r="B61" s="264"/>
      <c r="C61" s="202"/>
      <c r="D61" s="271">
        <v>10</v>
      </c>
      <c r="E61" s="169" t="s">
        <v>83</v>
      </c>
      <c r="F61" s="471">
        <v>3</v>
      </c>
      <c r="G61" s="478" t="s">
        <v>49</v>
      </c>
      <c r="H61" s="479">
        <v>0</v>
      </c>
      <c r="I61" s="170" t="str">
        <f t="shared" si="100"/>
        <v>x</v>
      </c>
      <c r="J61" s="387" t="str">
        <f t="shared" si="101"/>
        <v/>
      </c>
      <c r="K61" s="388" t="str">
        <f t="shared" si="102"/>
        <v/>
      </c>
      <c r="L61" s="299"/>
      <c r="M61" s="375"/>
      <c r="N61" s="379"/>
      <c r="O61" s="236"/>
      <c r="P61" s="236"/>
      <c r="Q61" s="492">
        <v>80</v>
      </c>
      <c r="R61" s="493">
        <v>10</v>
      </c>
      <c r="S61" s="494">
        <f t="shared" si="140"/>
        <v>10</v>
      </c>
      <c r="T61" s="371"/>
      <c r="U61" s="232">
        <f t="shared" si="103"/>
        <v>80</v>
      </c>
      <c r="V61" s="232" t="str">
        <f t="shared" si="104"/>
        <v/>
      </c>
      <c r="W61" s="232" t="str">
        <f t="shared" si="105"/>
        <v/>
      </c>
      <c r="X61" s="232">
        <f t="shared" si="141"/>
        <v>1</v>
      </c>
      <c r="Y61" s="371"/>
      <c r="Z61" s="495">
        <v>80</v>
      </c>
      <c r="AA61" s="496">
        <v>10</v>
      </c>
      <c r="AB61" s="494">
        <f t="shared" si="106"/>
        <v>10</v>
      </c>
      <c r="AC61" s="371"/>
      <c r="AD61" s="232">
        <f t="shared" si="107"/>
        <v>80</v>
      </c>
      <c r="AE61" s="232" t="str">
        <f t="shared" si="108"/>
        <v/>
      </c>
      <c r="AF61" s="232" t="str">
        <f t="shared" si="109"/>
        <v/>
      </c>
      <c r="AG61" s="232">
        <f t="shared" si="142"/>
        <v>1</v>
      </c>
      <c r="AH61" s="371"/>
      <c r="AI61" s="495">
        <v>80</v>
      </c>
      <c r="AJ61" s="496">
        <v>10</v>
      </c>
      <c r="AK61" s="494">
        <f t="shared" si="110"/>
        <v>10</v>
      </c>
      <c r="AL61" s="371"/>
      <c r="AM61" s="232">
        <f t="shared" si="111"/>
        <v>80</v>
      </c>
      <c r="AN61" s="232" t="str">
        <f t="shared" si="112"/>
        <v/>
      </c>
      <c r="AO61" s="232" t="str">
        <f t="shared" si="113"/>
        <v/>
      </c>
      <c r="AP61" s="232">
        <f t="shared" si="143"/>
        <v>1</v>
      </c>
      <c r="AQ61" s="371"/>
      <c r="AR61" s="495">
        <v>80</v>
      </c>
      <c r="AS61" s="496">
        <v>10</v>
      </c>
      <c r="AT61" s="494">
        <f t="shared" si="114"/>
        <v>10</v>
      </c>
      <c r="AU61" s="371"/>
      <c r="AV61" s="232">
        <f t="shared" si="115"/>
        <v>80</v>
      </c>
      <c r="AW61" s="232" t="str">
        <f t="shared" si="116"/>
        <v/>
      </c>
      <c r="AX61" s="232" t="str">
        <f t="shared" si="117"/>
        <v/>
      </c>
      <c r="AY61" s="232">
        <f t="shared" si="144"/>
        <v>1</v>
      </c>
      <c r="AZ61" s="371"/>
      <c r="BA61" s="495">
        <v>80</v>
      </c>
      <c r="BB61" s="496">
        <v>10</v>
      </c>
      <c r="BC61" s="494">
        <f t="shared" si="118"/>
        <v>10</v>
      </c>
      <c r="BD61" s="371"/>
      <c r="BE61" s="232">
        <f t="shared" si="119"/>
        <v>80</v>
      </c>
      <c r="BF61" s="232" t="str">
        <f t="shared" si="120"/>
        <v/>
      </c>
      <c r="BG61" s="232" t="str">
        <f t="shared" si="121"/>
        <v/>
      </c>
      <c r="BH61" s="232">
        <f t="shared" si="145"/>
        <v>1</v>
      </c>
      <c r="BI61" s="371"/>
      <c r="BJ61" s="495">
        <v>80</v>
      </c>
      <c r="BK61" s="496">
        <v>10</v>
      </c>
      <c r="BL61" s="494">
        <f t="shared" si="122"/>
        <v>10</v>
      </c>
      <c r="BM61" s="371"/>
      <c r="BN61" s="232">
        <f t="shared" si="123"/>
        <v>80</v>
      </c>
      <c r="BO61" s="232" t="str">
        <f t="shared" si="124"/>
        <v/>
      </c>
      <c r="BP61" s="232" t="str">
        <f t="shared" si="125"/>
        <v/>
      </c>
      <c r="BQ61" s="232">
        <f t="shared" si="146"/>
        <v>1</v>
      </c>
      <c r="BR61" s="371"/>
      <c r="BS61" s="495">
        <v>80</v>
      </c>
      <c r="BT61" s="496">
        <v>10</v>
      </c>
      <c r="BU61" s="494">
        <f t="shared" si="126"/>
        <v>10</v>
      </c>
      <c r="BV61" s="371"/>
      <c r="BW61" s="232">
        <f t="shared" si="127"/>
        <v>80</v>
      </c>
      <c r="BX61" s="232" t="str">
        <f t="shared" si="128"/>
        <v/>
      </c>
      <c r="BY61" s="232" t="str">
        <f t="shared" si="129"/>
        <v/>
      </c>
      <c r="BZ61" s="232">
        <f t="shared" si="147"/>
        <v>1</v>
      </c>
      <c r="CA61" s="371"/>
      <c r="CB61" s="501">
        <f t="shared" si="130"/>
        <v>80</v>
      </c>
      <c r="CC61" s="502">
        <f t="shared" si="131"/>
        <v>10</v>
      </c>
      <c r="CD61" s="503">
        <f t="shared" si="132"/>
        <v>10</v>
      </c>
      <c r="CE61" s="371"/>
      <c r="CF61" s="232">
        <f t="shared" si="133"/>
        <v>80</v>
      </c>
      <c r="CG61" s="232" t="str">
        <f t="shared" si="134"/>
        <v/>
      </c>
      <c r="CH61" s="232" t="str">
        <f t="shared" si="135"/>
        <v/>
      </c>
      <c r="CI61" s="232">
        <f t="shared" si="148"/>
        <v>1</v>
      </c>
      <c r="CJ61" s="232"/>
      <c r="CK61" s="495">
        <v>80</v>
      </c>
      <c r="CL61" s="496">
        <v>10</v>
      </c>
      <c r="CM61" s="494">
        <f t="shared" si="136"/>
        <v>10</v>
      </c>
      <c r="CN61" s="371"/>
      <c r="CO61" s="232">
        <f t="shared" si="137"/>
        <v>80</v>
      </c>
      <c r="CP61" s="232" t="str">
        <f t="shared" si="138"/>
        <v/>
      </c>
      <c r="CQ61" s="232" t="str">
        <f t="shared" si="139"/>
        <v/>
      </c>
      <c r="CR61" s="232">
        <f t="shared" si="149"/>
        <v>1</v>
      </c>
      <c r="CS61" s="232"/>
      <c r="CT61" s="371"/>
      <c r="CU61" s="300"/>
      <c r="CV61" s="246"/>
      <c r="CW61" s="264"/>
      <c r="CX61" s="176"/>
      <c r="CY61" s="176"/>
    </row>
    <row r="62" spans="1:103" s="175" customFormat="1" ht="13.35" customHeight="1" outlineLevel="2" x14ac:dyDescent="0.2">
      <c r="A62" s="264"/>
      <c r="B62" s="264"/>
      <c r="C62" s="202"/>
      <c r="D62" s="271">
        <v>11</v>
      </c>
      <c r="E62" s="167" t="s">
        <v>84</v>
      </c>
      <c r="F62" s="469">
        <v>4</v>
      </c>
      <c r="G62" s="474" t="s">
        <v>49</v>
      </c>
      <c r="H62" s="475">
        <v>1</v>
      </c>
      <c r="I62" s="389" t="str">
        <f t="shared" si="100"/>
        <v>x</v>
      </c>
      <c r="J62" s="390" t="str">
        <f t="shared" si="101"/>
        <v/>
      </c>
      <c r="K62" s="391" t="str">
        <f t="shared" si="102"/>
        <v/>
      </c>
      <c r="L62" s="299"/>
      <c r="M62" s="375"/>
      <c r="N62" s="379"/>
      <c r="O62" s="236"/>
      <c r="P62" s="236"/>
      <c r="Q62" s="483">
        <v>80</v>
      </c>
      <c r="R62" s="484">
        <v>10</v>
      </c>
      <c r="S62" s="485">
        <f t="shared" si="140"/>
        <v>10</v>
      </c>
      <c r="T62" s="371"/>
      <c r="U62" s="232">
        <f t="shared" si="103"/>
        <v>80</v>
      </c>
      <c r="V62" s="232" t="str">
        <f t="shared" si="104"/>
        <v/>
      </c>
      <c r="W62" s="232" t="str">
        <f t="shared" si="105"/>
        <v/>
      </c>
      <c r="X62" s="232">
        <f t="shared" si="141"/>
        <v>1</v>
      </c>
      <c r="Y62" s="371"/>
      <c r="Z62" s="497">
        <v>80</v>
      </c>
      <c r="AA62" s="498">
        <v>10</v>
      </c>
      <c r="AB62" s="485">
        <f t="shared" si="106"/>
        <v>10</v>
      </c>
      <c r="AC62" s="371"/>
      <c r="AD62" s="232">
        <f t="shared" si="107"/>
        <v>80</v>
      </c>
      <c r="AE62" s="232" t="str">
        <f t="shared" si="108"/>
        <v/>
      </c>
      <c r="AF62" s="232" t="str">
        <f t="shared" si="109"/>
        <v/>
      </c>
      <c r="AG62" s="232">
        <f t="shared" si="142"/>
        <v>1</v>
      </c>
      <c r="AH62" s="371"/>
      <c r="AI62" s="497">
        <v>80</v>
      </c>
      <c r="AJ62" s="498">
        <v>10</v>
      </c>
      <c r="AK62" s="485">
        <f t="shared" si="110"/>
        <v>10</v>
      </c>
      <c r="AL62" s="371"/>
      <c r="AM62" s="232">
        <f t="shared" si="111"/>
        <v>80</v>
      </c>
      <c r="AN62" s="232" t="str">
        <f t="shared" si="112"/>
        <v/>
      </c>
      <c r="AO62" s="232" t="str">
        <f t="shared" si="113"/>
        <v/>
      </c>
      <c r="AP62" s="232">
        <f t="shared" si="143"/>
        <v>1</v>
      </c>
      <c r="AQ62" s="371"/>
      <c r="AR62" s="497">
        <v>80</v>
      </c>
      <c r="AS62" s="498">
        <v>10</v>
      </c>
      <c r="AT62" s="485">
        <f t="shared" si="114"/>
        <v>10</v>
      </c>
      <c r="AU62" s="371"/>
      <c r="AV62" s="232">
        <f t="shared" si="115"/>
        <v>80</v>
      </c>
      <c r="AW62" s="232" t="str">
        <f t="shared" si="116"/>
        <v/>
      </c>
      <c r="AX62" s="232" t="str">
        <f t="shared" si="117"/>
        <v/>
      </c>
      <c r="AY62" s="232">
        <f t="shared" si="144"/>
        <v>1</v>
      </c>
      <c r="AZ62" s="371"/>
      <c r="BA62" s="497">
        <v>80</v>
      </c>
      <c r="BB62" s="498">
        <v>10</v>
      </c>
      <c r="BC62" s="485">
        <f t="shared" si="118"/>
        <v>10</v>
      </c>
      <c r="BD62" s="371"/>
      <c r="BE62" s="232">
        <f t="shared" si="119"/>
        <v>80</v>
      </c>
      <c r="BF62" s="232" t="str">
        <f t="shared" si="120"/>
        <v/>
      </c>
      <c r="BG62" s="232" t="str">
        <f t="shared" si="121"/>
        <v/>
      </c>
      <c r="BH62" s="232">
        <f t="shared" si="145"/>
        <v>1</v>
      </c>
      <c r="BI62" s="371"/>
      <c r="BJ62" s="497">
        <v>80</v>
      </c>
      <c r="BK62" s="498">
        <v>10</v>
      </c>
      <c r="BL62" s="485">
        <f t="shared" si="122"/>
        <v>10</v>
      </c>
      <c r="BM62" s="371"/>
      <c r="BN62" s="232">
        <f t="shared" si="123"/>
        <v>80</v>
      </c>
      <c r="BO62" s="232" t="str">
        <f t="shared" si="124"/>
        <v/>
      </c>
      <c r="BP62" s="232" t="str">
        <f t="shared" si="125"/>
        <v/>
      </c>
      <c r="BQ62" s="232">
        <f t="shared" si="146"/>
        <v>1</v>
      </c>
      <c r="BR62" s="371"/>
      <c r="BS62" s="497">
        <v>80</v>
      </c>
      <c r="BT62" s="498">
        <v>10</v>
      </c>
      <c r="BU62" s="485">
        <f t="shared" si="126"/>
        <v>10</v>
      </c>
      <c r="BV62" s="371"/>
      <c r="BW62" s="232">
        <f t="shared" si="127"/>
        <v>80</v>
      </c>
      <c r="BX62" s="232" t="str">
        <f t="shared" si="128"/>
        <v/>
      </c>
      <c r="BY62" s="232" t="str">
        <f t="shared" si="129"/>
        <v/>
      </c>
      <c r="BZ62" s="232">
        <f t="shared" si="147"/>
        <v>1</v>
      </c>
      <c r="CA62" s="371"/>
      <c r="CB62" s="504">
        <f t="shared" si="130"/>
        <v>80</v>
      </c>
      <c r="CC62" s="505">
        <f t="shared" si="131"/>
        <v>10</v>
      </c>
      <c r="CD62" s="506">
        <f t="shared" si="132"/>
        <v>10</v>
      </c>
      <c r="CE62" s="371"/>
      <c r="CF62" s="232">
        <f t="shared" si="133"/>
        <v>80</v>
      </c>
      <c r="CG62" s="232" t="str">
        <f t="shared" si="134"/>
        <v/>
      </c>
      <c r="CH62" s="232" t="str">
        <f t="shared" si="135"/>
        <v/>
      </c>
      <c r="CI62" s="232">
        <f t="shared" si="148"/>
        <v>1</v>
      </c>
      <c r="CJ62" s="232"/>
      <c r="CK62" s="497">
        <v>80</v>
      </c>
      <c r="CL62" s="498">
        <v>10</v>
      </c>
      <c r="CM62" s="485">
        <f t="shared" si="136"/>
        <v>10</v>
      </c>
      <c r="CN62" s="371"/>
      <c r="CO62" s="232">
        <f t="shared" si="137"/>
        <v>80</v>
      </c>
      <c r="CP62" s="232" t="str">
        <f t="shared" si="138"/>
        <v/>
      </c>
      <c r="CQ62" s="232" t="str">
        <f t="shared" si="139"/>
        <v/>
      </c>
      <c r="CR62" s="232">
        <f t="shared" si="149"/>
        <v>1</v>
      </c>
      <c r="CS62" s="232"/>
      <c r="CT62" s="371"/>
      <c r="CU62" s="300"/>
      <c r="CV62" s="246"/>
      <c r="CW62" s="264"/>
      <c r="CX62" s="176"/>
      <c r="CY62" s="176"/>
    </row>
    <row r="63" spans="1:103" s="175" customFormat="1" ht="13.35" customHeight="1" outlineLevel="2" thickBot="1" x14ac:dyDescent="0.25">
      <c r="A63" s="264"/>
      <c r="B63" s="264"/>
      <c r="C63" s="202"/>
      <c r="D63" s="271">
        <v>12</v>
      </c>
      <c r="E63" s="168" t="s">
        <v>85</v>
      </c>
      <c r="F63" s="470">
        <v>0</v>
      </c>
      <c r="G63" s="476" t="s">
        <v>49</v>
      </c>
      <c r="H63" s="477">
        <v>2</v>
      </c>
      <c r="I63" s="392" t="str">
        <f t="shared" si="100"/>
        <v/>
      </c>
      <c r="J63" s="393" t="str">
        <f t="shared" si="101"/>
        <v/>
      </c>
      <c r="K63" s="394" t="str">
        <f t="shared" si="102"/>
        <v>x</v>
      </c>
      <c r="L63" s="299"/>
      <c r="M63" s="375"/>
      <c r="N63" s="379"/>
      <c r="O63" s="236"/>
      <c r="P63" s="236"/>
      <c r="Q63" s="489">
        <v>30</v>
      </c>
      <c r="R63" s="490">
        <v>40</v>
      </c>
      <c r="S63" s="491">
        <f t="shared" si="140"/>
        <v>30</v>
      </c>
      <c r="T63" s="371"/>
      <c r="U63" s="232" t="str">
        <f t="shared" si="103"/>
        <v/>
      </c>
      <c r="V63" s="232" t="str">
        <f t="shared" si="104"/>
        <v/>
      </c>
      <c r="W63" s="232">
        <f t="shared" si="105"/>
        <v>30</v>
      </c>
      <c r="X63" s="232" t="str">
        <f t="shared" si="141"/>
        <v/>
      </c>
      <c r="Y63" s="371"/>
      <c r="Z63" s="499">
        <v>80</v>
      </c>
      <c r="AA63" s="500">
        <v>10</v>
      </c>
      <c r="AB63" s="491">
        <f t="shared" si="106"/>
        <v>10</v>
      </c>
      <c r="AC63" s="371"/>
      <c r="AD63" s="232" t="str">
        <f t="shared" si="107"/>
        <v/>
      </c>
      <c r="AE63" s="232" t="str">
        <f t="shared" si="108"/>
        <v/>
      </c>
      <c r="AF63" s="232">
        <f t="shared" si="109"/>
        <v>10</v>
      </c>
      <c r="AG63" s="232" t="str">
        <f t="shared" si="142"/>
        <v/>
      </c>
      <c r="AH63" s="371"/>
      <c r="AI63" s="499">
        <v>20</v>
      </c>
      <c r="AJ63" s="500">
        <v>40</v>
      </c>
      <c r="AK63" s="491">
        <f t="shared" si="110"/>
        <v>40</v>
      </c>
      <c r="AL63" s="371"/>
      <c r="AM63" s="232" t="str">
        <f t="shared" si="111"/>
        <v/>
      </c>
      <c r="AN63" s="232" t="str">
        <f t="shared" si="112"/>
        <v/>
      </c>
      <c r="AO63" s="232">
        <f t="shared" si="113"/>
        <v>40</v>
      </c>
      <c r="AP63" s="232">
        <f t="shared" si="143"/>
        <v>1</v>
      </c>
      <c r="AQ63" s="371"/>
      <c r="AR63" s="499">
        <v>50</v>
      </c>
      <c r="AS63" s="500">
        <v>40</v>
      </c>
      <c r="AT63" s="491">
        <f t="shared" si="114"/>
        <v>10</v>
      </c>
      <c r="AU63" s="371"/>
      <c r="AV63" s="232" t="str">
        <f t="shared" si="115"/>
        <v/>
      </c>
      <c r="AW63" s="232" t="str">
        <f t="shared" si="116"/>
        <v/>
      </c>
      <c r="AX63" s="232">
        <f t="shared" si="117"/>
        <v>10</v>
      </c>
      <c r="AY63" s="232" t="str">
        <f t="shared" si="144"/>
        <v/>
      </c>
      <c r="AZ63" s="371"/>
      <c r="BA63" s="499">
        <v>80</v>
      </c>
      <c r="BB63" s="500">
        <v>10</v>
      </c>
      <c r="BC63" s="491">
        <f t="shared" si="118"/>
        <v>10</v>
      </c>
      <c r="BD63" s="371"/>
      <c r="BE63" s="232" t="str">
        <f t="shared" si="119"/>
        <v/>
      </c>
      <c r="BF63" s="232" t="str">
        <f t="shared" si="120"/>
        <v/>
      </c>
      <c r="BG63" s="232">
        <f t="shared" si="121"/>
        <v>10</v>
      </c>
      <c r="BH63" s="232" t="str">
        <f t="shared" si="145"/>
        <v/>
      </c>
      <c r="BI63" s="371"/>
      <c r="BJ63" s="499">
        <v>30</v>
      </c>
      <c r="BK63" s="500">
        <v>40</v>
      </c>
      <c r="BL63" s="491">
        <f t="shared" si="122"/>
        <v>30</v>
      </c>
      <c r="BM63" s="371"/>
      <c r="BN63" s="232" t="str">
        <f t="shared" si="123"/>
        <v/>
      </c>
      <c r="BO63" s="232" t="str">
        <f t="shared" si="124"/>
        <v/>
      </c>
      <c r="BP63" s="232">
        <f t="shared" si="125"/>
        <v>30</v>
      </c>
      <c r="BQ63" s="232" t="str">
        <f t="shared" si="146"/>
        <v/>
      </c>
      <c r="BR63" s="371"/>
      <c r="BS63" s="499">
        <v>30</v>
      </c>
      <c r="BT63" s="500">
        <v>40</v>
      </c>
      <c r="BU63" s="491">
        <f t="shared" si="126"/>
        <v>30</v>
      </c>
      <c r="BV63" s="371"/>
      <c r="BW63" s="232" t="str">
        <f t="shared" si="127"/>
        <v/>
      </c>
      <c r="BX63" s="232" t="str">
        <f t="shared" si="128"/>
        <v/>
      </c>
      <c r="BY63" s="232">
        <f t="shared" si="129"/>
        <v>30</v>
      </c>
      <c r="BZ63" s="232" t="str">
        <f t="shared" si="147"/>
        <v/>
      </c>
      <c r="CA63" s="371"/>
      <c r="CB63" s="507">
        <f t="shared" si="130"/>
        <v>50</v>
      </c>
      <c r="CC63" s="508">
        <f t="shared" si="131"/>
        <v>30</v>
      </c>
      <c r="CD63" s="509">
        <f t="shared" si="132"/>
        <v>20</v>
      </c>
      <c r="CE63" s="371"/>
      <c r="CF63" s="232" t="str">
        <f t="shared" si="133"/>
        <v/>
      </c>
      <c r="CG63" s="232" t="str">
        <f t="shared" si="134"/>
        <v/>
      </c>
      <c r="CH63" s="232">
        <f t="shared" si="135"/>
        <v>20</v>
      </c>
      <c r="CI63" s="232" t="str">
        <f t="shared" si="148"/>
        <v/>
      </c>
      <c r="CJ63" s="232"/>
      <c r="CK63" s="499">
        <v>30</v>
      </c>
      <c r="CL63" s="500">
        <v>40</v>
      </c>
      <c r="CM63" s="491">
        <f t="shared" si="136"/>
        <v>30</v>
      </c>
      <c r="CN63" s="371"/>
      <c r="CO63" s="232" t="str">
        <f t="shared" si="137"/>
        <v/>
      </c>
      <c r="CP63" s="232" t="str">
        <f t="shared" si="138"/>
        <v/>
      </c>
      <c r="CQ63" s="232">
        <f t="shared" si="139"/>
        <v>30</v>
      </c>
      <c r="CR63" s="232" t="str">
        <f t="shared" si="149"/>
        <v/>
      </c>
      <c r="CS63" s="232"/>
      <c r="CT63" s="371"/>
      <c r="CU63" s="300"/>
      <c r="CV63" s="246"/>
      <c r="CW63" s="264"/>
      <c r="CX63" s="177"/>
      <c r="CY63" s="176"/>
    </row>
    <row r="64" spans="1:103" s="174" customFormat="1" ht="13.35" customHeight="1" outlineLevel="1" x14ac:dyDescent="0.2">
      <c r="A64" s="264"/>
      <c r="B64" s="264"/>
      <c r="C64" s="202"/>
      <c r="D64" s="272"/>
      <c r="E64" s="235"/>
      <c r="F64" s="395">
        <f>IF(SUM(F52:F63)=0,"",SUM(F52:F63))</f>
        <v>20</v>
      </c>
      <c r="G64" s="370" t="s">
        <v>49</v>
      </c>
      <c r="H64" s="396">
        <f>IF(SUM(H52:H63)=0,"",SUM(H52:H63))</f>
        <v>20</v>
      </c>
      <c r="I64" s="397">
        <f>IF(COUNTIF(I52:I63,"=x")=0,"",COUNTIF(I52:I63,"=x"))</f>
        <v>4</v>
      </c>
      <c r="J64" s="398">
        <f>IF(COUNTIF(J52:J63,"=x")=0,"",COUNTIF(J52:J63,"=x"))</f>
        <v>3</v>
      </c>
      <c r="K64" s="399">
        <f>IF(COUNTIF(K52:K63,"=x")=0,"",COUNTIF(K52:K63,"=x"))</f>
        <v>5</v>
      </c>
      <c r="L64" s="299"/>
      <c r="M64" s="375"/>
      <c r="N64" s="379"/>
      <c r="O64" s="236"/>
      <c r="P64" s="369"/>
      <c r="Q64" s="466">
        <f>SUM(U52:U63)</f>
        <v>240</v>
      </c>
      <c r="R64" s="466">
        <f>SUM(V52:V63)</f>
        <v>90</v>
      </c>
      <c r="S64" s="466">
        <f>SUM(W52:W63)</f>
        <v>150</v>
      </c>
      <c r="T64" s="368"/>
      <c r="U64" s="232"/>
      <c r="V64" s="232"/>
      <c r="W64" s="232"/>
      <c r="X64" s="232"/>
      <c r="Y64" s="367"/>
      <c r="Z64" s="466">
        <f>SUM(AD52:AD63)</f>
        <v>250</v>
      </c>
      <c r="AA64" s="466">
        <f>SUM(AE52:AE63)</f>
        <v>30</v>
      </c>
      <c r="AB64" s="466">
        <f>SUM(AF52:AF63)</f>
        <v>120</v>
      </c>
      <c r="AC64" s="368"/>
      <c r="AD64" s="232"/>
      <c r="AE64" s="232"/>
      <c r="AF64" s="232"/>
      <c r="AG64" s="232"/>
      <c r="AH64" s="367"/>
      <c r="AI64" s="466">
        <f>SUM(AM52:AM63)</f>
        <v>230</v>
      </c>
      <c r="AJ64" s="466">
        <f>SUM(AN52:AN63)</f>
        <v>40</v>
      </c>
      <c r="AK64" s="466">
        <f>SUM(AO52:AO63)</f>
        <v>180</v>
      </c>
      <c r="AL64" s="368"/>
      <c r="AM64" s="232"/>
      <c r="AN64" s="232"/>
      <c r="AO64" s="232"/>
      <c r="AP64" s="232"/>
      <c r="AQ64" s="367"/>
      <c r="AR64" s="466">
        <f>SUM(AV52:AV63)</f>
        <v>250</v>
      </c>
      <c r="AS64" s="466">
        <f>SUM(AW52:AW63)</f>
        <v>60</v>
      </c>
      <c r="AT64" s="466">
        <f>SUM(AX52:AX63)</f>
        <v>200</v>
      </c>
      <c r="AU64" s="368"/>
      <c r="AV64" s="232"/>
      <c r="AW64" s="232"/>
      <c r="AX64" s="232"/>
      <c r="AY64" s="232"/>
      <c r="AZ64" s="367"/>
      <c r="BA64" s="466">
        <f>SUM(BE52:BE63)</f>
        <v>250</v>
      </c>
      <c r="BB64" s="466">
        <f>SUM(BF52:BF63)</f>
        <v>30</v>
      </c>
      <c r="BC64" s="466">
        <f>SUM(BG52:BG63)</f>
        <v>120</v>
      </c>
      <c r="BD64" s="368"/>
      <c r="BE64" s="232"/>
      <c r="BF64" s="232"/>
      <c r="BG64" s="232"/>
      <c r="BH64" s="232"/>
      <c r="BI64" s="367"/>
      <c r="BJ64" s="466">
        <f>SUM(BN52:BN63)</f>
        <v>250</v>
      </c>
      <c r="BK64" s="466">
        <f>SUM(BO52:BO63)</f>
        <v>60</v>
      </c>
      <c r="BL64" s="466">
        <f>SUM(BP52:BP63)</f>
        <v>280</v>
      </c>
      <c r="BM64" s="368"/>
      <c r="BN64" s="232"/>
      <c r="BO64" s="232"/>
      <c r="BP64" s="232"/>
      <c r="BQ64" s="232"/>
      <c r="BR64" s="367"/>
      <c r="BS64" s="466">
        <f>SUM(BW52:BW63)</f>
        <v>230</v>
      </c>
      <c r="BT64" s="466">
        <f>SUM(BX52:BX63)</f>
        <v>70</v>
      </c>
      <c r="BU64" s="466">
        <f>SUM(BY52:BY63)</f>
        <v>140</v>
      </c>
      <c r="BV64" s="368"/>
      <c r="BW64" s="232"/>
      <c r="BX64" s="232"/>
      <c r="BY64" s="232"/>
      <c r="BZ64" s="232"/>
      <c r="CA64" s="369"/>
      <c r="CB64" s="466">
        <f>SUM(CF52:CF63)</f>
        <v>250</v>
      </c>
      <c r="CC64" s="466">
        <f>SUM(CG52:CG63)</f>
        <v>40</v>
      </c>
      <c r="CD64" s="466">
        <f>SUM(CH52:CH63)</f>
        <v>170</v>
      </c>
      <c r="CE64" s="368"/>
      <c r="CF64" s="232"/>
      <c r="CG64" s="232"/>
      <c r="CH64" s="232"/>
      <c r="CI64" s="232"/>
      <c r="CJ64" s="232"/>
      <c r="CK64" s="466">
        <f>SUM(CO52:CO63)</f>
        <v>260</v>
      </c>
      <c r="CL64" s="466">
        <f>SUM(CP52:CP63)</f>
        <v>70</v>
      </c>
      <c r="CM64" s="466">
        <f>SUM(CQ52:CQ63)</f>
        <v>240</v>
      </c>
      <c r="CN64" s="368"/>
      <c r="CO64" s="232"/>
      <c r="CP64" s="232"/>
      <c r="CQ64" s="232"/>
      <c r="CR64" s="232"/>
      <c r="CS64" s="232"/>
      <c r="CT64" s="232"/>
      <c r="CU64" s="300"/>
      <c r="CV64" s="246"/>
      <c r="CW64" s="265"/>
      <c r="CX64" s="5"/>
      <c r="CY64" s="173"/>
    </row>
    <row r="65" spans="1:103" s="174" customFormat="1" ht="13.35" customHeight="1" thickBot="1" x14ac:dyDescent="0.25">
      <c r="A65" s="264"/>
      <c r="B65" s="264"/>
      <c r="C65" s="202"/>
      <c r="D65" s="289"/>
      <c r="E65" s="282"/>
      <c r="F65" s="283"/>
      <c r="G65" s="282"/>
      <c r="H65" s="282"/>
      <c r="I65" s="282"/>
      <c r="J65" s="282"/>
      <c r="K65" s="282"/>
      <c r="L65" s="293"/>
      <c r="M65" s="301"/>
      <c r="N65" s="380"/>
      <c r="O65" s="376"/>
      <c r="P65" s="284"/>
      <c r="Q65" s="285"/>
      <c r="R65" s="285"/>
      <c r="S65" s="285"/>
      <c r="T65" s="286"/>
      <c r="U65" s="287"/>
      <c r="V65" s="287"/>
      <c r="W65" s="287"/>
      <c r="X65" s="287"/>
      <c r="Y65" s="284"/>
      <c r="Z65" s="285"/>
      <c r="AA65" s="285"/>
      <c r="AB65" s="285"/>
      <c r="AC65" s="286"/>
      <c r="AD65" s="287"/>
      <c r="AE65" s="287"/>
      <c r="AF65" s="287"/>
      <c r="AG65" s="288"/>
      <c r="AH65" s="284"/>
      <c r="AI65" s="285"/>
      <c r="AJ65" s="285"/>
      <c r="AK65" s="285"/>
      <c r="AL65" s="286"/>
      <c r="AM65" s="287"/>
      <c r="AN65" s="287"/>
      <c r="AO65" s="287"/>
      <c r="AP65" s="288"/>
      <c r="AQ65" s="284"/>
      <c r="AR65" s="285"/>
      <c r="AS65" s="285"/>
      <c r="AT65" s="285"/>
      <c r="AU65" s="286"/>
      <c r="AV65" s="287"/>
      <c r="AW65" s="287"/>
      <c r="AX65" s="287"/>
      <c r="AY65" s="288"/>
      <c r="AZ65" s="284"/>
      <c r="BA65" s="285"/>
      <c r="BB65" s="285"/>
      <c r="BC65" s="285"/>
      <c r="BD65" s="286"/>
      <c r="BE65" s="287"/>
      <c r="BF65" s="287"/>
      <c r="BG65" s="287"/>
      <c r="BH65" s="288"/>
      <c r="BI65" s="284"/>
      <c r="BJ65" s="284"/>
      <c r="BK65" s="284"/>
      <c r="BL65" s="284"/>
      <c r="BM65" s="284"/>
      <c r="BN65" s="284"/>
      <c r="BO65" s="284"/>
      <c r="BP65" s="284"/>
      <c r="BQ65" s="284"/>
      <c r="BR65" s="284"/>
      <c r="BS65" s="284"/>
      <c r="BT65" s="284"/>
      <c r="BU65" s="284"/>
      <c r="BV65" s="284"/>
      <c r="BW65" s="284"/>
      <c r="BX65" s="284"/>
      <c r="BY65" s="284"/>
      <c r="BZ65" s="284"/>
      <c r="CA65" s="284"/>
      <c r="CB65" s="284"/>
      <c r="CC65" s="284"/>
      <c r="CD65" s="284"/>
      <c r="CE65" s="284"/>
      <c r="CF65" s="284"/>
      <c r="CG65" s="284"/>
      <c r="CH65" s="284"/>
      <c r="CI65" s="284"/>
      <c r="CJ65" s="288"/>
      <c r="CK65" s="288"/>
      <c r="CL65" s="288"/>
      <c r="CM65" s="288"/>
      <c r="CN65" s="288"/>
      <c r="CO65" s="288"/>
      <c r="CP65" s="288"/>
      <c r="CQ65" s="288"/>
      <c r="CR65" s="288"/>
      <c r="CS65" s="288"/>
      <c r="CT65" s="282"/>
      <c r="CU65" s="294"/>
      <c r="CV65" s="246"/>
      <c r="CW65" s="265"/>
      <c r="CX65" s="173"/>
      <c r="CY65" s="173"/>
    </row>
    <row r="66" spans="1:103" ht="14.25" thickTop="1" thickBot="1" x14ac:dyDescent="0.25">
      <c r="A66" s="256"/>
      <c r="B66" s="256"/>
      <c r="C66" s="210"/>
      <c r="D66" s="211"/>
      <c r="E66" s="247"/>
      <c r="F66" s="248"/>
      <c r="G66" s="247"/>
      <c r="H66" s="247"/>
      <c r="I66" s="247"/>
      <c r="J66" s="247"/>
      <c r="K66" s="247"/>
      <c r="L66" s="249"/>
      <c r="M66" s="250"/>
      <c r="N66" s="250"/>
      <c r="O66" s="250"/>
      <c r="P66" s="250"/>
      <c r="Q66" s="247"/>
      <c r="R66" s="247"/>
      <c r="S66" s="247"/>
      <c r="T66" s="251"/>
      <c r="U66" s="252"/>
      <c r="V66" s="252"/>
      <c r="W66" s="252"/>
      <c r="X66" s="252"/>
      <c r="Y66" s="250"/>
      <c r="Z66" s="247"/>
      <c r="AA66" s="247"/>
      <c r="AB66" s="247"/>
      <c r="AC66" s="251"/>
      <c r="AD66" s="252"/>
      <c r="AE66" s="252"/>
      <c r="AF66" s="252"/>
      <c r="AG66" s="247"/>
      <c r="AH66" s="250"/>
      <c r="AI66" s="247"/>
      <c r="AJ66" s="247"/>
      <c r="AK66" s="247"/>
      <c r="AL66" s="251"/>
      <c r="AM66" s="252"/>
      <c r="AN66" s="252"/>
      <c r="AO66" s="252"/>
      <c r="AP66" s="253"/>
      <c r="AQ66" s="250"/>
      <c r="AR66" s="247"/>
      <c r="AS66" s="247"/>
      <c r="AT66" s="247"/>
      <c r="AU66" s="251"/>
      <c r="AV66" s="252"/>
      <c r="AW66" s="252"/>
      <c r="AX66" s="252"/>
      <c r="AY66" s="247"/>
      <c r="AZ66" s="250"/>
      <c r="BA66" s="247"/>
      <c r="BB66" s="247"/>
      <c r="BC66" s="247"/>
      <c r="BD66" s="251"/>
      <c r="BE66" s="252"/>
      <c r="BF66" s="252"/>
      <c r="BG66" s="252"/>
      <c r="BH66" s="247"/>
      <c r="BI66" s="250"/>
      <c r="BJ66" s="247"/>
      <c r="BK66" s="247"/>
      <c r="BL66" s="247"/>
      <c r="BM66" s="251"/>
      <c r="BN66" s="252"/>
      <c r="BO66" s="252"/>
      <c r="BP66" s="252"/>
      <c r="BQ66" s="247"/>
      <c r="BR66" s="212"/>
      <c r="BS66" s="247"/>
      <c r="BT66" s="247"/>
      <c r="BU66" s="247"/>
      <c r="BV66" s="250"/>
      <c r="BW66" s="252"/>
      <c r="BX66" s="252"/>
      <c r="BY66" s="252"/>
      <c r="BZ66" s="247"/>
      <c r="CA66" s="247"/>
      <c r="CB66" s="253"/>
      <c r="CC66" s="253"/>
      <c r="CD66" s="253"/>
      <c r="CE66" s="253"/>
      <c r="CF66" s="247"/>
      <c r="CG66" s="247"/>
      <c r="CH66" s="247"/>
      <c r="CI66" s="247"/>
      <c r="CJ66" s="247"/>
      <c r="CK66" s="247"/>
      <c r="CL66" s="247"/>
      <c r="CM66" s="247"/>
      <c r="CN66" s="247"/>
      <c r="CO66" s="247"/>
      <c r="CP66" s="247"/>
      <c r="CQ66" s="247"/>
      <c r="CR66" s="247"/>
      <c r="CS66" s="247"/>
      <c r="CT66" s="247"/>
      <c r="CU66" s="247"/>
      <c r="CV66" s="254"/>
      <c r="CW66" s="255"/>
      <c r="CX66" s="4"/>
      <c r="CY66" s="4"/>
    </row>
    <row r="67" spans="1:103" ht="14.25" thickTop="1" thickBot="1" x14ac:dyDescent="0.25">
      <c r="A67" s="255"/>
      <c r="B67" s="255"/>
      <c r="C67" s="255"/>
      <c r="D67" s="255"/>
      <c r="E67" s="255"/>
      <c r="F67" s="255"/>
      <c r="G67" s="255"/>
      <c r="H67" s="255"/>
      <c r="I67" s="255"/>
      <c r="J67" s="255"/>
      <c r="K67" s="255"/>
      <c r="L67" s="255"/>
      <c r="M67" s="255"/>
      <c r="N67" s="255"/>
      <c r="O67" s="255"/>
      <c r="P67" s="255"/>
      <c r="Q67" s="255"/>
      <c r="R67" s="255"/>
      <c r="S67" s="255"/>
      <c r="T67" s="255"/>
      <c r="U67" s="255"/>
      <c r="V67" s="255"/>
      <c r="W67" s="255"/>
      <c r="X67" s="255"/>
      <c r="Y67" s="255"/>
      <c r="Z67" s="255"/>
      <c r="AA67" s="255"/>
      <c r="AB67" s="255"/>
      <c r="AC67" s="255"/>
      <c r="AD67" s="255"/>
      <c r="AE67" s="255"/>
      <c r="AF67" s="255"/>
      <c r="AG67" s="255"/>
      <c r="AH67" s="255"/>
      <c r="AI67" s="255"/>
      <c r="AJ67" s="255"/>
      <c r="AK67" s="255"/>
      <c r="AL67" s="255"/>
      <c r="AM67" s="255"/>
      <c r="AN67" s="255"/>
      <c r="AO67" s="255"/>
      <c r="AP67" s="255"/>
      <c r="AQ67" s="255"/>
      <c r="AR67" s="255"/>
      <c r="AS67" s="255"/>
      <c r="AT67" s="255"/>
      <c r="AU67" s="255"/>
      <c r="AV67" s="255"/>
      <c r="AW67" s="255"/>
      <c r="AX67" s="255"/>
      <c r="AY67" s="255"/>
      <c r="AZ67" s="255"/>
      <c r="BA67" s="255"/>
      <c r="BB67" s="255"/>
      <c r="BC67" s="255"/>
      <c r="BD67" s="255"/>
      <c r="BE67" s="255"/>
      <c r="BF67" s="255"/>
      <c r="BG67" s="255"/>
      <c r="BH67" s="255"/>
      <c r="BI67" s="255"/>
      <c r="BJ67" s="255"/>
      <c r="BK67" s="255"/>
      <c r="BL67" s="255"/>
      <c r="BM67" s="255"/>
      <c r="BN67" s="255"/>
      <c r="BO67" s="255"/>
      <c r="BP67" s="255"/>
      <c r="BQ67" s="255"/>
      <c r="BR67" s="255"/>
      <c r="BS67" s="255"/>
      <c r="BT67" s="255"/>
      <c r="BU67" s="255"/>
      <c r="BV67" s="255"/>
      <c r="BW67" s="255"/>
      <c r="BX67" s="255"/>
      <c r="BY67" s="255"/>
      <c r="BZ67" s="255"/>
      <c r="CA67" s="255"/>
      <c r="CB67" s="436"/>
      <c r="CC67" s="436"/>
      <c r="CD67" s="436"/>
      <c r="CE67" s="436"/>
      <c r="CF67" s="255"/>
      <c r="CG67" s="255"/>
      <c r="CH67" s="255"/>
      <c r="CI67" s="255"/>
      <c r="CJ67" s="255"/>
      <c r="CK67" s="255"/>
      <c r="CL67" s="255"/>
      <c r="CM67" s="255"/>
      <c r="CN67" s="255"/>
      <c r="CO67" s="255"/>
      <c r="CP67" s="255"/>
      <c r="CQ67" s="255"/>
      <c r="CR67" s="255"/>
      <c r="CS67" s="255"/>
      <c r="CT67" s="255"/>
      <c r="CU67" s="255"/>
      <c r="CV67" s="255"/>
      <c r="CW67" s="255"/>
      <c r="CX67" s="4"/>
      <c r="CY67" s="4"/>
    </row>
    <row r="68" spans="1:103" ht="21" thickTop="1" x14ac:dyDescent="0.3">
      <c r="A68" s="256"/>
      <c r="B68" s="256"/>
      <c r="C68" s="190"/>
      <c r="D68" s="191"/>
      <c r="E68" s="865" t="str">
        <f>$E$2</f>
        <v>STPS 2026</v>
      </c>
      <c r="F68" s="267"/>
      <c r="G68" s="267"/>
      <c r="H68" s="267"/>
      <c r="I68" s="192"/>
      <c r="J68" s="192"/>
      <c r="K68" s="192"/>
      <c r="L68" s="193"/>
      <c r="M68" s="192"/>
      <c r="N68" s="192"/>
      <c r="O68" s="192"/>
      <c r="P68" s="194"/>
      <c r="Q68" s="192"/>
      <c r="R68" s="192"/>
      <c r="S68" s="192"/>
      <c r="T68" s="195"/>
      <c r="U68" s="196"/>
      <c r="V68" s="196"/>
      <c r="W68" s="196"/>
      <c r="X68" s="196"/>
      <c r="Y68" s="194"/>
      <c r="Z68" s="192"/>
      <c r="AA68" s="192"/>
      <c r="AB68" s="192"/>
      <c r="AC68" s="195"/>
      <c r="AD68" s="196"/>
      <c r="AE68" s="196"/>
      <c r="AF68" s="196"/>
      <c r="AG68" s="197"/>
      <c r="AH68" s="194"/>
      <c r="AI68" s="192"/>
      <c r="AJ68" s="237"/>
      <c r="AK68" s="237"/>
      <c r="AL68" s="198"/>
      <c r="AM68" s="238"/>
      <c r="AN68" s="238"/>
      <c r="AO68" s="238"/>
      <c r="AP68" s="197"/>
      <c r="AQ68" s="239"/>
      <c r="AR68" s="240"/>
      <c r="AS68" s="199"/>
      <c r="AT68" s="200"/>
      <c r="AU68" s="198"/>
      <c r="AV68" s="196"/>
      <c r="AW68" s="196"/>
      <c r="AX68" s="196"/>
      <c r="AY68" s="197"/>
      <c r="AZ68" s="239"/>
      <c r="BA68" s="240"/>
      <c r="BB68" s="200"/>
      <c r="BC68" s="237"/>
      <c r="BD68" s="241"/>
      <c r="BE68" s="196"/>
      <c r="BF68" s="196"/>
      <c r="BG68" s="196"/>
      <c r="BH68" s="197"/>
      <c r="BI68" s="242"/>
      <c r="BJ68" s="237"/>
      <c r="BK68" s="237"/>
      <c r="BL68" s="237"/>
      <c r="BM68" s="241"/>
      <c r="BN68" s="196"/>
      <c r="BO68" s="196"/>
      <c r="BP68" s="196"/>
      <c r="BQ68" s="197"/>
      <c r="BR68" s="201"/>
      <c r="BS68" s="237"/>
      <c r="BT68" s="237"/>
      <c r="BU68" s="237"/>
      <c r="BV68" s="242"/>
      <c r="BW68" s="237"/>
      <c r="BX68" s="237"/>
      <c r="BY68" s="237"/>
      <c r="BZ68" s="237"/>
      <c r="CA68" s="237"/>
      <c r="CB68" s="437"/>
      <c r="CC68" s="437"/>
      <c r="CD68" s="437"/>
      <c r="CE68" s="437"/>
      <c r="CF68" s="237"/>
      <c r="CG68" s="237"/>
      <c r="CH68" s="237"/>
      <c r="CI68" s="237"/>
      <c r="CJ68" s="197"/>
      <c r="CK68" s="197"/>
      <c r="CL68" s="197"/>
      <c r="CM68" s="197"/>
      <c r="CN68" s="197"/>
      <c r="CO68" s="197"/>
      <c r="CP68" s="197"/>
      <c r="CQ68" s="197"/>
      <c r="CR68" s="197"/>
      <c r="CS68" s="197"/>
      <c r="CT68" s="401"/>
      <c r="CU68" s="237"/>
      <c r="CV68" s="243"/>
      <c r="CW68" s="255"/>
      <c r="CX68" s="4"/>
      <c r="CY68" s="4"/>
    </row>
    <row r="69" spans="1:103" ht="13.5" thickBot="1" x14ac:dyDescent="0.25">
      <c r="A69" s="256"/>
      <c r="B69" s="256"/>
      <c r="C69" s="202"/>
      <c r="D69" s="188"/>
      <c r="E69" s="266" t="str">
        <f>E3</f>
        <v>Skorgen Tippelag</v>
      </c>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406"/>
      <c r="AR69" s="406"/>
      <c r="AS69" s="406"/>
      <c r="AT69" s="406"/>
      <c r="AU69" s="406"/>
      <c r="AV69" s="406"/>
      <c r="AW69" s="406"/>
      <c r="AX69" s="406"/>
      <c r="AY69" s="406"/>
      <c r="AZ69" s="406"/>
      <c r="BA69" s="406"/>
      <c r="BB69" s="406"/>
      <c r="BC69" s="406"/>
      <c r="BD69" s="406"/>
      <c r="BE69" s="406"/>
      <c r="BF69" s="406"/>
      <c r="BG69" s="406"/>
      <c r="BH69" s="406"/>
      <c r="BI69" s="406"/>
      <c r="BJ69" s="406"/>
      <c r="BK69" s="406"/>
      <c r="BL69" s="406"/>
      <c r="BM69" s="406"/>
      <c r="BN69" s="406"/>
      <c r="BO69" s="406"/>
      <c r="BP69" s="406"/>
      <c r="BQ69" s="406"/>
      <c r="BR69" s="406"/>
      <c r="BS69" s="406"/>
      <c r="BT69" s="406"/>
      <c r="BU69" s="406"/>
      <c r="BV69" s="406"/>
      <c r="BW69" s="406"/>
      <c r="BX69" s="406"/>
      <c r="BY69" s="406"/>
      <c r="BZ69" s="406"/>
      <c r="CA69" s="406"/>
      <c r="CB69" s="438"/>
      <c r="CC69" s="438"/>
      <c r="CD69" s="438"/>
      <c r="CE69" s="438"/>
      <c r="CF69" s="406"/>
      <c r="CG69" s="406"/>
      <c r="CH69" s="406"/>
      <c r="CI69" s="406"/>
      <c r="CJ69" s="406"/>
      <c r="CK69" s="406"/>
      <c r="CL69" s="406"/>
      <c r="CM69" s="406"/>
      <c r="CN69" s="366"/>
      <c r="CO69" s="366"/>
      <c r="CP69" s="366"/>
      <c r="CQ69" s="366"/>
      <c r="CR69" s="366"/>
      <c r="CS69" s="366"/>
      <c r="CT69" s="187"/>
      <c r="CU69" s="310"/>
      <c r="CV69" s="246"/>
      <c r="CW69" s="255"/>
      <c r="CX69" s="4"/>
      <c r="CY69" s="4"/>
    </row>
    <row r="70" spans="1:103" ht="18.75" thickTop="1" x14ac:dyDescent="0.2">
      <c r="A70" s="256"/>
      <c r="B70" s="256"/>
      <c r="C70" s="209"/>
      <c r="D70" s="290"/>
      <c r="E70" s="273"/>
      <c r="F70" s="274"/>
      <c r="G70" s="273"/>
      <c r="H70" s="273"/>
      <c r="I70" s="803" t="s">
        <v>39</v>
      </c>
      <c r="J70" s="805"/>
      <c r="K70" s="805"/>
      <c r="L70" s="291"/>
      <c r="M70" s="302"/>
      <c r="N70" s="242"/>
      <c r="O70" s="275"/>
      <c r="P70" s="275"/>
      <c r="Q70" s="808">
        <f>IF($F74="","",SUM(Q86:S86)-S72)</f>
        <v>390</v>
      </c>
      <c r="R70" s="808"/>
      <c r="S70" s="808"/>
      <c r="T70" s="276"/>
      <c r="U70" s="277"/>
      <c r="V70" s="277"/>
      <c r="W70" s="277"/>
      <c r="X70" s="277"/>
      <c r="Y70" s="275"/>
      <c r="Z70" s="808">
        <f>IF($F74="","",SUM(Z86:AB86)-AB72)</f>
        <v>330</v>
      </c>
      <c r="AA70" s="808"/>
      <c r="AB70" s="808"/>
      <c r="AC70" s="276"/>
      <c r="AD70" s="277"/>
      <c r="AE70" s="277"/>
      <c r="AF70" s="277"/>
      <c r="AG70" s="273"/>
      <c r="AH70" s="275"/>
      <c r="AI70" s="808">
        <f>IF($F74="","",SUM(AI86:AK86)-AK72)</f>
        <v>290</v>
      </c>
      <c r="AJ70" s="808"/>
      <c r="AK70" s="808"/>
      <c r="AL70" s="276"/>
      <c r="AM70" s="277"/>
      <c r="AN70" s="277"/>
      <c r="AO70" s="277"/>
      <c r="AP70" s="273"/>
      <c r="AQ70" s="275"/>
      <c r="AR70" s="808">
        <f>IF($F74="","",SUM(AR86:AT86)-AT72)</f>
        <v>380</v>
      </c>
      <c r="AS70" s="808"/>
      <c r="AT70" s="808"/>
      <c r="AU70" s="278"/>
      <c r="AV70" s="277"/>
      <c r="AW70" s="277"/>
      <c r="AX70" s="277"/>
      <c r="AY70" s="279"/>
      <c r="AZ70" s="280"/>
      <c r="BA70" s="808">
        <f>IF($F74="","",SUM(BA86:BC86)-BC72)</f>
        <v>310</v>
      </c>
      <c r="BB70" s="808"/>
      <c r="BC70" s="808"/>
      <c r="BD70" s="278"/>
      <c r="BE70" s="277"/>
      <c r="BF70" s="277"/>
      <c r="BG70" s="277"/>
      <c r="BH70" s="279"/>
      <c r="BI70" s="280"/>
      <c r="BJ70" s="808">
        <f>IF($F74="","",SUM(BJ86:BL86)-BL72)</f>
        <v>320</v>
      </c>
      <c r="BK70" s="808"/>
      <c r="BL70" s="808"/>
      <c r="BM70" s="278"/>
      <c r="BN70" s="277"/>
      <c r="BO70" s="277"/>
      <c r="BP70" s="277"/>
      <c r="BQ70" s="279"/>
      <c r="BR70" s="281"/>
      <c r="BS70" s="808">
        <f>IF($F74="","",SUM(BS86:BU86)-BU72)</f>
        <v>340</v>
      </c>
      <c r="BT70" s="808"/>
      <c r="BU70" s="808"/>
      <c r="BV70" s="280"/>
      <c r="BW70" s="279"/>
      <c r="BX70" s="279"/>
      <c r="BY70" s="279"/>
      <c r="BZ70" s="279"/>
      <c r="CA70" s="281"/>
      <c r="CB70" s="808">
        <f>IF($F74="","",SUM(CB86:CD86)-CD72)</f>
        <v>310</v>
      </c>
      <c r="CC70" s="808"/>
      <c r="CD70" s="808"/>
      <c r="CE70" s="280"/>
      <c r="CF70" s="279"/>
      <c r="CG70" s="279"/>
      <c r="CH70" s="279"/>
      <c r="CI70" s="279"/>
      <c r="CJ70" s="273"/>
      <c r="CK70" s="808">
        <f>IF($F74="","",SUM(CK86:CM86))</f>
        <v>370</v>
      </c>
      <c r="CL70" s="808"/>
      <c r="CM70" s="808"/>
      <c r="CN70" s="280"/>
      <c r="CO70" s="279"/>
      <c r="CP70" s="279"/>
      <c r="CQ70" s="279"/>
      <c r="CR70" s="273"/>
      <c r="CS70" s="273"/>
      <c r="CT70" s="273"/>
      <c r="CU70" s="292"/>
      <c r="CV70" s="246"/>
      <c r="CW70" s="255"/>
      <c r="CX70" s="4"/>
      <c r="CY70" s="4"/>
    </row>
    <row r="71" spans="1:103" x14ac:dyDescent="0.2">
      <c r="A71" s="256"/>
      <c r="B71" s="256"/>
      <c r="C71" s="209"/>
      <c r="D71" s="916">
        <v>39</v>
      </c>
      <c r="E71" s="588">
        <f>IF(D71="","",DATE($D$4,1,1)+(D71-1)*7+(6-WEEKDAY(DATE($D$4,1,1),2)))</f>
        <v>45927</v>
      </c>
      <c r="F71" s="213"/>
      <c r="G71" s="214"/>
      <c r="H71" s="214"/>
      <c r="I71" s="804">
        <f>IF(ISERROR(AVERAGE(Q70,Z70,AI70,AR70,BA70,BJ70,BS70,CB70,CK70)),"",AVERAGE(Q70,Z70,AI70,AR70,BA70,BJ70,BS70,CB70,CK70))</f>
        <v>337.77777777777777</v>
      </c>
      <c r="J71" s="806"/>
      <c r="K71" s="806"/>
      <c r="L71" s="295"/>
      <c r="M71" s="372"/>
      <c r="N71" s="245"/>
      <c r="O71" s="215"/>
      <c r="P71" s="215"/>
      <c r="Q71" s="710">
        <f>IF(Q70="","",Q70/Data!$X$1)</f>
        <v>0.32500000000000001</v>
      </c>
      <c r="R71" s="710"/>
      <c r="S71" s="711">
        <f>IF(SUM(X74:X85)=0,"",SUM(X74:X85))</f>
        <v>2</v>
      </c>
      <c r="T71" s="216"/>
      <c r="U71" s="217"/>
      <c r="V71" s="217"/>
      <c r="W71" s="217"/>
      <c r="X71" s="217"/>
      <c r="Y71" s="215"/>
      <c r="Z71" s="710">
        <f>IF(Z70="","",Z70/Data!$X$1)</f>
        <v>0.27500000000000002</v>
      </c>
      <c r="AA71" s="710"/>
      <c r="AB71" s="711">
        <f>IF(SUM(AG74:AG85)=0,"",SUM(AG74:AG85))</f>
        <v>3</v>
      </c>
      <c r="AC71" s="216"/>
      <c r="AD71" s="217"/>
      <c r="AE71" s="217"/>
      <c r="AF71" s="217"/>
      <c r="AG71" s="217"/>
      <c r="AH71" s="215"/>
      <c r="AI71" s="710">
        <f>IF(AI70="","",AI70/Data!$X$1)</f>
        <v>0.24166666666666667</v>
      </c>
      <c r="AJ71" s="710"/>
      <c r="AK71" s="711">
        <f>IF(SUM(AP74:AP85)=0,"",SUM(AP74:AP85))</f>
        <v>2</v>
      </c>
      <c r="AL71" s="216"/>
      <c r="AM71" s="217"/>
      <c r="AN71" s="217"/>
      <c r="AO71" s="217"/>
      <c r="AP71" s="217"/>
      <c r="AQ71" s="215"/>
      <c r="AR71" s="710">
        <f>IF(AR70="","",AR70/Data!$X$1)</f>
        <v>0.31666666666666665</v>
      </c>
      <c r="AS71" s="710"/>
      <c r="AT71" s="711">
        <f>IF(SUM(AY74:AY85)=0,"",SUM(AY74:AY85))</f>
        <v>3</v>
      </c>
      <c r="AU71" s="218"/>
      <c r="AV71" s="217"/>
      <c r="AW71" s="217"/>
      <c r="AX71" s="217"/>
      <c r="AY71" s="217"/>
      <c r="AZ71" s="219"/>
      <c r="BA71" s="710">
        <f>IF(BA70="","",BA70/Data!$X$1)</f>
        <v>0.25833333333333336</v>
      </c>
      <c r="BB71" s="710"/>
      <c r="BC71" s="711">
        <f>IF(SUM(BH74:BH85)=0,"",SUM(BH74:BH85))</f>
        <v>2</v>
      </c>
      <c r="BD71" s="218"/>
      <c r="BE71" s="217"/>
      <c r="BF71" s="217"/>
      <c r="BG71" s="217"/>
      <c r="BH71" s="217"/>
      <c r="BI71" s="219"/>
      <c r="BJ71" s="710">
        <f>IF(BJ70="","",BJ70/Data!$X$1)</f>
        <v>0.26666666666666666</v>
      </c>
      <c r="BK71" s="710"/>
      <c r="BL71" s="711">
        <f>IF(SUM(BQ74:BQ85)=0,"",SUM(BQ74:BQ85))</f>
        <v>2</v>
      </c>
      <c r="BM71" s="218"/>
      <c r="BN71" s="217"/>
      <c r="BO71" s="217"/>
      <c r="BP71" s="217"/>
      <c r="BQ71" s="217"/>
      <c r="BR71" s="220"/>
      <c r="BS71" s="710">
        <f>IF(BS70="","",BS70/Data!$X$1)</f>
        <v>0.28333333333333333</v>
      </c>
      <c r="BT71" s="710"/>
      <c r="BU71" s="711">
        <f>IF(SUM(BZ74:BZ85)=0,"",SUM(BZ74:BZ85))</f>
        <v>3</v>
      </c>
      <c r="BV71" s="219"/>
      <c r="BW71" s="217"/>
      <c r="BX71" s="217"/>
      <c r="BY71" s="217"/>
      <c r="BZ71" s="217"/>
      <c r="CA71" s="220"/>
      <c r="CB71" s="710">
        <f>IF(CB70="","",CB70/Data!$X$1)</f>
        <v>0.25833333333333336</v>
      </c>
      <c r="CC71" s="710"/>
      <c r="CD71" s="711">
        <f>IF(SUM(CI74:CI85)=0,"",SUM(CI74:CI85))</f>
        <v>2</v>
      </c>
      <c r="CE71" s="219"/>
      <c r="CF71" s="217"/>
      <c r="CG71" s="217"/>
      <c r="CH71" s="217"/>
      <c r="CI71" s="217"/>
      <c r="CJ71" s="217"/>
      <c r="CK71" s="710">
        <f>IF(CK70="","",CK70/Data!$X$1)</f>
        <v>0.30833333333333335</v>
      </c>
      <c r="CL71" s="710"/>
      <c r="CM71" s="711">
        <f>IF(SUM(CR74:CR85)=0,"",SUM(CR74:CR85))</f>
        <v>3</v>
      </c>
      <c r="CN71" s="219"/>
      <c r="CO71" s="217"/>
      <c r="CP71" s="217"/>
      <c r="CQ71" s="217"/>
      <c r="CR71" s="217"/>
      <c r="CS71" s="217"/>
      <c r="CT71" s="217"/>
      <c r="CU71" s="296"/>
      <c r="CV71" s="246"/>
      <c r="CW71" s="255"/>
      <c r="CX71" s="4"/>
      <c r="CY71" s="4"/>
    </row>
    <row r="72" spans="1:103" ht="13.5" thickBot="1" x14ac:dyDescent="0.25">
      <c r="A72" s="256"/>
      <c r="B72" s="256"/>
      <c r="C72" s="209"/>
      <c r="D72" s="269">
        <f>D50+1</f>
        <v>4</v>
      </c>
      <c r="E72" s="402" t="s">
        <v>61</v>
      </c>
      <c r="F72" s="221"/>
      <c r="G72" s="222"/>
      <c r="H72" s="222"/>
      <c r="I72" s="802"/>
      <c r="J72" s="807"/>
      <c r="K72" s="807"/>
      <c r="L72" s="297"/>
      <c r="M72" s="373"/>
      <c r="N72" s="377"/>
      <c r="O72" s="222"/>
      <c r="P72" s="222"/>
      <c r="Q72" s="385" t="str">
        <f>Data!$E$11</f>
        <v>AHH</v>
      </c>
      <c r="R72" s="386">
        <f>IF($F85="","",RANK(Q70,$Q70:$CL70))</f>
        <v>1</v>
      </c>
      <c r="S72" s="510"/>
      <c r="T72" s="216">
        <v>0</v>
      </c>
      <c r="U72" s="217"/>
      <c r="V72" s="217"/>
      <c r="W72" s="217"/>
      <c r="X72" s="217"/>
      <c r="Y72" s="215"/>
      <c r="Z72" s="385" t="str">
        <f>Data!$E$12</f>
        <v>RB</v>
      </c>
      <c r="AA72" s="386">
        <f>IF($F85="","",RANK(Z70,$Q70:$CL70))</f>
        <v>5</v>
      </c>
      <c r="AB72" s="510"/>
      <c r="AC72" s="216"/>
      <c r="AD72" s="217"/>
      <c r="AE72" s="217"/>
      <c r="AF72" s="217"/>
      <c r="AG72" s="217"/>
      <c r="AH72" s="215"/>
      <c r="AI72" s="385" t="str">
        <f>Data!$E$13</f>
        <v>EB</v>
      </c>
      <c r="AJ72" s="386">
        <f>IF($F85="","",RANK(AI70,$Q70:$CL70))</f>
        <v>9</v>
      </c>
      <c r="AK72" s="510"/>
      <c r="AL72" s="216"/>
      <c r="AM72" s="217"/>
      <c r="AN72" s="217"/>
      <c r="AO72" s="217"/>
      <c r="AP72" s="217"/>
      <c r="AQ72" s="215"/>
      <c r="AR72" s="346" t="str">
        <f>Data!$E$14</f>
        <v>KAF</v>
      </c>
      <c r="AS72" s="386">
        <f>IF($F85="","",RANK(AR70,$Q70:$CL70))</f>
        <v>2</v>
      </c>
      <c r="AT72" s="510"/>
      <c r="AU72" s="216"/>
      <c r="AV72" s="217"/>
      <c r="AW72" s="217"/>
      <c r="AX72" s="217"/>
      <c r="AY72" s="217"/>
      <c r="AZ72" s="215"/>
      <c r="BA72" s="346" t="str">
        <f>Data!$E$15</f>
        <v>ØG</v>
      </c>
      <c r="BB72" s="386">
        <f>IF($F85="","",RANK(BA70,$Q70:$CL70))</f>
        <v>7</v>
      </c>
      <c r="BC72" s="510"/>
      <c r="BD72" s="216"/>
      <c r="BE72" s="217"/>
      <c r="BF72" s="217"/>
      <c r="BG72" s="217"/>
      <c r="BH72" s="217"/>
      <c r="BI72" s="215"/>
      <c r="BJ72" s="346" t="str">
        <f>Data!$E$16</f>
        <v>JH</v>
      </c>
      <c r="BK72" s="386">
        <f>IF($F85="","",RANK(BJ70,$Q70:$CL70))</f>
        <v>6</v>
      </c>
      <c r="BL72" s="510"/>
      <c r="BM72" s="216"/>
      <c r="BN72" s="217"/>
      <c r="BO72" s="217"/>
      <c r="BP72" s="217"/>
      <c r="BQ72" s="217"/>
      <c r="BR72" s="223"/>
      <c r="BS72" s="346" t="str">
        <f>Data!$E$17</f>
        <v>TOH</v>
      </c>
      <c r="BT72" s="386">
        <f>IF($F85="","",RANK(BS70,$Q70:$CL70))</f>
        <v>4</v>
      </c>
      <c r="BU72" s="510"/>
      <c r="BV72" s="215"/>
      <c r="BW72" s="217"/>
      <c r="BX72" s="217"/>
      <c r="BY72" s="217"/>
      <c r="BZ72" s="217"/>
      <c r="CA72" s="223"/>
      <c r="CB72" s="346" t="s">
        <v>26</v>
      </c>
      <c r="CC72" s="386">
        <f>IF($F85="","",RANK(CB70,$Q70:$CM70))</f>
        <v>7</v>
      </c>
      <c r="CD72" s="511"/>
      <c r="CE72" s="215"/>
      <c r="CF72" s="217"/>
      <c r="CG72" s="217"/>
      <c r="CH72" s="217"/>
      <c r="CI72" s="217"/>
      <c r="CJ72" s="217"/>
      <c r="CK72" s="346" t="s">
        <v>27</v>
      </c>
      <c r="CL72" s="386">
        <f>IF($F85="","",RANK(CK70,$Q70:$CM70))</f>
        <v>3</v>
      </c>
      <c r="CM72" s="798"/>
      <c r="CN72" s="215"/>
      <c r="CO72" s="217"/>
      <c r="CP72" s="217"/>
      <c r="CQ72" s="217"/>
      <c r="CR72" s="217"/>
      <c r="CS72" s="217"/>
      <c r="CT72" s="217"/>
      <c r="CU72" s="296"/>
      <c r="CV72" s="246"/>
      <c r="CW72" s="255"/>
      <c r="CX72" s="4"/>
      <c r="CY72" s="4"/>
    </row>
    <row r="73" spans="1:103" ht="13.5" thickBot="1" x14ac:dyDescent="0.25">
      <c r="A73" s="264"/>
      <c r="B73" s="264"/>
      <c r="C73" s="202"/>
      <c r="D73" s="270"/>
      <c r="E73" s="224"/>
      <c r="F73" s="225"/>
      <c r="G73" s="226"/>
      <c r="H73" s="226"/>
      <c r="I73" s="227" t="s">
        <v>45</v>
      </c>
      <c r="J73" s="228" t="s">
        <v>46</v>
      </c>
      <c r="K73" s="229" t="s">
        <v>47</v>
      </c>
      <c r="L73" s="298"/>
      <c r="M73" s="374"/>
      <c r="N73" s="378"/>
      <c r="O73" s="230"/>
      <c r="P73" s="230"/>
      <c r="Q73" s="227" t="s">
        <v>45</v>
      </c>
      <c r="R73" s="228" t="s">
        <v>46</v>
      </c>
      <c r="S73" s="229" t="s">
        <v>47</v>
      </c>
      <c r="T73" s="231"/>
      <c r="U73" s="232"/>
      <c r="V73" s="232"/>
      <c r="W73" s="232"/>
      <c r="X73" s="232"/>
      <c r="Y73" s="230"/>
      <c r="Z73" s="227" t="s">
        <v>45</v>
      </c>
      <c r="AA73" s="228" t="s">
        <v>46</v>
      </c>
      <c r="AB73" s="229" t="s">
        <v>47</v>
      </c>
      <c r="AC73" s="231"/>
      <c r="AD73" s="232"/>
      <c r="AE73" s="232"/>
      <c r="AF73" s="232"/>
      <c r="AG73" s="232"/>
      <c r="AH73" s="230"/>
      <c r="AI73" s="227" t="s">
        <v>45</v>
      </c>
      <c r="AJ73" s="228" t="s">
        <v>46</v>
      </c>
      <c r="AK73" s="229" t="s">
        <v>47</v>
      </c>
      <c r="AL73" s="231"/>
      <c r="AM73" s="232"/>
      <c r="AN73" s="232"/>
      <c r="AO73" s="232"/>
      <c r="AP73" s="232"/>
      <c r="AQ73" s="230"/>
      <c r="AR73" s="227" t="s">
        <v>45</v>
      </c>
      <c r="AS73" s="228" t="s">
        <v>46</v>
      </c>
      <c r="AT73" s="229" t="s">
        <v>47</v>
      </c>
      <c r="AU73" s="231"/>
      <c r="AV73" s="232"/>
      <c r="AW73" s="232"/>
      <c r="AX73" s="232"/>
      <c r="AY73" s="232"/>
      <c r="AZ73" s="230"/>
      <c r="BA73" s="227" t="s">
        <v>45</v>
      </c>
      <c r="BB73" s="228" t="s">
        <v>46</v>
      </c>
      <c r="BC73" s="229" t="s">
        <v>47</v>
      </c>
      <c r="BD73" s="231"/>
      <c r="BE73" s="232"/>
      <c r="BF73" s="232"/>
      <c r="BG73" s="232"/>
      <c r="BH73" s="232"/>
      <c r="BI73" s="230"/>
      <c r="BJ73" s="227" t="s">
        <v>45</v>
      </c>
      <c r="BK73" s="228" t="s">
        <v>46</v>
      </c>
      <c r="BL73" s="229" t="s">
        <v>47</v>
      </c>
      <c r="BM73" s="231"/>
      <c r="BN73" s="232"/>
      <c r="BO73" s="232"/>
      <c r="BP73" s="232"/>
      <c r="BQ73" s="232"/>
      <c r="BR73" s="230"/>
      <c r="BS73" s="227" t="s">
        <v>45</v>
      </c>
      <c r="BT73" s="228" t="s">
        <v>46</v>
      </c>
      <c r="BU73" s="229" t="s">
        <v>47</v>
      </c>
      <c r="BV73" s="231"/>
      <c r="BW73" s="232"/>
      <c r="BX73" s="232"/>
      <c r="BY73" s="232"/>
      <c r="BZ73" s="233"/>
      <c r="CA73" s="230"/>
      <c r="CB73" s="227" t="s">
        <v>45</v>
      </c>
      <c r="CC73" s="228" t="s">
        <v>46</v>
      </c>
      <c r="CD73" s="229" t="s">
        <v>47</v>
      </c>
      <c r="CE73" s="231"/>
      <c r="CF73" s="232"/>
      <c r="CG73" s="232"/>
      <c r="CH73" s="232"/>
      <c r="CI73" s="232"/>
      <c r="CJ73" s="232"/>
      <c r="CK73" s="227" t="s">
        <v>45</v>
      </c>
      <c r="CL73" s="228" t="s">
        <v>46</v>
      </c>
      <c r="CM73" s="229" t="s">
        <v>47</v>
      </c>
      <c r="CN73" s="231"/>
      <c r="CO73" s="232"/>
      <c r="CP73" s="232"/>
      <c r="CQ73" s="232"/>
      <c r="CR73" s="232"/>
      <c r="CS73" s="232"/>
      <c r="CT73" s="234"/>
      <c r="CU73" s="296"/>
      <c r="CV73" s="246"/>
      <c r="CW73" s="265"/>
      <c r="CX73" s="4"/>
      <c r="CY73" s="4"/>
    </row>
    <row r="74" spans="1:103" x14ac:dyDescent="0.2">
      <c r="A74" s="264"/>
      <c r="B74" s="264"/>
      <c r="C74" s="202"/>
      <c r="D74" s="271">
        <v>1</v>
      </c>
      <c r="E74" s="166" t="s">
        <v>86</v>
      </c>
      <c r="F74" s="468">
        <v>1</v>
      </c>
      <c r="G74" s="472" t="s">
        <v>49</v>
      </c>
      <c r="H74" s="473">
        <v>1</v>
      </c>
      <c r="I74" s="170" t="str">
        <f t="shared" ref="I74:I85" si="150">IF($F74&gt;$H74,"x","")</f>
        <v/>
      </c>
      <c r="J74" s="387" t="str">
        <f t="shared" ref="J74:J85" si="151">IF(F74&lt;&gt;"",IF(H74&lt;&gt;"",IF(F74=H74,"x",""),""),"")</f>
        <v>x</v>
      </c>
      <c r="K74" s="388" t="str">
        <f t="shared" ref="K74:K85" si="152">IF($F74&lt;$H74,"x","")</f>
        <v/>
      </c>
      <c r="L74" s="299"/>
      <c r="M74" s="375"/>
      <c r="N74" s="379"/>
      <c r="O74" s="236"/>
      <c r="P74" s="236"/>
      <c r="Q74" s="480">
        <v>80</v>
      </c>
      <c r="R74" s="481">
        <v>10</v>
      </c>
      <c r="S74" s="482">
        <f>IF(Q74="","",100-SUM(Q74:R74))</f>
        <v>10</v>
      </c>
      <c r="T74" s="371"/>
      <c r="U74" s="232" t="str">
        <f>IF($I74="x",Q74,"")</f>
        <v/>
      </c>
      <c r="V74" s="232">
        <f>IF($J74="x",R74,"")</f>
        <v>10</v>
      </c>
      <c r="W74" s="232" t="str">
        <f t="shared" ref="W74:W85" si="153">IF($K74="x",S74,"")</f>
        <v/>
      </c>
      <c r="X74" s="232" t="str">
        <f>IF((MAX(U74,V74,W74))=0,"",IF((MAX(U74,V74,W74))=(MAX(Q74,R74,S74)),1,""))</f>
        <v/>
      </c>
      <c r="Y74" s="371"/>
      <c r="Z74" s="495">
        <v>80</v>
      </c>
      <c r="AA74" s="496">
        <v>10</v>
      </c>
      <c r="AB74" s="482">
        <f t="shared" ref="AB74:AB85" si="154">IF(Z74="","",100-SUM(Z74:AA74))</f>
        <v>10</v>
      </c>
      <c r="AC74" s="371"/>
      <c r="AD74" s="232" t="str">
        <f t="shared" ref="AD74:AD85" si="155">IF($I74="x",Z74,"")</f>
        <v/>
      </c>
      <c r="AE74" s="232">
        <f t="shared" ref="AE74:AE85" si="156">IF($J74="x",AA74,"")</f>
        <v>10</v>
      </c>
      <c r="AF74" s="232" t="str">
        <f t="shared" ref="AF74:AF85" si="157">IF($K74="x",AB74,"")</f>
        <v/>
      </c>
      <c r="AG74" s="232" t="str">
        <f>IF((MAX(AD74,AE74,AF74))=0,"",IF((MAX(AD74,AE74,AF74))=(MAX(Z74,AA74,AB74)),1,""))</f>
        <v/>
      </c>
      <c r="AH74" s="371"/>
      <c r="AI74" s="495">
        <v>80</v>
      </c>
      <c r="AJ74" s="496">
        <v>10</v>
      </c>
      <c r="AK74" s="482">
        <f t="shared" ref="AK74:AK85" si="158">IF(AI74="","",100-SUM(AI74:AJ74))</f>
        <v>10</v>
      </c>
      <c r="AL74" s="371"/>
      <c r="AM74" s="232" t="str">
        <f t="shared" ref="AM74:AM85" si="159">IF($I74="x",AI74,"")</f>
        <v/>
      </c>
      <c r="AN74" s="232">
        <f t="shared" ref="AN74:AN85" si="160">IF($J74="x",AJ74,"")</f>
        <v>10</v>
      </c>
      <c r="AO74" s="232" t="str">
        <f t="shared" ref="AO74:AO85" si="161">IF($K74="x",AK74,"")</f>
        <v/>
      </c>
      <c r="AP74" s="232" t="str">
        <f>IF((MAX(AM74,AN74,AO74))=0,"",IF((MAX(AM74,AN74,AO74))=(MAX(AI74,AJ74,AK74)),1,""))</f>
        <v/>
      </c>
      <c r="AQ74" s="371"/>
      <c r="AR74" s="495">
        <v>80</v>
      </c>
      <c r="AS74" s="496">
        <v>10</v>
      </c>
      <c r="AT74" s="482">
        <f t="shared" ref="AT74:AT85" si="162">IF(AR74="","",100-SUM(AR74:AS74))</f>
        <v>10</v>
      </c>
      <c r="AU74" s="371"/>
      <c r="AV74" s="232" t="str">
        <f t="shared" ref="AV74:AV85" si="163">IF($I74="x",AR74,"")</f>
        <v/>
      </c>
      <c r="AW74" s="232">
        <f t="shared" ref="AW74:AW85" si="164">IF($J74="x",AS74,"")</f>
        <v>10</v>
      </c>
      <c r="AX74" s="232" t="str">
        <f t="shared" ref="AX74:AX85" si="165">IF($K74="x",AT74,"")</f>
        <v/>
      </c>
      <c r="AY74" s="232" t="str">
        <f>IF((MAX(AV74,AW74,AX74))=0,"",IF((MAX(AV74,AW74,AX74))=(MAX(AR74,AS74,AT74)),1,""))</f>
        <v/>
      </c>
      <c r="AZ74" s="371"/>
      <c r="BA74" s="495">
        <v>80</v>
      </c>
      <c r="BB74" s="496">
        <v>10</v>
      </c>
      <c r="BC74" s="482">
        <f t="shared" ref="BC74:BC85" si="166">IF(BA74="","",100-SUM(BA74:BB74))</f>
        <v>10</v>
      </c>
      <c r="BD74" s="371"/>
      <c r="BE74" s="232" t="str">
        <f t="shared" ref="BE74:BE85" si="167">IF($I74="x",BA74,"")</f>
        <v/>
      </c>
      <c r="BF74" s="232">
        <f t="shared" ref="BF74:BF85" si="168">IF($J74="x",BB74,"")</f>
        <v>10</v>
      </c>
      <c r="BG74" s="232" t="str">
        <f t="shared" ref="BG74:BG85" si="169">IF($K74="x",BC74,"")</f>
        <v/>
      </c>
      <c r="BH74" s="232" t="str">
        <f>IF((MAX(BE74,BF74,BG74))=0,"",IF((MAX(BE74,BF74,BG74))=(MAX(BA74,BB74,BC74)),1,""))</f>
        <v/>
      </c>
      <c r="BI74" s="371"/>
      <c r="BJ74" s="495">
        <v>80</v>
      </c>
      <c r="BK74" s="496">
        <v>10</v>
      </c>
      <c r="BL74" s="482">
        <f t="shared" ref="BL74:BL85" si="170">IF(BJ74="","",100-SUM(BJ74:BK74))</f>
        <v>10</v>
      </c>
      <c r="BM74" s="371"/>
      <c r="BN74" s="232" t="str">
        <f t="shared" ref="BN74:BN85" si="171">IF($I74="x",BJ74,"")</f>
        <v/>
      </c>
      <c r="BO74" s="232">
        <f t="shared" ref="BO74:BO85" si="172">IF($J74="x",BK74,"")</f>
        <v>10</v>
      </c>
      <c r="BP74" s="232" t="str">
        <f t="shared" ref="BP74:BP85" si="173">IF($K74="x",BL74,"")</f>
        <v/>
      </c>
      <c r="BQ74" s="232" t="str">
        <f>IF((MAX(BN74,BO74,BP74))=0,"",IF((MAX(BN74,BO74,BP74))=(MAX(BJ74,BK74,BL74)),1,""))</f>
        <v/>
      </c>
      <c r="BR74" s="371"/>
      <c r="BS74" s="495">
        <v>60</v>
      </c>
      <c r="BT74" s="496">
        <v>20</v>
      </c>
      <c r="BU74" s="482">
        <f t="shared" ref="BU74:BU85" si="174">IF(BS74="","",100-SUM(BS74:BT74))</f>
        <v>20</v>
      </c>
      <c r="BV74" s="371"/>
      <c r="BW74" s="232" t="str">
        <f t="shared" ref="BW74:BW85" si="175">IF($I74="x",BS74,"")</f>
        <v/>
      </c>
      <c r="BX74" s="232">
        <f t="shared" ref="BX74:BX85" si="176">IF($J74="x",BT74,"")</f>
        <v>20</v>
      </c>
      <c r="BY74" s="232" t="str">
        <f t="shared" ref="BY74:BY85" si="177">IF($K74="x",BU74,"")</f>
        <v/>
      </c>
      <c r="BZ74" s="232" t="str">
        <f>IF((MAX(BW74,BX74,BY74))=0,"",IF((MAX(BW74,BX74,BY74))=(MAX(BS74,BT74,BU74)),1,""))</f>
        <v/>
      </c>
      <c r="CA74" s="371"/>
      <c r="CB74" s="501">
        <f>IFERROR(ROUNDUP((SUM(Q74,Z74,AI74,AR74,BA74,BJ74,BS74)/SUM($Q74:$S74,$Z74:$AB74,$AI74:$AK74,$AR74:$AT74,$BA74:$BC74,$BJ74:$BL74,$BS74:$BU74))*100,-1),"")</f>
        <v>80</v>
      </c>
      <c r="CC74" s="502">
        <f>IFERROR(ROUNDDOWN((SUM(R74,AA74,AJ74,AS74,BB74,BK74,BT74)/SUM($Q74:$S74,$Z74:$AB74,$AI74:$AK74,$AR74:$AT74,$BA74:$BC74,$BJ74:$BL74,$BS74:$BU74))*100,-1),"")</f>
        <v>10</v>
      </c>
      <c r="CD74" s="503">
        <f t="shared" ref="CD74:CD85" si="178">IF(CB74="","",100-SUM(CB74:CC74))</f>
        <v>10</v>
      </c>
      <c r="CE74" s="371"/>
      <c r="CF74" s="232" t="str">
        <f t="shared" ref="CF74:CF85" si="179">IF($I74="x",CB74,"")</f>
        <v/>
      </c>
      <c r="CG74" s="232">
        <f t="shared" ref="CG74:CG85" si="180">IF($J74="x",CC74,"")</f>
        <v>10</v>
      </c>
      <c r="CH74" s="232" t="str">
        <f t="shared" ref="CH74:CH85" si="181">IF($K74="x",CD74,"")</f>
        <v/>
      </c>
      <c r="CI74" s="232" t="str">
        <f>IF((MAX(CF74,CG74,CH74))=0,"",IF((MAX(CF74,CG74,CH74))=(MAX(CB74,CC74,CD74)),1,""))</f>
        <v/>
      </c>
      <c r="CJ74" s="232"/>
      <c r="CK74" s="495">
        <v>80</v>
      </c>
      <c r="CL74" s="496">
        <v>10</v>
      </c>
      <c r="CM74" s="482">
        <f t="shared" ref="CM74:CM85" si="182">IF(CK74="","",100-SUM(CK74:CL74))</f>
        <v>10</v>
      </c>
      <c r="CN74" s="371"/>
      <c r="CO74" s="232" t="str">
        <f t="shared" ref="CO74:CO85" si="183">IF($I74="x",CK74,"")</f>
        <v/>
      </c>
      <c r="CP74" s="232">
        <f t="shared" ref="CP74:CP85" si="184">IF($J74="x",CL74,"")</f>
        <v>10</v>
      </c>
      <c r="CQ74" s="232" t="str">
        <f t="shared" ref="CQ74:CQ85" si="185">IF($K74="x",CM74,"")</f>
        <v/>
      </c>
      <c r="CR74" s="232" t="str">
        <f>IF((MAX(CO74,CP74,CQ74))=0,"",IF((MAX(CO74,CP74,CQ74))=(MAX(CK74,CL74,CM74)),1,""))</f>
        <v/>
      </c>
      <c r="CS74" s="232"/>
      <c r="CT74" s="371"/>
      <c r="CU74" s="296"/>
      <c r="CV74" s="246"/>
      <c r="CW74" s="264"/>
      <c r="CX74" s="4"/>
      <c r="CY74" s="4"/>
    </row>
    <row r="75" spans="1:103" x14ac:dyDescent="0.2">
      <c r="A75" s="264"/>
      <c r="B75" s="264"/>
      <c r="C75" s="202"/>
      <c r="D75" s="271">
        <v>2</v>
      </c>
      <c r="E75" s="167" t="s">
        <v>87</v>
      </c>
      <c r="F75" s="469">
        <v>0</v>
      </c>
      <c r="G75" s="474" t="s">
        <v>49</v>
      </c>
      <c r="H75" s="475">
        <v>1</v>
      </c>
      <c r="I75" s="389" t="str">
        <f t="shared" si="150"/>
        <v/>
      </c>
      <c r="J75" s="390" t="str">
        <f t="shared" si="151"/>
        <v/>
      </c>
      <c r="K75" s="391" t="str">
        <f t="shared" si="152"/>
        <v>x</v>
      </c>
      <c r="L75" s="299"/>
      <c r="M75" s="375"/>
      <c r="N75" s="379"/>
      <c r="O75" s="236"/>
      <c r="P75" s="236"/>
      <c r="Q75" s="483">
        <v>60</v>
      </c>
      <c r="R75" s="484">
        <v>20</v>
      </c>
      <c r="S75" s="485">
        <f t="shared" ref="S75:S85" si="186">IF(Q75="","",100-SUM(Q75:R75))</f>
        <v>20</v>
      </c>
      <c r="T75" s="371"/>
      <c r="U75" s="232" t="str">
        <f t="shared" ref="U75:U85" si="187">IF($I75="x",Q75,"")</f>
        <v/>
      </c>
      <c r="V75" s="232" t="str">
        <f t="shared" ref="V75:V85" si="188">IF($J75="x",R75,"")</f>
        <v/>
      </c>
      <c r="W75" s="232">
        <f t="shared" si="153"/>
        <v>20</v>
      </c>
      <c r="X75" s="232" t="str">
        <f t="shared" ref="X75:X85" si="189">IF((MAX(U75,V75,W75))=0,"",IF((MAX(U75,V75,W75))=(MAX(Q75,R75,S75)),1,""))</f>
        <v/>
      </c>
      <c r="Y75" s="371"/>
      <c r="Z75" s="497">
        <v>80</v>
      </c>
      <c r="AA75" s="498">
        <v>10</v>
      </c>
      <c r="AB75" s="485">
        <f t="shared" si="154"/>
        <v>10</v>
      </c>
      <c r="AC75" s="371"/>
      <c r="AD75" s="232" t="str">
        <f t="shared" si="155"/>
        <v/>
      </c>
      <c r="AE75" s="232" t="str">
        <f t="shared" si="156"/>
        <v/>
      </c>
      <c r="AF75" s="232">
        <f t="shared" si="157"/>
        <v>10</v>
      </c>
      <c r="AG75" s="232" t="str">
        <f t="shared" ref="AG75:AG85" si="190">IF((MAX(AD75,AE75,AF75))=0,"",IF((MAX(AD75,AE75,AF75))=(MAX(Z75,AA75,AB75)),1,""))</f>
        <v/>
      </c>
      <c r="AH75" s="371"/>
      <c r="AI75" s="497">
        <v>80</v>
      </c>
      <c r="AJ75" s="498">
        <v>10</v>
      </c>
      <c r="AK75" s="485">
        <f t="shared" si="158"/>
        <v>10</v>
      </c>
      <c r="AL75" s="371"/>
      <c r="AM75" s="232" t="str">
        <f t="shared" si="159"/>
        <v/>
      </c>
      <c r="AN75" s="232" t="str">
        <f t="shared" si="160"/>
        <v/>
      </c>
      <c r="AO75" s="232">
        <f t="shared" si="161"/>
        <v>10</v>
      </c>
      <c r="AP75" s="232" t="str">
        <f t="shared" ref="AP75:AP85" si="191">IF((MAX(AM75,AN75,AO75))=0,"",IF((MAX(AM75,AN75,AO75))=(MAX(AI75,AJ75,AK75)),1,""))</f>
        <v/>
      </c>
      <c r="AQ75" s="371"/>
      <c r="AR75" s="497">
        <v>10</v>
      </c>
      <c r="AS75" s="498">
        <v>30</v>
      </c>
      <c r="AT75" s="485">
        <f t="shared" si="162"/>
        <v>60</v>
      </c>
      <c r="AU75" s="371"/>
      <c r="AV75" s="232" t="str">
        <f t="shared" si="163"/>
        <v/>
      </c>
      <c r="AW75" s="232" t="str">
        <f t="shared" si="164"/>
        <v/>
      </c>
      <c r="AX75" s="232">
        <f t="shared" si="165"/>
        <v>60</v>
      </c>
      <c r="AY75" s="232">
        <f t="shared" ref="AY75:AY85" si="192">IF((MAX(AV75,AW75,AX75))=0,"",IF((MAX(AV75,AW75,AX75))=(MAX(AR75,AS75,AT75)),1,""))</f>
        <v>1</v>
      </c>
      <c r="AZ75" s="371"/>
      <c r="BA75" s="497">
        <v>80</v>
      </c>
      <c r="BB75" s="498">
        <v>10</v>
      </c>
      <c r="BC75" s="485">
        <f t="shared" si="166"/>
        <v>10</v>
      </c>
      <c r="BD75" s="371"/>
      <c r="BE75" s="232" t="str">
        <f t="shared" si="167"/>
        <v/>
      </c>
      <c r="BF75" s="232" t="str">
        <f t="shared" si="168"/>
        <v/>
      </c>
      <c r="BG75" s="232">
        <f t="shared" si="169"/>
        <v>10</v>
      </c>
      <c r="BH75" s="232" t="str">
        <f t="shared" ref="BH75:BH85" si="193">IF((MAX(BE75,BF75,BG75))=0,"",IF((MAX(BE75,BF75,BG75))=(MAX(BA75,BB75,BC75)),1,""))</f>
        <v/>
      </c>
      <c r="BI75" s="371"/>
      <c r="BJ75" s="497">
        <v>10</v>
      </c>
      <c r="BK75" s="498">
        <v>30</v>
      </c>
      <c r="BL75" s="485">
        <f t="shared" si="170"/>
        <v>60</v>
      </c>
      <c r="BM75" s="371"/>
      <c r="BN75" s="232" t="str">
        <f t="shared" si="171"/>
        <v/>
      </c>
      <c r="BO75" s="232" t="str">
        <f t="shared" si="172"/>
        <v/>
      </c>
      <c r="BP75" s="232">
        <f t="shared" si="173"/>
        <v>60</v>
      </c>
      <c r="BQ75" s="232">
        <f t="shared" ref="BQ75:BQ85" si="194">IF((MAX(BN75,BO75,BP75))=0,"",IF((MAX(BN75,BO75,BP75))=(MAX(BJ75,BK75,BL75)),1,""))</f>
        <v>1</v>
      </c>
      <c r="BR75" s="371"/>
      <c r="BS75" s="497">
        <v>40</v>
      </c>
      <c r="BT75" s="498">
        <v>30</v>
      </c>
      <c r="BU75" s="485">
        <f t="shared" si="174"/>
        <v>30</v>
      </c>
      <c r="BV75" s="371"/>
      <c r="BW75" s="232" t="str">
        <f t="shared" si="175"/>
        <v/>
      </c>
      <c r="BX75" s="232" t="str">
        <f t="shared" si="176"/>
        <v/>
      </c>
      <c r="BY75" s="232">
        <f t="shared" si="177"/>
        <v>30</v>
      </c>
      <c r="BZ75" s="232" t="str">
        <f t="shared" ref="BZ75:BZ85" si="195">IF((MAX(BW75,BX75,BY75))=0,"",IF((MAX(BW75,BX75,BY75))=(MAX(BS75,BT75,BU75)),1,""))</f>
        <v/>
      </c>
      <c r="CA75" s="371"/>
      <c r="CB75" s="504">
        <f t="shared" ref="CB75:CB85" si="196">IFERROR(ROUNDUP((SUM(Q75,Z75,AI75,AR75,BA75,BJ75,BS75)/SUM($Q75:$S75,$Z75:$AB75,$AI75:$AK75,$AR75:$AT75,$BA75:$BC75,$BJ75:$BL75,$BS75:$BU75))*100,-1),"")</f>
        <v>60</v>
      </c>
      <c r="CC75" s="505">
        <f t="shared" ref="CC75:CC85" si="197">IFERROR(ROUNDDOWN((SUM(R75,AA75,AJ75,AS75,BB75,BK75,BT75)/SUM($Q75:$S75,$Z75:$AB75,$AI75:$AK75,$AR75:$AT75,$BA75:$BC75,$BJ75:$BL75,$BS75:$BU75))*100,-1),"")</f>
        <v>20</v>
      </c>
      <c r="CD75" s="506">
        <f t="shared" si="178"/>
        <v>20</v>
      </c>
      <c r="CE75" s="371"/>
      <c r="CF75" s="232" t="str">
        <f t="shared" si="179"/>
        <v/>
      </c>
      <c r="CG75" s="232" t="str">
        <f t="shared" si="180"/>
        <v/>
      </c>
      <c r="CH75" s="232">
        <f t="shared" si="181"/>
        <v>20</v>
      </c>
      <c r="CI75" s="232" t="str">
        <f t="shared" ref="CI75:CI85" si="198">IF((MAX(CF75,CG75,CH75))=0,"",IF((MAX(CF75,CG75,CH75))=(MAX(CB75,CC75,CD75)),1,""))</f>
        <v/>
      </c>
      <c r="CJ75" s="232"/>
      <c r="CK75" s="497">
        <v>60</v>
      </c>
      <c r="CL75" s="498">
        <v>20</v>
      </c>
      <c r="CM75" s="485">
        <f t="shared" si="182"/>
        <v>20</v>
      </c>
      <c r="CN75" s="371"/>
      <c r="CO75" s="232" t="str">
        <f t="shared" si="183"/>
        <v/>
      </c>
      <c r="CP75" s="232" t="str">
        <f t="shared" si="184"/>
        <v/>
      </c>
      <c r="CQ75" s="232">
        <f t="shared" si="185"/>
        <v>20</v>
      </c>
      <c r="CR75" s="232" t="str">
        <f t="shared" ref="CR75:CR85" si="199">IF((MAX(CO75,CP75,CQ75))=0,"",IF((MAX(CO75,CP75,CQ75))=(MAX(CK75,CL75,CM75)),1,""))</f>
        <v/>
      </c>
      <c r="CS75" s="232"/>
      <c r="CT75" s="371"/>
      <c r="CU75" s="296"/>
      <c r="CV75" s="246"/>
      <c r="CW75" s="264"/>
      <c r="CX75" s="4"/>
      <c r="CY75" s="4"/>
    </row>
    <row r="76" spans="1:103" ht="13.5" thickBot="1" x14ac:dyDescent="0.25">
      <c r="A76" s="264"/>
      <c r="B76" s="264"/>
      <c r="C76" s="202"/>
      <c r="D76" s="271">
        <v>3</v>
      </c>
      <c r="E76" s="168" t="s">
        <v>88</v>
      </c>
      <c r="F76" s="470">
        <v>1</v>
      </c>
      <c r="G76" s="476" t="s">
        <v>49</v>
      </c>
      <c r="H76" s="477">
        <v>3</v>
      </c>
      <c r="I76" s="392" t="str">
        <f t="shared" si="150"/>
        <v/>
      </c>
      <c r="J76" s="393" t="str">
        <f t="shared" si="151"/>
        <v/>
      </c>
      <c r="K76" s="394" t="str">
        <f t="shared" si="152"/>
        <v>x</v>
      </c>
      <c r="L76" s="299"/>
      <c r="M76" s="375"/>
      <c r="N76" s="379"/>
      <c r="O76" s="236"/>
      <c r="P76" s="236"/>
      <c r="Q76" s="486">
        <v>60</v>
      </c>
      <c r="R76" s="487">
        <v>20</v>
      </c>
      <c r="S76" s="488">
        <f t="shared" si="186"/>
        <v>20</v>
      </c>
      <c r="T76" s="371"/>
      <c r="U76" s="232" t="str">
        <f t="shared" si="187"/>
        <v/>
      </c>
      <c r="V76" s="232" t="str">
        <f t="shared" si="188"/>
        <v/>
      </c>
      <c r="W76" s="232">
        <f t="shared" si="153"/>
        <v>20</v>
      </c>
      <c r="X76" s="232" t="str">
        <f t="shared" si="189"/>
        <v/>
      </c>
      <c r="Y76" s="371"/>
      <c r="Z76" s="499">
        <v>80</v>
      </c>
      <c r="AA76" s="500">
        <v>10</v>
      </c>
      <c r="AB76" s="488">
        <f t="shared" si="154"/>
        <v>10</v>
      </c>
      <c r="AC76" s="371"/>
      <c r="AD76" s="232" t="str">
        <f t="shared" si="155"/>
        <v/>
      </c>
      <c r="AE76" s="232" t="str">
        <f t="shared" si="156"/>
        <v/>
      </c>
      <c r="AF76" s="232">
        <f t="shared" si="157"/>
        <v>10</v>
      </c>
      <c r="AG76" s="232" t="str">
        <f t="shared" si="190"/>
        <v/>
      </c>
      <c r="AH76" s="371"/>
      <c r="AI76" s="499">
        <v>80</v>
      </c>
      <c r="AJ76" s="500">
        <v>10</v>
      </c>
      <c r="AK76" s="488">
        <f t="shared" si="158"/>
        <v>10</v>
      </c>
      <c r="AL76" s="371"/>
      <c r="AM76" s="232" t="str">
        <f t="shared" si="159"/>
        <v/>
      </c>
      <c r="AN76" s="232" t="str">
        <f t="shared" si="160"/>
        <v/>
      </c>
      <c r="AO76" s="232">
        <f t="shared" si="161"/>
        <v>10</v>
      </c>
      <c r="AP76" s="232" t="str">
        <f t="shared" si="191"/>
        <v/>
      </c>
      <c r="AQ76" s="371"/>
      <c r="AR76" s="499">
        <v>80</v>
      </c>
      <c r="AS76" s="500">
        <v>10</v>
      </c>
      <c r="AT76" s="488">
        <f t="shared" si="162"/>
        <v>10</v>
      </c>
      <c r="AU76" s="371"/>
      <c r="AV76" s="232" t="str">
        <f t="shared" si="163"/>
        <v/>
      </c>
      <c r="AW76" s="232" t="str">
        <f t="shared" si="164"/>
        <v/>
      </c>
      <c r="AX76" s="232">
        <f t="shared" si="165"/>
        <v>10</v>
      </c>
      <c r="AY76" s="232" t="str">
        <f t="shared" si="192"/>
        <v/>
      </c>
      <c r="AZ76" s="371"/>
      <c r="BA76" s="499">
        <v>80</v>
      </c>
      <c r="BB76" s="500">
        <v>10</v>
      </c>
      <c r="BC76" s="488">
        <f t="shared" si="166"/>
        <v>10</v>
      </c>
      <c r="BD76" s="371"/>
      <c r="BE76" s="232" t="str">
        <f t="shared" si="167"/>
        <v/>
      </c>
      <c r="BF76" s="232" t="str">
        <f t="shared" si="168"/>
        <v/>
      </c>
      <c r="BG76" s="232">
        <f t="shared" si="169"/>
        <v>10</v>
      </c>
      <c r="BH76" s="232" t="str">
        <f t="shared" si="193"/>
        <v/>
      </c>
      <c r="BI76" s="371"/>
      <c r="BJ76" s="499">
        <v>80</v>
      </c>
      <c r="BK76" s="500">
        <v>10</v>
      </c>
      <c r="BL76" s="488">
        <f t="shared" si="170"/>
        <v>10</v>
      </c>
      <c r="BM76" s="371"/>
      <c r="BN76" s="232" t="str">
        <f t="shared" si="171"/>
        <v/>
      </c>
      <c r="BO76" s="232" t="str">
        <f t="shared" si="172"/>
        <v/>
      </c>
      <c r="BP76" s="232">
        <f t="shared" si="173"/>
        <v>10</v>
      </c>
      <c r="BQ76" s="232" t="str">
        <f t="shared" si="194"/>
        <v/>
      </c>
      <c r="BR76" s="371"/>
      <c r="BS76" s="499">
        <v>50</v>
      </c>
      <c r="BT76" s="500">
        <v>10</v>
      </c>
      <c r="BU76" s="488">
        <f t="shared" si="174"/>
        <v>40</v>
      </c>
      <c r="BV76" s="371"/>
      <c r="BW76" s="232" t="str">
        <f t="shared" si="175"/>
        <v/>
      </c>
      <c r="BX76" s="232" t="str">
        <f t="shared" si="176"/>
        <v/>
      </c>
      <c r="BY76" s="232">
        <f t="shared" si="177"/>
        <v>40</v>
      </c>
      <c r="BZ76" s="232" t="str">
        <f t="shared" si="195"/>
        <v/>
      </c>
      <c r="CA76" s="371"/>
      <c r="CB76" s="507">
        <f t="shared" si="196"/>
        <v>80</v>
      </c>
      <c r="CC76" s="508">
        <f t="shared" si="197"/>
        <v>10</v>
      </c>
      <c r="CD76" s="509">
        <f t="shared" si="178"/>
        <v>10</v>
      </c>
      <c r="CE76" s="371"/>
      <c r="CF76" s="232" t="str">
        <f t="shared" si="179"/>
        <v/>
      </c>
      <c r="CG76" s="232" t="str">
        <f t="shared" si="180"/>
        <v/>
      </c>
      <c r="CH76" s="232">
        <f t="shared" si="181"/>
        <v>10</v>
      </c>
      <c r="CI76" s="232" t="str">
        <f t="shared" si="198"/>
        <v/>
      </c>
      <c r="CJ76" s="232"/>
      <c r="CK76" s="499">
        <v>80</v>
      </c>
      <c r="CL76" s="500">
        <v>10</v>
      </c>
      <c r="CM76" s="488">
        <f t="shared" si="182"/>
        <v>10</v>
      </c>
      <c r="CN76" s="371"/>
      <c r="CO76" s="232" t="str">
        <f t="shared" si="183"/>
        <v/>
      </c>
      <c r="CP76" s="232" t="str">
        <f t="shared" si="184"/>
        <v/>
      </c>
      <c r="CQ76" s="232">
        <f t="shared" si="185"/>
        <v>10</v>
      </c>
      <c r="CR76" s="232" t="str">
        <f t="shared" si="199"/>
        <v/>
      </c>
      <c r="CS76" s="232"/>
      <c r="CT76" s="371"/>
      <c r="CU76" s="296"/>
      <c r="CV76" s="246"/>
      <c r="CW76" s="264"/>
      <c r="CX76" s="4"/>
      <c r="CY76" s="4"/>
    </row>
    <row r="77" spans="1:103" x14ac:dyDescent="0.2">
      <c r="A77" s="264"/>
      <c r="B77" s="264"/>
      <c r="C77" s="202"/>
      <c r="D77" s="271">
        <v>4</v>
      </c>
      <c r="E77" s="166" t="s">
        <v>89</v>
      </c>
      <c r="F77" s="468">
        <v>2</v>
      </c>
      <c r="G77" s="472" t="s">
        <v>49</v>
      </c>
      <c r="H77" s="473">
        <v>1</v>
      </c>
      <c r="I77" s="170" t="str">
        <f t="shared" si="150"/>
        <v>x</v>
      </c>
      <c r="J77" s="387" t="str">
        <f t="shared" si="151"/>
        <v/>
      </c>
      <c r="K77" s="388" t="str">
        <f t="shared" si="152"/>
        <v/>
      </c>
      <c r="L77" s="299"/>
      <c r="M77" s="375"/>
      <c r="N77" s="379"/>
      <c r="O77" s="236"/>
      <c r="P77" s="236"/>
      <c r="Q77" s="480">
        <v>10</v>
      </c>
      <c r="R77" s="481">
        <v>80</v>
      </c>
      <c r="S77" s="482">
        <f t="shared" si="186"/>
        <v>10</v>
      </c>
      <c r="T77" s="371"/>
      <c r="U77" s="232">
        <f t="shared" si="187"/>
        <v>10</v>
      </c>
      <c r="V77" s="232" t="str">
        <f t="shared" si="188"/>
        <v/>
      </c>
      <c r="W77" s="232" t="str">
        <f t="shared" si="153"/>
        <v/>
      </c>
      <c r="X77" s="232" t="str">
        <f t="shared" si="189"/>
        <v/>
      </c>
      <c r="Y77" s="371"/>
      <c r="Z77" s="495">
        <v>10</v>
      </c>
      <c r="AA77" s="496">
        <v>10</v>
      </c>
      <c r="AB77" s="482">
        <f t="shared" si="154"/>
        <v>80</v>
      </c>
      <c r="AC77" s="371"/>
      <c r="AD77" s="232">
        <f t="shared" si="155"/>
        <v>10</v>
      </c>
      <c r="AE77" s="232" t="str">
        <f t="shared" si="156"/>
        <v/>
      </c>
      <c r="AF77" s="232" t="str">
        <f t="shared" si="157"/>
        <v/>
      </c>
      <c r="AG77" s="232" t="str">
        <f t="shared" si="190"/>
        <v/>
      </c>
      <c r="AH77" s="371"/>
      <c r="AI77" s="495">
        <v>10</v>
      </c>
      <c r="AJ77" s="496">
        <v>10</v>
      </c>
      <c r="AK77" s="482">
        <f t="shared" si="158"/>
        <v>80</v>
      </c>
      <c r="AL77" s="371"/>
      <c r="AM77" s="232">
        <f t="shared" si="159"/>
        <v>10</v>
      </c>
      <c r="AN77" s="232" t="str">
        <f t="shared" si="160"/>
        <v/>
      </c>
      <c r="AO77" s="232" t="str">
        <f t="shared" si="161"/>
        <v/>
      </c>
      <c r="AP77" s="232" t="str">
        <f t="shared" si="191"/>
        <v/>
      </c>
      <c r="AQ77" s="371"/>
      <c r="AR77" s="495">
        <v>10</v>
      </c>
      <c r="AS77" s="496">
        <v>20</v>
      </c>
      <c r="AT77" s="482">
        <f t="shared" si="162"/>
        <v>70</v>
      </c>
      <c r="AU77" s="371"/>
      <c r="AV77" s="232">
        <f t="shared" si="163"/>
        <v>10</v>
      </c>
      <c r="AW77" s="232" t="str">
        <f t="shared" si="164"/>
        <v/>
      </c>
      <c r="AX77" s="232" t="str">
        <f t="shared" si="165"/>
        <v/>
      </c>
      <c r="AY77" s="232" t="str">
        <f t="shared" si="192"/>
        <v/>
      </c>
      <c r="AZ77" s="371"/>
      <c r="BA77" s="495">
        <v>10</v>
      </c>
      <c r="BB77" s="496">
        <v>10</v>
      </c>
      <c r="BC77" s="482">
        <f t="shared" si="166"/>
        <v>80</v>
      </c>
      <c r="BD77" s="371"/>
      <c r="BE77" s="232">
        <f t="shared" si="167"/>
        <v>10</v>
      </c>
      <c r="BF77" s="232" t="str">
        <f t="shared" si="168"/>
        <v/>
      </c>
      <c r="BG77" s="232" t="str">
        <f t="shared" si="169"/>
        <v/>
      </c>
      <c r="BH77" s="232" t="str">
        <f t="shared" si="193"/>
        <v/>
      </c>
      <c r="BI77" s="371"/>
      <c r="BJ77" s="495">
        <v>10</v>
      </c>
      <c r="BK77" s="496">
        <v>10</v>
      </c>
      <c r="BL77" s="482">
        <f t="shared" si="170"/>
        <v>80</v>
      </c>
      <c r="BM77" s="371"/>
      <c r="BN77" s="232">
        <f t="shared" si="171"/>
        <v>10</v>
      </c>
      <c r="BO77" s="232" t="str">
        <f t="shared" si="172"/>
        <v/>
      </c>
      <c r="BP77" s="232" t="str">
        <f t="shared" si="173"/>
        <v/>
      </c>
      <c r="BQ77" s="232" t="str">
        <f t="shared" si="194"/>
        <v/>
      </c>
      <c r="BR77" s="371"/>
      <c r="BS77" s="495">
        <v>10</v>
      </c>
      <c r="BT77" s="496">
        <v>10</v>
      </c>
      <c r="BU77" s="482">
        <f t="shared" si="174"/>
        <v>80</v>
      </c>
      <c r="BV77" s="371"/>
      <c r="BW77" s="232">
        <f t="shared" si="175"/>
        <v>10</v>
      </c>
      <c r="BX77" s="232" t="str">
        <f t="shared" si="176"/>
        <v/>
      </c>
      <c r="BY77" s="232" t="str">
        <f t="shared" si="177"/>
        <v/>
      </c>
      <c r="BZ77" s="232" t="str">
        <f t="shared" si="195"/>
        <v/>
      </c>
      <c r="CA77" s="371"/>
      <c r="CB77" s="501">
        <f t="shared" si="196"/>
        <v>10</v>
      </c>
      <c r="CC77" s="502">
        <f t="shared" si="197"/>
        <v>20</v>
      </c>
      <c r="CD77" s="503">
        <f t="shared" si="178"/>
        <v>70</v>
      </c>
      <c r="CE77" s="371"/>
      <c r="CF77" s="232">
        <f t="shared" si="179"/>
        <v>10</v>
      </c>
      <c r="CG77" s="232" t="str">
        <f t="shared" si="180"/>
        <v/>
      </c>
      <c r="CH77" s="232" t="str">
        <f t="shared" si="181"/>
        <v/>
      </c>
      <c r="CI77" s="232" t="str">
        <f t="shared" si="198"/>
        <v/>
      </c>
      <c r="CJ77" s="232"/>
      <c r="CK77" s="495">
        <v>10</v>
      </c>
      <c r="CL77" s="496">
        <v>20</v>
      </c>
      <c r="CM77" s="482">
        <f t="shared" si="182"/>
        <v>70</v>
      </c>
      <c r="CN77" s="371"/>
      <c r="CO77" s="232">
        <f t="shared" si="183"/>
        <v>10</v>
      </c>
      <c r="CP77" s="232" t="str">
        <f t="shared" si="184"/>
        <v/>
      </c>
      <c r="CQ77" s="232" t="str">
        <f t="shared" si="185"/>
        <v/>
      </c>
      <c r="CR77" s="232" t="str">
        <f t="shared" si="199"/>
        <v/>
      </c>
      <c r="CS77" s="232"/>
      <c r="CT77" s="371"/>
      <c r="CU77" s="296"/>
      <c r="CV77" s="246"/>
      <c r="CW77" s="264"/>
      <c r="CX77" s="4"/>
      <c r="CY77" s="4"/>
    </row>
    <row r="78" spans="1:103" x14ac:dyDescent="0.2">
      <c r="A78" s="264"/>
      <c r="B78" s="264"/>
      <c r="C78" s="202"/>
      <c r="D78" s="271">
        <v>5</v>
      </c>
      <c r="E78" s="167" t="s">
        <v>90</v>
      </c>
      <c r="F78" s="469">
        <v>2</v>
      </c>
      <c r="G78" s="474" t="s">
        <v>49</v>
      </c>
      <c r="H78" s="475">
        <v>2</v>
      </c>
      <c r="I78" s="389" t="str">
        <f t="shared" si="150"/>
        <v/>
      </c>
      <c r="J78" s="390" t="str">
        <f t="shared" si="151"/>
        <v>x</v>
      </c>
      <c r="K78" s="391" t="str">
        <f t="shared" si="152"/>
        <v/>
      </c>
      <c r="L78" s="299"/>
      <c r="M78" s="375"/>
      <c r="N78" s="379"/>
      <c r="O78" s="236"/>
      <c r="P78" s="236"/>
      <c r="Q78" s="483">
        <v>30</v>
      </c>
      <c r="R78" s="484">
        <v>30</v>
      </c>
      <c r="S78" s="485">
        <f t="shared" si="186"/>
        <v>40</v>
      </c>
      <c r="T78" s="371"/>
      <c r="U78" s="232" t="str">
        <f t="shared" si="187"/>
        <v/>
      </c>
      <c r="V78" s="232">
        <f t="shared" si="188"/>
        <v>30</v>
      </c>
      <c r="W78" s="232" t="str">
        <f t="shared" si="153"/>
        <v/>
      </c>
      <c r="X78" s="232" t="str">
        <f t="shared" si="189"/>
        <v/>
      </c>
      <c r="Y78" s="371"/>
      <c r="Z78" s="497">
        <v>10</v>
      </c>
      <c r="AA78" s="498">
        <v>80</v>
      </c>
      <c r="AB78" s="485">
        <f t="shared" si="154"/>
        <v>10</v>
      </c>
      <c r="AC78" s="371"/>
      <c r="AD78" s="232" t="str">
        <f t="shared" si="155"/>
        <v/>
      </c>
      <c r="AE78" s="232">
        <f t="shared" si="156"/>
        <v>80</v>
      </c>
      <c r="AF78" s="232" t="str">
        <f t="shared" si="157"/>
        <v/>
      </c>
      <c r="AG78" s="232">
        <f t="shared" si="190"/>
        <v>1</v>
      </c>
      <c r="AH78" s="371"/>
      <c r="AI78" s="497">
        <v>30</v>
      </c>
      <c r="AJ78" s="498">
        <v>30</v>
      </c>
      <c r="AK78" s="485">
        <f t="shared" si="158"/>
        <v>40</v>
      </c>
      <c r="AL78" s="371"/>
      <c r="AM78" s="232" t="str">
        <f t="shared" si="159"/>
        <v/>
      </c>
      <c r="AN78" s="232">
        <f t="shared" si="160"/>
        <v>30</v>
      </c>
      <c r="AO78" s="232" t="str">
        <f t="shared" si="161"/>
        <v/>
      </c>
      <c r="AP78" s="232" t="str">
        <f t="shared" si="191"/>
        <v/>
      </c>
      <c r="AQ78" s="371"/>
      <c r="AR78" s="497">
        <v>20</v>
      </c>
      <c r="AS78" s="498">
        <v>30</v>
      </c>
      <c r="AT78" s="485">
        <f t="shared" si="162"/>
        <v>50</v>
      </c>
      <c r="AU78" s="371"/>
      <c r="AV78" s="232" t="str">
        <f t="shared" si="163"/>
        <v/>
      </c>
      <c r="AW78" s="232">
        <f t="shared" si="164"/>
        <v>30</v>
      </c>
      <c r="AX78" s="232" t="str">
        <f t="shared" si="165"/>
        <v/>
      </c>
      <c r="AY78" s="232" t="str">
        <f t="shared" si="192"/>
        <v/>
      </c>
      <c r="AZ78" s="371"/>
      <c r="BA78" s="497">
        <v>80</v>
      </c>
      <c r="BB78" s="498">
        <v>10</v>
      </c>
      <c r="BC78" s="485">
        <f t="shared" si="166"/>
        <v>10</v>
      </c>
      <c r="BD78" s="371"/>
      <c r="BE78" s="232" t="str">
        <f t="shared" si="167"/>
        <v/>
      </c>
      <c r="BF78" s="232">
        <f t="shared" si="168"/>
        <v>10</v>
      </c>
      <c r="BG78" s="232" t="str">
        <f t="shared" si="169"/>
        <v/>
      </c>
      <c r="BH78" s="232" t="str">
        <f t="shared" si="193"/>
        <v/>
      </c>
      <c r="BI78" s="371"/>
      <c r="BJ78" s="497">
        <v>60</v>
      </c>
      <c r="BK78" s="498">
        <v>30</v>
      </c>
      <c r="BL78" s="485">
        <f t="shared" si="170"/>
        <v>10</v>
      </c>
      <c r="BM78" s="371"/>
      <c r="BN78" s="232" t="str">
        <f t="shared" si="171"/>
        <v/>
      </c>
      <c r="BO78" s="232">
        <f t="shared" si="172"/>
        <v>30</v>
      </c>
      <c r="BP78" s="232" t="str">
        <f t="shared" si="173"/>
        <v/>
      </c>
      <c r="BQ78" s="232" t="str">
        <f t="shared" si="194"/>
        <v/>
      </c>
      <c r="BR78" s="371"/>
      <c r="BS78" s="497">
        <v>50</v>
      </c>
      <c r="BT78" s="498">
        <v>20</v>
      </c>
      <c r="BU78" s="485">
        <f t="shared" si="174"/>
        <v>30</v>
      </c>
      <c r="BV78" s="371"/>
      <c r="BW78" s="232" t="str">
        <f t="shared" si="175"/>
        <v/>
      </c>
      <c r="BX78" s="232">
        <f t="shared" si="176"/>
        <v>20</v>
      </c>
      <c r="BY78" s="232" t="str">
        <f t="shared" si="177"/>
        <v/>
      </c>
      <c r="BZ78" s="232" t="str">
        <f t="shared" si="195"/>
        <v/>
      </c>
      <c r="CA78" s="371"/>
      <c r="CB78" s="504">
        <f t="shared" si="196"/>
        <v>40</v>
      </c>
      <c r="CC78" s="505">
        <f t="shared" si="197"/>
        <v>30</v>
      </c>
      <c r="CD78" s="506">
        <f t="shared" si="178"/>
        <v>30</v>
      </c>
      <c r="CE78" s="371"/>
      <c r="CF78" s="232" t="str">
        <f t="shared" si="179"/>
        <v/>
      </c>
      <c r="CG78" s="232">
        <f t="shared" si="180"/>
        <v>30</v>
      </c>
      <c r="CH78" s="232" t="str">
        <f t="shared" si="181"/>
        <v/>
      </c>
      <c r="CI78" s="232" t="str">
        <f t="shared" si="198"/>
        <v/>
      </c>
      <c r="CJ78" s="232"/>
      <c r="CK78" s="497">
        <v>50</v>
      </c>
      <c r="CL78" s="498">
        <v>30</v>
      </c>
      <c r="CM78" s="485">
        <f t="shared" si="182"/>
        <v>20</v>
      </c>
      <c r="CN78" s="371"/>
      <c r="CO78" s="232" t="str">
        <f t="shared" si="183"/>
        <v/>
      </c>
      <c r="CP78" s="232">
        <f t="shared" si="184"/>
        <v>30</v>
      </c>
      <c r="CQ78" s="232" t="str">
        <f t="shared" si="185"/>
        <v/>
      </c>
      <c r="CR78" s="232" t="str">
        <f t="shared" si="199"/>
        <v/>
      </c>
      <c r="CS78" s="232"/>
      <c r="CT78" s="371"/>
      <c r="CU78" s="296"/>
      <c r="CV78" s="246"/>
      <c r="CW78" s="264"/>
      <c r="CX78" s="4"/>
      <c r="CY78" s="4"/>
    </row>
    <row r="79" spans="1:103" ht="13.5" thickBot="1" x14ac:dyDescent="0.25">
      <c r="A79" s="264"/>
      <c r="B79" s="264"/>
      <c r="C79" s="202"/>
      <c r="D79" s="271">
        <v>6</v>
      </c>
      <c r="E79" s="168" t="s">
        <v>91</v>
      </c>
      <c r="F79" s="470">
        <v>5</v>
      </c>
      <c r="G79" s="476" t="s">
        <v>49</v>
      </c>
      <c r="H79" s="477">
        <v>1</v>
      </c>
      <c r="I79" s="392" t="str">
        <f t="shared" si="150"/>
        <v>x</v>
      </c>
      <c r="J79" s="393" t="str">
        <f t="shared" si="151"/>
        <v/>
      </c>
      <c r="K79" s="394" t="str">
        <f t="shared" si="152"/>
        <v/>
      </c>
      <c r="L79" s="299"/>
      <c r="M79" s="375"/>
      <c r="N79" s="379"/>
      <c r="O79" s="236"/>
      <c r="P79" s="236"/>
      <c r="Q79" s="489">
        <v>80</v>
      </c>
      <c r="R79" s="490">
        <v>10</v>
      </c>
      <c r="S79" s="491">
        <f t="shared" si="186"/>
        <v>10</v>
      </c>
      <c r="T79" s="371"/>
      <c r="U79" s="232">
        <f t="shared" si="187"/>
        <v>80</v>
      </c>
      <c r="V79" s="232" t="str">
        <f t="shared" si="188"/>
        <v/>
      </c>
      <c r="W79" s="232" t="str">
        <f t="shared" si="153"/>
        <v/>
      </c>
      <c r="X79" s="232">
        <f t="shared" si="189"/>
        <v>1</v>
      </c>
      <c r="Y79" s="371"/>
      <c r="Z79" s="499">
        <v>80</v>
      </c>
      <c r="AA79" s="500">
        <v>10</v>
      </c>
      <c r="AB79" s="491">
        <f t="shared" si="154"/>
        <v>10</v>
      </c>
      <c r="AC79" s="371"/>
      <c r="AD79" s="232">
        <f t="shared" si="155"/>
        <v>80</v>
      </c>
      <c r="AE79" s="232" t="str">
        <f t="shared" si="156"/>
        <v/>
      </c>
      <c r="AF79" s="232" t="str">
        <f t="shared" si="157"/>
        <v/>
      </c>
      <c r="AG79" s="232">
        <f t="shared" si="190"/>
        <v>1</v>
      </c>
      <c r="AH79" s="371"/>
      <c r="AI79" s="499">
        <v>80</v>
      </c>
      <c r="AJ79" s="500">
        <v>10</v>
      </c>
      <c r="AK79" s="491">
        <f t="shared" si="158"/>
        <v>10</v>
      </c>
      <c r="AL79" s="371"/>
      <c r="AM79" s="232">
        <f t="shared" si="159"/>
        <v>80</v>
      </c>
      <c r="AN79" s="232" t="str">
        <f t="shared" si="160"/>
        <v/>
      </c>
      <c r="AO79" s="232" t="str">
        <f t="shared" si="161"/>
        <v/>
      </c>
      <c r="AP79" s="232">
        <f t="shared" si="191"/>
        <v>1</v>
      </c>
      <c r="AQ79" s="371"/>
      <c r="AR79" s="499">
        <v>80</v>
      </c>
      <c r="AS79" s="500">
        <v>10</v>
      </c>
      <c r="AT79" s="491">
        <f t="shared" si="162"/>
        <v>10</v>
      </c>
      <c r="AU79" s="371"/>
      <c r="AV79" s="232">
        <f t="shared" si="163"/>
        <v>80</v>
      </c>
      <c r="AW79" s="232" t="str">
        <f t="shared" si="164"/>
        <v/>
      </c>
      <c r="AX79" s="232" t="str">
        <f t="shared" si="165"/>
        <v/>
      </c>
      <c r="AY79" s="232">
        <f t="shared" si="192"/>
        <v>1</v>
      </c>
      <c r="AZ79" s="371"/>
      <c r="BA79" s="499">
        <v>80</v>
      </c>
      <c r="BB79" s="500">
        <v>10</v>
      </c>
      <c r="BC79" s="491">
        <f t="shared" si="166"/>
        <v>10</v>
      </c>
      <c r="BD79" s="371"/>
      <c r="BE79" s="232">
        <f t="shared" si="167"/>
        <v>80</v>
      </c>
      <c r="BF79" s="232" t="str">
        <f t="shared" si="168"/>
        <v/>
      </c>
      <c r="BG79" s="232" t="str">
        <f t="shared" si="169"/>
        <v/>
      </c>
      <c r="BH79" s="232">
        <f t="shared" si="193"/>
        <v>1</v>
      </c>
      <c r="BI79" s="371"/>
      <c r="BJ79" s="499">
        <v>80</v>
      </c>
      <c r="BK79" s="500">
        <v>10</v>
      </c>
      <c r="BL79" s="491">
        <f t="shared" si="170"/>
        <v>10</v>
      </c>
      <c r="BM79" s="371"/>
      <c r="BN79" s="232">
        <f t="shared" si="171"/>
        <v>80</v>
      </c>
      <c r="BO79" s="232" t="str">
        <f t="shared" si="172"/>
        <v/>
      </c>
      <c r="BP79" s="232" t="str">
        <f t="shared" si="173"/>
        <v/>
      </c>
      <c r="BQ79" s="232">
        <f t="shared" si="194"/>
        <v>1</v>
      </c>
      <c r="BR79" s="371"/>
      <c r="BS79" s="499">
        <v>30</v>
      </c>
      <c r="BT79" s="500">
        <v>10</v>
      </c>
      <c r="BU79" s="491">
        <f t="shared" si="174"/>
        <v>60</v>
      </c>
      <c r="BV79" s="371"/>
      <c r="BW79" s="232">
        <f t="shared" si="175"/>
        <v>30</v>
      </c>
      <c r="BX79" s="232" t="str">
        <f t="shared" si="176"/>
        <v/>
      </c>
      <c r="BY79" s="232" t="str">
        <f t="shared" si="177"/>
        <v/>
      </c>
      <c r="BZ79" s="232" t="str">
        <f t="shared" si="195"/>
        <v/>
      </c>
      <c r="CA79" s="371"/>
      <c r="CB79" s="507">
        <f t="shared" si="196"/>
        <v>80</v>
      </c>
      <c r="CC79" s="508">
        <f t="shared" si="197"/>
        <v>10</v>
      </c>
      <c r="CD79" s="509">
        <f t="shared" si="178"/>
        <v>10</v>
      </c>
      <c r="CE79" s="371"/>
      <c r="CF79" s="232">
        <f t="shared" si="179"/>
        <v>80</v>
      </c>
      <c r="CG79" s="232" t="str">
        <f t="shared" si="180"/>
        <v/>
      </c>
      <c r="CH79" s="232" t="str">
        <f t="shared" si="181"/>
        <v/>
      </c>
      <c r="CI79" s="232">
        <f t="shared" si="198"/>
        <v>1</v>
      </c>
      <c r="CJ79" s="232"/>
      <c r="CK79" s="499">
        <v>80</v>
      </c>
      <c r="CL79" s="500">
        <v>10</v>
      </c>
      <c r="CM79" s="491">
        <f t="shared" si="182"/>
        <v>10</v>
      </c>
      <c r="CN79" s="371"/>
      <c r="CO79" s="232">
        <f t="shared" si="183"/>
        <v>80</v>
      </c>
      <c r="CP79" s="232" t="str">
        <f t="shared" si="184"/>
        <v/>
      </c>
      <c r="CQ79" s="232" t="str">
        <f t="shared" si="185"/>
        <v/>
      </c>
      <c r="CR79" s="232">
        <f t="shared" si="199"/>
        <v>1</v>
      </c>
      <c r="CS79" s="232"/>
      <c r="CT79" s="371"/>
      <c r="CU79" s="296"/>
      <c r="CV79" s="246"/>
      <c r="CW79" s="264"/>
      <c r="CX79" s="4"/>
      <c r="CY79" s="4"/>
    </row>
    <row r="80" spans="1:103" x14ac:dyDescent="0.2">
      <c r="A80" s="264"/>
      <c r="B80" s="264"/>
      <c r="C80" s="202"/>
      <c r="D80" s="271">
        <v>7</v>
      </c>
      <c r="E80" s="166" t="s">
        <v>92</v>
      </c>
      <c r="F80" s="468">
        <v>3</v>
      </c>
      <c r="G80" s="472" t="s">
        <v>49</v>
      </c>
      <c r="H80" s="473">
        <v>3</v>
      </c>
      <c r="I80" s="170" t="str">
        <f t="shared" si="150"/>
        <v/>
      </c>
      <c r="J80" s="387" t="str">
        <f t="shared" si="151"/>
        <v>x</v>
      </c>
      <c r="K80" s="388" t="str">
        <f t="shared" si="152"/>
        <v/>
      </c>
      <c r="L80" s="299"/>
      <c r="M80" s="375"/>
      <c r="N80" s="379"/>
      <c r="O80" s="236"/>
      <c r="P80" s="236"/>
      <c r="Q80" s="480">
        <v>30</v>
      </c>
      <c r="R80" s="481">
        <v>30</v>
      </c>
      <c r="S80" s="482">
        <f t="shared" si="186"/>
        <v>40</v>
      </c>
      <c r="T80" s="371"/>
      <c r="U80" s="232" t="str">
        <f t="shared" si="187"/>
        <v/>
      </c>
      <c r="V80" s="232">
        <f t="shared" si="188"/>
        <v>30</v>
      </c>
      <c r="W80" s="232" t="str">
        <f t="shared" si="153"/>
        <v/>
      </c>
      <c r="X80" s="232" t="str">
        <f t="shared" si="189"/>
        <v/>
      </c>
      <c r="Y80" s="371"/>
      <c r="Z80" s="495">
        <v>10</v>
      </c>
      <c r="AA80" s="496">
        <v>10</v>
      </c>
      <c r="AB80" s="482">
        <f t="shared" si="154"/>
        <v>80</v>
      </c>
      <c r="AC80" s="371"/>
      <c r="AD80" s="232" t="str">
        <f t="shared" si="155"/>
        <v/>
      </c>
      <c r="AE80" s="232">
        <f t="shared" si="156"/>
        <v>10</v>
      </c>
      <c r="AF80" s="232" t="str">
        <f t="shared" si="157"/>
        <v/>
      </c>
      <c r="AG80" s="232" t="str">
        <f t="shared" si="190"/>
        <v/>
      </c>
      <c r="AH80" s="371"/>
      <c r="AI80" s="495">
        <v>10</v>
      </c>
      <c r="AJ80" s="496">
        <v>20</v>
      </c>
      <c r="AK80" s="482">
        <f t="shared" si="158"/>
        <v>70</v>
      </c>
      <c r="AL80" s="371"/>
      <c r="AM80" s="232" t="str">
        <f t="shared" si="159"/>
        <v/>
      </c>
      <c r="AN80" s="232">
        <f t="shared" si="160"/>
        <v>20</v>
      </c>
      <c r="AO80" s="232" t="str">
        <f t="shared" si="161"/>
        <v/>
      </c>
      <c r="AP80" s="232" t="str">
        <f t="shared" si="191"/>
        <v/>
      </c>
      <c r="AQ80" s="371"/>
      <c r="AR80" s="495">
        <v>10</v>
      </c>
      <c r="AS80" s="496">
        <v>30</v>
      </c>
      <c r="AT80" s="482">
        <f t="shared" si="162"/>
        <v>60</v>
      </c>
      <c r="AU80" s="371"/>
      <c r="AV80" s="232" t="str">
        <f t="shared" si="163"/>
        <v/>
      </c>
      <c r="AW80" s="232">
        <f t="shared" si="164"/>
        <v>30</v>
      </c>
      <c r="AX80" s="232" t="str">
        <f t="shared" si="165"/>
        <v/>
      </c>
      <c r="AY80" s="232" t="str">
        <f t="shared" si="192"/>
        <v/>
      </c>
      <c r="AZ80" s="371"/>
      <c r="BA80" s="495">
        <v>10</v>
      </c>
      <c r="BB80" s="496">
        <v>10</v>
      </c>
      <c r="BC80" s="482">
        <f t="shared" si="166"/>
        <v>80</v>
      </c>
      <c r="BD80" s="371"/>
      <c r="BE80" s="232" t="str">
        <f t="shared" si="167"/>
        <v/>
      </c>
      <c r="BF80" s="232">
        <f t="shared" si="168"/>
        <v>10</v>
      </c>
      <c r="BG80" s="232" t="str">
        <f t="shared" si="169"/>
        <v/>
      </c>
      <c r="BH80" s="232" t="str">
        <f t="shared" si="193"/>
        <v/>
      </c>
      <c r="BI80" s="371"/>
      <c r="BJ80" s="495">
        <v>10</v>
      </c>
      <c r="BK80" s="496">
        <v>20</v>
      </c>
      <c r="BL80" s="482">
        <f t="shared" si="170"/>
        <v>70</v>
      </c>
      <c r="BM80" s="371"/>
      <c r="BN80" s="232" t="str">
        <f t="shared" si="171"/>
        <v/>
      </c>
      <c r="BO80" s="232">
        <f t="shared" si="172"/>
        <v>20</v>
      </c>
      <c r="BP80" s="232" t="str">
        <f t="shared" si="173"/>
        <v/>
      </c>
      <c r="BQ80" s="232" t="str">
        <f t="shared" si="194"/>
        <v/>
      </c>
      <c r="BR80" s="371"/>
      <c r="BS80" s="495">
        <v>40</v>
      </c>
      <c r="BT80" s="496">
        <v>20</v>
      </c>
      <c r="BU80" s="482">
        <f t="shared" si="174"/>
        <v>40</v>
      </c>
      <c r="BV80" s="371"/>
      <c r="BW80" s="232" t="str">
        <f t="shared" si="175"/>
        <v/>
      </c>
      <c r="BX80" s="232">
        <f t="shared" si="176"/>
        <v>20</v>
      </c>
      <c r="BY80" s="232" t="str">
        <f t="shared" si="177"/>
        <v/>
      </c>
      <c r="BZ80" s="232" t="str">
        <f t="shared" si="195"/>
        <v/>
      </c>
      <c r="CA80" s="371"/>
      <c r="CB80" s="501">
        <f t="shared" si="196"/>
        <v>20</v>
      </c>
      <c r="CC80" s="502">
        <f t="shared" si="197"/>
        <v>20</v>
      </c>
      <c r="CD80" s="503">
        <f t="shared" si="178"/>
        <v>60</v>
      </c>
      <c r="CE80" s="371"/>
      <c r="CF80" s="232" t="str">
        <f t="shared" si="179"/>
        <v/>
      </c>
      <c r="CG80" s="232">
        <f t="shared" si="180"/>
        <v>20</v>
      </c>
      <c r="CH80" s="232" t="str">
        <f t="shared" si="181"/>
        <v/>
      </c>
      <c r="CI80" s="232" t="str">
        <f t="shared" si="198"/>
        <v/>
      </c>
      <c r="CJ80" s="232"/>
      <c r="CK80" s="495">
        <v>20</v>
      </c>
      <c r="CL80" s="496">
        <v>30</v>
      </c>
      <c r="CM80" s="482">
        <f t="shared" si="182"/>
        <v>50</v>
      </c>
      <c r="CN80" s="371"/>
      <c r="CO80" s="232" t="str">
        <f t="shared" si="183"/>
        <v/>
      </c>
      <c r="CP80" s="232">
        <f t="shared" si="184"/>
        <v>30</v>
      </c>
      <c r="CQ80" s="232" t="str">
        <f t="shared" si="185"/>
        <v/>
      </c>
      <c r="CR80" s="232" t="str">
        <f t="shared" si="199"/>
        <v/>
      </c>
      <c r="CS80" s="232"/>
      <c r="CT80" s="371"/>
      <c r="CU80" s="300"/>
      <c r="CV80" s="246"/>
      <c r="CW80" s="264"/>
      <c r="CX80" s="4"/>
      <c r="CY80" s="4"/>
    </row>
    <row r="81" spans="1:101" x14ac:dyDescent="0.2">
      <c r="A81" s="264"/>
      <c r="B81" s="264"/>
      <c r="C81" s="202"/>
      <c r="D81" s="271">
        <v>8</v>
      </c>
      <c r="E81" s="167" t="s">
        <v>93</v>
      </c>
      <c r="F81" s="469">
        <v>2</v>
      </c>
      <c r="G81" s="474" t="s">
        <v>49</v>
      </c>
      <c r="H81" s="475">
        <v>0</v>
      </c>
      <c r="I81" s="389" t="str">
        <f t="shared" si="150"/>
        <v>x</v>
      </c>
      <c r="J81" s="390" t="str">
        <f t="shared" si="151"/>
        <v/>
      </c>
      <c r="K81" s="391" t="str">
        <f t="shared" si="152"/>
        <v/>
      </c>
      <c r="L81" s="299"/>
      <c r="M81" s="375"/>
      <c r="N81" s="379"/>
      <c r="O81" s="236"/>
      <c r="P81" s="236"/>
      <c r="Q81" s="483">
        <v>30</v>
      </c>
      <c r="R81" s="484">
        <v>30</v>
      </c>
      <c r="S81" s="485">
        <f t="shared" si="186"/>
        <v>40</v>
      </c>
      <c r="T81" s="371"/>
      <c r="U81" s="232">
        <f t="shared" si="187"/>
        <v>30</v>
      </c>
      <c r="V81" s="232" t="str">
        <f t="shared" si="188"/>
        <v/>
      </c>
      <c r="W81" s="232" t="str">
        <f t="shared" si="153"/>
        <v/>
      </c>
      <c r="X81" s="232" t="str">
        <f t="shared" si="189"/>
        <v/>
      </c>
      <c r="Y81" s="371"/>
      <c r="Z81" s="497">
        <v>10</v>
      </c>
      <c r="AA81" s="498">
        <v>10</v>
      </c>
      <c r="AB81" s="485">
        <f t="shared" si="154"/>
        <v>80</v>
      </c>
      <c r="AC81" s="371"/>
      <c r="AD81" s="232">
        <f t="shared" si="155"/>
        <v>10</v>
      </c>
      <c r="AE81" s="232" t="str">
        <f t="shared" si="156"/>
        <v/>
      </c>
      <c r="AF81" s="232" t="str">
        <f t="shared" si="157"/>
        <v/>
      </c>
      <c r="AG81" s="232" t="str">
        <f t="shared" si="190"/>
        <v/>
      </c>
      <c r="AH81" s="371"/>
      <c r="AI81" s="497">
        <v>30</v>
      </c>
      <c r="AJ81" s="498">
        <v>30</v>
      </c>
      <c r="AK81" s="485">
        <f t="shared" si="158"/>
        <v>40</v>
      </c>
      <c r="AL81" s="371"/>
      <c r="AM81" s="232">
        <f t="shared" si="159"/>
        <v>30</v>
      </c>
      <c r="AN81" s="232" t="str">
        <f t="shared" si="160"/>
        <v/>
      </c>
      <c r="AO81" s="232" t="str">
        <f t="shared" si="161"/>
        <v/>
      </c>
      <c r="AP81" s="232" t="str">
        <f t="shared" si="191"/>
        <v/>
      </c>
      <c r="AQ81" s="371"/>
      <c r="AR81" s="497">
        <v>10</v>
      </c>
      <c r="AS81" s="498">
        <v>40</v>
      </c>
      <c r="AT81" s="485">
        <f t="shared" si="162"/>
        <v>50</v>
      </c>
      <c r="AU81" s="371"/>
      <c r="AV81" s="232">
        <f t="shared" si="163"/>
        <v>10</v>
      </c>
      <c r="AW81" s="232" t="str">
        <f t="shared" si="164"/>
        <v/>
      </c>
      <c r="AX81" s="232" t="str">
        <f t="shared" si="165"/>
        <v/>
      </c>
      <c r="AY81" s="232" t="str">
        <f t="shared" si="192"/>
        <v/>
      </c>
      <c r="AZ81" s="371"/>
      <c r="BA81" s="497">
        <v>10</v>
      </c>
      <c r="BB81" s="498">
        <v>10</v>
      </c>
      <c r="BC81" s="485">
        <f t="shared" si="166"/>
        <v>80</v>
      </c>
      <c r="BD81" s="371"/>
      <c r="BE81" s="232">
        <f t="shared" si="167"/>
        <v>10</v>
      </c>
      <c r="BF81" s="232" t="str">
        <f t="shared" si="168"/>
        <v/>
      </c>
      <c r="BG81" s="232" t="str">
        <f t="shared" si="169"/>
        <v/>
      </c>
      <c r="BH81" s="232" t="str">
        <f t="shared" si="193"/>
        <v/>
      </c>
      <c r="BI81" s="371"/>
      <c r="BJ81" s="497">
        <v>10</v>
      </c>
      <c r="BK81" s="498">
        <v>10</v>
      </c>
      <c r="BL81" s="485">
        <f t="shared" si="170"/>
        <v>80</v>
      </c>
      <c r="BM81" s="371"/>
      <c r="BN81" s="232">
        <f t="shared" si="171"/>
        <v>10</v>
      </c>
      <c r="BO81" s="232" t="str">
        <f t="shared" si="172"/>
        <v/>
      </c>
      <c r="BP81" s="232" t="str">
        <f t="shared" si="173"/>
        <v/>
      </c>
      <c r="BQ81" s="232" t="str">
        <f t="shared" si="194"/>
        <v/>
      </c>
      <c r="BR81" s="371"/>
      <c r="BS81" s="497">
        <v>70</v>
      </c>
      <c r="BT81" s="498">
        <v>10</v>
      </c>
      <c r="BU81" s="485">
        <f t="shared" si="174"/>
        <v>20</v>
      </c>
      <c r="BV81" s="371"/>
      <c r="BW81" s="232">
        <f t="shared" si="175"/>
        <v>70</v>
      </c>
      <c r="BX81" s="232" t="str">
        <f t="shared" si="176"/>
        <v/>
      </c>
      <c r="BY81" s="232" t="str">
        <f t="shared" si="177"/>
        <v/>
      </c>
      <c r="BZ81" s="232">
        <f t="shared" si="195"/>
        <v>1</v>
      </c>
      <c r="CA81" s="371"/>
      <c r="CB81" s="504">
        <f t="shared" si="196"/>
        <v>30</v>
      </c>
      <c r="CC81" s="505">
        <f t="shared" si="197"/>
        <v>20</v>
      </c>
      <c r="CD81" s="506">
        <f t="shared" si="178"/>
        <v>50</v>
      </c>
      <c r="CE81" s="371"/>
      <c r="CF81" s="232">
        <f t="shared" si="179"/>
        <v>30</v>
      </c>
      <c r="CG81" s="232" t="str">
        <f t="shared" si="180"/>
        <v/>
      </c>
      <c r="CH81" s="232" t="str">
        <f t="shared" si="181"/>
        <v/>
      </c>
      <c r="CI81" s="232" t="str">
        <f t="shared" si="198"/>
        <v/>
      </c>
      <c r="CJ81" s="232"/>
      <c r="CK81" s="497">
        <v>30</v>
      </c>
      <c r="CL81" s="498">
        <v>20</v>
      </c>
      <c r="CM81" s="485">
        <f t="shared" si="182"/>
        <v>50</v>
      </c>
      <c r="CN81" s="371"/>
      <c r="CO81" s="232">
        <f t="shared" si="183"/>
        <v>30</v>
      </c>
      <c r="CP81" s="232" t="str">
        <f t="shared" si="184"/>
        <v/>
      </c>
      <c r="CQ81" s="232" t="str">
        <f t="shared" si="185"/>
        <v/>
      </c>
      <c r="CR81" s="232" t="str">
        <f t="shared" si="199"/>
        <v/>
      </c>
      <c r="CS81" s="232"/>
      <c r="CT81" s="371"/>
      <c r="CU81" s="300"/>
      <c r="CV81" s="246"/>
      <c r="CW81" s="264"/>
    </row>
    <row r="82" spans="1:101" ht="13.5" thickBot="1" x14ac:dyDescent="0.25">
      <c r="A82" s="264"/>
      <c r="B82" s="264"/>
      <c r="C82" s="202"/>
      <c r="D82" s="271">
        <v>9</v>
      </c>
      <c r="E82" s="168" t="s">
        <v>94</v>
      </c>
      <c r="F82" s="470">
        <v>2</v>
      </c>
      <c r="G82" s="476" t="s">
        <v>49</v>
      </c>
      <c r="H82" s="477">
        <v>1</v>
      </c>
      <c r="I82" s="392" t="str">
        <f t="shared" si="150"/>
        <v>x</v>
      </c>
      <c r="J82" s="393" t="str">
        <f t="shared" si="151"/>
        <v/>
      </c>
      <c r="K82" s="394" t="str">
        <f t="shared" si="152"/>
        <v/>
      </c>
      <c r="L82" s="299"/>
      <c r="M82" s="375"/>
      <c r="N82" s="379"/>
      <c r="O82" s="236"/>
      <c r="P82" s="236"/>
      <c r="Q82" s="489">
        <v>70</v>
      </c>
      <c r="R82" s="490">
        <v>20</v>
      </c>
      <c r="S82" s="491">
        <f t="shared" si="186"/>
        <v>10</v>
      </c>
      <c r="T82" s="371"/>
      <c r="U82" s="232">
        <f t="shared" si="187"/>
        <v>70</v>
      </c>
      <c r="V82" s="232" t="str">
        <f t="shared" si="188"/>
        <v/>
      </c>
      <c r="W82" s="232" t="str">
        <f t="shared" si="153"/>
        <v/>
      </c>
      <c r="X82" s="232">
        <f t="shared" si="189"/>
        <v>1</v>
      </c>
      <c r="Y82" s="371"/>
      <c r="Z82" s="499">
        <v>80</v>
      </c>
      <c r="AA82" s="500">
        <v>10</v>
      </c>
      <c r="AB82" s="491">
        <f t="shared" si="154"/>
        <v>10</v>
      </c>
      <c r="AC82" s="371"/>
      <c r="AD82" s="232">
        <f t="shared" si="155"/>
        <v>80</v>
      </c>
      <c r="AE82" s="232" t="str">
        <f t="shared" si="156"/>
        <v/>
      </c>
      <c r="AF82" s="232" t="str">
        <f t="shared" si="157"/>
        <v/>
      </c>
      <c r="AG82" s="232">
        <f t="shared" si="190"/>
        <v>1</v>
      </c>
      <c r="AH82" s="371"/>
      <c r="AI82" s="499">
        <v>40</v>
      </c>
      <c r="AJ82" s="500">
        <v>40</v>
      </c>
      <c r="AK82" s="491">
        <f t="shared" si="158"/>
        <v>20</v>
      </c>
      <c r="AL82" s="371"/>
      <c r="AM82" s="232">
        <f t="shared" si="159"/>
        <v>40</v>
      </c>
      <c r="AN82" s="232" t="str">
        <f t="shared" si="160"/>
        <v/>
      </c>
      <c r="AO82" s="232" t="str">
        <f t="shared" si="161"/>
        <v/>
      </c>
      <c r="AP82" s="232">
        <f t="shared" si="191"/>
        <v>1</v>
      </c>
      <c r="AQ82" s="371"/>
      <c r="AR82" s="499">
        <v>60</v>
      </c>
      <c r="AS82" s="500">
        <v>30</v>
      </c>
      <c r="AT82" s="491">
        <f t="shared" si="162"/>
        <v>10</v>
      </c>
      <c r="AU82" s="371"/>
      <c r="AV82" s="232">
        <f t="shared" si="163"/>
        <v>60</v>
      </c>
      <c r="AW82" s="232" t="str">
        <f t="shared" si="164"/>
        <v/>
      </c>
      <c r="AX82" s="232" t="str">
        <f t="shared" si="165"/>
        <v/>
      </c>
      <c r="AY82" s="232">
        <f t="shared" si="192"/>
        <v>1</v>
      </c>
      <c r="AZ82" s="371"/>
      <c r="BA82" s="499">
        <v>80</v>
      </c>
      <c r="BB82" s="500">
        <v>10</v>
      </c>
      <c r="BC82" s="491">
        <f t="shared" si="166"/>
        <v>10</v>
      </c>
      <c r="BD82" s="371"/>
      <c r="BE82" s="232">
        <f t="shared" si="167"/>
        <v>80</v>
      </c>
      <c r="BF82" s="232" t="str">
        <f t="shared" si="168"/>
        <v/>
      </c>
      <c r="BG82" s="232" t="str">
        <f t="shared" si="169"/>
        <v/>
      </c>
      <c r="BH82" s="232">
        <f t="shared" si="193"/>
        <v>1</v>
      </c>
      <c r="BI82" s="371"/>
      <c r="BJ82" s="499">
        <v>30</v>
      </c>
      <c r="BK82" s="500">
        <v>40</v>
      </c>
      <c r="BL82" s="491">
        <f t="shared" si="170"/>
        <v>30</v>
      </c>
      <c r="BM82" s="371"/>
      <c r="BN82" s="232">
        <f t="shared" si="171"/>
        <v>30</v>
      </c>
      <c r="BO82" s="232" t="str">
        <f t="shared" si="172"/>
        <v/>
      </c>
      <c r="BP82" s="232" t="str">
        <f t="shared" si="173"/>
        <v/>
      </c>
      <c r="BQ82" s="232" t="str">
        <f t="shared" si="194"/>
        <v/>
      </c>
      <c r="BR82" s="371"/>
      <c r="BS82" s="499">
        <v>40</v>
      </c>
      <c r="BT82" s="500">
        <v>30</v>
      </c>
      <c r="BU82" s="491">
        <f t="shared" si="174"/>
        <v>30</v>
      </c>
      <c r="BV82" s="371"/>
      <c r="BW82" s="232">
        <f t="shared" si="175"/>
        <v>40</v>
      </c>
      <c r="BX82" s="232" t="str">
        <f t="shared" si="176"/>
        <v/>
      </c>
      <c r="BY82" s="232" t="str">
        <f t="shared" si="177"/>
        <v/>
      </c>
      <c r="BZ82" s="232">
        <f t="shared" si="195"/>
        <v>1</v>
      </c>
      <c r="CA82" s="371"/>
      <c r="CB82" s="507">
        <f t="shared" si="196"/>
        <v>60</v>
      </c>
      <c r="CC82" s="508">
        <f t="shared" si="197"/>
        <v>20</v>
      </c>
      <c r="CD82" s="509">
        <f t="shared" si="178"/>
        <v>20</v>
      </c>
      <c r="CE82" s="371"/>
      <c r="CF82" s="232">
        <f t="shared" si="179"/>
        <v>60</v>
      </c>
      <c r="CG82" s="232" t="str">
        <f t="shared" si="180"/>
        <v/>
      </c>
      <c r="CH82" s="232" t="str">
        <f t="shared" si="181"/>
        <v/>
      </c>
      <c r="CI82" s="232">
        <f t="shared" si="198"/>
        <v>1</v>
      </c>
      <c r="CJ82" s="232"/>
      <c r="CK82" s="499">
        <v>70</v>
      </c>
      <c r="CL82" s="500">
        <v>20</v>
      </c>
      <c r="CM82" s="491">
        <f t="shared" si="182"/>
        <v>10</v>
      </c>
      <c r="CN82" s="371"/>
      <c r="CO82" s="232">
        <f t="shared" si="183"/>
        <v>70</v>
      </c>
      <c r="CP82" s="232" t="str">
        <f t="shared" si="184"/>
        <v/>
      </c>
      <c r="CQ82" s="232" t="str">
        <f t="shared" si="185"/>
        <v/>
      </c>
      <c r="CR82" s="232">
        <f t="shared" si="199"/>
        <v>1</v>
      </c>
      <c r="CS82" s="232"/>
      <c r="CT82" s="371"/>
      <c r="CU82" s="300"/>
      <c r="CV82" s="246"/>
      <c r="CW82" s="264"/>
    </row>
    <row r="83" spans="1:101" x14ac:dyDescent="0.2">
      <c r="A83" s="264"/>
      <c r="B83" s="264"/>
      <c r="C83" s="202"/>
      <c r="D83" s="271">
        <v>10</v>
      </c>
      <c r="E83" s="169" t="s">
        <v>95</v>
      </c>
      <c r="F83" s="471">
        <v>1</v>
      </c>
      <c r="G83" s="478" t="s">
        <v>49</v>
      </c>
      <c r="H83" s="479">
        <v>1</v>
      </c>
      <c r="I83" s="170" t="str">
        <f t="shared" si="150"/>
        <v/>
      </c>
      <c r="J83" s="387" t="str">
        <f t="shared" si="151"/>
        <v>x</v>
      </c>
      <c r="K83" s="388" t="str">
        <f t="shared" si="152"/>
        <v/>
      </c>
      <c r="L83" s="299"/>
      <c r="M83" s="375"/>
      <c r="N83" s="379"/>
      <c r="O83" s="236"/>
      <c r="P83" s="236"/>
      <c r="Q83" s="492">
        <v>50</v>
      </c>
      <c r="R83" s="493">
        <v>30</v>
      </c>
      <c r="S83" s="494">
        <f t="shared" si="186"/>
        <v>20</v>
      </c>
      <c r="T83" s="371"/>
      <c r="U83" s="232" t="str">
        <f t="shared" si="187"/>
        <v/>
      </c>
      <c r="V83" s="232">
        <f t="shared" si="188"/>
        <v>30</v>
      </c>
      <c r="W83" s="232" t="str">
        <f t="shared" si="153"/>
        <v/>
      </c>
      <c r="X83" s="232" t="str">
        <f t="shared" si="189"/>
        <v/>
      </c>
      <c r="Y83" s="371"/>
      <c r="Z83" s="495">
        <v>80</v>
      </c>
      <c r="AA83" s="496">
        <v>10</v>
      </c>
      <c r="AB83" s="494">
        <f t="shared" si="154"/>
        <v>10</v>
      </c>
      <c r="AC83" s="371"/>
      <c r="AD83" s="232" t="str">
        <f t="shared" si="155"/>
        <v/>
      </c>
      <c r="AE83" s="232">
        <f t="shared" si="156"/>
        <v>10</v>
      </c>
      <c r="AF83" s="232" t="str">
        <f t="shared" si="157"/>
        <v/>
      </c>
      <c r="AG83" s="232" t="str">
        <f t="shared" si="190"/>
        <v/>
      </c>
      <c r="AH83" s="371"/>
      <c r="AI83" s="495">
        <v>80</v>
      </c>
      <c r="AJ83" s="496">
        <v>10</v>
      </c>
      <c r="AK83" s="494">
        <f t="shared" si="158"/>
        <v>10</v>
      </c>
      <c r="AL83" s="371"/>
      <c r="AM83" s="232" t="str">
        <f t="shared" si="159"/>
        <v/>
      </c>
      <c r="AN83" s="232">
        <f t="shared" si="160"/>
        <v>10</v>
      </c>
      <c r="AO83" s="232" t="str">
        <f t="shared" si="161"/>
        <v/>
      </c>
      <c r="AP83" s="232" t="str">
        <f t="shared" si="191"/>
        <v/>
      </c>
      <c r="AQ83" s="371"/>
      <c r="AR83" s="495">
        <v>60</v>
      </c>
      <c r="AS83" s="496">
        <v>30</v>
      </c>
      <c r="AT83" s="494">
        <f t="shared" si="162"/>
        <v>10</v>
      </c>
      <c r="AU83" s="371"/>
      <c r="AV83" s="232" t="str">
        <f t="shared" si="163"/>
        <v/>
      </c>
      <c r="AW83" s="232">
        <f t="shared" si="164"/>
        <v>30</v>
      </c>
      <c r="AX83" s="232" t="str">
        <f t="shared" si="165"/>
        <v/>
      </c>
      <c r="AY83" s="232" t="str">
        <f t="shared" si="192"/>
        <v/>
      </c>
      <c r="AZ83" s="371"/>
      <c r="BA83" s="495">
        <v>10</v>
      </c>
      <c r="BB83" s="496">
        <v>30</v>
      </c>
      <c r="BC83" s="494">
        <f t="shared" si="166"/>
        <v>60</v>
      </c>
      <c r="BD83" s="371"/>
      <c r="BE83" s="232" t="str">
        <f t="shared" si="167"/>
        <v/>
      </c>
      <c r="BF83" s="232">
        <f t="shared" si="168"/>
        <v>30</v>
      </c>
      <c r="BG83" s="232" t="str">
        <f t="shared" si="169"/>
        <v/>
      </c>
      <c r="BH83" s="232" t="str">
        <f t="shared" si="193"/>
        <v/>
      </c>
      <c r="BI83" s="371"/>
      <c r="BJ83" s="495">
        <v>80</v>
      </c>
      <c r="BK83" s="496">
        <v>10</v>
      </c>
      <c r="BL83" s="494">
        <f t="shared" si="170"/>
        <v>10</v>
      </c>
      <c r="BM83" s="371"/>
      <c r="BN83" s="232" t="str">
        <f t="shared" si="171"/>
        <v/>
      </c>
      <c r="BO83" s="232">
        <f t="shared" si="172"/>
        <v>10</v>
      </c>
      <c r="BP83" s="232" t="str">
        <f t="shared" si="173"/>
        <v/>
      </c>
      <c r="BQ83" s="232" t="str">
        <f t="shared" si="194"/>
        <v/>
      </c>
      <c r="BR83" s="371"/>
      <c r="BS83" s="495">
        <v>40</v>
      </c>
      <c r="BT83" s="496">
        <v>10</v>
      </c>
      <c r="BU83" s="494">
        <f t="shared" si="174"/>
        <v>50</v>
      </c>
      <c r="BV83" s="371"/>
      <c r="BW83" s="232" t="str">
        <f t="shared" si="175"/>
        <v/>
      </c>
      <c r="BX83" s="232">
        <f t="shared" si="176"/>
        <v>10</v>
      </c>
      <c r="BY83" s="232" t="str">
        <f t="shared" si="177"/>
        <v/>
      </c>
      <c r="BZ83" s="232" t="str">
        <f t="shared" si="195"/>
        <v/>
      </c>
      <c r="CA83" s="371"/>
      <c r="CB83" s="501">
        <f t="shared" si="196"/>
        <v>60</v>
      </c>
      <c r="CC83" s="502">
        <f t="shared" si="197"/>
        <v>10</v>
      </c>
      <c r="CD83" s="503">
        <f t="shared" si="178"/>
        <v>30</v>
      </c>
      <c r="CE83" s="371"/>
      <c r="CF83" s="232" t="str">
        <f t="shared" si="179"/>
        <v/>
      </c>
      <c r="CG83" s="232">
        <f t="shared" si="180"/>
        <v>10</v>
      </c>
      <c r="CH83" s="232" t="str">
        <f t="shared" si="181"/>
        <v/>
      </c>
      <c r="CI83" s="232" t="str">
        <f t="shared" si="198"/>
        <v/>
      </c>
      <c r="CJ83" s="232"/>
      <c r="CK83" s="495">
        <v>50</v>
      </c>
      <c r="CL83" s="496">
        <v>30</v>
      </c>
      <c r="CM83" s="494">
        <f t="shared" si="182"/>
        <v>20</v>
      </c>
      <c r="CN83" s="371"/>
      <c r="CO83" s="232" t="str">
        <f t="shared" si="183"/>
        <v/>
      </c>
      <c r="CP83" s="232">
        <f t="shared" si="184"/>
        <v>30</v>
      </c>
      <c r="CQ83" s="232" t="str">
        <f t="shared" si="185"/>
        <v/>
      </c>
      <c r="CR83" s="232" t="str">
        <f t="shared" si="199"/>
        <v/>
      </c>
      <c r="CS83" s="232"/>
      <c r="CT83" s="371"/>
      <c r="CU83" s="300"/>
      <c r="CV83" s="246"/>
      <c r="CW83" s="264"/>
    </row>
    <row r="84" spans="1:101" x14ac:dyDescent="0.2">
      <c r="A84" s="264"/>
      <c r="B84" s="264"/>
      <c r="C84" s="202"/>
      <c r="D84" s="271">
        <v>11</v>
      </c>
      <c r="E84" s="167" t="s">
        <v>96</v>
      </c>
      <c r="F84" s="469">
        <v>1</v>
      </c>
      <c r="G84" s="474" t="s">
        <v>49</v>
      </c>
      <c r="H84" s="475">
        <v>1</v>
      </c>
      <c r="I84" s="389" t="str">
        <f t="shared" si="150"/>
        <v/>
      </c>
      <c r="J84" s="390" t="str">
        <f t="shared" si="151"/>
        <v>x</v>
      </c>
      <c r="K84" s="391" t="str">
        <f t="shared" si="152"/>
        <v/>
      </c>
      <c r="L84" s="299"/>
      <c r="M84" s="375"/>
      <c r="N84" s="379"/>
      <c r="O84" s="236"/>
      <c r="P84" s="236"/>
      <c r="Q84" s="483">
        <v>40</v>
      </c>
      <c r="R84" s="484">
        <v>30</v>
      </c>
      <c r="S84" s="485">
        <f t="shared" si="186"/>
        <v>30</v>
      </c>
      <c r="T84" s="371"/>
      <c r="U84" s="232" t="str">
        <f t="shared" si="187"/>
        <v/>
      </c>
      <c r="V84" s="232">
        <f t="shared" si="188"/>
        <v>30</v>
      </c>
      <c r="W84" s="232" t="str">
        <f t="shared" si="153"/>
        <v/>
      </c>
      <c r="X84" s="232" t="str">
        <f t="shared" si="189"/>
        <v/>
      </c>
      <c r="Y84" s="371"/>
      <c r="Z84" s="497">
        <v>80</v>
      </c>
      <c r="AA84" s="498">
        <v>10</v>
      </c>
      <c r="AB84" s="485">
        <f t="shared" si="154"/>
        <v>10</v>
      </c>
      <c r="AC84" s="371"/>
      <c r="AD84" s="232" t="str">
        <f t="shared" si="155"/>
        <v/>
      </c>
      <c r="AE84" s="232">
        <f t="shared" si="156"/>
        <v>10</v>
      </c>
      <c r="AF84" s="232" t="str">
        <f t="shared" si="157"/>
        <v/>
      </c>
      <c r="AG84" s="232" t="str">
        <f t="shared" si="190"/>
        <v/>
      </c>
      <c r="AH84" s="371"/>
      <c r="AI84" s="497">
        <v>10</v>
      </c>
      <c r="AJ84" s="498">
        <v>10</v>
      </c>
      <c r="AK84" s="485">
        <f t="shared" si="158"/>
        <v>80</v>
      </c>
      <c r="AL84" s="371"/>
      <c r="AM84" s="232" t="str">
        <f t="shared" si="159"/>
        <v/>
      </c>
      <c r="AN84" s="232">
        <f t="shared" si="160"/>
        <v>10</v>
      </c>
      <c r="AO84" s="232" t="str">
        <f t="shared" si="161"/>
        <v/>
      </c>
      <c r="AP84" s="232" t="str">
        <f t="shared" si="191"/>
        <v/>
      </c>
      <c r="AQ84" s="371"/>
      <c r="AR84" s="497">
        <v>10</v>
      </c>
      <c r="AS84" s="498">
        <v>30</v>
      </c>
      <c r="AT84" s="485">
        <f t="shared" si="162"/>
        <v>60</v>
      </c>
      <c r="AU84" s="371"/>
      <c r="AV84" s="232" t="str">
        <f t="shared" si="163"/>
        <v/>
      </c>
      <c r="AW84" s="232">
        <f t="shared" si="164"/>
        <v>30</v>
      </c>
      <c r="AX84" s="232" t="str">
        <f t="shared" si="165"/>
        <v/>
      </c>
      <c r="AY84" s="232" t="str">
        <f t="shared" si="192"/>
        <v/>
      </c>
      <c r="AZ84" s="371"/>
      <c r="BA84" s="497">
        <v>10</v>
      </c>
      <c r="BB84" s="498">
        <v>10</v>
      </c>
      <c r="BC84" s="485">
        <f t="shared" si="166"/>
        <v>80</v>
      </c>
      <c r="BD84" s="371"/>
      <c r="BE84" s="232" t="str">
        <f t="shared" si="167"/>
        <v/>
      </c>
      <c r="BF84" s="232">
        <f t="shared" si="168"/>
        <v>10</v>
      </c>
      <c r="BG84" s="232" t="str">
        <f t="shared" si="169"/>
        <v/>
      </c>
      <c r="BH84" s="232" t="str">
        <f t="shared" si="193"/>
        <v/>
      </c>
      <c r="BI84" s="371"/>
      <c r="BJ84" s="497">
        <v>10</v>
      </c>
      <c r="BK84" s="498">
        <v>20</v>
      </c>
      <c r="BL84" s="485">
        <f t="shared" si="170"/>
        <v>70</v>
      </c>
      <c r="BM84" s="371"/>
      <c r="BN84" s="232" t="str">
        <f t="shared" si="171"/>
        <v/>
      </c>
      <c r="BO84" s="232">
        <f t="shared" si="172"/>
        <v>20</v>
      </c>
      <c r="BP84" s="232" t="str">
        <f t="shared" si="173"/>
        <v/>
      </c>
      <c r="BQ84" s="232" t="str">
        <f t="shared" si="194"/>
        <v/>
      </c>
      <c r="BR84" s="371"/>
      <c r="BS84" s="497">
        <v>10</v>
      </c>
      <c r="BT84" s="498">
        <v>10</v>
      </c>
      <c r="BU84" s="485">
        <f t="shared" si="174"/>
        <v>80</v>
      </c>
      <c r="BV84" s="371"/>
      <c r="BW84" s="232" t="str">
        <f t="shared" si="175"/>
        <v/>
      </c>
      <c r="BX84" s="232">
        <f t="shared" si="176"/>
        <v>10</v>
      </c>
      <c r="BY84" s="232" t="str">
        <f t="shared" si="177"/>
        <v/>
      </c>
      <c r="BZ84" s="232" t="str">
        <f t="shared" si="195"/>
        <v/>
      </c>
      <c r="CA84" s="371"/>
      <c r="CB84" s="504">
        <f t="shared" si="196"/>
        <v>30</v>
      </c>
      <c r="CC84" s="505">
        <f t="shared" si="197"/>
        <v>10</v>
      </c>
      <c r="CD84" s="506">
        <f t="shared" si="178"/>
        <v>60</v>
      </c>
      <c r="CE84" s="371"/>
      <c r="CF84" s="232" t="str">
        <f t="shared" si="179"/>
        <v/>
      </c>
      <c r="CG84" s="232">
        <f t="shared" si="180"/>
        <v>10</v>
      </c>
      <c r="CH84" s="232" t="str">
        <f t="shared" si="181"/>
        <v/>
      </c>
      <c r="CI84" s="232" t="str">
        <f t="shared" si="198"/>
        <v/>
      </c>
      <c r="CJ84" s="232"/>
      <c r="CK84" s="497">
        <v>20</v>
      </c>
      <c r="CL84" s="498">
        <v>10</v>
      </c>
      <c r="CM84" s="485">
        <f t="shared" si="182"/>
        <v>70</v>
      </c>
      <c r="CN84" s="371"/>
      <c r="CO84" s="232" t="str">
        <f t="shared" si="183"/>
        <v/>
      </c>
      <c r="CP84" s="232">
        <f t="shared" si="184"/>
        <v>10</v>
      </c>
      <c r="CQ84" s="232" t="str">
        <f t="shared" si="185"/>
        <v/>
      </c>
      <c r="CR84" s="232" t="str">
        <f t="shared" si="199"/>
        <v/>
      </c>
      <c r="CS84" s="232"/>
      <c r="CT84" s="371"/>
      <c r="CU84" s="300"/>
      <c r="CV84" s="246"/>
      <c r="CW84" s="264"/>
    </row>
    <row r="85" spans="1:101" ht="13.5" thickBot="1" x14ac:dyDescent="0.25">
      <c r="A85" s="264"/>
      <c r="B85" s="264"/>
      <c r="C85" s="202"/>
      <c r="D85" s="271">
        <v>12</v>
      </c>
      <c r="E85" s="168" t="s">
        <v>97</v>
      </c>
      <c r="F85" s="470">
        <v>0</v>
      </c>
      <c r="G85" s="476" t="s">
        <v>49</v>
      </c>
      <c r="H85" s="477">
        <v>0</v>
      </c>
      <c r="I85" s="392" t="str">
        <f t="shared" si="150"/>
        <v/>
      </c>
      <c r="J85" s="393" t="str">
        <f t="shared" si="151"/>
        <v>x</v>
      </c>
      <c r="K85" s="394" t="str">
        <f t="shared" si="152"/>
        <v/>
      </c>
      <c r="L85" s="299"/>
      <c r="M85" s="375"/>
      <c r="N85" s="379"/>
      <c r="O85" s="236"/>
      <c r="P85" s="236"/>
      <c r="Q85" s="489">
        <v>50</v>
      </c>
      <c r="R85" s="490">
        <v>30</v>
      </c>
      <c r="S85" s="491">
        <f t="shared" si="186"/>
        <v>20</v>
      </c>
      <c r="T85" s="371"/>
      <c r="U85" s="232" t="str">
        <f t="shared" si="187"/>
        <v/>
      </c>
      <c r="V85" s="232">
        <f t="shared" si="188"/>
        <v>30</v>
      </c>
      <c r="W85" s="232" t="str">
        <f t="shared" si="153"/>
        <v/>
      </c>
      <c r="X85" s="232" t="str">
        <f t="shared" si="189"/>
        <v/>
      </c>
      <c r="Y85" s="371"/>
      <c r="Z85" s="499">
        <v>80</v>
      </c>
      <c r="AA85" s="500">
        <v>10</v>
      </c>
      <c r="AB85" s="491">
        <f t="shared" si="154"/>
        <v>10</v>
      </c>
      <c r="AC85" s="371"/>
      <c r="AD85" s="232" t="str">
        <f t="shared" si="155"/>
        <v/>
      </c>
      <c r="AE85" s="232">
        <f t="shared" si="156"/>
        <v>10</v>
      </c>
      <c r="AF85" s="232" t="str">
        <f t="shared" si="157"/>
        <v/>
      </c>
      <c r="AG85" s="232" t="str">
        <f t="shared" si="190"/>
        <v/>
      </c>
      <c r="AH85" s="371"/>
      <c r="AI85" s="499">
        <v>30</v>
      </c>
      <c r="AJ85" s="500">
        <v>30</v>
      </c>
      <c r="AK85" s="491">
        <f t="shared" si="158"/>
        <v>40</v>
      </c>
      <c r="AL85" s="371"/>
      <c r="AM85" s="232" t="str">
        <f t="shared" si="159"/>
        <v/>
      </c>
      <c r="AN85" s="232">
        <f t="shared" si="160"/>
        <v>30</v>
      </c>
      <c r="AO85" s="232" t="str">
        <f t="shared" si="161"/>
        <v/>
      </c>
      <c r="AP85" s="232" t="str">
        <f t="shared" si="191"/>
        <v/>
      </c>
      <c r="AQ85" s="371"/>
      <c r="AR85" s="499">
        <v>40</v>
      </c>
      <c r="AS85" s="500">
        <v>20</v>
      </c>
      <c r="AT85" s="491">
        <f t="shared" si="162"/>
        <v>40</v>
      </c>
      <c r="AU85" s="371"/>
      <c r="AV85" s="232" t="str">
        <f t="shared" si="163"/>
        <v/>
      </c>
      <c r="AW85" s="232">
        <f t="shared" si="164"/>
        <v>20</v>
      </c>
      <c r="AX85" s="232" t="str">
        <f t="shared" si="165"/>
        <v/>
      </c>
      <c r="AY85" s="232" t="str">
        <f t="shared" si="192"/>
        <v/>
      </c>
      <c r="AZ85" s="371"/>
      <c r="BA85" s="499">
        <v>10</v>
      </c>
      <c r="BB85" s="500">
        <v>40</v>
      </c>
      <c r="BC85" s="491">
        <f t="shared" si="166"/>
        <v>50</v>
      </c>
      <c r="BD85" s="371"/>
      <c r="BE85" s="232" t="str">
        <f t="shared" si="167"/>
        <v/>
      </c>
      <c r="BF85" s="232">
        <f t="shared" si="168"/>
        <v>40</v>
      </c>
      <c r="BG85" s="232" t="str">
        <f t="shared" si="169"/>
        <v/>
      </c>
      <c r="BH85" s="232" t="str">
        <f t="shared" si="193"/>
        <v/>
      </c>
      <c r="BI85" s="371"/>
      <c r="BJ85" s="499">
        <v>20</v>
      </c>
      <c r="BK85" s="500">
        <v>30</v>
      </c>
      <c r="BL85" s="491">
        <f t="shared" si="170"/>
        <v>50</v>
      </c>
      <c r="BM85" s="371"/>
      <c r="BN85" s="232" t="str">
        <f t="shared" si="171"/>
        <v/>
      </c>
      <c r="BO85" s="232">
        <f t="shared" si="172"/>
        <v>30</v>
      </c>
      <c r="BP85" s="232" t="str">
        <f t="shared" si="173"/>
        <v/>
      </c>
      <c r="BQ85" s="232" t="str">
        <f t="shared" si="194"/>
        <v/>
      </c>
      <c r="BR85" s="371"/>
      <c r="BS85" s="499">
        <v>30</v>
      </c>
      <c r="BT85" s="500">
        <v>40</v>
      </c>
      <c r="BU85" s="491">
        <f t="shared" si="174"/>
        <v>30</v>
      </c>
      <c r="BV85" s="371"/>
      <c r="BW85" s="232" t="str">
        <f t="shared" si="175"/>
        <v/>
      </c>
      <c r="BX85" s="232">
        <f t="shared" si="176"/>
        <v>40</v>
      </c>
      <c r="BY85" s="232" t="str">
        <f t="shared" si="177"/>
        <v/>
      </c>
      <c r="BZ85" s="232">
        <f t="shared" si="195"/>
        <v>1</v>
      </c>
      <c r="CA85" s="371"/>
      <c r="CB85" s="507">
        <f t="shared" si="196"/>
        <v>40</v>
      </c>
      <c r="CC85" s="508">
        <f t="shared" si="197"/>
        <v>20</v>
      </c>
      <c r="CD85" s="509">
        <f t="shared" si="178"/>
        <v>40</v>
      </c>
      <c r="CE85" s="371"/>
      <c r="CF85" s="232" t="str">
        <f t="shared" si="179"/>
        <v/>
      </c>
      <c r="CG85" s="232">
        <f t="shared" si="180"/>
        <v>20</v>
      </c>
      <c r="CH85" s="232" t="str">
        <f t="shared" si="181"/>
        <v/>
      </c>
      <c r="CI85" s="232" t="str">
        <f t="shared" si="198"/>
        <v/>
      </c>
      <c r="CJ85" s="232"/>
      <c r="CK85" s="499">
        <v>30</v>
      </c>
      <c r="CL85" s="500">
        <v>40</v>
      </c>
      <c r="CM85" s="491">
        <f t="shared" si="182"/>
        <v>30</v>
      </c>
      <c r="CN85" s="371"/>
      <c r="CO85" s="232" t="str">
        <f t="shared" si="183"/>
        <v/>
      </c>
      <c r="CP85" s="232">
        <f t="shared" si="184"/>
        <v>40</v>
      </c>
      <c r="CQ85" s="232" t="str">
        <f t="shared" si="185"/>
        <v/>
      </c>
      <c r="CR85" s="232">
        <f t="shared" si="199"/>
        <v>1</v>
      </c>
      <c r="CS85" s="232"/>
      <c r="CT85" s="371"/>
      <c r="CU85" s="300"/>
      <c r="CV85" s="246"/>
      <c r="CW85" s="264"/>
    </row>
    <row r="86" spans="1:101" x14ac:dyDescent="0.2">
      <c r="A86" s="264"/>
      <c r="B86" s="264"/>
      <c r="C86" s="202"/>
      <c r="D86" s="272"/>
      <c r="E86" s="235"/>
      <c r="F86" s="395">
        <f>IF(SUM(F74:F85)=0,"",SUM(F74:F85))</f>
        <v>20</v>
      </c>
      <c r="G86" s="370" t="s">
        <v>49</v>
      </c>
      <c r="H86" s="396">
        <f>IF(SUM(H74:H85)=0,"",SUM(H74:H85))</f>
        <v>15</v>
      </c>
      <c r="I86" s="397">
        <f>IF(COUNTIF(I74:I85,"=x")=0,"",COUNTIF(I74:I85,"=x"))</f>
        <v>4</v>
      </c>
      <c r="J86" s="398">
        <f>IF(COUNTIF(J74:J85,"=x")=0,"",COUNTIF(J74:J85,"=x"))</f>
        <v>6</v>
      </c>
      <c r="K86" s="399">
        <f>IF(COUNTIF(K74:K85,"=x")=0,"",COUNTIF(K74:K85,"=x"))</f>
        <v>2</v>
      </c>
      <c r="L86" s="299"/>
      <c r="M86" s="375"/>
      <c r="N86" s="379"/>
      <c r="O86" s="236"/>
      <c r="P86" s="369"/>
      <c r="Q86" s="466">
        <f>SUM(U74:U85)</f>
        <v>190</v>
      </c>
      <c r="R86" s="466">
        <f>SUM(V74:V85)</f>
        <v>160</v>
      </c>
      <c r="S86" s="466">
        <f>SUM(W74:W85)</f>
        <v>40</v>
      </c>
      <c r="T86" s="368"/>
      <c r="U86" s="232"/>
      <c r="V86" s="232"/>
      <c r="W86" s="232"/>
      <c r="X86" s="232"/>
      <c r="Y86" s="367"/>
      <c r="Z86" s="466">
        <f>SUM(AD74:AD85)</f>
        <v>180</v>
      </c>
      <c r="AA86" s="466">
        <f>SUM(AE74:AE85)</f>
        <v>130</v>
      </c>
      <c r="AB86" s="466">
        <f>SUM(AF74:AF85)</f>
        <v>20</v>
      </c>
      <c r="AC86" s="368"/>
      <c r="AD86" s="232"/>
      <c r="AE86" s="232"/>
      <c r="AF86" s="232"/>
      <c r="AG86" s="232"/>
      <c r="AH86" s="367"/>
      <c r="AI86" s="466">
        <f>SUM(AM74:AM85)</f>
        <v>160</v>
      </c>
      <c r="AJ86" s="466">
        <f>SUM(AN74:AN85)</f>
        <v>110</v>
      </c>
      <c r="AK86" s="466">
        <f>SUM(AO74:AO85)</f>
        <v>20</v>
      </c>
      <c r="AL86" s="368"/>
      <c r="AM86" s="232"/>
      <c r="AN86" s="232"/>
      <c r="AO86" s="232"/>
      <c r="AP86" s="232"/>
      <c r="AQ86" s="367"/>
      <c r="AR86" s="466">
        <f>SUM(AV74:AV85)</f>
        <v>160</v>
      </c>
      <c r="AS86" s="466">
        <f>SUM(AW74:AW85)</f>
        <v>150</v>
      </c>
      <c r="AT86" s="466">
        <f>SUM(AX74:AX85)</f>
        <v>70</v>
      </c>
      <c r="AU86" s="368"/>
      <c r="AV86" s="232"/>
      <c r="AW86" s="232"/>
      <c r="AX86" s="232"/>
      <c r="AY86" s="232"/>
      <c r="AZ86" s="367"/>
      <c r="BA86" s="466">
        <f>SUM(BE74:BE85)</f>
        <v>180</v>
      </c>
      <c r="BB86" s="466">
        <f>SUM(BF74:BF85)</f>
        <v>110</v>
      </c>
      <c r="BC86" s="466">
        <f>SUM(BG74:BG85)</f>
        <v>20</v>
      </c>
      <c r="BD86" s="368"/>
      <c r="BE86" s="232"/>
      <c r="BF86" s="232"/>
      <c r="BG86" s="232"/>
      <c r="BH86" s="232"/>
      <c r="BI86" s="367"/>
      <c r="BJ86" s="466">
        <f>SUM(BN74:BN85)</f>
        <v>130</v>
      </c>
      <c r="BK86" s="466">
        <f>SUM(BO74:BO85)</f>
        <v>120</v>
      </c>
      <c r="BL86" s="466">
        <f>SUM(BP74:BP85)</f>
        <v>70</v>
      </c>
      <c r="BM86" s="368"/>
      <c r="BN86" s="232"/>
      <c r="BO86" s="232"/>
      <c r="BP86" s="232"/>
      <c r="BQ86" s="232"/>
      <c r="BR86" s="367"/>
      <c r="BS86" s="466">
        <f>SUM(BW74:BW85)</f>
        <v>150</v>
      </c>
      <c r="BT86" s="466">
        <f>SUM(BX74:BX85)</f>
        <v>120</v>
      </c>
      <c r="BU86" s="466">
        <f>SUM(BY74:BY85)</f>
        <v>70</v>
      </c>
      <c r="BV86" s="368"/>
      <c r="BW86" s="232"/>
      <c r="BX86" s="232"/>
      <c r="BY86" s="232"/>
      <c r="BZ86" s="232"/>
      <c r="CA86" s="369"/>
      <c r="CB86" s="466">
        <f>SUM(CF74:CF85)</f>
        <v>180</v>
      </c>
      <c r="CC86" s="466">
        <f>SUM(CG74:CG85)</f>
        <v>100</v>
      </c>
      <c r="CD86" s="466">
        <f>SUM(CH74:CH85)</f>
        <v>30</v>
      </c>
      <c r="CE86" s="368"/>
      <c r="CF86" s="232"/>
      <c r="CG86" s="232"/>
      <c r="CH86" s="232"/>
      <c r="CI86" s="232"/>
      <c r="CJ86" s="232"/>
      <c r="CK86" s="466">
        <f>SUM(CO74:CO85)</f>
        <v>190</v>
      </c>
      <c r="CL86" s="466">
        <f>SUM(CP74:CP85)</f>
        <v>150</v>
      </c>
      <c r="CM86" s="466">
        <f>SUM(CQ74:CQ85)</f>
        <v>30</v>
      </c>
      <c r="CN86" s="368"/>
      <c r="CO86" s="232"/>
      <c r="CP86" s="232"/>
      <c r="CQ86" s="232"/>
      <c r="CR86" s="232"/>
      <c r="CS86" s="232"/>
      <c r="CT86" s="232"/>
      <c r="CU86" s="300"/>
      <c r="CV86" s="246"/>
      <c r="CW86" s="265"/>
    </row>
    <row r="87" spans="1:101" ht="13.5" thickBot="1" x14ac:dyDescent="0.25">
      <c r="A87" s="264"/>
      <c r="B87" s="264"/>
      <c r="C87" s="202"/>
      <c r="D87" s="289"/>
      <c r="E87" s="282"/>
      <c r="F87" s="283"/>
      <c r="G87" s="282"/>
      <c r="H87" s="282"/>
      <c r="I87" s="282"/>
      <c r="J87" s="282"/>
      <c r="K87" s="282"/>
      <c r="L87" s="293"/>
      <c r="M87" s="301"/>
      <c r="N87" s="380"/>
      <c r="O87" s="376"/>
      <c r="P87" s="284"/>
      <c r="Q87" s="285"/>
      <c r="R87" s="285"/>
      <c r="S87" s="285"/>
      <c r="T87" s="286"/>
      <c r="U87" s="287"/>
      <c r="V87" s="287"/>
      <c r="W87" s="287"/>
      <c r="X87" s="287"/>
      <c r="Y87" s="284"/>
      <c r="Z87" s="285"/>
      <c r="AA87" s="285"/>
      <c r="AB87" s="285"/>
      <c r="AC87" s="286"/>
      <c r="AD87" s="287"/>
      <c r="AE87" s="287"/>
      <c r="AF87" s="287"/>
      <c r="AG87" s="288"/>
      <c r="AH87" s="284"/>
      <c r="AI87" s="285"/>
      <c r="AJ87" s="285"/>
      <c r="AK87" s="285"/>
      <c r="AL87" s="286"/>
      <c r="AM87" s="287"/>
      <c r="AN87" s="287"/>
      <c r="AO87" s="287"/>
      <c r="AP87" s="288"/>
      <c r="AQ87" s="284"/>
      <c r="AR87" s="285"/>
      <c r="AS87" s="285"/>
      <c r="AT87" s="285"/>
      <c r="AU87" s="286"/>
      <c r="AV87" s="287"/>
      <c r="AW87" s="287"/>
      <c r="AX87" s="287"/>
      <c r="AY87" s="288"/>
      <c r="AZ87" s="284"/>
      <c r="BA87" s="285"/>
      <c r="BB87" s="285"/>
      <c r="BC87" s="285"/>
      <c r="BD87" s="286"/>
      <c r="BE87" s="287"/>
      <c r="BF87" s="287"/>
      <c r="BG87" s="287"/>
      <c r="BH87" s="288"/>
      <c r="BI87" s="284"/>
      <c r="BJ87" s="284"/>
      <c r="BK87" s="284"/>
      <c r="BL87" s="284"/>
      <c r="BM87" s="284"/>
      <c r="BN87" s="284"/>
      <c r="BO87" s="284"/>
      <c r="BP87" s="284"/>
      <c r="BQ87" s="284"/>
      <c r="BR87" s="284"/>
      <c r="BS87" s="284"/>
      <c r="BT87" s="284"/>
      <c r="BU87" s="284"/>
      <c r="BV87" s="284"/>
      <c r="BW87" s="284"/>
      <c r="BX87" s="284"/>
      <c r="BY87" s="284"/>
      <c r="BZ87" s="284"/>
      <c r="CA87" s="284"/>
      <c r="CB87" s="284"/>
      <c r="CC87" s="284"/>
      <c r="CD87" s="284"/>
      <c r="CE87" s="284"/>
      <c r="CF87" s="284"/>
      <c r="CG87" s="284"/>
      <c r="CH87" s="284"/>
      <c r="CI87" s="284"/>
      <c r="CJ87" s="288"/>
      <c r="CK87" s="288"/>
      <c r="CL87" s="288"/>
      <c r="CM87" s="288"/>
      <c r="CN87" s="288"/>
      <c r="CO87" s="288"/>
      <c r="CP87" s="288"/>
      <c r="CQ87" s="288"/>
      <c r="CR87" s="288"/>
      <c r="CS87" s="288"/>
      <c r="CT87" s="282"/>
      <c r="CU87" s="294"/>
      <c r="CV87" s="246"/>
      <c r="CW87" s="265"/>
    </row>
    <row r="88" spans="1:101" ht="14.25" thickTop="1" thickBot="1" x14ac:dyDescent="0.25">
      <c r="A88" s="256"/>
      <c r="B88" s="256"/>
      <c r="C88" s="210"/>
      <c r="D88" s="211"/>
      <c r="E88" s="247"/>
      <c r="F88" s="248"/>
      <c r="G88" s="247"/>
      <c r="H88" s="247"/>
      <c r="I88" s="247"/>
      <c r="J88" s="247"/>
      <c r="K88" s="247"/>
      <c r="L88" s="249"/>
      <c r="M88" s="250"/>
      <c r="N88" s="250"/>
      <c r="O88" s="250"/>
      <c r="P88" s="250"/>
      <c r="Q88" s="247"/>
      <c r="R88" s="247"/>
      <c r="S88" s="247"/>
      <c r="T88" s="251"/>
      <c r="U88" s="252"/>
      <c r="V88" s="252"/>
      <c r="W88" s="252"/>
      <c r="X88" s="252"/>
      <c r="Y88" s="250"/>
      <c r="Z88" s="247"/>
      <c r="AA88" s="247"/>
      <c r="AB88" s="247"/>
      <c r="AC88" s="251"/>
      <c r="AD88" s="252"/>
      <c r="AE88" s="252"/>
      <c r="AF88" s="252"/>
      <c r="AG88" s="247"/>
      <c r="AH88" s="250"/>
      <c r="AI88" s="247"/>
      <c r="AJ88" s="247"/>
      <c r="AK88" s="247"/>
      <c r="AL88" s="251"/>
      <c r="AM88" s="252"/>
      <c r="AN88" s="252"/>
      <c r="AO88" s="252"/>
      <c r="AP88" s="253"/>
      <c r="AQ88" s="250"/>
      <c r="AR88" s="247"/>
      <c r="AS88" s="247"/>
      <c r="AT88" s="247"/>
      <c r="AU88" s="251"/>
      <c r="AV88" s="252"/>
      <c r="AW88" s="252"/>
      <c r="AX88" s="252"/>
      <c r="AY88" s="247"/>
      <c r="AZ88" s="250"/>
      <c r="BA88" s="247"/>
      <c r="BB88" s="247"/>
      <c r="BC88" s="247"/>
      <c r="BD88" s="251"/>
      <c r="BE88" s="252"/>
      <c r="BF88" s="252"/>
      <c r="BG88" s="252"/>
      <c r="BH88" s="247"/>
      <c r="BI88" s="250"/>
      <c r="BJ88" s="247"/>
      <c r="BK88" s="247"/>
      <c r="BL88" s="247"/>
      <c r="BM88" s="251"/>
      <c r="BN88" s="252"/>
      <c r="BO88" s="252"/>
      <c r="BP88" s="252"/>
      <c r="BQ88" s="247"/>
      <c r="BR88" s="212"/>
      <c r="BS88" s="247"/>
      <c r="BT88" s="247"/>
      <c r="BU88" s="247"/>
      <c r="BV88" s="250"/>
      <c r="BW88" s="252"/>
      <c r="BX88" s="252"/>
      <c r="BY88" s="252"/>
      <c r="BZ88" s="247"/>
      <c r="CA88" s="247"/>
      <c r="CB88" s="253"/>
      <c r="CC88" s="253"/>
      <c r="CD88" s="253"/>
      <c r="CE88" s="253"/>
      <c r="CF88" s="247"/>
      <c r="CG88" s="247"/>
      <c r="CH88" s="247"/>
      <c r="CI88" s="247"/>
      <c r="CJ88" s="247"/>
      <c r="CK88" s="247"/>
      <c r="CL88" s="247"/>
      <c r="CM88" s="247"/>
      <c r="CN88" s="247"/>
      <c r="CO88" s="247"/>
      <c r="CP88" s="247"/>
      <c r="CQ88" s="247"/>
      <c r="CR88" s="247"/>
      <c r="CS88" s="247"/>
      <c r="CT88" s="247"/>
      <c r="CU88" s="247"/>
      <c r="CV88" s="254"/>
      <c r="CW88" s="255"/>
    </row>
    <row r="89" spans="1:101" ht="14.25" thickTop="1" thickBot="1" x14ac:dyDescent="0.25">
      <c r="A89" s="255"/>
      <c r="B89" s="255"/>
      <c r="C89" s="255"/>
      <c r="D89" s="255"/>
      <c r="E89" s="255"/>
      <c r="F89" s="255"/>
      <c r="G89" s="255"/>
      <c r="H89" s="255"/>
      <c r="I89" s="255"/>
      <c r="J89" s="255"/>
      <c r="K89" s="255"/>
      <c r="L89" s="255"/>
      <c r="M89" s="255"/>
      <c r="N89" s="255"/>
      <c r="O89" s="255"/>
      <c r="P89" s="255"/>
      <c r="Q89" s="255"/>
      <c r="R89" s="255"/>
      <c r="S89" s="255"/>
      <c r="T89" s="255"/>
      <c r="U89" s="255"/>
      <c r="V89" s="255"/>
      <c r="W89" s="255"/>
      <c r="X89" s="255"/>
      <c r="Y89" s="255"/>
      <c r="Z89" s="255"/>
      <c r="AA89" s="255"/>
      <c r="AB89" s="255"/>
      <c r="AC89" s="255"/>
      <c r="AD89" s="255"/>
      <c r="AE89" s="255"/>
      <c r="AF89" s="255"/>
      <c r="AG89" s="255"/>
      <c r="AH89" s="255"/>
      <c r="AI89" s="255"/>
      <c r="AJ89" s="255"/>
      <c r="AK89" s="255"/>
      <c r="AL89" s="255"/>
      <c r="AM89" s="255"/>
      <c r="AN89" s="255"/>
      <c r="AO89" s="255"/>
      <c r="AP89" s="255"/>
      <c r="AQ89" s="255"/>
      <c r="AR89" s="255"/>
      <c r="AS89" s="255"/>
      <c r="AT89" s="255"/>
      <c r="AU89" s="255"/>
      <c r="AV89" s="255"/>
      <c r="AW89" s="255"/>
      <c r="AX89" s="255"/>
      <c r="AY89" s="255"/>
      <c r="AZ89" s="255"/>
      <c r="BA89" s="255"/>
      <c r="BB89" s="255"/>
      <c r="BC89" s="255"/>
      <c r="BD89" s="255"/>
      <c r="BE89" s="255"/>
      <c r="BF89" s="255"/>
      <c r="BG89" s="255"/>
      <c r="BH89" s="255"/>
      <c r="BI89" s="255"/>
      <c r="BJ89" s="255"/>
      <c r="BK89" s="255"/>
      <c r="BL89" s="255"/>
      <c r="BM89" s="255"/>
      <c r="BN89" s="255"/>
      <c r="BO89" s="255"/>
      <c r="BP89" s="255"/>
      <c r="BQ89" s="255"/>
      <c r="BR89" s="255"/>
      <c r="BS89" s="255"/>
      <c r="BT89" s="255"/>
      <c r="BU89" s="255"/>
      <c r="BV89" s="255"/>
      <c r="BW89" s="255"/>
      <c r="BX89" s="255"/>
      <c r="BY89" s="255"/>
      <c r="BZ89" s="255"/>
      <c r="CA89" s="255"/>
      <c r="CB89" s="436"/>
      <c r="CC89" s="436"/>
      <c r="CD89" s="436"/>
      <c r="CE89" s="436"/>
      <c r="CF89" s="255"/>
      <c r="CG89" s="255"/>
      <c r="CH89" s="255"/>
      <c r="CI89" s="255"/>
      <c r="CJ89" s="255"/>
      <c r="CK89" s="255"/>
      <c r="CL89" s="255"/>
      <c r="CM89" s="255"/>
      <c r="CN89" s="255"/>
      <c r="CO89" s="255"/>
      <c r="CP89" s="255"/>
      <c r="CQ89" s="255"/>
      <c r="CR89" s="255"/>
      <c r="CS89" s="255"/>
      <c r="CT89" s="255"/>
      <c r="CU89" s="255"/>
      <c r="CV89" s="255"/>
      <c r="CW89" s="255"/>
    </row>
    <row r="90" spans="1:101" ht="21" thickTop="1" x14ac:dyDescent="0.3">
      <c r="A90" s="256"/>
      <c r="B90" s="256"/>
      <c r="C90" s="190"/>
      <c r="D90" s="191"/>
      <c r="E90" s="865" t="str">
        <f>$E$2</f>
        <v>STPS 2026</v>
      </c>
      <c r="F90" s="267"/>
      <c r="G90" s="267"/>
      <c r="H90" s="267"/>
      <c r="I90" s="192"/>
      <c r="J90" s="192"/>
      <c r="K90" s="192"/>
      <c r="L90" s="193"/>
      <c r="M90" s="192"/>
      <c r="N90" s="192"/>
      <c r="O90" s="192"/>
      <c r="P90" s="194"/>
      <c r="Q90" s="192"/>
      <c r="R90" s="192"/>
      <c r="S90" s="192"/>
      <c r="T90" s="195"/>
      <c r="U90" s="196"/>
      <c r="V90" s="196"/>
      <c r="W90" s="196"/>
      <c r="X90" s="196"/>
      <c r="Y90" s="194"/>
      <c r="Z90" s="192"/>
      <c r="AA90" s="192"/>
      <c r="AB90" s="192"/>
      <c r="AC90" s="195"/>
      <c r="AD90" s="196"/>
      <c r="AE90" s="196"/>
      <c r="AF90" s="196"/>
      <c r="AG90" s="197"/>
      <c r="AH90" s="194"/>
      <c r="AI90" s="192"/>
      <c r="AJ90" s="237"/>
      <c r="AK90" s="237"/>
      <c r="AL90" s="198"/>
      <c r="AM90" s="238"/>
      <c r="AN90" s="238"/>
      <c r="AO90" s="238"/>
      <c r="AP90" s="197"/>
      <c r="AQ90" s="239"/>
      <c r="AR90" s="240"/>
      <c r="AS90" s="199"/>
      <c r="AT90" s="200"/>
      <c r="AU90" s="198"/>
      <c r="AV90" s="196"/>
      <c r="AW90" s="196"/>
      <c r="AX90" s="196"/>
      <c r="AY90" s="197"/>
      <c r="AZ90" s="239"/>
      <c r="BA90" s="240"/>
      <c r="BB90" s="200"/>
      <c r="BC90" s="237"/>
      <c r="BD90" s="241"/>
      <c r="BE90" s="196"/>
      <c r="BF90" s="196"/>
      <c r="BG90" s="196"/>
      <c r="BH90" s="197"/>
      <c r="BI90" s="242"/>
      <c r="BJ90" s="237"/>
      <c r="BK90" s="237"/>
      <c r="BL90" s="237"/>
      <c r="BM90" s="241"/>
      <c r="BN90" s="196"/>
      <c r="BO90" s="196"/>
      <c r="BP90" s="196"/>
      <c r="BQ90" s="197"/>
      <c r="BR90" s="201"/>
      <c r="BS90" s="237"/>
      <c r="BT90" s="237"/>
      <c r="BU90" s="237"/>
      <c r="BV90" s="242"/>
      <c r="BW90" s="237"/>
      <c r="BX90" s="237"/>
      <c r="BY90" s="237"/>
      <c r="BZ90" s="237"/>
      <c r="CA90" s="237"/>
      <c r="CB90" s="437"/>
      <c r="CC90" s="437"/>
      <c r="CD90" s="437"/>
      <c r="CE90" s="437"/>
      <c r="CF90" s="237"/>
      <c r="CG90" s="237"/>
      <c r="CH90" s="237"/>
      <c r="CI90" s="237"/>
      <c r="CJ90" s="197"/>
      <c r="CK90" s="197"/>
      <c r="CL90" s="197"/>
      <c r="CM90" s="197"/>
      <c r="CN90" s="197"/>
      <c r="CO90" s="197"/>
      <c r="CP90" s="197"/>
      <c r="CQ90" s="197"/>
      <c r="CR90" s="197"/>
      <c r="CS90" s="197"/>
      <c r="CT90" s="401"/>
      <c r="CU90" s="237"/>
      <c r="CV90" s="243"/>
      <c r="CW90" s="255"/>
    </row>
    <row r="91" spans="1:101" ht="13.5" thickBot="1" x14ac:dyDescent="0.25">
      <c r="A91" s="256"/>
      <c r="B91" s="256"/>
      <c r="C91" s="202"/>
      <c r="D91" s="188"/>
      <c r="E91" s="266" t="str">
        <f>E3</f>
        <v>Skorgen Tippelag</v>
      </c>
      <c r="F91" s="406"/>
      <c r="G91" s="406"/>
      <c r="H91" s="406"/>
      <c r="I91" s="406"/>
      <c r="J91" s="406"/>
      <c r="K91" s="406"/>
      <c r="L91" s="406"/>
      <c r="M91" s="406"/>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6"/>
      <c r="AQ91" s="406"/>
      <c r="AR91" s="406"/>
      <c r="AS91" s="406"/>
      <c r="AT91" s="406"/>
      <c r="AU91" s="406"/>
      <c r="AV91" s="406"/>
      <c r="AW91" s="406"/>
      <c r="AX91" s="406"/>
      <c r="AY91" s="406"/>
      <c r="AZ91" s="406"/>
      <c r="BA91" s="406"/>
      <c r="BB91" s="406"/>
      <c r="BC91" s="406"/>
      <c r="BD91" s="406"/>
      <c r="BE91" s="406"/>
      <c r="BF91" s="406"/>
      <c r="BG91" s="406"/>
      <c r="BH91" s="406"/>
      <c r="BI91" s="406"/>
      <c r="BJ91" s="406"/>
      <c r="BK91" s="406"/>
      <c r="BL91" s="406"/>
      <c r="BM91" s="406"/>
      <c r="BN91" s="406"/>
      <c r="BO91" s="406"/>
      <c r="BP91" s="406"/>
      <c r="BQ91" s="406"/>
      <c r="BR91" s="406"/>
      <c r="BS91" s="406"/>
      <c r="BT91" s="406"/>
      <c r="BU91" s="406"/>
      <c r="BV91" s="406"/>
      <c r="BW91" s="406"/>
      <c r="BX91" s="406"/>
      <c r="BY91" s="406"/>
      <c r="BZ91" s="406"/>
      <c r="CA91" s="406"/>
      <c r="CB91" s="438"/>
      <c r="CC91" s="438"/>
      <c r="CD91" s="438"/>
      <c r="CE91" s="438"/>
      <c r="CF91" s="406"/>
      <c r="CG91" s="406"/>
      <c r="CH91" s="406"/>
      <c r="CI91" s="406"/>
      <c r="CJ91" s="406"/>
      <c r="CK91" s="406"/>
      <c r="CL91" s="406"/>
      <c r="CM91" s="406"/>
      <c r="CN91" s="366"/>
      <c r="CO91" s="366"/>
      <c r="CP91" s="366"/>
      <c r="CQ91" s="366"/>
      <c r="CR91" s="366"/>
      <c r="CS91" s="366"/>
      <c r="CT91" s="187"/>
      <c r="CU91" s="310"/>
      <c r="CV91" s="246"/>
      <c r="CW91" s="255"/>
    </row>
    <row r="92" spans="1:101" ht="18.75" thickTop="1" x14ac:dyDescent="0.2">
      <c r="A92" s="256"/>
      <c r="B92" s="256"/>
      <c r="C92" s="209"/>
      <c r="D92" s="290"/>
      <c r="E92" s="273"/>
      <c r="F92" s="274"/>
      <c r="G92" s="273"/>
      <c r="H92" s="273"/>
      <c r="I92" s="803" t="s">
        <v>39</v>
      </c>
      <c r="J92" s="805"/>
      <c r="K92" s="805"/>
      <c r="L92" s="291"/>
      <c r="M92" s="302"/>
      <c r="N92" s="242"/>
      <c r="O92" s="275"/>
      <c r="P92" s="275"/>
      <c r="Q92" s="808">
        <f>IF($F96="","",SUM(Q108:S108)-S94)</f>
        <v>640</v>
      </c>
      <c r="R92" s="808"/>
      <c r="S92" s="808"/>
      <c r="T92" s="276"/>
      <c r="U92" s="277"/>
      <c r="V92" s="277"/>
      <c r="W92" s="277"/>
      <c r="X92" s="277"/>
      <c r="Y92" s="275"/>
      <c r="Z92" s="808">
        <f>IF($F96="","",SUM(Z108:AB108)-AB94)</f>
        <v>680</v>
      </c>
      <c r="AA92" s="808"/>
      <c r="AB92" s="808"/>
      <c r="AC92" s="276"/>
      <c r="AD92" s="277"/>
      <c r="AE92" s="277"/>
      <c r="AF92" s="277"/>
      <c r="AG92" s="273"/>
      <c r="AH92" s="275"/>
      <c r="AI92" s="808">
        <f>IF($F96="","",SUM(AI108:AK108)-AK94)</f>
        <v>680</v>
      </c>
      <c r="AJ92" s="808"/>
      <c r="AK92" s="808"/>
      <c r="AL92" s="276"/>
      <c r="AM92" s="277"/>
      <c r="AN92" s="277"/>
      <c r="AO92" s="277"/>
      <c r="AP92" s="273"/>
      <c r="AQ92" s="275"/>
      <c r="AR92" s="808">
        <f>IF($F96="","",SUM(AR108:AT108)-AT94)</f>
        <v>580</v>
      </c>
      <c r="AS92" s="808"/>
      <c r="AT92" s="808"/>
      <c r="AU92" s="278"/>
      <c r="AV92" s="277"/>
      <c r="AW92" s="277"/>
      <c r="AX92" s="277"/>
      <c r="AY92" s="279"/>
      <c r="AZ92" s="280"/>
      <c r="BA92" s="808">
        <f>IF($F96="","",SUM(BA108:BC108)-BC94)</f>
        <v>650</v>
      </c>
      <c r="BB92" s="808"/>
      <c r="BC92" s="808"/>
      <c r="BD92" s="278"/>
      <c r="BE92" s="277"/>
      <c r="BF92" s="277"/>
      <c r="BG92" s="277"/>
      <c r="BH92" s="279"/>
      <c r="BI92" s="280"/>
      <c r="BJ92" s="808">
        <f>IF($F96="","",SUM(BJ108:BL108)-BL94)</f>
        <v>630</v>
      </c>
      <c r="BK92" s="808"/>
      <c r="BL92" s="808"/>
      <c r="BM92" s="278"/>
      <c r="BN92" s="277"/>
      <c r="BO92" s="277"/>
      <c r="BP92" s="277"/>
      <c r="BQ92" s="279"/>
      <c r="BR92" s="281"/>
      <c r="BS92" s="808">
        <f>IF($F96="","",SUM(BS108:BU108)-BU94)</f>
        <v>590</v>
      </c>
      <c r="BT92" s="808"/>
      <c r="BU92" s="808"/>
      <c r="BV92" s="280"/>
      <c r="BW92" s="279"/>
      <c r="BX92" s="279"/>
      <c r="BY92" s="279"/>
      <c r="BZ92" s="279"/>
      <c r="CA92" s="281"/>
      <c r="CB92" s="808">
        <f>IF($F96="","",SUM(CB108:CD108)-CD94)</f>
        <v>670</v>
      </c>
      <c r="CC92" s="808"/>
      <c r="CD92" s="808"/>
      <c r="CE92" s="280"/>
      <c r="CF92" s="279"/>
      <c r="CG92" s="279"/>
      <c r="CH92" s="279"/>
      <c r="CI92" s="279"/>
      <c r="CJ92" s="273"/>
      <c r="CK92" s="808">
        <f>IF($F96="","",SUM(CK108:CM108))</f>
        <v>710</v>
      </c>
      <c r="CL92" s="808"/>
      <c r="CM92" s="808"/>
      <c r="CN92" s="280"/>
      <c r="CO92" s="279"/>
      <c r="CP92" s="279"/>
      <c r="CQ92" s="279"/>
      <c r="CR92" s="273"/>
      <c r="CS92" s="273"/>
      <c r="CT92" s="273"/>
      <c r="CU92" s="292"/>
      <c r="CV92" s="246"/>
      <c r="CW92" s="255"/>
    </row>
    <row r="93" spans="1:101" x14ac:dyDescent="0.2">
      <c r="A93" s="256"/>
      <c r="B93" s="256"/>
      <c r="C93" s="209"/>
      <c r="D93" s="916">
        <v>40</v>
      </c>
      <c r="E93" s="588">
        <f>IF(D93="","",DATE($D$4,1,1)+(D93-1)*7+(6-WEEKDAY(DATE($D$4,1,1),2)))</f>
        <v>45934</v>
      </c>
      <c r="F93" s="213"/>
      <c r="G93" s="214"/>
      <c r="H93" s="214"/>
      <c r="I93" s="804">
        <f>IF(ISERROR(AVERAGE(Q92,Z92,AI92,AR92,BA92,BJ92,BS92,CB92,CK92)),"",AVERAGE(Q92,Z92,AI92,AR92,BA92,BJ92,BS92,CB92,CK92))</f>
        <v>647.77777777777783</v>
      </c>
      <c r="J93" s="806"/>
      <c r="K93" s="806"/>
      <c r="L93" s="295"/>
      <c r="M93" s="372"/>
      <c r="N93" s="245"/>
      <c r="O93" s="215"/>
      <c r="P93" s="215"/>
      <c r="Q93" s="710">
        <f>IF(Q92="","",Q92/Data!$X$1)</f>
        <v>0.53333333333333333</v>
      </c>
      <c r="R93" s="710"/>
      <c r="S93" s="711">
        <f>IF(SUM(X96:X107)=0,"",SUM(X96:X107))</f>
        <v>8</v>
      </c>
      <c r="T93" s="216"/>
      <c r="U93" s="217"/>
      <c r="V93" s="217"/>
      <c r="W93" s="217"/>
      <c r="X93" s="217"/>
      <c r="Y93" s="215"/>
      <c r="Z93" s="710">
        <f>IF(Z92="","",Z92/Data!$X$1)</f>
        <v>0.56666666666666665</v>
      </c>
      <c r="AA93" s="710"/>
      <c r="AB93" s="711">
        <f>IF(SUM(AG96:AG107)=0,"",SUM(AG96:AG107))</f>
        <v>8</v>
      </c>
      <c r="AC93" s="216"/>
      <c r="AD93" s="217"/>
      <c r="AE93" s="217"/>
      <c r="AF93" s="217"/>
      <c r="AG93" s="217"/>
      <c r="AH93" s="215"/>
      <c r="AI93" s="710">
        <f>IF(AI92="","",AI92/Data!$X$1)</f>
        <v>0.56666666666666665</v>
      </c>
      <c r="AJ93" s="710"/>
      <c r="AK93" s="711">
        <f>IF(SUM(AP96:AP107)=0,"",SUM(AP96:AP107))</f>
        <v>9</v>
      </c>
      <c r="AL93" s="216"/>
      <c r="AM93" s="217"/>
      <c r="AN93" s="217"/>
      <c r="AO93" s="217"/>
      <c r="AP93" s="217"/>
      <c r="AQ93" s="215"/>
      <c r="AR93" s="710">
        <f>IF(AR92="","",AR92/Data!$X$1)</f>
        <v>0.48333333333333334</v>
      </c>
      <c r="AS93" s="710"/>
      <c r="AT93" s="711">
        <f>IF(SUM(AY96:AY107)=0,"",SUM(AY96:AY107))</f>
        <v>8</v>
      </c>
      <c r="AU93" s="218"/>
      <c r="AV93" s="217"/>
      <c r="AW93" s="217"/>
      <c r="AX93" s="217"/>
      <c r="AY93" s="217"/>
      <c r="AZ93" s="219"/>
      <c r="BA93" s="710">
        <f>IF(BA92="","",BA92/Data!$X$1)</f>
        <v>0.54166666666666663</v>
      </c>
      <c r="BB93" s="710"/>
      <c r="BC93" s="711">
        <f>IF(SUM(BH96:BH107)=0,"",SUM(BH96:BH107))</f>
        <v>8</v>
      </c>
      <c r="BD93" s="218"/>
      <c r="BE93" s="217"/>
      <c r="BF93" s="217"/>
      <c r="BG93" s="217"/>
      <c r="BH93" s="217"/>
      <c r="BI93" s="219"/>
      <c r="BJ93" s="710">
        <f>IF(BJ92="","",BJ92/Data!$X$1)</f>
        <v>0.52500000000000002</v>
      </c>
      <c r="BK93" s="710"/>
      <c r="BL93" s="711">
        <f>IF(SUM(BQ96:BQ107)=0,"",SUM(BQ96:BQ107))</f>
        <v>7</v>
      </c>
      <c r="BM93" s="218"/>
      <c r="BN93" s="217"/>
      <c r="BO93" s="217"/>
      <c r="BP93" s="217"/>
      <c r="BQ93" s="217"/>
      <c r="BR93" s="220"/>
      <c r="BS93" s="710">
        <f>IF(BS92="","",BS92/Data!$X$1)</f>
        <v>0.49166666666666664</v>
      </c>
      <c r="BT93" s="710"/>
      <c r="BU93" s="711">
        <f>IF(SUM(BZ96:BZ107)=0,"",SUM(BZ96:BZ107))</f>
        <v>9</v>
      </c>
      <c r="BV93" s="219"/>
      <c r="BW93" s="217"/>
      <c r="BX93" s="217"/>
      <c r="BY93" s="217"/>
      <c r="BZ93" s="217"/>
      <c r="CA93" s="220"/>
      <c r="CB93" s="710">
        <f>IF(CB92="","",CB92/Data!$X$1)</f>
        <v>0.55833333333333335</v>
      </c>
      <c r="CC93" s="710"/>
      <c r="CD93" s="711">
        <f>IF(SUM(CI96:CI107)=0,"",SUM(CI96:CI107))</f>
        <v>8</v>
      </c>
      <c r="CE93" s="219"/>
      <c r="CF93" s="217"/>
      <c r="CG93" s="217"/>
      <c r="CH93" s="217"/>
      <c r="CI93" s="217"/>
      <c r="CJ93" s="217"/>
      <c r="CK93" s="710">
        <f>IF(CK92="","",CK92/Data!$X$1)</f>
        <v>0.59166666666666667</v>
      </c>
      <c r="CL93" s="710"/>
      <c r="CM93" s="711">
        <f>IF(SUM(CR96:CR107)=0,"",SUM(CR96:CR107))</f>
        <v>8</v>
      </c>
      <c r="CN93" s="219"/>
      <c r="CO93" s="217"/>
      <c r="CP93" s="217"/>
      <c r="CQ93" s="217"/>
      <c r="CR93" s="217"/>
      <c r="CS93" s="217"/>
      <c r="CT93" s="217"/>
      <c r="CU93" s="296"/>
      <c r="CV93" s="246"/>
      <c r="CW93" s="255"/>
    </row>
    <row r="94" spans="1:101" ht="13.5" thickBot="1" x14ac:dyDescent="0.25">
      <c r="A94" s="256"/>
      <c r="B94" s="256"/>
      <c r="C94" s="209"/>
      <c r="D94" s="269">
        <f>D72+1</f>
        <v>5</v>
      </c>
      <c r="E94" s="402" t="s">
        <v>61</v>
      </c>
      <c r="F94" s="221"/>
      <c r="G94" s="222"/>
      <c r="H94" s="222"/>
      <c r="I94" s="802"/>
      <c r="J94" s="807"/>
      <c r="K94" s="807"/>
      <c r="L94" s="297"/>
      <c r="M94" s="373"/>
      <c r="N94" s="377"/>
      <c r="O94" s="222"/>
      <c r="P94" s="222"/>
      <c r="Q94" s="385" t="str">
        <f>Data!$E$11</f>
        <v>AHH</v>
      </c>
      <c r="R94" s="386">
        <f>IF($F107="","",RANK(Q92,$Q92:$CL92))</f>
        <v>6</v>
      </c>
      <c r="S94" s="510"/>
      <c r="T94" s="216">
        <v>0</v>
      </c>
      <c r="U94" s="217"/>
      <c r="V94" s="217"/>
      <c r="W94" s="217"/>
      <c r="X94" s="217"/>
      <c r="Y94" s="215"/>
      <c r="Z94" s="385" t="str">
        <f>Data!$E$12</f>
        <v>RB</v>
      </c>
      <c r="AA94" s="386">
        <f>IF($F107="","",RANK(Z92,$Q92:$CL92))</f>
        <v>2</v>
      </c>
      <c r="AB94" s="510"/>
      <c r="AC94" s="216"/>
      <c r="AD94" s="217"/>
      <c r="AE94" s="217"/>
      <c r="AF94" s="217"/>
      <c r="AG94" s="217"/>
      <c r="AH94" s="215"/>
      <c r="AI94" s="385" t="str">
        <f>Data!$E$13</f>
        <v>EB</v>
      </c>
      <c r="AJ94" s="386">
        <f>IF($F107="","",RANK(AI92,$Q92:$CL92))</f>
        <v>2</v>
      </c>
      <c r="AK94" s="510"/>
      <c r="AL94" s="216"/>
      <c r="AM94" s="217"/>
      <c r="AN94" s="217"/>
      <c r="AO94" s="217"/>
      <c r="AP94" s="217"/>
      <c r="AQ94" s="215"/>
      <c r="AR94" s="346" t="str">
        <f>Data!$E$14</f>
        <v>KAF</v>
      </c>
      <c r="AS94" s="386">
        <f>IF($F107="","",RANK(AR92,$Q92:$CL92))</f>
        <v>9</v>
      </c>
      <c r="AT94" s="510">
        <v>50</v>
      </c>
      <c r="AU94" s="216"/>
      <c r="AV94" s="217"/>
      <c r="AW94" s="217"/>
      <c r="AX94" s="217"/>
      <c r="AY94" s="217"/>
      <c r="AZ94" s="215"/>
      <c r="BA94" s="346" t="str">
        <f>Data!$E$15</f>
        <v>ØG</v>
      </c>
      <c r="BB94" s="386">
        <f>IF($F107="","",RANK(BA92,$Q92:$CL92))</f>
        <v>5</v>
      </c>
      <c r="BC94" s="510"/>
      <c r="BD94" s="216"/>
      <c r="BE94" s="217"/>
      <c r="BF94" s="217"/>
      <c r="BG94" s="217"/>
      <c r="BH94" s="217"/>
      <c r="BI94" s="215"/>
      <c r="BJ94" s="346" t="str">
        <f>Data!$E$16</f>
        <v>JH</v>
      </c>
      <c r="BK94" s="386">
        <f>IF($F107="","",RANK(BJ92,$Q92:$CL92))</f>
        <v>7</v>
      </c>
      <c r="BL94" s="510"/>
      <c r="BM94" s="216"/>
      <c r="BN94" s="217"/>
      <c r="BO94" s="217"/>
      <c r="BP94" s="217"/>
      <c r="BQ94" s="217"/>
      <c r="BR94" s="223"/>
      <c r="BS94" s="346" t="str">
        <f>Data!$E$17</f>
        <v>TOH</v>
      </c>
      <c r="BT94" s="386">
        <f>IF($F107="","",RANK(BS92,$Q92:$CL92))</f>
        <v>8</v>
      </c>
      <c r="BU94" s="510">
        <v>50</v>
      </c>
      <c r="BV94" s="215"/>
      <c r="BW94" s="217"/>
      <c r="BX94" s="217"/>
      <c r="BY94" s="217"/>
      <c r="BZ94" s="217"/>
      <c r="CA94" s="223"/>
      <c r="CB94" s="346" t="s">
        <v>26</v>
      </c>
      <c r="CC94" s="386">
        <f>IF($F107="","",RANK(CB92,$Q92:$CM92))</f>
        <v>4</v>
      </c>
      <c r="CD94" s="511"/>
      <c r="CE94" s="215"/>
      <c r="CF94" s="217"/>
      <c r="CG94" s="217"/>
      <c r="CH94" s="217"/>
      <c r="CI94" s="217"/>
      <c r="CJ94" s="217"/>
      <c r="CK94" s="346" t="s">
        <v>27</v>
      </c>
      <c r="CL94" s="386">
        <f>IF($F107="","",RANK(CK92,$Q92:$CM92))</f>
        <v>1</v>
      </c>
      <c r="CM94" s="798"/>
      <c r="CN94" s="215"/>
      <c r="CO94" s="217"/>
      <c r="CP94" s="217"/>
      <c r="CQ94" s="217"/>
      <c r="CR94" s="217"/>
      <c r="CS94" s="217"/>
      <c r="CT94" s="217"/>
      <c r="CU94" s="296"/>
      <c r="CV94" s="246"/>
      <c r="CW94" s="255"/>
    </row>
    <row r="95" spans="1:101" ht="13.5" thickBot="1" x14ac:dyDescent="0.25">
      <c r="A95" s="264"/>
      <c r="B95" s="264"/>
      <c r="C95" s="202"/>
      <c r="D95" s="270"/>
      <c r="E95" s="224"/>
      <c r="F95" s="225"/>
      <c r="G95" s="226"/>
      <c r="H95" s="226"/>
      <c r="I95" s="227" t="s">
        <v>45</v>
      </c>
      <c r="J95" s="228" t="s">
        <v>46</v>
      </c>
      <c r="K95" s="229" t="s">
        <v>47</v>
      </c>
      <c r="L95" s="298"/>
      <c r="M95" s="374"/>
      <c r="N95" s="378"/>
      <c r="O95" s="230"/>
      <c r="P95" s="230"/>
      <c r="Q95" s="227" t="s">
        <v>45</v>
      </c>
      <c r="R95" s="228" t="s">
        <v>46</v>
      </c>
      <c r="S95" s="229" t="s">
        <v>47</v>
      </c>
      <c r="T95" s="231"/>
      <c r="U95" s="232"/>
      <c r="V95" s="232"/>
      <c r="W95" s="232"/>
      <c r="X95" s="232"/>
      <c r="Y95" s="230"/>
      <c r="Z95" s="227" t="s">
        <v>45</v>
      </c>
      <c r="AA95" s="228" t="s">
        <v>46</v>
      </c>
      <c r="AB95" s="229" t="s">
        <v>47</v>
      </c>
      <c r="AC95" s="231"/>
      <c r="AD95" s="232"/>
      <c r="AE95" s="232"/>
      <c r="AF95" s="232"/>
      <c r="AG95" s="232"/>
      <c r="AH95" s="230"/>
      <c r="AI95" s="227" t="s">
        <v>45</v>
      </c>
      <c r="AJ95" s="228" t="s">
        <v>46</v>
      </c>
      <c r="AK95" s="229" t="s">
        <v>47</v>
      </c>
      <c r="AL95" s="231"/>
      <c r="AM95" s="232"/>
      <c r="AN95" s="232"/>
      <c r="AO95" s="232"/>
      <c r="AP95" s="232"/>
      <c r="AQ95" s="230"/>
      <c r="AR95" s="227" t="s">
        <v>45</v>
      </c>
      <c r="AS95" s="228" t="s">
        <v>46</v>
      </c>
      <c r="AT95" s="229" t="s">
        <v>47</v>
      </c>
      <c r="AU95" s="231"/>
      <c r="AV95" s="232"/>
      <c r="AW95" s="232"/>
      <c r="AX95" s="232"/>
      <c r="AY95" s="232"/>
      <c r="AZ95" s="230"/>
      <c r="BA95" s="227" t="s">
        <v>45</v>
      </c>
      <c r="BB95" s="228" t="s">
        <v>46</v>
      </c>
      <c r="BC95" s="229" t="s">
        <v>47</v>
      </c>
      <c r="BD95" s="231"/>
      <c r="BE95" s="232"/>
      <c r="BF95" s="232"/>
      <c r="BG95" s="232"/>
      <c r="BH95" s="232"/>
      <c r="BI95" s="230"/>
      <c r="BJ95" s="227" t="s">
        <v>45</v>
      </c>
      <c r="BK95" s="228" t="s">
        <v>46</v>
      </c>
      <c r="BL95" s="229" t="s">
        <v>47</v>
      </c>
      <c r="BM95" s="231"/>
      <c r="BN95" s="232"/>
      <c r="BO95" s="232"/>
      <c r="BP95" s="232"/>
      <c r="BQ95" s="232"/>
      <c r="BR95" s="230"/>
      <c r="BS95" s="227" t="s">
        <v>45</v>
      </c>
      <c r="BT95" s="228" t="s">
        <v>46</v>
      </c>
      <c r="BU95" s="229" t="s">
        <v>47</v>
      </c>
      <c r="BV95" s="231"/>
      <c r="BW95" s="232"/>
      <c r="BX95" s="232"/>
      <c r="BY95" s="232"/>
      <c r="BZ95" s="233"/>
      <c r="CA95" s="230"/>
      <c r="CB95" s="227" t="s">
        <v>45</v>
      </c>
      <c r="CC95" s="228" t="s">
        <v>46</v>
      </c>
      <c r="CD95" s="229" t="s">
        <v>47</v>
      </c>
      <c r="CE95" s="231"/>
      <c r="CF95" s="232"/>
      <c r="CG95" s="232"/>
      <c r="CH95" s="232"/>
      <c r="CI95" s="232"/>
      <c r="CJ95" s="232"/>
      <c r="CK95" s="227" t="s">
        <v>45</v>
      </c>
      <c r="CL95" s="228" t="s">
        <v>46</v>
      </c>
      <c r="CM95" s="229" t="s">
        <v>47</v>
      </c>
      <c r="CN95" s="231"/>
      <c r="CO95" s="232"/>
      <c r="CP95" s="232"/>
      <c r="CQ95" s="232"/>
      <c r="CR95" s="232"/>
      <c r="CS95" s="232"/>
      <c r="CT95" s="234"/>
      <c r="CU95" s="296"/>
      <c r="CV95" s="246"/>
      <c r="CW95" s="265"/>
    </row>
    <row r="96" spans="1:101" x14ac:dyDescent="0.2">
      <c r="A96" s="264"/>
      <c r="B96" s="264"/>
      <c r="C96" s="202"/>
      <c r="D96" s="271">
        <v>1</v>
      </c>
      <c r="E96" s="166" t="s">
        <v>98</v>
      </c>
      <c r="F96" s="468">
        <v>2</v>
      </c>
      <c r="G96" s="472" t="s">
        <v>49</v>
      </c>
      <c r="H96" s="473">
        <v>2</v>
      </c>
      <c r="I96" s="170" t="str">
        <f t="shared" ref="I96:I107" si="200">IF($F96&gt;$H96,"x","")</f>
        <v/>
      </c>
      <c r="J96" s="387" t="str">
        <f t="shared" ref="J96:J107" si="201">IF(F96&lt;&gt;"",IF(H96&lt;&gt;"",IF(F96=H96,"x",""),""),"")</f>
        <v>x</v>
      </c>
      <c r="K96" s="388" t="str">
        <f t="shared" ref="K96:K107" si="202">IF($F96&lt;$H96,"x","")</f>
        <v/>
      </c>
      <c r="L96" s="299"/>
      <c r="M96" s="375"/>
      <c r="N96" s="379"/>
      <c r="O96" s="236"/>
      <c r="P96" s="236"/>
      <c r="Q96" s="480">
        <v>30</v>
      </c>
      <c r="R96" s="481">
        <v>30</v>
      </c>
      <c r="S96" s="482">
        <f>IF(Q96="","",100-SUM(Q96:R96))</f>
        <v>40</v>
      </c>
      <c r="T96" s="371"/>
      <c r="U96" s="232" t="str">
        <f t="shared" ref="U96:U107" si="203">IF($I96="x",Q96,"")</f>
        <v/>
      </c>
      <c r="V96" s="232">
        <f t="shared" ref="V96:V107" si="204">IF($J96="x",R96,"")</f>
        <v>30</v>
      </c>
      <c r="W96" s="232" t="str">
        <f t="shared" ref="W96:W107" si="205">IF($K96="x",S96,"")</f>
        <v/>
      </c>
      <c r="X96" s="232" t="str">
        <f>IF((MAX(U96,V96,W96))=0,"",IF((MAX(U96,V96,W96))=(MAX(Q96,R96,S96)),1,""))</f>
        <v/>
      </c>
      <c r="Y96" s="371"/>
      <c r="Z96" s="495">
        <v>10</v>
      </c>
      <c r="AA96" s="496">
        <v>10</v>
      </c>
      <c r="AB96" s="482">
        <f t="shared" ref="AB96:AB107" si="206">IF(Z96="","",100-SUM(Z96:AA96))</f>
        <v>80</v>
      </c>
      <c r="AC96" s="371"/>
      <c r="AD96" s="232" t="str">
        <f t="shared" ref="AD96:AD107" si="207">IF($I96="x",Z96,"")</f>
        <v/>
      </c>
      <c r="AE96" s="232">
        <f t="shared" ref="AE96:AE107" si="208">IF($J96="x",AA96,"")</f>
        <v>10</v>
      </c>
      <c r="AF96" s="232" t="str">
        <f t="shared" ref="AF96:AF107" si="209">IF($K96="x",AB96,"")</f>
        <v/>
      </c>
      <c r="AG96" s="232" t="str">
        <f>IF((MAX(AD96,AE96,AF96))=0,"",IF((MAX(AD96,AE96,AF96))=(MAX(Z96,AA96,AB96)),1,""))</f>
        <v/>
      </c>
      <c r="AH96" s="371"/>
      <c r="AI96" s="495">
        <v>20</v>
      </c>
      <c r="AJ96" s="496">
        <v>40</v>
      </c>
      <c r="AK96" s="482">
        <f t="shared" ref="AK96:AK107" si="210">IF(AI96="","",100-SUM(AI96:AJ96))</f>
        <v>40</v>
      </c>
      <c r="AL96" s="371"/>
      <c r="AM96" s="232" t="str">
        <f t="shared" ref="AM96:AM107" si="211">IF($I96="x",AI96,"")</f>
        <v/>
      </c>
      <c r="AN96" s="232">
        <f t="shared" ref="AN96:AN107" si="212">IF($J96="x",AJ96,"")</f>
        <v>40</v>
      </c>
      <c r="AO96" s="232" t="str">
        <f t="shared" ref="AO96:AO107" si="213">IF($K96="x",AK96,"")</f>
        <v/>
      </c>
      <c r="AP96" s="232">
        <f>IF((MAX(AM96,AN96,AO96))=0,"",IF((MAX(AM96,AN96,AO96))=(MAX(AI96,AJ96,AK96)),1,""))</f>
        <v>1</v>
      </c>
      <c r="AQ96" s="371"/>
      <c r="AR96" s="495">
        <v>30</v>
      </c>
      <c r="AS96" s="496">
        <v>30</v>
      </c>
      <c r="AT96" s="482">
        <f t="shared" ref="AT96:AT107" si="214">IF(AR96="","",100-SUM(AR96:AS96))</f>
        <v>40</v>
      </c>
      <c r="AU96" s="371"/>
      <c r="AV96" s="232" t="str">
        <f t="shared" ref="AV96:AV107" si="215">IF($I96="x",AR96,"")</f>
        <v/>
      </c>
      <c r="AW96" s="232">
        <f t="shared" ref="AW96:AW107" si="216">IF($J96="x",AS96,"")</f>
        <v>30</v>
      </c>
      <c r="AX96" s="232" t="str">
        <f t="shared" ref="AX96:AX107" si="217">IF($K96="x",AT96,"")</f>
        <v/>
      </c>
      <c r="AY96" s="232" t="str">
        <f>IF((MAX(AV96,AW96,AX96))=0,"",IF((MAX(AV96,AW96,AX96))=(MAX(AR96,AS96,AT96)),1,""))</f>
        <v/>
      </c>
      <c r="AZ96" s="371"/>
      <c r="BA96" s="495">
        <v>10</v>
      </c>
      <c r="BB96" s="496">
        <v>10</v>
      </c>
      <c r="BC96" s="482">
        <f t="shared" ref="BC96:BC107" si="218">IF(BA96="","",100-SUM(BA96:BB96))</f>
        <v>80</v>
      </c>
      <c r="BD96" s="371"/>
      <c r="BE96" s="232" t="str">
        <f t="shared" ref="BE96:BE107" si="219">IF($I96="x",BA96,"")</f>
        <v/>
      </c>
      <c r="BF96" s="232">
        <f t="shared" ref="BF96:BF107" si="220">IF($J96="x",BB96,"")</f>
        <v>10</v>
      </c>
      <c r="BG96" s="232" t="str">
        <f t="shared" ref="BG96:BG107" si="221">IF($K96="x",BC96,"")</f>
        <v/>
      </c>
      <c r="BH96" s="232" t="str">
        <f>IF((MAX(BE96,BF96,BG96))=0,"",IF((MAX(BE96,BF96,BG96))=(MAX(BA96,BB96,BC96)),1,""))</f>
        <v/>
      </c>
      <c r="BI96" s="371"/>
      <c r="BJ96" s="495">
        <v>10</v>
      </c>
      <c r="BK96" s="496">
        <v>10</v>
      </c>
      <c r="BL96" s="482">
        <f t="shared" ref="BL96:BL107" si="222">IF(BJ96="","",100-SUM(BJ96:BK96))</f>
        <v>80</v>
      </c>
      <c r="BM96" s="371"/>
      <c r="BN96" s="232" t="str">
        <f t="shared" ref="BN96:BN107" si="223">IF($I96="x",BJ96,"")</f>
        <v/>
      </c>
      <c r="BO96" s="232">
        <f t="shared" ref="BO96:BO107" si="224">IF($J96="x",BK96,"")</f>
        <v>10</v>
      </c>
      <c r="BP96" s="232" t="str">
        <f t="shared" ref="BP96:BP107" si="225">IF($K96="x",BL96,"")</f>
        <v/>
      </c>
      <c r="BQ96" s="232" t="str">
        <f>IF((MAX(BN96,BO96,BP96))=0,"",IF((MAX(BN96,BO96,BP96))=(MAX(BJ96,BK96,BL96)),1,""))</f>
        <v/>
      </c>
      <c r="BR96" s="371"/>
      <c r="BS96" s="495">
        <v>30</v>
      </c>
      <c r="BT96" s="496">
        <v>20</v>
      </c>
      <c r="BU96" s="482">
        <f t="shared" ref="BU96:BU107" si="226">IF(BS96="","",100-SUM(BS96:BT96))</f>
        <v>50</v>
      </c>
      <c r="BV96" s="371"/>
      <c r="BW96" s="232" t="str">
        <f t="shared" ref="BW96:BW107" si="227">IF($I96="x",BS96,"")</f>
        <v/>
      </c>
      <c r="BX96" s="232">
        <f t="shared" ref="BX96:BX107" si="228">IF($J96="x",BT96,"")</f>
        <v>20</v>
      </c>
      <c r="BY96" s="232" t="str">
        <f t="shared" ref="BY96:BY107" si="229">IF($K96="x",BU96,"")</f>
        <v/>
      </c>
      <c r="BZ96" s="232" t="str">
        <f>IF((MAX(BW96,BX96,BY96))=0,"",IF((MAX(BW96,BX96,BY96))=(MAX(BS96,BT96,BU96)),1,""))</f>
        <v/>
      </c>
      <c r="CA96" s="371"/>
      <c r="CB96" s="501">
        <f t="shared" ref="CB96:CB107" si="230">IFERROR(ROUNDUP((SUM(Q96,Z96,AI96,AR96,BA96,BJ96,BS96)/SUM($Q96:$S96,$Z96:$AB96,$AI96:$AK96,$AR96:$AT96,$BA96:$BC96,$BJ96:$BL96,$BS96:$BU96))*100,-1),"")</f>
        <v>20</v>
      </c>
      <c r="CC96" s="502">
        <f t="shared" ref="CC96:CC107" si="231">IFERROR(ROUNDDOWN((SUM(R96,AA96,AJ96,AS96,BB96,BK96,BT96)/SUM($Q96:$S96,$Z96:$AB96,$AI96:$AK96,$AR96:$AT96,$BA96:$BC96,$BJ96:$BL96,$BS96:$BU96))*100,-1),"")</f>
        <v>20</v>
      </c>
      <c r="CD96" s="503">
        <f t="shared" ref="CD96:CD107" si="232">IF(CB96="","",100-SUM(CB96:CC96))</f>
        <v>60</v>
      </c>
      <c r="CE96" s="371"/>
      <c r="CF96" s="232" t="str">
        <f t="shared" ref="CF96:CF107" si="233">IF($I96="x",CB96,"")</f>
        <v/>
      </c>
      <c r="CG96" s="232">
        <f t="shared" ref="CG96:CG107" si="234">IF($J96="x",CC96,"")</f>
        <v>20</v>
      </c>
      <c r="CH96" s="232" t="str">
        <f t="shared" ref="CH96:CH107" si="235">IF($K96="x",CD96,"")</f>
        <v/>
      </c>
      <c r="CI96" s="232" t="str">
        <f>IF((MAX(CF96,CG96,CH96))=0,"",IF((MAX(CF96,CG96,CH96))=(MAX(CB96,CC96,CD96)),1,""))</f>
        <v/>
      </c>
      <c r="CJ96" s="232"/>
      <c r="CK96" s="495">
        <v>20</v>
      </c>
      <c r="CL96" s="496">
        <v>20</v>
      </c>
      <c r="CM96" s="482">
        <f t="shared" ref="CM96:CM107" si="236">IF(CK96="","",100-SUM(CK96:CL96))</f>
        <v>60</v>
      </c>
      <c r="CN96" s="371"/>
      <c r="CO96" s="232" t="str">
        <f t="shared" ref="CO96:CO107" si="237">IF($I96="x",CK96,"")</f>
        <v/>
      </c>
      <c r="CP96" s="232">
        <f t="shared" ref="CP96:CP107" si="238">IF($J96="x",CL96,"")</f>
        <v>20</v>
      </c>
      <c r="CQ96" s="232" t="str">
        <f t="shared" ref="CQ96:CQ107" si="239">IF($K96="x",CM96,"")</f>
        <v/>
      </c>
      <c r="CR96" s="232" t="str">
        <f>IF((MAX(CO96,CP96,CQ96))=0,"",IF((MAX(CO96,CP96,CQ96))=(MAX(CK96,CL96,CM96)),1,""))</f>
        <v/>
      </c>
      <c r="CS96" s="232"/>
      <c r="CT96" s="371"/>
      <c r="CU96" s="296"/>
      <c r="CV96" s="246"/>
      <c r="CW96" s="264"/>
    </row>
    <row r="97" spans="1:101" x14ac:dyDescent="0.2">
      <c r="A97" s="264"/>
      <c r="B97" s="264"/>
      <c r="C97" s="202"/>
      <c r="D97" s="271">
        <v>2</v>
      </c>
      <c r="E97" s="167" t="s">
        <v>99</v>
      </c>
      <c r="F97" s="469">
        <v>2</v>
      </c>
      <c r="G97" s="474" t="s">
        <v>49</v>
      </c>
      <c r="H97" s="475">
        <v>0</v>
      </c>
      <c r="I97" s="389" t="str">
        <f t="shared" si="200"/>
        <v>x</v>
      </c>
      <c r="J97" s="390" t="str">
        <f t="shared" si="201"/>
        <v/>
      </c>
      <c r="K97" s="391" t="str">
        <f t="shared" si="202"/>
        <v/>
      </c>
      <c r="L97" s="299"/>
      <c r="M97" s="375"/>
      <c r="N97" s="379"/>
      <c r="O97" s="236"/>
      <c r="P97" s="236"/>
      <c r="Q97" s="483">
        <v>80</v>
      </c>
      <c r="R97" s="484">
        <v>10</v>
      </c>
      <c r="S97" s="485">
        <f t="shared" ref="S97:S107" si="240">IF(Q97="","",100-SUM(Q97:R97))</f>
        <v>10</v>
      </c>
      <c r="T97" s="371"/>
      <c r="U97" s="232">
        <f t="shared" si="203"/>
        <v>80</v>
      </c>
      <c r="V97" s="232" t="str">
        <f t="shared" si="204"/>
        <v/>
      </c>
      <c r="W97" s="232" t="str">
        <f t="shared" si="205"/>
        <v/>
      </c>
      <c r="X97" s="232">
        <f t="shared" ref="X97:X107" si="241">IF((MAX(U97,V97,W97))=0,"",IF((MAX(U97,V97,W97))=(MAX(Q97,R97,S97)),1,""))</f>
        <v>1</v>
      </c>
      <c r="Y97" s="371"/>
      <c r="Z97" s="497">
        <v>80</v>
      </c>
      <c r="AA97" s="498">
        <v>10</v>
      </c>
      <c r="AB97" s="485">
        <f t="shared" si="206"/>
        <v>10</v>
      </c>
      <c r="AC97" s="371"/>
      <c r="AD97" s="232">
        <f t="shared" si="207"/>
        <v>80</v>
      </c>
      <c r="AE97" s="232" t="str">
        <f t="shared" si="208"/>
        <v/>
      </c>
      <c r="AF97" s="232" t="str">
        <f t="shared" si="209"/>
        <v/>
      </c>
      <c r="AG97" s="232">
        <f t="shared" ref="AG97:AG107" si="242">IF((MAX(AD97,AE97,AF97))=0,"",IF((MAX(AD97,AE97,AF97))=(MAX(Z97,AA97,AB97)),1,""))</f>
        <v>1</v>
      </c>
      <c r="AH97" s="371"/>
      <c r="AI97" s="497">
        <v>80</v>
      </c>
      <c r="AJ97" s="498">
        <v>10</v>
      </c>
      <c r="AK97" s="485">
        <f t="shared" si="210"/>
        <v>10</v>
      </c>
      <c r="AL97" s="371"/>
      <c r="AM97" s="232">
        <f t="shared" si="211"/>
        <v>80</v>
      </c>
      <c r="AN97" s="232" t="str">
        <f t="shared" si="212"/>
        <v/>
      </c>
      <c r="AO97" s="232" t="str">
        <f t="shared" si="213"/>
        <v/>
      </c>
      <c r="AP97" s="232">
        <f t="shared" ref="AP97:AP107" si="243">IF((MAX(AM97,AN97,AO97))=0,"",IF((MAX(AM97,AN97,AO97))=(MAX(AI97,AJ97,AK97)),1,""))</f>
        <v>1</v>
      </c>
      <c r="AQ97" s="371"/>
      <c r="AR97" s="497">
        <v>80</v>
      </c>
      <c r="AS97" s="498">
        <v>10</v>
      </c>
      <c r="AT97" s="485">
        <f t="shared" si="214"/>
        <v>10</v>
      </c>
      <c r="AU97" s="371"/>
      <c r="AV97" s="232">
        <f t="shared" si="215"/>
        <v>80</v>
      </c>
      <c r="AW97" s="232" t="str">
        <f t="shared" si="216"/>
        <v/>
      </c>
      <c r="AX97" s="232" t="str">
        <f t="shared" si="217"/>
        <v/>
      </c>
      <c r="AY97" s="232">
        <f t="shared" ref="AY97:AY107" si="244">IF((MAX(AV97,AW97,AX97))=0,"",IF((MAX(AV97,AW97,AX97))=(MAX(AR97,AS97,AT97)),1,""))</f>
        <v>1</v>
      </c>
      <c r="AZ97" s="371"/>
      <c r="BA97" s="497">
        <v>80</v>
      </c>
      <c r="BB97" s="498">
        <v>10</v>
      </c>
      <c r="BC97" s="485">
        <f t="shared" si="218"/>
        <v>10</v>
      </c>
      <c r="BD97" s="371"/>
      <c r="BE97" s="232">
        <f t="shared" si="219"/>
        <v>80</v>
      </c>
      <c r="BF97" s="232" t="str">
        <f t="shared" si="220"/>
        <v/>
      </c>
      <c r="BG97" s="232" t="str">
        <f t="shared" si="221"/>
        <v/>
      </c>
      <c r="BH97" s="232">
        <f t="shared" ref="BH97:BH107" si="245">IF((MAX(BE97,BF97,BG97))=0,"",IF((MAX(BE97,BF97,BG97))=(MAX(BA97,BB97,BC97)),1,""))</f>
        <v>1</v>
      </c>
      <c r="BI97" s="371"/>
      <c r="BJ97" s="497">
        <v>80</v>
      </c>
      <c r="BK97" s="498">
        <v>10</v>
      </c>
      <c r="BL97" s="485">
        <f t="shared" si="222"/>
        <v>10</v>
      </c>
      <c r="BM97" s="371"/>
      <c r="BN97" s="232">
        <f t="shared" si="223"/>
        <v>80</v>
      </c>
      <c r="BO97" s="232" t="str">
        <f t="shared" si="224"/>
        <v/>
      </c>
      <c r="BP97" s="232" t="str">
        <f t="shared" si="225"/>
        <v/>
      </c>
      <c r="BQ97" s="232">
        <f t="shared" ref="BQ97:BQ107" si="246">IF((MAX(BN97,BO97,BP97))=0,"",IF((MAX(BN97,BO97,BP97))=(MAX(BJ97,BK97,BL97)),1,""))</f>
        <v>1</v>
      </c>
      <c r="BR97" s="371"/>
      <c r="BS97" s="497">
        <v>70</v>
      </c>
      <c r="BT97" s="498">
        <v>20</v>
      </c>
      <c r="BU97" s="485">
        <f t="shared" si="226"/>
        <v>10</v>
      </c>
      <c r="BV97" s="371"/>
      <c r="BW97" s="232">
        <f t="shared" si="227"/>
        <v>70</v>
      </c>
      <c r="BX97" s="232" t="str">
        <f t="shared" si="228"/>
        <v/>
      </c>
      <c r="BY97" s="232" t="str">
        <f t="shared" si="229"/>
        <v/>
      </c>
      <c r="BZ97" s="232">
        <f t="shared" ref="BZ97:BZ107" si="247">IF((MAX(BW97,BX97,BY97))=0,"",IF((MAX(BW97,BX97,BY97))=(MAX(BS97,BT97,BU97)),1,""))</f>
        <v>1</v>
      </c>
      <c r="CA97" s="371"/>
      <c r="CB97" s="504">
        <f t="shared" si="230"/>
        <v>80</v>
      </c>
      <c r="CC97" s="505">
        <f t="shared" si="231"/>
        <v>10</v>
      </c>
      <c r="CD97" s="506">
        <f t="shared" si="232"/>
        <v>10</v>
      </c>
      <c r="CE97" s="371"/>
      <c r="CF97" s="232">
        <f t="shared" si="233"/>
        <v>80</v>
      </c>
      <c r="CG97" s="232" t="str">
        <f t="shared" si="234"/>
        <v/>
      </c>
      <c r="CH97" s="232" t="str">
        <f t="shared" si="235"/>
        <v/>
      </c>
      <c r="CI97" s="232">
        <f t="shared" ref="CI97:CI107" si="248">IF((MAX(CF97,CG97,CH97))=0,"",IF((MAX(CF97,CG97,CH97))=(MAX(CB97,CC97,CD97)),1,""))</f>
        <v>1</v>
      </c>
      <c r="CJ97" s="232"/>
      <c r="CK97" s="497">
        <v>80</v>
      </c>
      <c r="CL97" s="498">
        <v>10</v>
      </c>
      <c r="CM97" s="485">
        <f t="shared" si="236"/>
        <v>10</v>
      </c>
      <c r="CN97" s="371"/>
      <c r="CO97" s="232">
        <f t="shared" si="237"/>
        <v>80</v>
      </c>
      <c r="CP97" s="232" t="str">
        <f t="shared" si="238"/>
        <v/>
      </c>
      <c r="CQ97" s="232" t="str">
        <f t="shared" si="239"/>
        <v/>
      </c>
      <c r="CR97" s="232">
        <f t="shared" ref="CR97:CR107" si="249">IF((MAX(CO97,CP97,CQ97))=0,"",IF((MAX(CO97,CP97,CQ97))=(MAX(CK97,CL97,CM97)),1,""))</f>
        <v>1</v>
      </c>
      <c r="CS97" s="232"/>
      <c r="CT97" s="371"/>
      <c r="CU97" s="296"/>
      <c r="CV97" s="246"/>
      <c r="CW97" s="264"/>
    </row>
    <row r="98" spans="1:101" ht="13.5" thickBot="1" x14ac:dyDescent="0.25">
      <c r="A98" s="264"/>
      <c r="B98" s="264"/>
      <c r="C98" s="202"/>
      <c r="D98" s="271">
        <v>3</v>
      </c>
      <c r="E98" s="168" t="s">
        <v>100</v>
      </c>
      <c r="F98" s="470">
        <v>2</v>
      </c>
      <c r="G98" s="476" t="s">
        <v>49</v>
      </c>
      <c r="H98" s="477">
        <v>0</v>
      </c>
      <c r="I98" s="392" t="str">
        <f t="shared" si="200"/>
        <v>x</v>
      </c>
      <c r="J98" s="393" t="str">
        <f t="shared" si="201"/>
        <v/>
      </c>
      <c r="K98" s="394" t="str">
        <f t="shared" si="202"/>
        <v/>
      </c>
      <c r="L98" s="299"/>
      <c r="M98" s="375"/>
      <c r="N98" s="379"/>
      <c r="O98" s="236"/>
      <c r="P98" s="236"/>
      <c r="Q98" s="486">
        <v>80</v>
      </c>
      <c r="R98" s="487">
        <v>10</v>
      </c>
      <c r="S98" s="488">
        <f t="shared" si="240"/>
        <v>10</v>
      </c>
      <c r="T98" s="371"/>
      <c r="U98" s="232">
        <f t="shared" si="203"/>
        <v>80</v>
      </c>
      <c r="V98" s="232" t="str">
        <f t="shared" si="204"/>
        <v/>
      </c>
      <c r="W98" s="232" t="str">
        <f t="shared" si="205"/>
        <v/>
      </c>
      <c r="X98" s="232">
        <f t="shared" si="241"/>
        <v>1</v>
      </c>
      <c r="Y98" s="371"/>
      <c r="Z98" s="499">
        <v>80</v>
      </c>
      <c r="AA98" s="500">
        <v>10</v>
      </c>
      <c r="AB98" s="488">
        <f t="shared" si="206"/>
        <v>10</v>
      </c>
      <c r="AC98" s="371"/>
      <c r="AD98" s="232">
        <f t="shared" si="207"/>
        <v>80</v>
      </c>
      <c r="AE98" s="232" t="str">
        <f t="shared" si="208"/>
        <v/>
      </c>
      <c r="AF98" s="232" t="str">
        <f t="shared" si="209"/>
        <v/>
      </c>
      <c r="AG98" s="232">
        <f t="shared" si="242"/>
        <v>1</v>
      </c>
      <c r="AH98" s="371"/>
      <c r="AI98" s="499">
        <v>60</v>
      </c>
      <c r="AJ98" s="500">
        <v>30</v>
      </c>
      <c r="AK98" s="488">
        <f t="shared" si="210"/>
        <v>10</v>
      </c>
      <c r="AL98" s="371"/>
      <c r="AM98" s="232">
        <f t="shared" si="211"/>
        <v>60</v>
      </c>
      <c r="AN98" s="232" t="str">
        <f t="shared" si="212"/>
        <v/>
      </c>
      <c r="AO98" s="232" t="str">
        <f t="shared" si="213"/>
        <v/>
      </c>
      <c r="AP98" s="232">
        <f t="shared" si="243"/>
        <v>1</v>
      </c>
      <c r="AQ98" s="371"/>
      <c r="AR98" s="499">
        <v>80</v>
      </c>
      <c r="AS98" s="500">
        <v>10</v>
      </c>
      <c r="AT98" s="488">
        <f t="shared" si="214"/>
        <v>10</v>
      </c>
      <c r="AU98" s="371"/>
      <c r="AV98" s="232">
        <f t="shared" si="215"/>
        <v>80</v>
      </c>
      <c r="AW98" s="232" t="str">
        <f t="shared" si="216"/>
        <v/>
      </c>
      <c r="AX98" s="232" t="str">
        <f t="shared" si="217"/>
        <v/>
      </c>
      <c r="AY98" s="232">
        <f t="shared" si="244"/>
        <v>1</v>
      </c>
      <c r="AZ98" s="371"/>
      <c r="BA98" s="499">
        <v>80</v>
      </c>
      <c r="BB98" s="500">
        <v>10</v>
      </c>
      <c r="BC98" s="488">
        <f t="shared" si="218"/>
        <v>10</v>
      </c>
      <c r="BD98" s="371"/>
      <c r="BE98" s="232">
        <f t="shared" si="219"/>
        <v>80</v>
      </c>
      <c r="BF98" s="232" t="str">
        <f t="shared" si="220"/>
        <v/>
      </c>
      <c r="BG98" s="232" t="str">
        <f t="shared" si="221"/>
        <v/>
      </c>
      <c r="BH98" s="232">
        <f t="shared" si="245"/>
        <v>1</v>
      </c>
      <c r="BI98" s="371"/>
      <c r="BJ98" s="499">
        <v>60</v>
      </c>
      <c r="BK98" s="500">
        <v>20</v>
      </c>
      <c r="BL98" s="488">
        <f t="shared" si="222"/>
        <v>20</v>
      </c>
      <c r="BM98" s="371"/>
      <c r="BN98" s="232">
        <f t="shared" si="223"/>
        <v>60</v>
      </c>
      <c r="BO98" s="232" t="str">
        <f t="shared" si="224"/>
        <v/>
      </c>
      <c r="BP98" s="232" t="str">
        <f t="shared" si="225"/>
        <v/>
      </c>
      <c r="BQ98" s="232">
        <f t="shared" si="246"/>
        <v>1</v>
      </c>
      <c r="BR98" s="371"/>
      <c r="BS98" s="499">
        <v>40</v>
      </c>
      <c r="BT98" s="500">
        <v>20</v>
      </c>
      <c r="BU98" s="488">
        <f t="shared" si="226"/>
        <v>40</v>
      </c>
      <c r="BV98" s="371"/>
      <c r="BW98" s="232">
        <f t="shared" si="227"/>
        <v>40</v>
      </c>
      <c r="BX98" s="232" t="str">
        <f t="shared" si="228"/>
        <v/>
      </c>
      <c r="BY98" s="232" t="str">
        <f t="shared" si="229"/>
        <v/>
      </c>
      <c r="BZ98" s="232">
        <f t="shared" si="247"/>
        <v>1</v>
      </c>
      <c r="CA98" s="371"/>
      <c r="CB98" s="507">
        <f t="shared" si="230"/>
        <v>70</v>
      </c>
      <c r="CC98" s="508">
        <f t="shared" si="231"/>
        <v>10</v>
      </c>
      <c r="CD98" s="509">
        <f t="shared" si="232"/>
        <v>20</v>
      </c>
      <c r="CE98" s="371"/>
      <c r="CF98" s="232">
        <f t="shared" si="233"/>
        <v>70</v>
      </c>
      <c r="CG98" s="232" t="str">
        <f t="shared" si="234"/>
        <v/>
      </c>
      <c r="CH98" s="232" t="str">
        <f t="shared" si="235"/>
        <v/>
      </c>
      <c r="CI98" s="232">
        <f t="shared" si="248"/>
        <v>1</v>
      </c>
      <c r="CJ98" s="232"/>
      <c r="CK98" s="499">
        <v>80</v>
      </c>
      <c r="CL98" s="500">
        <v>10</v>
      </c>
      <c r="CM98" s="488">
        <f t="shared" si="236"/>
        <v>10</v>
      </c>
      <c r="CN98" s="371"/>
      <c r="CO98" s="232">
        <f t="shared" si="237"/>
        <v>80</v>
      </c>
      <c r="CP98" s="232" t="str">
        <f t="shared" si="238"/>
        <v/>
      </c>
      <c r="CQ98" s="232" t="str">
        <f t="shared" si="239"/>
        <v/>
      </c>
      <c r="CR98" s="232">
        <f t="shared" si="249"/>
        <v>1</v>
      </c>
      <c r="CS98" s="232"/>
      <c r="CT98" s="371"/>
      <c r="CU98" s="296"/>
      <c r="CV98" s="246"/>
      <c r="CW98" s="264"/>
    </row>
    <row r="99" spans="1:101" x14ac:dyDescent="0.2">
      <c r="A99" s="264"/>
      <c r="B99" s="264"/>
      <c r="C99" s="202"/>
      <c r="D99" s="271">
        <v>4</v>
      </c>
      <c r="E99" s="166" t="s">
        <v>101</v>
      </c>
      <c r="F99" s="468">
        <v>2</v>
      </c>
      <c r="G99" s="472"/>
      <c r="H99" s="473">
        <v>1</v>
      </c>
      <c r="I99" s="170" t="str">
        <f t="shared" si="200"/>
        <v>x</v>
      </c>
      <c r="J99" s="387" t="str">
        <f t="shared" si="201"/>
        <v/>
      </c>
      <c r="K99" s="388" t="str">
        <f t="shared" si="202"/>
        <v/>
      </c>
      <c r="L99" s="299"/>
      <c r="M99" s="375"/>
      <c r="N99" s="379"/>
      <c r="O99" s="236"/>
      <c r="P99" s="236"/>
      <c r="Q99" s="480">
        <v>20</v>
      </c>
      <c r="R99" s="481">
        <v>30</v>
      </c>
      <c r="S99" s="482">
        <f t="shared" si="240"/>
        <v>50</v>
      </c>
      <c r="T99" s="371"/>
      <c r="U99" s="232">
        <f t="shared" si="203"/>
        <v>20</v>
      </c>
      <c r="V99" s="232" t="str">
        <f t="shared" si="204"/>
        <v/>
      </c>
      <c r="W99" s="232" t="str">
        <f t="shared" si="205"/>
        <v/>
      </c>
      <c r="X99" s="232" t="str">
        <f t="shared" si="241"/>
        <v/>
      </c>
      <c r="Y99" s="371"/>
      <c r="Z99" s="495">
        <v>10</v>
      </c>
      <c r="AA99" s="496">
        <v>10</v>
      </c>
      <c r="AB99" s="482">
        <f t="shared" si="206"/>
        <v>80</v>
      </c>
      <c r="AC99" s="371"/>
      <c r="AD99" s="232">
        <f t="shared" si="207"/>
        <v>10</v>
      </c>
      <c r="AE99" s="232" t="str">
        <f t="shared" si="208"/>
        <v/>
      </c>
      <c r="AF99" s="232" t="str">
        <f t="shared" si="209"/>
        <v/>
      </c>
      <c r="AG99" s="232" t="str">
        <f t="shared" si="242"/>
        <v/>
      </c>
      <c r="AH99" s="371"/>
      <c r="AI99" s="495">
        <v>10</v>
      </c>
      <c r="AJ99" s="496">
        <v>10</v>
      </c>
      <c r="AK99" s="482">
        <f t="shared" si="210"/>
        <v>80</v>
      </c>
      <c r="AL99" s="371"/>
      <c r="AM99" s="232">
        <f t="shared" si="211"/>
        <v>10</v>
      </c>
      <c r="AN99" s="232" t="str">
        <f t="shared" si="212"/>
        <v/>
      </c>
      <c r="AO99" s="232" t="str">
        <f t="shared" si="213"/>
        <v/>
      </c>
      <c r="AP99" s="232" t="str">
        <f t="shared" si="243"/>
        <v/>
      </c>
      <c r="AQ99" s="371"/>
      <c r="AR99" s="495">
        <v>20</v>
      </c>
      <c r="AS99" s="496">
        <v>30</v>
      </c>
      <c r="AT99" s="482">
        <f t="shared" si="214"/>
        <v>50</v>
      </c>
      <c r="AU99" s="371"/>
      <c r="AV99" s="232">
        <f t="shared" si="215"/>
        <v>20</v>
      </c>
      <c r="AW99" s="232" t="str">
        <f t="shared" si="216"/>
        <v/>
      </c>
      <c r="AX99" s="232" t="str">
        <f t="shared" si="217"/>
        <v/>
      </c>
      <c r="AY99" s="232" t="str">
        <f t="shared" si="244"/>
        <v/>
      </c>
      <c r="AZ99" s="371"/>
      <c r="BA99" s="495">
        <v>10</v>
      </c>
      <c r="BB99" s="496">
        <v>10</v>
      </c>
      <c r="BC99" s="482">
        <f t="shared" si="218"/>
        <v>80</v>
      </c>
      <c r="BD99" s="371"/>
      <c r="BE99" s="232">
        <f t="shared" si="219"/>
        <v>10</v>
      </c>
      <c r="BF99" s="232" t="str">
        <f t="shared" si="220"/>
        <v/>
      </c>
      <c r="BG99" s="232" t="str">
        <f t="shared" si="221"/>
        <v/>
      </c>
      <c r="BH99" s="232" t="str">
        <f t="shared" si="245"/>
        <v/>
      </c>
      <c r="BI99" s="371"/>
      <c r="BJ99" s="495">
        <v>10</v>
      </c>
      <c r="BK99" s="496">
        <v>10</v>
      </c>
      <c r="BL99" s="482">
        <f t="shared" si="222"/>
        <v>80</v>
      </c>
      <c r="BM99" s="371"/>
      <c r="BN99" s="232">
        <f t="shared" si="223"/>
        <v>10</v>
      </c>
      <c r="BO99" s="232" t="str">
        <f t="shared" si="224"/>
        <v/>
      </c>
      <c r="BP99" s="232" t="str">
        <f t="shared" si="225"/>
        <v/>
      </c>
      <c r="BQ99" s="232" t="str">
        <f t="shared" si="246"/>
        <v/>
      </c>
      <c r="BR99" s="371"/>
      <c r="BS99" s="495">
        <v>40</v>
      </c>
      <c r="BT99" s="496">
        <v>30</v>
      </c>
      <c r="BU99" s="482">
        <f t="shared" si="226"/>
        <v>30</v>
      </c>
      <c r="BV99" s="371"/>
      <c r="BW99" s="232">
        <f t="shared" si="227"/>
        <v>40</v>
      </c>
      <c r="BX99" s="232" t="str">
        <f t="shared" si="228"/>
        <v/>
      </c>
      <c r="BY99" s="232" t="str">
        <f t="shared" si="229"/>
        <v/>
      </c>
      <c r="BZ99" s="232">
        <f t="shared" si="247"/>
        <v>1</v>
      </c>
      <c r="CA99" s="371"/>
      <c r="CB99" s="501">
        <f t="shared" si="230"/>
        <v>20</v>
      </c>
      <c r="CC99" s="502">
        <f t="shared" si="231"/>
        <v>10</v>
      </c>
      <c r="CD99" s="503">
        <f t="shared" si="232"/>
        <v>70</v>
      </c>
      <c r="CE99" s="371"/>
      <c r="CF99" s="232">
        <f t="shared" si="233"/>
        <v>20</v>
      </c>
      <c r="CG99" s="232" t="str">
        <f t="shared" si="234"/>
        <v/>
      </c>
      <c r="CH99" s="232" t="str">
        <f t="shared" si="235"/>
        <v/>
      </c>
      <c r="CI99" s="232" t="str">
        <f t="shared" si="248"/>
        <v/>
      </c>
      <c r="CJ99" s="232"/>
      <c r="CK99" s="495">
        <v>20</v>
      </c>
      <c r="CL99" s="496">
        <v>10</v>
      </c>
      <c r="CM99" s="482">
        <f t="shared" si="236"/>
        <v>70</v>
      </c>
      <c r="CN99" s="371"/>
      <c r="CO99" s="232">
        <f t="shared" si="237"/>
        <v>20</v>
      </c>
      <c r="CP99" s="232" t="str">
        <f t="shared" si="238"/>
        <v/>
      </c>
      <c r="CQ99" s="232" t="str">
        <f t="shared" si="239"/>
        <v/>
      </c>
      <c r="CR99" s="232" t="str">
        <f t="shared" si="249"/>
        <v/>
      </c>
      <c r="CS99" s="232"/>
      <c r="CT99" s="371"/>
      <c r="CU99" s="296"/>
      <c r="CV99" s="246"/>
      <c r="CW99" s="264"/>
    </row>
    <row r="100" spans="1:101" x14ac:dyDescent="0.2">
      <c r="A100" s="264"/>
      <c r="B100" s="264"/>
      <c r="C100" s="202"/>
      <c r="D100" s="271">
        <v>5</v>
      </c>
      <c r="E100" s="167" t="s">
        <v>102</v>
      </c>
      <c r="F100" s="469">
        <v>1</v>
      </c>
      <c r="G100" s="474" t="s">
        <v>49</v>
      </c>
      <c r="H100" s="475">
        <v>0</v>
      </c>
      <c r="I100" s="389" t="str">
        <f t="shared" si="200"/>
        <v>x</v>
      </c>
      <c r="J100" s="390" t="str">
        <f t="shared" si="201"/>
        <v/>
      </c>
      <c r="K100" s="391" t="str">
        <f t="shared" si="202"/>
        <v/>
      </c>
      <c r="L100" s="299"/>
      <c r="M100" s="375"/>
      <c r="N100" s="379"/>
      <c r="O100" s="236"/>
      <c r="P100" s="236"/>
      <c r="Q100" s="483">
        <v>60</v>
      </c>
      <c r="R100" s="484">
        <v>20</v>
      </c>
      <c r="S100" s="485">
        <f t="shared" si="240"/>
        <v>20</v>
      </c>
      <c r="T100" s="371"/>
      <c r="U100" s="232">
        <f t="shared" si="203"/>
        <v>60</v>
      </c>
      <c r="V100" s="232" t="str">
        <f t="shared" si="204"/>
        <v/>
      </c>
      <c r="W100" s="232" t="str">
        <f t="shared" si="205"/>
        <v/>
      </c>
      <c r="X100" s="232">
        <f t="shared" si="241"/>
        <v>1</v>
      </c>
      <c r="Y100" s="371"/>
      <c r="Z100" s="497">
        <v>80</v>
      </c>
      <c r="AA100" s="498">
        <v>10</v>
      </c>
      <c r="AB100" s="485">
        <f t="shared" si="206"/>
        <v>10</v>
      </c>
      <c r="AC100" s="371"/>
      <c r="AD100" s="232">
        <f t="shared" si="207"/>
        <v>80</v>
      </c>
      <c r="AE100" s="232" t="str">
        <f t="shared" si="208"/>
        <v/>
      </c>
      <c r="AF100" s="232" t="str">
        <f t="shared" si="209"/>
        <v/>
      </c>
      <c r="AG100" s="232">
        <f t="shared" si="242"/>
        <v>1</v>
      </c>
      <c r="AH100" s="371"/>
      <c r="AI100" s="497">
        <v>80</v>
      </c>
      <c r="AJ100" s="498">
        <v>10</v>
      </c>
      <c r="AK100" s="485">
        <f t="shared" si="210"/>
        <v>10</v>
      </c>
      <c r="AL100" s="371"/>
      <c r="AM100" s="232">
        <f t="shared" si="211"/>
        <v>80</v>
      </c>
      <c r="AN100" s="232" t="str">
        <f t="shared" si="212"/>
        <v/>
      </c>
      <c r="AO100" s="232" t="str">
        <f t="shared" si="213"/>
        <v/>
      </c>
      <c r="AP100" s="232">
        <f t="shared" si="243"/>
        <v>1</v>
      </c>
      <c r="AQ100" s="371"/>
      <c r="AR100" s="497">
        <v>80</v>
      </c>
      <c r="AS100" s="498">
        <v>10</v>
      </c>
      <c r="AT100" s="485">
        <f t="shared" si="214"/>
        <v>10</v>
      </c>
      <c r="AU100" s="371"/>
      <c r="AV100" s="232">
        <f t="shared" si="215"/>
        <v>80</v>
      </c>
      <c r="AW100" s="232" t="str">
        <f t="shared" si="216"/>
        <v/>
      </c>
      <c r="AX100" s="232" t="str">
        <f t="shared" si="217"/>
        <v/>
      </c>
      <c r="AY100" s="232">
        <f t="shared" si="244"/>
        <v>1</v>
      </c>
      <c r="AZ100" s="371"/>
      <c r="BA100" s="497">
        <v>80</v>
      </c>
      <c r="BB100" s="498">
        <v>10</v>
      </c>
      <c r="BC100" s="485">
        <f t="shared" si="218"/>
        <v>10</v>
      </c>
      <c r="BD100" s="371"/>
      <c r="BE100" s="232">
        <f t="shared" si="219"/>
        <v>80</v>
      </c>
      <c r="BF100" s="232" t="str">
        <f t="shared" si="220"/>
        <v/>
      </c>
      <c r="BG100" s="232" t="str">
        <f t="shared" si="221"/>
        <v/>
      </c>
      <c r="BH100" s="232">
        <f t="shared" si="245"/>
        <v>1</v>
      </c>
      <c r="BI100" s="371"/>
      <c r="BJ100" s="497">
        <v>80</v>
      </c>
      <c r="BK100" s="498">
        <v>10</v>
      </c>
      <c r="BL100" s="485">
        <f t="shared" si="222"/>
        <v>10</v>
      </c>
      <c r="BM100" s="371"/>
      <c r="BN100" s="232">
        <f t="shared" si="223"/>
        <v>80</v>
      </c>
      <c r="BO100" s="232" t="str">
        <f t="shared" si="224"/>
        <v/>
      </c>
      <c r="BP100" s="232" t="str">
        <f t="shared" si="225"/>
        <v/>
      </c>
      <c r="BQ100" s="232">
        <f t="shared" si="246"/>
        <v>1</v>
      </c>
      <c r="BR100" s="371"/>
      <c r="BS100" s="497">
        <v>70</v>
      </c>
      <c r="BT100" s="498">
        <v>20</v>
      </c>
      <c r="BU100" s="485">
        <f t="shared" si="226"/>
        <v>10</v>
      </c>
      <c r="BV100" s="371"/>
      <c r="BW100" s="232">
        <f t="shared" si="227"/>
        <v>70</v>
      </c>
      <c r="BX100" s="232" t="str">
        <f t="shared" si="228"/>
        <v/>
      </c>
      <c r="BY100" s="232" t="str">
        <f t="shared" si="229"/>
        <v/>
      </c>
      <c r="BZ100" s="232">
        <f t="shared" si="247"/>
        <v>1</v>
      </c>
      <c r="CA100" s="371"/>
      <c r="CB100" s="504">
        <f t="shared" si="230"/>
        <v>80</v>
      </c>
      <c r="CC100" s="505">
        <f t="shared" si="231"/>
        <v>10</v>
      </c>
      <c r="CD100" s="506">
        <f t="shared" si="232"/>
        <v>10</v>
      </c>
      <c r="CE100" s="371"/>
      <c r="CF100" s="232">
        <f t="shared" si="233"/>
        <v>80</v>
      </c>
      <c r="CG100" s="232" t="str">
        <f t="shared" si="234"/>
        <v/>
      </c>
      <c r="CH100" s="232" t="str">
        <f t="shared" si="235"/>
        <v/>
      </c>
      <c r="CI100" s="232">
        <f t="shared" si="248"/>
        <v>1</v>
      </c>
      <c r="CJ100" s="232"/>
      <c r="CK100" s="497">
        <v>80</v>
      </c>
      <c r="CL100" s="498">
        <v>10</v>
      </c>
      <c r="CM100" s="485">
        <f t="shared" si="236"/>
        <v>10</v>
      </c>
      <c r="CN100" s="371"/>
      <c r="CO100" s="232">
        <f t="shared" si="237"/>
        <v>80</v>
      </c>
      <c r="CP100" s="232" t="str">
        <f t="shared" si="238"/>
        <v/>
      </c>
      <c r="CQ100" s="232" t="str">
        <f t="shared" si="239"/>
        <v/>
      </c>
      <c r="CR100" s="232">
        <f t="shared" si="249"/>
        <v>1</v>
      </c>
      <c r="CS100" s="232"/>
      <c r="CT100" s="371"/>
      <c r="CU100" s="296"/>
      <c r="CV100" s="246"/>
      <c r="CW100" s="264"/>
    </row>
    <row r="101" spans="1:101" ht="13.5" thickBot="1" x14ac:dyDescent="0.25">
      <c r="A101" s="264"/>
      <c r="B101" s="264"/>
      <c r="C101" s="202"/>
      <c r="D101" s="271">
        <v>6</v>
      </c>
      <c r="E101" s="168" t="s">
        <v>103</v>
      </c>
      <c r="F101" s="470">
        <v>2</v>
      </c>
      <c r="G101" s="476" t="s">
        <v>49</v>
      </c>
      <c r="H101" s="477">
        <v>0</v>
      </c>
      <c r="I101" s="392" t="str">
        <f t="shared" si="200"/>
        <v>x</v>
      </c>
      <c r="J101" s="393" t="str">
        <f t="shared" si="201"/>
        <v/>
      </c>
      <c r="K101" s="394" t="str">
        <f t="shared" si="202"/>
        <v/>
      </c>
      <c r="L101" s="299"/>
      <c r="M101" s="375"/>
      <c r="N101" s="379"/>
      <c r="O101" s="236"/>
      <c r="P101" s="236"/>
      <c r="Q101" s="489">
        <v>50</v>
      </c>
      <c r="R101" s="490">
        <v>30</v>
      </c>
      <c r="S101" s="491">
        <f t="shared" si="240"/>
        <v>20</v>
      </c>
      <c r="T101" s="371"/>
      <c r="U101" s="232">
        <f t="shared" si="203"/>
        <v>50</v>
      </c>
      <c r="V101" s="232" t="str">
        <f t="shared" si="204"/>
        <v/>
      </c>
      <c r="W101" s="232" t="str">
        <f t="shared" si="205"/>
        <v/>
      </c>
      <c r="X101" s="232">
        <f t="shared" si="241"/>
        <v>1</v>
      </c>
      <c r="Y101" s="371"/>
      <c r="Z101" s="499">
        <v>80</v>
      </c>
      <c r="AA101" s="500">
        <v>10</v>
      </c>
      <c r="AB101" s="491">
        <f t="shared" si="206"/>
        <v>10</v>
      </c>
      <c r="AC101" s="371"/>
      <c r="AD101" s="232">
        <f t="shared" si="207"/>
        <v>80</v>
      </c>
      <c r="AE101" s="232" t="str">
        <f t="shared" si="208"/>
        <v/>
      </c>
      <c r="AF101" s="232" t="str">
        <f t="shared" si="209"/>
        <v/>
      </c>
      <c r="AG101" s="232">
        <f t="shared" si="242"/>
        <v>1</v>
      </c>
      <c r="AH101" s="371"/>
      <c r="AI101" s="499">
        <v>70</v>
      </c>
      <c r="AJ101" s="500">
        <v>20</v>
      </c>
      <c r="AK101" s="491">
        <f t="shared" si="210"/>
        <v>10</v>
      </c>
      <c r="AL101" s="371"/>
      <c r="AM101" s="232">
        <f t="shared" si="211"/>
        <v>70</v>
      </c>
      <c r="AN101" s="232" t="str">
        <f t="shared" si="212"/>
        <v/>
      </c>
      <c r="AO101" s="232" t="str">
        <f t="shared" si="213"/>
        <v/>
      </c>
      <c r="AP101" s="232">
        <f t="shared" si="243"/>
        <v>1</v>
      </c>
      <c r="AQ101" s="371"/>
      <c r="AR101" s="499">
        <v>60</v>
      </c>
      <c r="AS101" s="500">
        <v>30</v>
      </c>
      <c r="AT101" s="491">
        <f t="shared" si="214"/>
        <v>10</v>
      </c>
      <c r="AU101" s="371"/>
      <c r="AV101" s="232">
        <f t="shared" si="215"/>
        <v>60</v>
      </c>
      <c r="AW101" s="232" t="str">
        <f t="shared" si="216"/>
        <v/>
      </c>
      <c r="AX101" s="232" t="str">
        <f t="shared" si="217"/>
        <v/>
      </c>
      <c r="AY101" s="232">
        <f t="shared" si="244"/>
        <v>1</v>
      </c>
      <c r="AZ101" s="371"/>
      <c r="BA101" s="499">
        <v>80</v>
      </c>
      <c r="BB101" s="500">
        <v>10</v>
      </c>
      <c r="BC101" s="491">
        <f t="shared" si="218"/>
        <v>10</v>
      </c>
      <c r="BD101" s="371"/>
      <c r="BE101" s="232">
        <f t="shared" si="219"/>
        <v>80</v>
      </c>
      <c r="BF101" s="232" t="str">
        <f t="shared" si="220"/>
        <v/>
      </c>
      <c r="BG101" s="232" t="str">
        <f t="shared" si="221"/>
        <v/>
      </c>
      <c r="BH101" s="232">
        <f t="shared" si="245"/>
        <v>1</v>
      </c>
      <c r="BI101" s="371"/>
      <c r="BJ101" s="499">
        <v>30</v>
      </c>
      <c r="BK101" s="500">
        <v>40</v>
      </c>
      <c r="BL101" s="491">
        <f t="shared" si="222"/>
        <v>30</v>
      </c>
      <c r="BM101" s="371"/>
      <c r="BN101" s="232">
        <f t="shared" si="223"/>
        <v>30</v>
      </c>
      <c r="BO101" s="232" t="str">
        <f t="shared" si="224"/>
        <v/>
      </c>
      <c r="BP101" s="232" t="str">
        <f t="shared" si="225"/>
        <v/>
      </c>
      <c r="BQ101" s="232" t="str">
        <f t="shared" si="246"/>
        <v/>
      </c>
      <c r="BR101" s="371"/>
      <c r="BS101" s="499">
        <v>60</v>
      </c>
      <c r="BT101" s="500">
        <v>20</v>
      </c>
      <c r="BU101" s="491">
        <f t="shared" si="226"/>
        <v>20</v>
      </c>
      <c r="BV101" s="371"/>
      <c r="BW101" s="232">
        <f t="shared" si="227"/>
        <v>60</v>
      </c>
      <c r="BX101" s="232" t="str">
        <f t="shared" si="228"/>
        <v/>
      </c>
      <c r="BY101" s="232" t="str">
        <f t="shared" si="229"/>
        <v/>
      </c>
      <c r="BZ101" s="232">
        <f t="shared" si="247"/>
        <v>1</v>
      </c>
      <c r="CA101" s="371"/>
      <c r="CB101" s="507">
        <f t="shared" si="230"/>
        <v>70</v>
      </c>
      <c r="CC101" s="508">
        <f t="shared" si="231"/>
        <v>20</v>
      </c>
      <c r="CD101" s="509">
        <f t="shared" si="232"/>
        <v>10</v>
      </c>
      <c r="CE101" s="371"/>
      <c r="CF101" s="232">
        <f t="shared" si="233"/>
        <v>70</v>
      </c>
      <c r="CG101" s="232" t="str">
        <f t="shared" si="234"/>
        <v/>
      </c>
      <c r="CH101" s="232" t="str">
        <f t="shared" si="235"/>
        <v/>
      </c>
      <c r="CI101" s="232">
        <f t="shared" si="248"/>
        <v>1</v>
      </c>
      <c r="CJ101" s="232"/>
      <c r="CK101" s="499">
        <v>80</v>
      </c>
      <c r="CL101" s="500">
        <v>10</v>
      </c>
      <c r="CM101" s="491">
        <f t="shared" si="236"/>
        <v>10</v>
      </c>
      <c r="CN101" s="371"/>
      <c r="CO101" s="232">
        <f t="shared" si="237"/>
        <v>80</v>
      </c>
      <c r="CP101" s="232" t="str">
        <f t="shared" si="238"/>
        <v/>
      </c>
      <c r="CQ101" s="232" t="str">
        <f t="shared" si="239"/>
        <v/>
      </c>
      <c r="CR101" s="232">
        <f t="shared" si="249"/>
        <v>1</v>
      </c>
      <c r="CS101" s="232"/>
      <c r="CT101" s="371"/>
      <c r="CU101" s="296"/>
      <c r="CV101" s="246"/>
      <c r="CW101" s="264"/>
    </row>
    <row r="102" spans="1:101" x14ac:dyDescent="0.2">
      <c r="A102" s="264"/>
      <c r="B102" s="264"/>
      <c r="C102" s="202"/>
      <c r="D102" s="271">
        <v>7</v>
      </c>
      <c r="E102" s="166" t="s">
        <v>104</v>
      </c>
      <c r="F102" s="468">
        <v>3</v>
      </c>
      <c r="G102" s="472" t="s">
        <v>49</v>
      </c>
      <c r="H102" s="473">
        <v>0</v>
      </c>
      <c r="I102" s="170" t="str">
        <f t="shared" si="200"/>
        <v>x</v>
      </c>
      <c r="J102" s="387" t="str">
        <f t="shared" si="201"/>
        <v/>
      </c>
      <c r="K102" s="388" t="str">
        <f t="shared" si="202"/>
        <v/>
      </c>
      <c r="L102" s="299"/>
      <c r="M102" s="375"/>
      <c r="N102" s="379"/>
      <c r="O102" s="236"/>
      <c r="P102" s="236"/>
      <c r="Q102" s="480">
        <v>80</v>
      </c>
      <c r="R102" s="481">
        <v>10</v>
      </c>
      <c r="S102" s="482">
        <f t="shared" si="240"/>
        <v>10</v>
      </c>
      <c r="T102" s="371"/>
      <c r="U102" s="232">
        <f t="shared" si="203"/>
        <v>80</v>
      </c>
      <c r="V102" s="232" t="str">
        <f t="shared" si="204"/>
        <v/>
      </c>
      <c r="W102" s="232" t="str">
        <f t="shared" si="205"/>
        <v/>
      </c>
      <c r="X102" s="232">
        <f t="shared" si="241"/>
        <v>1</v>
      </c>
      <c r="Y102" s="371"/>
      <c r="Z102" s="495">
        <v>80</v>
      </c>
      <c r="AA102" s="496">
        <v>10</v>
      </c>
      <c r="AB102" s="482">
        <f t="shared" si="206"/>
        <v>10</v>
      </c>
      <c r="AC102" s="371"/>
      <c r="AD102" s="232">
        <f t="shared" si="207"/>
        <v>80</v>
      </c>
      <c r="AE102" s="232" t="str">
        <f t="shared" si="208"/>
        <v/>
      </c>
      <c r="AF102" s="232" t="str">
        <f t="shared" si="209"/>
        <v/>
      </c>
      <c r="AG102" s="232">
        <f t="shared" si="242"/>
        <v>1</v>
      </c>
      <c r="AH102" s="371"/>
      <c r="AI102" s="495">
        <v>80</v>
      </c>
      <c r="AJ102" s="496">
        <v>10</v>
      </c>
      <c r="AK102" s="482">
        <f t="shared" si="210"/>
        <v>10</v>
      </c>
      <c r="AL102" s="371"/>
      <c r="AM102" s="232">
        <f t="shared" si="211"/>
        <v>80</v>
      </c>
      <c r="AN102" s="232" t="str">
        <f t="shared" si="212"/>
        <v/>
      </c>
      <c r="AO102" s="232" t="str">
        <f t="shared" si="213"/>
        <v/>
      </c>
      <c r="AP102" s="232">
        <f t="shared" si="243"/>
        <v>1</v>
      </c>
      <c r="AQ102" s="371"/>
      <c r="AR102" s="495">
        <v>80</v>
      </c>
      <c r="AS102" s="496">
        <v>10</v>
      </c>
      <c r="AT102" s="482">
        <f t="shared" si="214"/>
        <v>10</v>
      </c>
      <c r="AU102" s="371"/>
      <c r="AV102" s="232">
        <f t="shared" si="215"/>
        <v>80</v>
      </c>
      <c r="AW102" s="232" t="str">
        <f t="shared" si="216"/>
        <v/>
      </c>
      <c r="AX102" s="232" t="str">
        <f t="shared" si="217"/>
        <v/>
      </c>
      <c r="AY102" s="232">
        <f t="shared" si="244"/>
        <v>1</v>
      </c>
      <c r="AZ102" s="371"/>
      <c r="BA102" s="495">
        <v>80</v>
      </c>
      <c r="BB102" s="496">
        <v>10</v>
      </c>
      <c r="BC102" s="482">
        <f t="shared" si="218"/>
        <v>10</v>
      </c>
      <c r="BD102" s="371"/>
      <c r="BE102" s="232">
        <f t="shared" si="219"/>
        <v>80</v>
      </c>
      <c r="BF102" s="232" t="str">
        <f t="shared" si="220"/>
        <v/>
      </c>
      <c r="BG102" s="232" t="str">
        <f t="shared" si="221"/>
        <v/>
      </c>
      <c r="BH102" s="232">
        <f t="shared" si="245"/>
        <v>1</v>
      </c>
      <c r="BI102" s="371"/>
      <c r="BJ102" s="495">
        <v>80</v>
      </c>
      <c r="BK102" s="496">
        <v>10</v>
      </c>
      <c r="BL102" s="482">
        <f t="shared" si="222"/>
        <v>10</v>
      </c>
      <c r="BM102" s="371"/>
      <c r="BN102" s="232">
        <f t="shared" si="223"/>
        <v>80</v>
      </c>
      <c r="BO102" s="232" t="str">
        <f t="shared" si="224"/>
        <v/>
      </c>
      <c r="BP102" s="232" t="str">
        <f t="shared" si="225"/>
        <v/>
      </c>
      <c r="BQ102" s="232">
        <f t="shared" si="246"/>
        <v>1</v>
      </c>
      <c r="BR102" s="371"/>
      <c r="BS102" s="495">
        <v>80</v>
      </c>
      <c r="BT102" s="496">
        <v>10</v>
      </c>
      <c r="BU102" s="482">
        <f t="shared" si="226"/>
        <v>10</v>
      </c>
      <c r="BV102" s="371"/>
      <c r="BW102" s="232">
        <f t="shared" si="227"/>
        <v>80</v>
      </c>
      <c r="BX102" s="232" t="str">
        <f t="shared" si="228"/>
        <v/>
      </c>
      <c r="BY102" s="232" t="str">
        <f t="shared" si="229"/>
        <v/>
      </c>
      <c r="BZ102" s="232">
        <f t="shared" si="247"/>
        <v>1</v>
      </c>
      <c r="CA102" s="371"/>
      <c r="CB102" s="501">
        <f t="shared" si="230"/>
        <v>80</v>
      </c>
      <c r="CC102" s="502">
        <f t="shared" si="231"/>
        <v>10</v>
      </c>
      <c r="CD102" s="503">
        <f t="shared" si="232"/>
        <v>10</v>
      </c>
      <c r="CE102" s="371"/>
      <c r="CF102" s="232">
        <f t="shared" si="233"/>
        <v>80</v>
      </c>
      <c r="CG102" s="232" t="str">
        <f t="shared" si="234"/>
        <v/>
      </c>
      <c r="CH102" s="232" t="str">
        <f t="shared" si="235"/>
        <v/>
      </c>
      <c r="CI102" s="232">
        <f t="shared" si="248"/>
        <v>1</v>
      </c>
      <c r="CJ102" s="232"/>
      <c r="CK102" s="495">
        <v>80</v>
      </c>
      <c r="CL102" s="496">
        <v>10</v>
      </c>
      <c r="CM102" s="482">
        <f t="shared" si="236"/>
        <v>10</v>
      </c>
      <c r="CN102" s="371"/>
      <c r="CO102" s="232">
        <f t="shared" si="237"/>
        <v>80</v>
      </c>
      <c r="CP102" s="232" t="str">
        <f t="shared" si="238"/>
        <v/>
      </c>
      <c r="CQ102" s="232" t="str">
        <f t="shared" si="239"/>
        <v/>
      </c>
      <c r="CR102" s="232">
        <f t="shared" si="249"/>
        <v>1</v>
      </c>
      <c r="CS102" s="232"/>
      <c r="CT102" s="371"/>
      <c r="CU102" s="300"/>
      <c r="CV102" s="246"/>
      <c r="CW102" s="264"/>
    </row>
    <row r="103" spans="1:101" x14ac:dyDescent="0.2">
      <c r="A103" s="264"/>
      <c r="B103" s="264"/>
      <c r="C103" s="202"/>
      <c r="D103" s="271">
        <v>8</v>
      </c>
      <c r="E103" s="167" t="s">
        <v>105</v>
      </c>
      <c r="F103" s="469">
        <v>4</v>
      </c>
      <c r="G103" s="474" t="s">
        <v>49</v>
      </c>
      <c r="H103" s="475">
        <v>0</v>
      </c>
      <c r="I103" s="389" t="str">
        <f t="shared" si="200"/>
        <v>x</v>
      </c>
      <c r="J103" s="390" t="str">
        <f t="shared" si="201"/>
        <v/>
      </c>
      <c r="K103" s="391" t="str">
        <f t="shared" si="202"/>
        <v/>
      </c>
      <c r="L103" s="299"/>
      <c r="M103" s="375"/>
      <c r="N103" s="379"/>
      <c r="O103" s="236"/>
      <c r="P103" s="236"/>
      <c r="Q103" s="483">
        <v>80</v>
      </c>
      <c r="R103" s="484">
        <v>10</v>
      </c>
      <c r="S103" s="485">
        <f t="shared" si="240"/>
        <v>10</v>
      </c>
      <c r="T103" s="371"/>
      <c r="U103" s="232">
        <f t="shared" si="203"/>
        <v>80</v>
      </c>
      <c r="V103" s="232" t="str">
        <f t="shared" si="204"/>
        <v/>
      </c>
      <c r="W103" s="232" t="str">
        <f t="shared" si="205"/>
        <v/>
      </c>
      <c r="X103" s="232">
        <f t="shared" si="241"/>
        <v>1</v>
      </c>
      <c r="Y103" s="371"/>
      <c r="Z103" s="497">
        <v>80</v>
      </c>
      <c r="AA103" s="498">
        <v>10</v>
      </c>
      <c r="AB103" s="485">
        <f t="shared" si="206"/>
        <v>10</v>
      </c>
      <c r="AC103" s="371"/>
      <c r="AD103" s="232">
        <f t="shared" si="207"/>
        <v>80</v>
      </c>
      <c r="AE103" s="232" t="str">
        <f t="shared" si="208"/>
        <v/>
      </c>
      <c r="AF103" s="232" t="str">
        <f t="shared" si="209"/>
        <v/>
      </c>
      <c r="AG103" s="232">
        <f t="shared" si="242"/>
        <v>1</v>
      </c>
      <c r="AH103" s="371"/>
      <c r="AI103" s="497">
        <v>80</v>
      </c>
      <c r="AJ103" s="498">
        <v>10</v>
      </c>
      <c r="AK103" s="485">
        <f t="shared" si="210"/>
        <v>10</v>
      </c>
      <c r="AL103" s="371"/>
      <c r="AM103" s="232">
        <f t="shared" si="211"/>
        <v>80</v>
      </c>
      <c r="AN103" s="232" t="str">
        <f t="shared" si="212"/>
        <v/>
      </c>
      <c r="AO103" s="232" t="str">
        <f t="shared" si="213"/>
        <v/>
      </c>
      <c r="AP103" s="232">
        <f t="shared" si="243"/>
        <v>1</v>
      </c>
      <c r="AQ103" s="371"/>
      <c r="AR103" s="497">
        <v>80</v>
      </c>
      <c r="AS103" s="498">
        <v>10</v>
      </c>
      <c r="AT103" s="485">
        <f t="shared" si="214"/>
        <v>10</v>
      </c>
      <c r="AU103" s="371"/>
      <c r="AV103" s="232">
        <f t="shared" si="215"/>
        <v>80</v>
      </c>
      <c r="AW103" s="232" t="str">
        <f t="shared" si="216"/>
        <v/>
      </c>
      <c r="AX103" s="232" t="str">
        <f t="shared" si="217"/>
        <v/>
      </c>
      <c r="AY103" s="232">
        <f t="shared" si="244"/>
        <v>1</v>
      </c>
      <c r="AZ103" s="371"/>
      <c r="BA103" s="497">
        <v>80</v>
      </c>
      <c r="BB103" s="498">
        <v>10</v>
      </c>
      <c r="BC103" s="485">
        <f t="shared" si="218"/>
        <v>10</v>
      </c>
      <c r="BD103" s="371"/>
      <c r="BE103" s="232">
        <f t="shared" si="219"/>
        <v>80</v>
      </c>
      <c r="BF103" s="232" t="str">
        <f t="shared" si="220"/>
        <v/>
      </c>
      <c r="BG103" s="232" t="str">
        <f t="shared" si="221"/>
        <v/>
      </c>
      <c r="BH103" s="232">
        <f t="shared" si="245"/>
        <v>1</v>
      </c>
      <c r="BI103" s="371"/>
      <c r="BJ103" s="497">
        <v>80</v>
      </c>
      <c r="BK103" s="498">
        <v>10</v>
      </c>
      <c r="BL103" s="485">
        <f t="shared" si="222"/>
        <v>10</v>
      </c>
      <c r="BM103" s="371"/>
      <c r="BN103" s="232">
        <f t="shared" si="223"/>
        <v>80</v>
      </c>
      <c r="BO103" s="232" t="str">
        <f t="shared" si="224"/>
        <v/>
      </c>
      <c r="BP103" s="232" t="str">
        <f t="shared" si="225"/>
        <v/>
      </c>
      <c r="BQ103" s="232">
        <f t="shared" si="246"/>
        <v>1</v>
      </c>
      <c r="BR103" s="371"/>
      <c r="BS103" s="497">
        <v>80</v>
      </c>
      <c r="BT103" s="498">
        <v>10</v>
      </c>
      <c r="BU103" s="485">
        <f t="shared" si="226"/>
        <v>10</v>
      </c>
      <c r="BV103" s="371"/>
      <c r="BW103" s="232">
        <f t="shared" si="227"/>
        <v>80</v>
      </c>
      <c r="BX103" s="232" t="str">
        <f t="shared" si="228"/>
        <v/>
      </c>
      <c r="BY103" s="232" t="str">
        <f t="shared" si="229"/>
        <v/>
      </c>
      <c r="BZ103" s="232">
        <f t="shared" si="247"/>
        <v>1</v>
      </c>
      <c r="CA103" s="371"/>
      <c r="CB103" s="504">
        <f t="shared" si="230"/>
        <v>80</v>
      </c>
      <c r="CC103" s="505">
        <f t="shared" si="231"/>
        <v>10</v>
      </c>
      <c r="CD103" s="506">
        <f t="shared" si="232"/>
        <v>10</v>
      </c>
      <c r="CE103" s="371"/>
      <c r="CF103" s="232">
        <f t="shared" si="233"/>
        <v>80</v>
      </c>
      <c r="CG103" s="232" t="str">
        <f t="shared" si="234"/>
        <v/>
      </c>
      <c r="CH103" s="232" t="str">
        <f t="shared" si="235"/>
        <v/>
      </c>
      <c r="CI103" s="232">
        <f t="shared" si="248"/>
        <v>1</v>
      </c>
      <c r="CJ103" s="232"/>
      <c r="CK103" s="497">
        <v>80</v>
      </c>
      <c r="CL103" s="498">
        <v>10</v>
      </c>
      <c r="CM103" s="485">
        <f t="shared" si="236"/>
        <v>10</v>
      </c>
      <c r="CN103" s="371"/>
      <c r="CO103" s="232">
        <f t="shared" si="237"/>
        <v>80</v>
      </c>
      <c r="CP103" s="232" t="str">
        <f t="shared" si="238"/>
        <v/>
      </c>
      <c r="CQ103" s="232" t="str">
        <f t="shared" si="239"/>
        <v/>
      </c>
      <c r="CR103" s="232">
        <f t="shared" si="249"/>
        <v>1</v>
      </c>
      <c r="CS103" s="232"/>
      <c r="CT103" s="371"/>
      <c r="CU103" s="300"/>
      <c r="CV103" s="246"/>
      <c r="CW103" s="264"/>
    </row>
    <row r="104" spans="1:101" ht="13.5" thickBot="1" x14ac:dyDescent="0.25">
      <c r="A104" s="264"/>
      <c r="B104" s="264"/>
      <c r="C104" s="202"/>
      <c r="D104" s="271">
        <v>9</v>
      </c>
      <c r="E104" s="168" t="s">
        <v>106</v>
      </c>
      <c r="F104" s="470">
        <v>0</v>
      </c>
      <c r="G104" s="476" t="s">
        <v>49</v>
      </c>
      <c r="H104" s="477">
        <v>4</v>
      </c>
      <c r="I104" s="392" t="str">
        <f t="shared" si="200"/>
        <v/>
      </c>
      <c r="J104" s="393" t="str">
        <f t="shared" si="201"/>
        <v/>
      </c>
      <c r="K104" s="394" t="str">
        <f t="shared" si="202"/>
        <v>x</v>
      </c>
      <c r="L104" s="299"/>
      <c r="M104" s="375"/>
      <c r="N104" s="379"/>
      <c r="O104" s="236"/>
      <c r="P104" s="236"/>
      <c r="Q104" s="489">
        <v>50</v>
      </c>
      <c r="R104" s="490">
        <v>30</v>
      </c>
      <c r="S104" s="491">
        <f t="shared" si="240"/>
        <v>20</v>
      </c>
      <c r="T104" s="371"/>
      <c r="U104" s="232" t="str">
        <f t="shared" si="203"/>
        <v/>
      </c>
      <c r="V104" s="232" t="str">
        <f t="shared" si="204"/>
        <v/>
      </c>
      <c r="W104" s="232">
        <f t="shared" si="205"/>
        <v>20</v>
      </c>
      <c r="X104" s="232" t="str">
        <f t="shared" si="241"/>
        <v/>
      </c>
      <c r="Y104" s="371"/>
      <c r="Z104" s="499">
        <v>80</v>
      </c>
      <c r="AA104" s="500">
        <v>10</v>
      </c>
      <c r="AB104" s="491">
        <f t="shared" si="206"/>
        <v>10</v>
      </c>
      <c r="AC104" s="371"/>
      <c r="AD104" s="232" t="str">
        <f t="shared" si="207"/>
        <v/>
      </c>
      <c r="AE104" s="232" t="str">
        <f t="shared" si="208"/>
        <v/>
      </c>
      <c r="AF104" s="232">
        <f t="shared" si="209"/>
        <v>10</v>
      </c>
      <c r="AG104" s="232" t="str">
        <f t="shared" si="242"/>
        <v/>
      </c>
      <c r="AH104" s="371"/>
      <c r="AI104" s="499">
        <v>60</v>
      </c>
      <c r="AJ104" s="500">
        <v>20</v>
      </c>
      <c r="AK104" s="491">
        <f t="shared" si="210"/>
        <v>20</v>
      </c>
      <c r="AL104" s="371"/>
      <c r="AM104" s="232" t="str">
        <f t="shared" si="211"/>
        <v/>
      </c>
      <c r="AN104" s="232" t="str">
        <f t="shared" si="212"/>
        <v/>
      </c>
      <c r="AO104" s="232">
        <f t="shared" si="213"/>
        <v>20</v>
      </c>
      <c r="AP104" s="232" t="str">
        <f t="shared" si="243"/>
        <v/>
      </c>
      <c r="AQ104" s="371"/>
      <c r="AR104" s="499">
        <v>60</v>
      </c>
      <c r="AS104" s="500">
        <v>30</v>
      </c>
      <c r="AT104" s="491">
        <f t="shared" si="214"/>
        <v>10</v>
      </c>
      <c r="AU104" s="371"/>
      <c r="AV104" s="232" t="str">
        <f t="shared" si="215"/>
        <v/>
      </c>
      <c r="AW104" s="232" t="str">
        <f t="shared" si="216"/>
        <v/>
      </c>
      <c r="AX104" s="232">
        <f t="shared" si="217"/>
        <v>10</v>
      </c>
      <c r="AY104" s="232" t="str">
        <f t="shared" si="244"/>
        <v/>
      </c>
      <c r="AZ104" s="371"/>
      <c r="BA104" s="499">
        <v>10</v>
      </c>
      <c r="BB104" s="500">
        <v>40</v>
      </c>
      <c r="BC104" s="491">
        <f t="shared" si="218"/>
        <v>50</v>
      </c>
      <c r="BD104" s="371"/>
      <c r="BE104" s="232" t="str">
        <f t="shared" si="219"/>
        <v/>
      </c>
      <c r="BF104" s="232" t="str">
        <f t="shared" si="220"/>
        <v/>
      </c>
      <c r="BG104" s="232">
        <f t="shared" si="221"/>
        <v>50</v>
      </c>
      <c r="BH104" s="232">
        <f t="shared" si="245"/>
        <v>1</v>
      </c>
      <c r="BI104" s="371"/>
      <c r="BJ104" s="499">
        <v>30</v>
      </c>
      <c r="BK104" s="500">
        <v>40</v>
      </c>
      <c r="BL104" s="491">
        <f t="shared" si="222"/>
        <v>30</v>
      </c>
      <c r="BM104" s="371"/>
      <c r="BN104" s="232" t="str">
        <f t="shared" si="223"/>
        <v/>
      </c>
      <c r="BO104" s="232" t="str">
        <f t="shared" si="224"/>
        <v/>
      </c>
      <c r="BP104" s="232">
        <f t="shared" si="225"/>
        <v>30</v>
      </c>
      <c r="BQ104" s="232" t="str">
        <f t="shared" si="246"/>
        <v/>
      </c>
      <c r="BR104" s="371"/>
      <c r="BS104" s="499">
        <v>20</v>
      </c>
      <c r="BT104" s="500">
        <v>10</v>
      </c>
      <c r="BU104" s="491">
        <f t="shared" si="226"/>
        <v>70</v>
      </c>
      <c r="BV104" s="371"/>
      <c r="BW104" s="232" t="str">
        <f t="shared" si="227"/>
        <v/>
      </c>
      <c r="BX104" s="232" t="str">
        <f t="shared" si="228"/>
        <v/>
      </c>
      <c r="BY104" s="232">
        <f t="shared" si="229"/>
        <v>70</v>
      </c>
      <c r="BZ104" s="232">
        <f t="shared" si="247"/>
        <v>1</v>
      </c>
      <c r="CA104" s="371"/>
      <c r="CB104" s="507">
        <f t="shared" si="230"/>
        <v>50</v>
      </c>
      <c r="CC104" s="508">
        <f t="shared" si="231"/>
        <v>20</v>
      </c>
      <c r="CD104" s="509">
        <f t="shared" si="232"/>
        <v>30</v>
      </c>
      <c r="CE104" s="371"/>
      <c r="CF104" s="232" t="str">
        <f t="shared" si="233"/>
        <v/>
      </c>
      <c r="CG104" s="232" t="str">
        <f t="shared" si="234"/>
        <v/>
      </c>
      <c r="CH104" s="232">
        <f t="shared" si="235"/>
        <v>30</v>
      </c>
      <c r="CI104" s="232" t="str">
        <f t="shared" si="248"/>
        <v/>
      </c>
      <c r="CJ104" s="232"/>
      <c r="CK104" s="499">
        <v>50</v>
      </c>
      <c r="CL104" s="500">
        <v>20</v>
      </c>
      <c r="CM104" s="491">
        <f t="shared" si="236"/>
        <v>30</v>
      </c>
      <c r="CN104" s="371"/>
      <c r="CO104" s="232" t="str">
        <f t="shared" si="237"/>
        <v/>
      </c>
      <c r="CP104" s="232" t="str">
        <f t="shared" si="238"/>
        <v/>
      </c>
      <c r="CQ104" s="232">
        <f t="shared" si="239"/>
        <v>30</v>
      </c>
      <c r="CR104" s="232" t="str">
        <f t="shared" si="249"/>
        <v/>
      </c>
      <c r="CS104" s="232"/>
      <c r="CT104" s="371"/>
      <c r="CU104" s="300"/>
      <c r="CV104" s="246"/>
      <c r="CW104" s="264"/>
    </row>
    <row r="105" spans="1:101" x14ac:dyDescent="0.2">
      <c r="A105" s="264"/>
      <c r="B105" s="264"/>
      <c r="C105" s="202"/>
      <c r="D105" s="271">
        <v>10</v>
      </c>
      <c r="E105" s="169" t="s">
        <v>107</v>
      </c>
      <c r="F105" s="471">
        <v>4</v>
      </c>
      <c r="G105" s="478" t="s">
        <v>49</v>
      </c>
      <c r="H105" s="479">
        <v>0</v>
      </c>
      <c r="I105" s="170" t="str">
        <f t="shared" si="200"/>
        <v>x</v>
      </c>
      <c r="J105" s="387" t="str">
        <f t="shared" si="201"/>
        <v/>
      </c>
      <c r="K105" s="388" t="str">
        <f t="shared" si="202"/>
        <v/>
      </c>
      <c r="L105" s="299"/>
      <c r="M105" s="375"/>
      <c r="N105" s="379"/>
      <c r="O105" s="236"/>
      <c r="P105" s="236"/>
      <c r="Q105" s="492">
        <v>70</v>
      </c>
      <c r="R105" s="493">
        <v>20</v>
      </c>
      <c r="S105" s="494">
        <f t="shared" si="240"/>
        <v>10</v>
      </c>
      <c r="T105" s="371"/>
      <c r="U105" s="232">
        <f t="shared" si="203"/>
        <v>70</v>
      </c>
      <c r="V105" s="232" t="str">
        <f t="shared" si="204"/>
        <v/>
      </c>
      <c r="W105" s="232" t="str">
        <f t="shared" si="205"/>
        <v/>
      </c>
      <c r="X105" s="232">
        <f t="shared" si="241"/>
        <v>1</v>
      </c>
      <c r="Y105" s="371"/>
      <c r="Z105" s="495">
        <v>80</v>
      </c>
      <c r="AA105" s="496">
        <v>10</v>
      </c>
      <c r="AB105" s="494">
        <f t="shared" si="206"/>
        <v>10</v>
      </c>
      <c r="AC105" s="371"/>
      <c r="AD105" s="232">
        <f t="shared" si="207"/>
        <v>80</v>
      </c>
      <c r="AE105" s="232" t="str">
        <f t="shared" si="208"/>
        <v/>
      </c>
      <c r="AF105" s="232" t="str">
        <f t="shared" si="209"/>
        <v/>
      </c>
      <c r="AG105" s="232">
        <f t="shared" si="242"/>
        <v>1</v>
      </c>
      <c r="AH105" s="371"/>
      <c r="AI105" s="495">
        <v>80</v>
      </c>
      <c r="AJ105" s="496">
        <v>10</v>
      </c>
      <c r="AK105" s="494">
        <f t="shared" si="210"/>
        <v>10</v>
      </c>
      <c r="AL105" s="371"/>
      <c r="AM105" s="232">
        <f t="shared" si="211"/>
        <v>80</v>
      </c>
      <c r="AN105" s="232" t="str">
        <f t="shared" si="212"/>
        <v/>
      </c>
      <c r="AO105" s="232" t="str">
        <f t="shared" si="213"/>
        <v/>
      </c>
      <c r="AP105" s="232">
        <f t="shared" si="243"/>
        <v>1</v>
      </c>
      <c r="AQ105" s="371"/>
      <c r="AR105" s="495">
        <v>60</v>
      </c>
      <c r="AS105" s="496">
        <v>30</v>
      </c>
      <c r="AT105" s="494">
        <f t="shared" si="214"/>
        <v>10</v>
      </c>
      <c r="AU105" s="371"/>
      <c r="AV105" s="232">
        <f t="shared" si="215"/>
        <v>60</v>
      </c>
      <c r="AW105" s="232" t="str">
        <f t="shared" si="216"/>
        <v/>
      </c>
      <c r="AX105" s="232" t="str">
        <f t="shared" si="217"/>
        <v/>
      </c>
      <c r="AY105" s="232">
        <f t="shared" si="244"/>
        <v>1</v>
      </c>
      <c r="AZ105" s="371"/>
      <c r="BA105" s="495">
        <v>80</v>
      </c>
      <c r="BB105" s="496">
        <v>10</v>
      </c>
      <c r="BC105" s="494">
        <f t="shared" si="218"/>
        <v>10</v>
      </c>
      <c r="BD105" s="371"/>
      <c r="BE105" s="232">
        <f t="shared" si="219"/>
        <v>80</v>
      </c>
      <c r="BF105" s="232" t="str">
        <f t="shared" si="220"/>
        <v/>
      </c>
      <c r="BG105" s="232" t="str">
        <f t="shared" si="221"/>
        <v/>
      </c>
      <c r="BH105" s="232">
        <f t="shared" si="245"/>
        <v>1</v>
      </c>
      <c r="BI105" s="371"/>
      <c r="BJ105" s="495">
        <v>80</v>
      </c>
      <c r="BK105" s="496">
        <v>10</v>
      </c>
      <c r="BL105" s="494">
        <f t="shared" si="222"/>
        <v>10</v>
      </c>
      <c r="BM105" s="371"/>
      <c r="BN105" s="232">
        <f t="shared" si="223"/>
        <v>80</v>
      </c>
      <c r="BO105" s="232" t="str">
        <f t="shared" si="224"/>
        <v/>
      </c>
      <c r="BP105" s="232" t="str">
        <f t="shared" si="225"/>
        <v/>
      </c>
      <c r="BQ105" s="232">
        <f t="shared" si="246"/>
        <v>1</v>
      </c>
      <c r="BR105" s="371"/>
      <c r="BS105" s="495">
        <v>30</v>
      </c>
      <c r="BT105" s="496">
        <v>20</v>
      </c>
      <c r="BU105" s="494">
        <f t="shared" si="226"/>
        <v>50</v>
      </c>
      <c r="BV105" s="371"/>
      <c r="BW105" s="232">
        <f t="shared" si="227"/>
        <v>30</v>
      </c>
      <c r="BX105" s="232" t="str">
        <f t="shared" si="228"/>
        <v/>
      </c>
      <c r="BY105" s="232" t="str">
        <f t="shared" si="229"/>
        <v/>
      </c>
      <c r="BZ105" s="232" t="str">
        <f t="shared" si="247"/>
        <v/>
      </c>
      <c r="CA105" s="371"/>
      <c r="CB105" s="501">
        <f t="shared" si="230"/>
        <v>70</v>
      </c>
      <c r="CC105" s="502">
        <f t="shared" si="231"/>
        <v>10</v>
      </c>
      <c r="CD105" s="503">
        <f t="shared" si="232"/>
        <v>20</v>
      </c>
      <c r="CE105" s="371"/>
      <c r="CF105" s="232">
        <f t="shared" si="233"/>
        <v>70</v>
      </c>
      <c r="CG105" s="232" t="str">
        <f t="shared" si="234"/>
        <v/>
      </c>
      <c r="CH105" s="232" t="str">
        <f t="shared" si="235"/>
        <v/>
      </c>
      <c r="CI105" s="232">
        <f t="shared" si="248"/>
        <v>1</v>
      </c>
      <c r="CJ105" s="232"/>
      <c r="CK105" s="495">
        <v>80</v>
      </c>
      <c r="CL105" s="496">
        <v>10</v>
      </c>
      <c r="CM105" s="494">
        <f t="shared" si="236"/>
        <v>10</v>
      </c>
      <c r="CN105" s="371"/>
      <c r="CO105" s="232">
        <f t="shared" si="237"/>
        <v>80</v>
      </c>
      <c r="CP105" s="232" t="str">
        <f t="shared" si="238"/>
        <v/>
      </c>
      <c r="CQ105" s="232" t="str">
        <f t="shared" si="239"/>
        <v/>
      </c>
      <c r="CR105" s="232">
        <f t="shared" si="249"/>
        <v>1</v>
      </c>
      <c r="CS105" s="232"/>
      <c r="CT105" s="371"/>
      <c r="CU105" s="300"/>
      <c r="CV105" s="246"/>
      <c r="CW105" s="264"/>
    </row>
    <row r="106" spans="1:101" x14ac:dyDescent="0.2">
      <c r="A106" s="264"/>
      <c r="B106" s="264"/>
      <c r="C106" s="202"/>
      <c r="D106" s="271">
        <v>11</v>
      </c>
      <c r="E106" s="167" t="s">
        <v>108</v>
      </c>
      <c r="F106" s="469">
        <v>2</v>
      </c>
      <c r="G106" s="474" t="s">
        <v>49</v>
      </c>
      <c r="H106" s="475">
        <v>5</v>
      </c>
      <c r="I106" s="389" t="str">
        <f t="shared" si="200"/>
        <v/>
      </c>
      <c r="J106" s="390" t="str">
        <f t="shared" si="201"/>
        <v/>
      </c>
      <c r="K106" s="391" t="str">
        <f t="shared" si="202"/>
        <v>x</v>
      </c>
      <c r="L106" s="299"/>
      <c r="M106" s="375"/>
      <c r="N106" s="379"/>
      <c r="O106" s="236"/>
      <c r="P106" s="236"/>
      <c r="Q106" s="483">
        <v>50</v>
      </c>
      <c r="R106" s="484">
        <v>30</v>
      </c>
      <c r="S106" s="485">
        <f t="shared" si="240"/>
        <v>20</v>
      </c>
      <c r="T106" s="371"/>
      <c r="U106" s="232" t="str">
        <f t="shared" si="203"/>
        <v/>
      </c>
      <c r="V106" s="232" t="str">
        <f t="shared" si="204"/>
        <v/>
      </c>
      <c r="W106" s="232">
        <f t="shared" si="205"/>
        <v>20</v>
      </c>
      <c r="X106" s="232" t="str">
        <f t="shared" si="241"/>
        <v/>
      </c>
      <c r="Y106" s="371"/>
      <c r="Z106" s="497">
        <v>80</v>
      </c>
      <c r="AA106" s="498">
        <v>10</v>
      </c>
      <c r="AB106" s="485">
        <f t="shared" si="206"/>
        <v>10</v>
      </c>
      <c r="AC106" s="371"/>
      <c r="AD106" s="232" t="str">
        <f t="shared" si="207"/>
        <v/>
      </c>
      <c r="AE106" s="232" t="str">
        <f t="shared" si="208"/>
        <v/>
      </c>
      <c r="AF106" s="232">
        <f t="shared" si="209"/>
        <v>10</v>
      </c>
      <c r="AG106" s="232" t="str">
        <f t="shared" si="242"/>
        <v/>
      </c>
      <c r="AH106" s="371"/>
      <c r="AI106" s="497">
        <v>40</v>
      </c>
      <c r="AJ106" s="498">
        <v>40</v>
      </c>
      <c r="AK106" s="485">
        <f t="shared" si="210"/>
        <v>20</v>
      </c>
      <c r="AL106" s="371"/>
      <c r="AM106" s="232" t="str">
        <f t="shared" si="211"/>
        <v/>
      </c>
      <c r="AN106" s="232" t="str">
        <f t="shared" si="212"/>
        <v/>
      </c>
      <c r="AO106" s="232">
        <f t="shared" si="213"/>
        <v>20</v>
      </c>
      <c r="AP106" s="232" t="str">
        <f t="shared" si="243"/>
        <v/>
      </c>
      <c r="AQ106" s="371"/>
      <c r="AR106" s="497">
        <v>60</v>
      </c>
      <c r="AS106" s="498">
        <v>30</v>
      </c>
      <c r="AT106" s="485">
        <f t="shared" si="214"/>
        <v>10</v>
      </c>
      <c r="AU106" s="371"/>
      <c r="AV106" s="232" t="str">
        <f t="shared" si="215"/>
        <v/>
      </c>
      <c r="AW106" s="232" t="str">
        <f t="shared" si="216"/>
        <v/>
      </c>
      <c r="AX106" s="232">
        <f t="shared" si="217"/>
        <v>10</v>
      </c>
      <c r="AY106" s="232" t="str">
        <f t="shared" si="244"/>
        <v/>
      </c>
      <c r="AZ106" s="371"/>
      <c r="BA106" s="497">
        <v>50</v>
      </c>
      <c r="BB106" s="498">
        <v>40</v>
      </c>
      <c r="BC106" s="485">
        <f t="shared" si="218"/>
        <v>10</v>
      </c>
      <c r="BD106" s="371"/>
      <c r="BE106" s="232" t="str">
        <f t="shared" si="219"/>
        <v/>
      </c>
      <c r="BF106" s="232" t="str">
        <f t="shared" si="220"/>
        <v/>
      </c>
      <c r="BG106" s="232">
        <f t="shared" si="221"/>
        <v>10</v>
      </c>
      <c r="BH106" s="232" t="str">
        <f t="shared" si="245"/>
        <v/>
      </c>
      <c r="BI106" s="371"/>
      <c r="BJ106" s="497">
        <v>80</v>
      </c>
      <c r="BK106" s="498">
        <v>10</v>
      </c>
      <c r="BL106" s="485">
        <f t="shared" si="222"/>
        <v>10</v>
      </c>
      <c r="BM106" s="371"/>
      <c r="BN106" s="232" t="str">
        <f t="shared" si="223"/>
        <v/>
      </c>
      <c r="BO106" s="232" t="str">
        <f t="shared" si="224"/>
        <v/>
      </c>
      <c r="BP106" s="232">
        <f t="shared" si="225"/>
        <v>10</v>
      </c>
      <c r="BQ106" s="232" t="str">
        <f t="shared" si="246"/>
        <v/>
      </c>
      <c r="BR106" s="371"/>
      <c r="BS106" s="497">
        <v>30</v>
      </c>
      <c r="BT106" s="498">
        <v>40</v>
      </c>
      <c r="BU106" s="485">
        <f t="shared" si="226"/>
        <v>30</v>
      </c>
      <c r="BV106" s="371"/>
      <c r="BW106" s="232" t="str">
        <f t="shared" si="227"/>
        <v/>
      </c>
      <c r="BX106" s="232" t="str">
        <f t="shared" si="228"/>
        <v/>
      </c>
      <c r="BY106" s="232">
        <f t="shared" si="229"/>
        <v>30</v>
      </c>
      <c r="BZ106" s="232" t="str">
        <f t="shared" si="247"/>
        <v/>
      </c>
      <c r="CA106" s="371"/>
      <c r="CB106" s="504">
        <f t="shared" si="230"/>
        <v>60</v>
      </c>
      <c r="CC106" s="505">
        <f t="shared" si="231"/>
        <v>20</v>
      </c>
      <c r="CD106" s="506">
        <f t="shared" si="232"/>
        <v>20</v>
      </c>
      <c r="CE106" s="371"/>
      <c r="CF106" s="232" t="str">
        <f t="shared" si="233"/>
        <v/>
      </c>
      <c r="CG106" s="232" t="str">
        <f t="shared" si="234"/>
        <v/>
      </c>
      <c r="CH106" s="232">
        <f t="shared" si="235"/>
        <v>20</v>
      </c>
      <c r="CI106" s="232" t="str">
        <f t="shared" si="248"/>
        <v/>
      </c>
      <c r="CJ106" s="232"/>
      <c r="CK106" s="497">
        <v>50</v>
      </c>
      <c r="CL106" s="498">
        <v>30</v>
      </c>
      <c r="CM106" s="485">
        <f t="shared" si="236"/>
        <v>20</v>
      </c>
      <c r="CN106" s="371"/>
      <c r="CO106" s="232" t="str">
        <f t="shared" si="237"/>
        <v/>
      </c>
      <c r="CP106" s="232" t="str">
        <f t="shared" si="238"/>
        <v/>
      </c>
      <c r="CQ106" s="232">
        <f t="shared" si="239"/>
        <v>20</v>
      </c>
      <c r="CR106" s="232" t="str">
        <f t="shared" si="249"/>
        <v/>
      </c>
      <c r="CS106" s="232"/>
      <c r="CT106" s="371"/>
      <c r="CU106" s="300"/>
      <c r="CV106" s="246"/>
      <c r="CW106" s="264"/>
    </row>
    <row r="107" spans="1:101" ht="13.5" thickBot="1" x14ac:dyDescent="0.25">
      <c r="A107" s="264"/>
      <c r="B107" s="264"/>
      <c r="C107" s="202"/>
      <c r="D107" s="271">
        <v>12</v>
      </c>
      <c r="E107" s="168" t="s">
        <v>109</v>
      </c>
      <c r="F107" s="470">
        <v>1</v>
      </c>
      <c r="G107" s="476" t="s">
        <v>49</v>
      </c>
      <c r="H107" s="477">
        <v>3</v>
      </c>
      <c r="I107" s="392" t="str">
        <f t="shared" si="200"/>
        <v/>
      </c>
      <c r="J107" s="393" t="str">
        <f t="shared" si="201"/>
        <v/>
      </c>
      <c r="K107" s="394" t="str">
        <f t="shared" si="202"/>
        <v>x</v>
      </c>
      <c r="L107" s="299"/>
      <c r="M107" s="375"/>
      <c r="N107" s="379"/>
      <c r="O107" s="236"/>
      <c r="P107" s="236"/>
      <c r="Q107" s="489">
        <v>20</v>
      </c>
      <c r="R107" s="490">
        <v>30</v>
      </c>
      <c r="S107" s="491">
        <f t="shared" si="240"/>
        <v>50</v>
      </c>
      <c r="T107" s="371"/>
      <c r="U107" s="232" t="str">
        <f t="shared" si="203"/>
        <v/>
      </c>
      <c r="V107" s="232" t="str">
        <f t="shared" si="204"/>
        <v/>
      </c>
      <c r="W107" s="232">
        <f t="shared" si="205"/>
        <v>50</v>
      </c>
      <c r="X107" s="232">
        <f t="shared" si="241"/>
        <v>1</v>
      </c>
      <c r="Y107" s="371"/>
      <c r="Z107" s="499">
        <v>10</v>
      </c>
      <c r="AA107" s="500">
        <v>10</v>
      </c>
      <c r="AB107" s="491">
        <f t="shared" si="206"/>
        <v>80</v>
      </c>
      <c r="AC107" s="371"/>
      <c r="AD107" s="232" t="str">
        <f t="shared" si="207"/>
        <v/>
      </c>
      <c r="AE107" s="232" t="str">
        <f t="shared" si="208"/>
        <v/>
      </c>
      <c r="AF107" s="232">
        <f t="shared" si="209"/>
        <v>80</v>
      </c>
      <c r="AG107" s="232">
        <f t="shared" si="242"/>
        <v>1</v>
      </c>
      <c r="AH107" s="371"/>
      <c r="AI107" s="499">
        <v>10</v>
      </c>
      <c r="AJ107" s="500">
        <v>30</v>
      </c>
      <c r="AK107" s="491">
        <f t="shared" si="210"/>
        <v>60</v>
      </c>
      <c r="AL107" s="371"/>
      <c r="AM107" s="232" t="str">
        <f t="shared" si="211"/>
        <v/>
      </c>
      <c r="AN107" s="232" t="str">
        <f t="shared" si="212"/>
        <v/>
      </c>
      <c r="AO107" s="232">
        <f t="shared" si="213"/>
        <v>60</v>
      </c>
      <c r="AP107" s="232">
        <f t="shared" si="243"/>
        <v>1</v>
      </c>
      <c r="AQ107" s="371"/>
      <c r="AR107" s="499">
        <v>30</v>
      </c>
      <c r="AS107" s="500">
        <v>30</v>
      </c>
      <c r="AT107" s="491">
        <f t="shared" si="214"/>
        <v>40</v>
      </c>
      <c r="AU107" s="371"/>
      <c r="AV107" s="232" t="str">
        <f t="shared" si="215"/>
        <v/>
      </c>
      <c r="AW107" s="232" t="str">
        <f t="shared" si="216"/>
        <v/>
      </c>
      <c r="AX107" s="232">
        <f t="shared" si="217"/>
        <v>40</v>
      </c>
      <c r="AY107" s="232">
        <f t="shared" si="244"/>
        <v>1</v>
      </c>
      <c r="AZ107" s="371"/>
      <c r="BA107" s="499">
        <v>50</v>
      </c>
      <c r="BB107" s="500">
        <v>40</v>
      </c>
      <c r="BC107" s="491">
        <f t="shared" si="218"/>
        <v>10</v>
      </c>
      <c r="BD107" s="371"/>
      <c r="BE107" s="232" t="str">
        <f t="shared" si="219"/>
        <v/>
      </c>
      <c r="BF107" s="232" t="str">
        <f t="shared" si="220"/>
        <v/>
      </c>
      <c r="BG107" s="232">
        <f t="shared" si="221"/>
        <v>10</v>
      </c>
      <c r="BH107" s="232" t="str">
        <f t="shared" si="245"/>
        <v/>
      </c>
      <c r="BI107" s="371"/>
      <c r="BJ107" s="499">
        <v>10</v>
      </c>
      <c r="BK107" s="500">
        <v>10</v>
      </c>
      <c r="BL107" s="491">
        <f t="shared" si="222"/>
        <v>80</v>
      </c>
      <c r="BM107" s="371"/>
      <c r="BN107" s="232" t="str">
        <f t="shared" si="223"/>
        <v/>
      </c>
      <c r="BO107" s="232" t="str">
        <f t="shared" si="224"/>
        <v/>
      </c>
      <c r="BP107" s="232">
        <f t="shared" si="225"/>
        <v>80</v>
      </c>
      <c r="BQ107" s="232">
        <f t="shared" si="246"/>
        <v>1</v>
      </c>
      <c r="BR107" s="371"/>
      <c r="BS107" s="499">
        <v>30</v>
      </c>
      <c r="BT107" s="500">
        <v>20</v>
      </c>
      <c r="BU107" s="491">
        <f t="shared" si="226"/>
        <v>50</v>
      </c>
      <c r="BV107" s="371"/>
      <c r="BW107" s="232" t="str">
        <f t="shared" si="227"/>
        <v/>
      </c>
      <c r="BX107" s="232" t="str">
        <f t="shared" si="228"/>
        <v/>
      </c>
      <c r="BY107" s="232">
        <f t="shared" si="229"/>
        <v>50</v>
      </c>
      <c r="BZ107" s="232">
        <f t="shared" si="247"/>
        <v>1</v>
      </c>
      <c r="CA107" s="371"/>
      <c r="CB107" s="507">
        <f t="shared" si="230"/>
        <v>30</v>
      </c>
      <c r="CC107" s="508">
        <f t="shared" si="231"/>
        <v>20</v>
      </c>
      <c r="CD107" s="509">
        <f t="shared" si="232"/>
        <v>50</v>
      </c>
      <c r="CE107" s="371"/>
      <c r="CF107" s="232" t="str">
        <f t="shared" si="233"/>
        <v/>
      </c>
      <c r="CG107" s="232" t="str">
        <f t="shared" si="234"/>
        <v/>
      </c>
      <c r="CH107" s="232">
        <f t="shared" si="235"/>
        <v>50</v>
      </c>
      <c r="CI107" s="232">
        <f t="shared" si="248"/>
        <v>1</v>
      </c>
      <c r="CJ107" s="232"/>
      <c r="CK107" s="499">
        <v>20</v>
      </c>
      <c r="CL107" s="500">
        <v>20</v>
      </c>
      <c r="CM107" s="491">
        <f t="shared" si="236"/>
        <v>60</v>
      </c>
      <c r="CN107" s="371"/>
      <c r="CO107" s="232" t="str">
        <f t="shared" si="237"/>
        <v/>
      </c>
      <c r="CP107" s="232" t="str">
        <f t="shared" si="238"/>
        <v/>
      </c>
      <c r="CQ107" s="232">
        <f t="shared" si="239"/>
        <v>60</v>
      </c>
      <c r="CR107" s="232">
        <f t="shared" si="249"/>
        <v>1</v>
      </c>
      <c r="CS107" s="232"/>
      <c r="CT107" s="371"/>
      <c r="CU107" s="300"/>
      <c r="CV107" s="246"/>
      <c r="CW107" s="264"/>
    </row>
    <row r="108" spans="1:101" x14ac:dyDescent="0.2">
      <c r="A108" s="264"/>
      <c r="B108" s="264"/>
      <c r="C108" s="202"/>
      <c r="D108" s="272"/>
      <c r="E108" s="235"/>
      <c r="F108" s="395">
        <f>IF(SUM(F96:F107)=0,"",SUM(F96:F107))</f>
        <v>25</v>
      </c>
      <c r="G108" s="370" t="s">
        <v>49</v>
      </c>
      <c r="H108" s="396">
        <f>IF(SUM(H96:H107)=0,"",SUM(H96:H107))</f>
        <v>15</v>
      </c>
      <c r="I108" s="397">
        <f>IF(COUNTIF(I96:I107,"=x")=0,"",COUNTIF(I96:I107,"=x"))</f>
        <v>8</v>
      </c>
      <c r="J108" s="398">
        <f>IF(COUNTIF(J96:J107,"=x")=0,"",COUNTIF(J96:J107,"=x"))</f>
        <v>1</v>
      </c>
      <c r="K108" s="399">
        <f>IF(COUNTIF(K96:K107,"=x")=0,"",COUNTIF(K96:K107,"=x"))</f>
        <v>3</v>
      </c>
      <c r="L108" s="299"/>
      <c r="M108" s="375"/>
      <c r="N108" s="379"/>
      <c r="O108" s="236"/>
      <c r="P108" s="369"/>
      <c r="Q108" s="466">
        <f>SUM(U96:U107)</f>
        <v>520</v>
      </c>
      <c r="R108" s="466">
        <f>SUM(V96:V107)</f>
        <v>30</v>
      </c>
      <c r="S108" s="466">
        <f>SUM(W96:W107)</f>
        <v>90</v>
      </c>
      <c r="T108" s="368"/>
      <c r="U108" s="232"/>
      <c r="V108" s="232"/>
      <c r="W108" s="232"/>
      <c r="X108" s="232"/>
      <c r="Y108" s="367"/>
      <c r="Z108" s="466">
        <f>SUM(AD96:AD107)</f>
        <v>570</v>
      </c>
      <c r="AA108" s="466">
        <f>SUM(AE96:AE107)</f>
        <v>10</v>
      </c>
      <c r="AB108" s="466">
        <f>SUM(AF96:AF107)</f>
        <v>100</v>
      </c>
      <c r="AC108" s="368"/>
      <c r="AD108" s="232"/>
      <c r="AE108" s="232"/>
      <c r="AF108" s="232"/>
      <c r="AG108" s="232"/>
      <c r="AH108" s="367"/>
      <c r="AI108" s="466">
        <f>SUM(AM96:AM107)</f>
        <v>540</v>
      </c>
      <c r="AJ108" s="466">
        <f>SUM(AN96:AN107)</f>
        <v>40</v>
      </c>
      <c r="AK108" s="466">
        <f>SUM(AO96:AO107)</f>
        <v>100</v>
      </c>
      <c r="AL108" s="368"/>
      <c r="AM108" s="232"/>
      <c r="AN108" s="232"/>
      <c r="AO108" s="232"/>
      <c r="AP108" s="232"/>
      <c r="AQ108" s="367"/>
      <c r="AR108" s="466">
        <f>SUM(AV96:AV107)</f>
        <v>540</v>
      </c>
      <c r="AS108" s="466">
        <f>SUM(AW96:AW107)</f>
        <v>30</v>
      </c>
      <c r="AT108" s="466">
        <f>SUM(AX96:AX107)</f>
        <v>60</v>
      </c>
      <c r="AU108" s="368"/>
      <c r="AV108" s="232"/>
      <c r="AW108" s="232"/>
      <c r="AX108" s="232"/>
      <c r="AY108" s="232"/>
      <c r="AZ108" s="367"/>
      <c r="BA108" s="466">
        <f>SUM(BE96:BE107)</f>
        <v>570</v>
      </c>
      <c r="BB108" s="466">
        <f>SUM(BF96:BF107)</f>
        <v>10</v>
      </c>
      <c r="BC108" s="466">
        <f>SUM(BG96:BG107)</f>
        <v>70</v>
      </c>
      <c r="BD108" s="368"/>
      <c r="BE108" s="232"/>
      <c r="BF108" s="232"/>
      <c r="BG108" s="232"/>
      <c r="BH108" s="232"/>
      <c r="BI108" s="367"/>
      <c r="BJ108" s="466">
        <f>SUM(BN96:BN107)</f>
        <v>500</v>
      </c>
      <c r="BK108" s="466">
        <f>SUM(BO96:BO107)</f>
        <v>10</v>
      </c>
      <c r="BL108" s="466">
        <f>SUM(BP96:BP107)</f>
        <v>120</v>
      </c>
      <c r="BM108" s="368"/>
      <c r="BN108" s="232"/>
      <c r="BO108" s="232"/>
      <c r="BP108" s="232"/>
      <c r="BQ108" s="232"/>
      <c r="BR108" s="367"/>
      <c r="BS108" s="466">
        <f>SUM(BW96:BW107)</f>
        <v>470</v>
      </c>
      <c r="BT108" s="466">
        <f>SUM(BX96:BX107)</f>
        <v>20</v>
      </c>
      <c r="BU108" s="466">
        <f>SUM(BY96:BY107)</f>
        <v>150</v>
      </c>
      <c r="BV108" s="368"/>
      <c r="BW108" s="232"/>
      <c r="BX108" s="232"/>
      <c r="BY108" s="232"/>
      <c r="BZ108" s="232"/>
      <c r="CA108" s="369"/>
      <c r="CB108" s="466">
        <f>SUM(CF96:CF107)</f>
        <v>550</v>
      </c>
      <c r="CC108" s="466">
        <f>SUM(CG96:CG107)</f>
        <v>20</v>
      </c>
      <c r="CD108" s="466">
        <f>SUM(CH96:CH107)</f>
        <v>100</v>
      </c>
      <c r="CE108" s="368"/>
      <c r="CF108" s="232"/>
      <c r="CG108" s="232"/>
      <c r="CH108" s="232"/>
      <c r="CI108" s="232"/>
      <c r="CJ108" s="232"/>
      <c r="CK108" s="466">
        <f>SUM(CO96:CO107)</f>
        <v>580</v>
      </c>
      <c r="CL108" s="466">
        <f>SUM(CP96:CP107)</f>
        <v>20</v>
      </c>
      <c r="CM108" s="466">
        <f>SUM(CQ96:CQ107)</f>
        <v>110</v>
      </c>
      <c r="CN108" s="368"/>
      <c r="CO108" s="232"/>
      <c r="CP108" s="232"/>
      <c r="CQ108" s="232"/>
      <c r="CR108" s="232"/>
      <c r="CS108" s="232"/>
      <c r="CT108" s="232"/>
      <c r="CU108" s="300"/>
      <c r="CV108" s="246"/>
      <c r="CW108" s="265"/>
    </row>
    <row r="109" spans="1:101" ht="13.5" thickBot="1" x14ac:dyDescent="0.25">
      <c r="A109" s="264"/>
      <c r="B109" s="264"/>
      <c r="C109" s="202"/>
      <c r="D109" s="289"/>
      <c r="E109" s="282"/>
      <c r="F109" s="283"/>
      <c r="G109" s="282"/>
      <c r="H109" s="282"/>
      <c r="I109" s="282"/>
      <c r="J109" s="282"/>
      <c r="K109" s="282"/>
      <c r="L109" s="293"/>
      <c r="M109" s="301"/>
      <c r="N109" s="380"/>
      <c r="O109" s="376"/>
      <c r="P109" s="284"/>
      <c r="Q109" s="285"/>
      <c r="R109" s="285"/>
      <c r="S109" s="285"/>
      <c r="T109" s="286"/>
      <c r="U109" s="287"/>
      <c r="V109" s="287"/>
      <c r="W109" s="287"/>
      <c r="X109" s="287"/>
      <c r="Y109" s="284"/>
      <c r="Z109" s="285"/>
      <c r="AA109" s="285"/>
      <c r="AB109" s="285"/>
      <c r="AC109" s="286"/>
      <c r="AD109" s="287"/>
      <c r="AE109" s="287"/>
      <c r="AF109" s="287"/>
      <c r="AG109" s="288"/>
      <c r="AH109" s="284"/>
      <c r="AI109" s="285"/>
      <c r="AJ109" s="285"/>
      <c r="AK109" s="285"/>
      <c r="AL109" s="286"/>
      <c r="AM109" s="287"/>
      <c r="AN109" s="287"/>
      <c r="AO109" s="287"/>
      <c r="AP109" s="288"/>
      <c r="AQ109" s="284"/>
      <c r="AR109" s="285"/>
      <c r="AS109" s="285"/>
      <c r="AT109" s="285"/>
      <c r="AU109" s="286"/>
      <c r="AV109" s="287"/>
      <c r="AW109" s="287"/>
      <c r="AX109" s="287"/>
      <c r="AY109" s="288"/>
      <c r="AZ109" s="284"/>
      <c r="BA109" s="285"/>
      <c r="BB109" s="285"/>
      <c r="BC109" s="285"/>
      <c r="BD109" s="286"/>
      <c r="BE109" s="287"/>
      <c r="BF109" s="287"/>
      <c r="BG109" s="287"/>
      <c r="BH109" s="288"/>
      <c r="BI109" s="284"/>
      <c r="BJ109" s="284"/>
      <c r="BK109" s="284"/>
      <c r="BL109" s="284"/>
      <c r="BM109" s="284"/>
      <c r="BN109" s="284"/>
      <c r="BO109" s="284"/>
      <c r="BP109" s="284"/>
      <c r="BQ109" s="284"/>
      <c r="BR109" s="284"/>
      <c r="BS109" s="284"/>
      <c r="BT109" s="284"/>
      <c r="BU109" s="284"/>
      <c r="BV109" s="284"/>
      <c r="BW109" s="284"/>
      <c r="BX109" s="284"/>
      <c r="BY109" s="284"/>
      <c r="BZ109" s="284"/>
      <c r="CA109" s="284"/>
      <c r="CB109" s="284"/>
      <c r="CC109" s="284"/>
      <c r="CD109" s="284"/>
      <c r="CE109" s="284"/>
      <c r="CF109" s="284"/>
      <c r="CG109" s="284"/>
      <c r="CH109" s="284"/>
      <c r="CI109" s="284"/>
      <c r="CJ109" s="288"/>
      <c r="CK109" s="288"/>
      <c r="CL109" s="288"/>
      <c r="CM109" s="288"/>
      <c r="CN109" s="288"/>
      <c r="CO109" s="288"/>
      <c r="CP109" s="288"/>
      <c r="CQ109" s="288"/>
      <c r="CR109" s="288"/>
      <c r="CS109" s="288"/>
      <c r="CT109" s="282"/>
      <c r="CU109" s="294"/>
      <c r="CV109" s="246"/>
      <c r="CW109" s="265"/>
    </row>
    <row r="110" spans="1:101" ht="14.25" thickTop="1" thickBot="1" x14ac:dyDescent="0.25">
      <c r="A110" s="256"/>
      <c r="B110" s="256"/>
      <c r="C110" s="210"/>
      <c r="D110" s="211"/>
      <c r="E110" s="247"/>
      <c r="F110" s="248"/>
      <c r="G110" s="247"/>
      <c r="H110" s="247"/>
      <c r="I110" s="247"/>
      <c r="J110" s="247"/>
      <c r="K110" s="247"/>
      <c r="L110" s="249"/>
      <c r="M110" s="250"/>
      <c r="N110" s="250"/>
      <c r="O110" s="250"/>
      <c r="P110" s="250"/>
      <c r="Q110" s="247"/>
      <c r="R110" s="247"/>
      <c r="S110" s="247"/>
      <c r="T110" s="251"/>
      <c r="U110" s="252"/>
      <c r="V110" s="252"/>
      <c r="W110" s="252"/>
      <c r="X110" s="252"/>
      <c r="Y110" s="250"/>
      <c r="Z110" s="247"/>
      <c r="AA110" s="247"/>
      <c r="AB110" s="247"/>
      <c r="AC110" s="251"/>
      <c r="AD110" s="252"/>
      <c r="AE110" s="252"/>
      <c r="AF110" s="252"/>
      <c r="AG110" s="247"/>
      <c r="AH110" s="250"/>
      <c r="AI110" s="247"/>
      <c r="AJ110" s="247"/>
      <c r="AK110" s="247"/>
      <c r="AL110" s="251"/>
      <c r="AM110" s="252"/>
      <c r="AN110" s="252"/>
      <c r="AO110" s="252"/>
      <c r="AP110" s="253"/>
      <c r="AQ110" s="250"/>
      <c r="AR110" s="247"/>
      <c r="AS110" s="247"/>
      <c r="AT110" s="247"/>
      <c r="AU110" s="251"/>
      <c r="AV110" s="252"/>
      <c r="AW110" s="252"/>
      <c r="AX110" s="252"/>
      <c r="AY110" s="247"/>
      <c r="AZ110" s="250"/>
      <c r="BA110" s="247"/>
      <c r="BB110" s="247"/>
      <c r="BC110" s="247"/>
      <c r="BD110" s="251"/>
      <c r="BE110" s="252"/>
      <c r="BF110" s="252"/>
      <c r="BG110" s="252"/>
      <c r="BH110" s="247"/>
      <c r="BI110" s="250"/>
      <c r="BJ110" s="247"/>
      <c r="BK110" s="247"/>
      <c r="BL110" s="247"/>
      <c r="BM110" s="251"/>
      <c r="BN110" s="252"/>
      <c r="BO110" s="252"/>
      <c r="BP110" s="252"/>
      <c r="BQ110" s="247"/>
      <c r="BR110" s="212"/>
      <c r="BS110" s="247"/>
      <c r="BT110" s="247"/>
      <c r="BU110" s="247"/>
      <c r="BV110" s="250"/>
      <c r="BW110" s="252"/>
      <c r="BX110" s="252"/>
      <c r="BY110" s="252"/>
      <c r="BZ110" s="247"/>
      <c r="CA110" s="247"/>
      <c r="CB110" s="253"/>
      <c r="CC110" s="253"/>
      <c r="CD110" s="253"/>
      <c r="CE110" s="253"/>
      <c r="CF110" s="247"/>
      <c r="CG110" s="247"/>
      <c r="CH110" s="247"/>
      <c r="CI110" s="247"/>
      <c r="CJ110" s="247"/>
      <c r="CK110" s="247"/>
      <c r="CL110" s="247"/>
      <c r="CM110" s="247"/>
      <c r="CN110" s="247"/>
      <c r="CO110" s="247"/>
      <c r="CP110" s="247"/>
      <c r="CQ110" s="247"/>
      <c r="CR110" s="247"/>
      <c r="CS110" s="247"/>
      <c r="CT110" s="247"/>
      <c r="CU110" s="247"/>
      <c r="CV110" s="254"/>
      <c r="CW110" s="255"/>
    </row>
    <row r="111" spans="1:101" ht="14.25" thickTop="1" thickBot="1" x14ac:dyDescent="0.25">
      <c r="A111" s="255"/>
      <c r="B111" s="255"/>
      <c r="C111" s="255"/>
      <c r="D111" s="255"/>
      <c r="E111" s="255"/>
      <c r="F111" s="255"/>
      <c r="G111" s="255"/>
      <c r="H111" s="255"/>
      <c r="I111" s="255"/>
      <c r="J111" s="255"/>
      <c r="K111" s="255"/>
      <c r="L111" s="255"/>
      <c r="M111" s="255"/>
      <c r="N111" s="255"/>
      <c r="O111" s="255"/>
      <c r="P111" s="255"/>
      <c r="Q111" s="255"/>
      <c r="R111" s="255"/>
      <c r="S111" s="255"/>
      <c r="T111" s="255"/>
      <c r="U111" s="255"/>
      <c r="V111" s="255"/>
      <c r="W111" s="255"/>
      <c r="X111" s="255"/>
      <c r="Y111" s="255"/>
      <c r="Z111" s="255"/>
      <c r="AA111" s="255"/>
      <c r="AB111" s="255"/>
      <c r="AC111" s="255"/>
      <c r="AD111" s="255"/>
      <c r="AE111" s="255"/>
      <c r="AF111" s="255"/>
      <c r="AG111" s="255"/>
      <c r="AH111" s="255"/>
      <c r="AI111" s="255"/>
      <c r="AJ111" s="255"/>
      <c r="AK111" s="255"/>
      <c r="AL111" s="255"/>
      <c r="AM111" s="255"/>
      <c r="AN111" s="255"/>
      <c r="AO111" s="255"/>
      <c r="AP111" s="255"/>
      <c r="AQ111" s="255"/>
      <c r="AR111" s="255"/>
      <c r="AS111" s="255"/>
      <c r="AT111" s="255"/>
      <c r="AU111" s="255"/>
      <c r="AV111" s="255"/>
      <c r="AW111" s="255"/>
      <c r="AX111" s="255"/>
      <c r="AY111" s="255"/>
      <c r="AZ111" s="255"/>
      <c r="BA111" s="255"/>
      <c r="BB111" s="255"/>
      <c r="BC111" s="255"/>
      <c r="BD111" s="255"/>
      <c r="BE111" s="255"/>
      <c r="BF111" s="255"/>
      <c r="BG111" s="255"/>
      <c r="BH111" s="255"/>
      <c r="BI111" s="255"/>
      <c r="BJ111" s="255"/>
      <c r="BK111" s="255"/>
      <c r="BL111" s="255"/>
      <c r="BM111" s="255"/>
      <c r="BN111" s="255"/>
      <c r="BO111" s="255"/>
      <c r="BP111" s="255"/>
      <c r="BQ111" s="255"/>
      <c r="BR111" s="255"/>
      <c r="BS111" s="255"/>
      <c r="BT111" s="255"/>
      <c r="BU111" s="255"/>
      <c r="BV111" s="255"/>
      <c r="BW111" s="255"/>
      <c r="BX111" s="255"/>
      <c r="BY111" s="255"/>
      <c r="BZ111" s="255"/>
      <c r="CA111" s="255"/>
      <c r="CB111" s="436"/>
      <c r="CC111" s="436"/>
      <c r="CD111" s="436"/>
      <c r="CE111" s="436"/>
      <c r="CF111" s="255"/>
      <c r="CG111" s="255"/>
      <c r="CH111" s="255"/>
      <c r="CI111" s="255"/>
      <c r="CJ111" s="255"/>
      <c r="CK111" s="255"/>
      <c r="CL111" s="255"/>
      <c r="CM111" s="255"/>
      <c r="CN111" s="255"/>
      <c r="CO111" s="255"/>
      <c r="CP111" s="255"/>
      <c r="CQ111" s="255"/>
      <c r="CR111" s="255"/>
      <c r="CS111" s="255"/>
      <c r="CT111" s="255"/>
      <c r="CU111" s="255"/>
      <c r="CV111" s="255"/>
      <c r="CW111" s="255"/>
    </row>
    <row r="112" spans="1:101" ht="21" thickTop="1" x14ac:dyDescent="0.3">
      <c r="A112" s="256"/>
      <c r="B112" s="256"/>
      <c r="C112" s="190"/>
      <c r="D112" s="191"/>
      <c r="E112" s="865" t="str">
        <f>$E$2</f>
        <v>STPS 2026</v>
      </c>
      <c r="F112" s="267"/>
      <c r="G112" s="267"/>
      <c r="H112" s="267"/>
      <c r="I112" s="192"/>
      <c r="J112" s="192"/>
      <c r="K112" s="192"/>
      <c r="L112" s="193"/>
      <c r="M112" s="192"/>
      <c r="N112" s="192"/>
      <c r="O112" s="192"/>
      <c r="P112" s="194"/>
      <c r="Q112" s="192"/>
      <c r="R112" s="192"/>
      <c r="S112" s="192"/>
      <c r="T112" s="195"/>
      <c r="U112" s="196"/>
      <c r="V112" s="196"/>
      <c r="W112" s="196"/>
      <c r="X112" s="196"/>
      <c r="Y112" s="194"/>
      <c r="Z112" s="192"/>
      <c r="AA112" s="192"/>
      <c r="AB112" s="192"/>
      <c r="AC112" s="195"/>
      <c r="AD112" s="196"/>
      <c r="AE112" s="196"/>
      <c r="AF112" s="196"/>
      <c r="AG112" s="197"/>
      <c r="AH112" s="194"/>
      <c r="AI112" s="192"/>
      <c r="AJ112" s="237"/>
      <c r="AK112" s="237"/>
      <c r="AL112" s="198"/>
      <c r="AM112" s="238"/>
      <c r="AN112" s="238"/>
      <c r="AO112" s="238"/>
      <c r="AP112" s="197"/>
      <c r="AQ112" s="239"/>
      <c r="AR112" s="240"/>
      <c r="AS112" s="199"/>
      <c r="AT112" s="200"/>
      <c r="AU112" s="198"/>
      <c r="AV112" s="196"/>
      <c r="AW112" s="196"/>
      <c r="AX112" s="196"/>
      <c r="AY112" s="197"/>
      <c r="AZ112" s="239"/>
      <c r="BA112" s="240"/>
      <c r="BB112" s="200"/>
      <c r="BC112" s="237"/>
      <c r="BD112" s="241"/>
      <c r="BE112" s="196"/>
      <c r="BF112" s="196"/>
      <c r="BG112" s="196"/>
      <c r="BH112" s="197"/>
      <c r="BI112" s="242"/>
      <c r="BJ112" s="237"/>
      <c r="BK112" s="237"/>
      <c r="BL112" s="237"/>
      <c r="BM112" s="241"/>
      <c r="BN112" s="196"/>
      <c r="BO112" s="196"/>
      <c r="BP112" s="196"/>
      <c r="BQ112" s="197"/>
      <c r="BR112" s="201"/>
      <c r="BS112" s="237"/>
      <c r="BT112" s="237"/>
      <c r="BU112" s="237"/>
      <c r="BV112" s="242"/>
      <c r="BW112" s="237"/>
      <c r="BX112" s="237"/>
      <c r="BY112" s="237"/>
      <c r="BZ112" s="237"/>
      <c r="CA112" s="237"/>
      <c r="CB112" s="437"/>
      <c r="CC112" s="437"/>
      <c r="CD112" s="437"/>
      <c r="CE112" s="437"/>
      <c r="CF112" s="237"/>
      <c r="CG112" s="237"/>
      <c r="CH112" s="237"/>
      <c r="CI112" s="237"/>
      <c r="CJ112" s="197"/>
      <c r="CK112" s="197"/>
      <c r="CL112" s="197"/>
      <c r="CM112" s="197"/>
      <c r="CN112" s="197"/>
      <c r="CO112" s="197"/>
      <c r="CP112" s="197"/>
      <c r="CQ112" s="197"/>
      <c r="CR112" s="197"/>
      <c r="CS112" s="197"/>
      <c r="CT112" s="401"/>
      <c r="CU112" s="237"/>
      <c r="CV112" s="243"/>
      <c r="CW112" s="255"/>
    </row>
    <row r="113" spans="1:101" ht="13.5" thickBot="1" x14ac:dyDescent="0.25">
      <c r="A113" s="256"/>
      <c r="B113" s="256"/>
      <c r="C113" s="202"/>
      <c r="D113" s="188"/>
      <c r="E113" s="266" t="str">
        <f>E3</f>
        <v>Skorgen Tippelag</v>
      </c>
      <c r="F113" s="406"/>
      <c r="G113" s="406"/>
      <c r="H113" s="406"/>
      <c r="I113" s="406"/>
      <c r="J113" s="406"/>
      <c r="K113" s="406"/>
      <c r="L113" s="406"/>
      <c r="M113" s="406"/>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6"/>
      <c r="AQ113" s="406"/>
      <c r="AR113" s="406"/>
      <c r="AS113" s="406"/>
      <c r="AT113" s="406"/>
      <c r="AU113" s="406"/>
      <c r="AV113" s="406"/>
      <c r="AW113" s="406"/>
      <c r="AX113" s="406"/>
      <c r="AY113" s="406"/>
      <c r="AZ113" s="406"/>
      <c r="BA113" s="406"/>
      <c r="BB113" s="406"/>
      <c r="BC113" s="406"/>
      <c r="BD113" s="406"/>
      <c r="BE113" s="406"/>
      <c r="BF113" s="406"/>
      <c r="BG113" s="406"/>
      <c r="BH113" s="406"/>
      <c r="BI113" s="406"/>
      <c r="BJ113" s="406"/>
      <c r="BK113" s="406"/>
      <c r="BL113" s="406"/>
      <c r="BM113" s="406"/>
      <c r="BN113" s="406"/>
      <c r="BO113" s="406"/>
      <c r="BP113" s="406"/>
      <c r="BQ113" s="406"/>
      <c r="BR113" s="406"/>
      <c r="BS113" s="406"/>
      <c r="BT113" s="406"/>
      <c r="BU113" s="406"/>
      <c r="BV113" s="406"/>
      <c r="BW113" s="406"/>
      <c r="BX113" s="406"/>
      <c r="BY113" s="406"/>
      <c r="BZ113" s="406"/>
      <c r="CA113" s="406"/>
      <c r="CB113" s="438"/>
      <c r="CC113" s="438"/>
      <c r="CD113" s="438"/>
      <c r="CE113" s="438"/>
      <c r="CF113" s="406"/>
      <c r="CG113" s="406"/>
      <c r="CH113" s="406"/>
      <c r="CI113" s="406"/>
      <c r="CJ113" s="406"/>
      <c r="CK113" s="406"/>
      <c r="CL113" s="406"/>
      <c r="CM113" s="406"/>
      <c r="CN113" s="366"/>
      <c r="CO113" s="366"/>
      <c r="CP113" s="366"/>
      <c r="CQ113" s="366"/>
      <c r="CR113" s="366"/>
      <c r="CS113" s="366"/>
      <c r="CT113" s="187"/>
      <c r="CU113" s="310"/>
      <c r="CV113" s="246"/>
      <c r="CW113" s="255"/>
    </row>
    <row r="114" spans="1:101" ht="18.75" thickTop="1" x14ac:dyDescent="0.2">
      <c r="A114" s="256"/>
      <c r="B114" s="256"/>
      <c r="C114" s="209"/>
      <c r="D114" s="290"/>
      <c r="E114" s="273"/>
      <c r="F114" s="274"/>
      <c r="G114" s="273"/>
      <c r="H114" s="273"/>
      <c r="I114" s="803" t="s">
        <v>39</v>
      </c>
      <c r="J114" s="805"/>
      <c r="K114" s="805"/>
      <c r="L114" s="291"/>
      <c r="M114" s="302"/>
      <c r="N114" s="242"/>
      <c r="O114" s="275"/>
      <c r="P114" s="275"/>
      <c r="Q114" s="808">
        <f>IF($F118="","",SUM(Q130:S130)-S116)</f>
        <v>610</v>
      </c>
      <c r="R114" s="808"/>
      <c r="S114" s="808"/>
      <c r="T114" s="276"/>
      <c r="U114" s="277"/>
      <c r="V114" s="277"/>
      <c r="W114" s="277"/>
      <c r="X114" s="277"/>
      <c r="Y114" s="275"/>
      <c r="Z114" s="808">
        <f>IF($F118="","",SUM(Z130:AB130)-AB116)</f>
        <v>610</v>
      </c>
      <c r="AA114" s="808"/>
      <c r="AB114" s="808"/>
      <c r="AC114" s="276"/>
      <c r="AD114" s="277"/>
      <c r="AE114" s="277"/>
      <c r="AF114" s="277"/>
      <c r="AG114" s="273"/>
      <c r="AH114" s="275"/>
      <c r="AI114" s="808">
        <f>IF($F118="","",SUM(AI130:AK130)-AK116)</f>
        <v>620</v>
      </c>
      <c r="AJ114" s="808"/>
      <c r="AK114" s="808"/>
      <c r="AL114" s="276"/>
      <c r="AM114" s="277"/>
      <c r="AN114" s="277"/>
      <c r="AO114" s="277"/>
      <c r="AP114" s="273"/>
      <c r="AQ114" s="275"/>
      <c r="AR114" s="808">
        <f>IF($F118="","",SUM(AR130:AT130)-AT116)</f>
        <v>630</v>
      </c>
      <c r="AS114" s="808"/>
      <c r="AT114" s="808"/>
      <c r="AU114" s="278"/>
      <c r="AV114" s="277"/>
      <c r="AW114" s="277"/>
      <c r="AX114" s="277"/>
      <c r="AY114" s="279"/>
      <c r="AZ114" s="280"/>
      <c r="BA114" s="808">
        <f>IF($F118="","",SUM(BA130:BC130)-BC116)</f>
        <v>680</v>
      </c>
      <c r="BB114" s="808"/>
      <c r="BC114" s="808"/>
      <c r="BD114" s="278"/>
      <c r="BE114" s="277"/>
      <c r="BF114" s="277"/>
      <c r="BG114" s="277"/>
      <c r="BH114" s="279"/>
      <c r="BI114" s="280"/>
      <c r="BJ114" s="808">
        <f>IF($F118="","",SUM(BJ130:BL130)-BL116)</f>
        <v>580</v>
      </c>
      <c r="BK114" s="808"/>
      <c r="BL114" s="808"/>
      <c r="BM114" s="278"/>
      <c r="BN114" s="277"/>
      <c r="BO114" s="277"/>
      <c r="BP114" s="277"/>
      <c r="BQ114" s="279"/>
      <c r="BR114" s="281"/>
      <c r="BS114" s="808">
        <f>IF($F118="","",SUM(BS130:BU130)-BU116)</f>
        <v>620</v>
      </c>
      <c r="BT114" s="808"/>
      <c r="BU114" s="808"/>
      <c r="BV114" s="280"/>
      <c r="BW114" s="279"/>
      <c r="BX114" s="279"/>
      <c r="BY114" s="279"/>
      <c r="BZ114" s="279"/>
      <c r="CA114" s="281"/>
      <c r="CB114" s="808">
        <f>IF($F118="","",SUM(CB130:CD130)-CD116)</f>
        <v>630</v>
      </c>
      <c r="CC114" s="808"/>
      <c r="CD114" s="808"/>
      <c r="CE114" s="280"/>
      <c r="CF114" s="279"/>
      <c r="CG114" s="279"/>
      <c r="CH114" s="279"/>
      <c r="CI114" s="279"/>
      <c r="CJ114" s="273"/>
      <c r="CK114" s="808">
        <f>IF($F118="","",SUM(CK130:CM130))</f>
        <v>620</v>
      </c>
      <c r="CL114" s="808"/>
      <c r="CM114" s="808"/>
      <c r="CN114" s="280"/>
      <c r="CO114" s="279"/>
      <c r="CP114" s="279"/>
      <c r="CQ114" s="279"/>
      <c r="CR114" s="273"/>
      <c r="CS114" s="273"/>
      <c r="CT114" s="273"/>
      <c r="CU114" s="292"/>
      <c r="CV114" s="246"/>
      <c r="CW114" s="255"/>
    </row>
    <row r="115" spans="1:101" x14ac:dyDescent="0.2">
      <c r="A115" s="256"/>
      <c r="B115" s="256"/>
      <c r="C115" s="209"/>
      <c r="D115" s="916">
        <v>41</v>
      </c>
      <c r="E115" s="588">
        <f>IF(D115="","",DATE($D$4,1,1)+(D115-1)*7+(6-WEEKDAY(DATE($D$4,1,1),2)))</f>
        <v>45941</v>
      </c>
      <c r="F115" s="213"/>
      <c r="G115" s="214"/>
      <c r="H115" s="214"/>
      <c r="I115" s="804">
        <f>IF(ISERROR(AVERAGE(Q114,Z114,AI114,AR114,BA114,BJ114,BS114,CB114,CK114)),"",AVERAGE(Q114,Z114,AI114,AR114,BA114,BJ114,BS114,CB114,CK114))</f>
        <v>622.22222222222217</v>
      </c>
      <c r="J115" s="806"/>
      <c r="K115" s="806"/>
      <c r="L115" s="295"/>
      <c r="M115" s="372"/>
      <c r="N115" s="245"/>
      <c r="O115" s="215"/>
      <c r="P115" s="215"/>
      <c r="Q115" s="710">
        <f>IF(Q114="","",Q114/Data!$X$1)</f>
        <v>0.5083333333333333</v>
      </c>
      <c r="R115" s="710"/>
      <c r="S115" s="711">
        <f>IF(SUM(X118:X129)=0,"",SUM(X118:X129))</f>
        <v>7</v>
      </c>
      <c r="T115" s="216"/>
      <c r="U115" s="217"/>
      <c r="V115" s="217"/>
      <c r="W115" s="217"/>
      <c r="X115" s="217"/>
      <c r="Y115" s="215"/>
      <c r="Z115" s="710">
        <f>IF(Z114="","",Z114/Data!$X$1)</f>
        <v>0.5083333333333333</v>
      </c>
      <c r="AA115" s="710"/>
      <c r="AB115" s="711">
        <f>IF(SUM(AG118:AG129)=0,"",SUM(AG118:AG129))</f>
        <v>7</v>
      </c>
      <c r="AC115" s="216"/>
      <c r="AD115" s="217"/>
      <c r="AE115" s="217"/>
      <c r="AF115" s="217"/>
      <c r="AG115" s="217"/>
      <c r="AH115" s="215"/>
      <c r="AI115" s="710">
        <f>IF(AI114="","",AI114/Data!$X$1)</f>
        <v>0.51666666666666672</v>
      </c>
      <c r="AJ115" s="710"/>
      <c r="AK115" s="711">
        <f>IF(SUM(AP118:AP129)=0,"",SUM(AP118:AP129))</f>
        <v>7</v>
      </c>
      <c r="AL115" s="216"/>
      <c r="AM115" s="217"/>
      <c r="AN115" s="217"/>
      <c r="AO115" s="217"/>
      <c r="AP115" s="217"/>
      <c r="AQ115" s="215"/>
      <c r="AR115" s="710">
        <f>IF(AR114="","",AR114/Data!$X$1)</f>
        <v>0.52500000000000002</v>
      </c>
      <c r="AS115" s="710"/>
      <c r="AT115" s="711">
        <f>IF(SUM(AY118:AY129)=0,"",SUM(AY118:AY129))</f>
        <v>7</v>
      </c>
      <c r="AU115" s="218"/>
      <c r="AV115" s="217"/>
      <c r="AW115" s="217"/>
      <c r="AX115" s="217"/>
      <c r="AY115" s="217"/>
      <c r="AZ115" s="219"/>
      <c r="BA115" s="710">
        <f>IF(BA114="","",BA114/Data!$X$1)</f>
        <v>0.56666666666666665</v>
      </c>
      <c r="BB115" s="710"/>
      <c r="BC115" s="711">
        <f>IF(SUM(BH118:BH129)=0,"",SUM(BH118:BH129))</f>
        <v>8</v>
      </c>
      <c r="BD115" s="218"/>
      <c r="BE115" s="217"/>
      <c r="BF115" s="217"/>
      <c r="BG115" s="217"/>
      <c r="BH115" s="217"/>
      <c r="BI115" s="219"/>
      <c r="BJ115" s="710">
        <f>IF(BJ114="","",BJ114/Data!$X$1)</f>
        <v>0.48333333333333334</v>
      </c>
      <c r="BK115" s="710"/>
      <c r="BL115" s="711">
        <f>IF(SUM(BQ118:BQ129)=0,"",SUM(BQ118:BQ129))</f>
        <v>6</v>
      </c>
      <c r="BM115" s="218"/>
      <c r="BN115" s="217"/>
      <c r="BO115" s="217"/>
      <c r="BP115" s="217"/>
      <c r="BQ115" s="217"/>
      <c r="BR115" s="220"/>
      <c r="BS115" s="710">
        <f>IF(BS114="","",BS114/Data!$X$1)</f>
        <v>0.51666666666666672</v>
      </c>
      <c r="BT115" s="710"/>
      <c r="BU115" s="711">
        <f>IF(SUM(BZ118:BZ129)=0,"",SUM(BZ118:BZ129))</f>
        <v>7</v>
      </c>
      <c r="BV115" s="219"/>
      <c r="BW115" s="217"/>
      <c r="BX115" s="217"/>
      <c r="BY115" s="217"/>
      <c r="BZ115" s="217"/>
      <c r="CA115" s="220"/>
      <c r="CB115" s="710">
        <f>IF(CB114="","",CB114/Data!$X$1)</f>
        <v>0.52500000000000002</v>
      </c>
      <c r="CC115" s="710"/>
      <c r="CD115" s="711">
        <f>IF(SUM(CI118:CI129)=0,"",SUM(CI118:CI129))</f>
        <v>7</v>
      </c>
      <c r="CE115" s="219"/>
      <c r="CF115" s="217"/>
      <c r="CG115" s="217"/>
      <c r="CH115" s="217"/>
      <c r="CI115" s="217"/>
      <c r="CJ115" s="217"/>
      <c r="CK115" s="710">
        <f>IF(CK114="","",CK114/Data!$X$1)</f>
        <v>0.51666666666666672</v>
      </c>
      <c r="CL115" s="710"/>
      <c r="CM115" s="711">
        <f>IF(SUM(CR118:CR129)=0,"",SUM(CR118:CR129))</f>
        <v>7</v>
      </c>
      <c r="CN115" s="219"/>
      <c r="CO115" s="217"/>
      <c r="CP115" s="217"/>
      <c r="CQ115" s="217"/>
      <c r="CR115" s="217"/>
      <c r="CS115" s="217"/>
      <c r="CT115" s="217"/>
      <c r="CU115" s="296"/>
      <c r="CV115" s="246"/>
      <c r="CW115" s="255"/>
    </row>
    <row r="116" spans="1:101" ht="13.5" thickBot="1" x14ac:dyDescent="0.25">
      <c r="A116" s="256"/>
      <c r="B116" s="256"/>
      <c r="C116" s="209"/>
      <c r="D116" s="269">
        <f>D94+1</f>
        <v>6</v>
      </c>
      <c r="E116" s="402" t="s">
        <v>61</v>
      </c>
      <c r="F116" s="221"/>
      <c r="G116" s="222"/>
      <c r="H116" s="222"/>
      <c r="I116" s="802"/>
      <c r="J116" s="807"/>
      <c r="K116" s="807"/>
      <c r="L116" s="297"/>
      <c r="M116" s="373"/>
      <c r="N116" s="377"/>
      <c r="O116" s="222"/>
      <c r="P116" s="222"/>
      <c r="Q116" s="385" t="str">
        <f>Data!$E$11</f>
        <v>AHH</v>
      </c>
      <c r="R116" s="386">
        <f>IF($F129="","",RANK(Q114,$Q114:$CL114))</f>
        <v>7</v>
      </c>
      <c r="S116" s="510"/>
      <c r="T116" s="216">
        <v>0</v>
      </c>
      <c r="U116" s="217"/>
      <c r="V116" s="217"/>
      <c r="W116" s="217"/>
      <c r="X116" s="217"/>
      <c r="Y116" s="215"/>
      <c r="Z116" s="385" t="str">
        <f>Data!$E$12</f>
        <v>RB</v>
      </c>
      <c r="AA116" s="386">
        <f>IF($F129="","",RANK(Z114,$Q114:$CL114))</f>
        <v>7</v>
      </c>
      <c r="AB116" s="510"/>
      <c r="AC116" s="216"/>
      <c r="AD116" s="217"/>
      <c r="AE116" s="217"/>
      <c r="AF116" s="217"/>
      <c r="AG116" s="217"/>
      <c r="AH116" s="215"/>
      <c r="AI116" s="385" t="str">
        <f>Data!$E$13</f>
        <v>EB</v>
      </c>
      <c r="AJ116" s="386">
        <f>IF($F129="","",RANK(AI114,$Q114:$CL114))</f>
        <v>4</v>
      </c>
      <c r="AK116" s="510"/>
      <c r="AL116" s="216"/>
      <c r="AM116" s="217"/>
      <c r="AN116" s="217"/>
      <c r="AO116" s="217"/>
      <c r="AP116" s="217"/>
      <c r="AQ116" s="215"/>
      <c r="AR116" s="346" t="str">
        <f>Data!$E$14</f>
        <v>KAF</v>
      </c>
      <c r="AS116" s="386">
        <f>IF($F129="","",RANK(AR114,$Q114:$CL114))</f>
        <v>2</v>
      </c>
      <c r="AT116" s="510"/>
      <c r="AU116" s="216"/>
      <c r="AV116" s="217"/>
      <c r="AW116" s="217"/>
      <c r="AX116" s="217"/>
      <c r="AY116" s="217"/>
      <c r="AZ116" s="215"/>
      <c r="BA116" s="346" t="str">
        <f>Data!$E$15</f>
        <v>ØG</v>
      </c>
      <c r="BB116" s="386">
        <f>IF($F129="","",RANK(BA114,$Q114:$CL114))</f>
        <v>1</v>
      </c>
      <c r="BC116" s="510"/>
      <c r="BD116" s="216"/>
      <c r="BE116" s="217"/>
      <c r="BF116" s="217"/>
      <c r="BG116" s="217"/>
      <c r="BH116" s="217"/>
      <c r="BI116" s="215"/>
      <c r="BJ116" s="346" t="str">
        <f>Data!$E$16</f>
        <v>JH</v>
      </c>
      <c r="BK116" s="386">
        <f>IF($F129="","",RANK(BJ114,$Q114:$CL114))</f>
        <v>9</v>
      </c>
      <c r="BL116" s="510"/>
      <c r="BM116" s="216"/>
      <c r="BN116" s="217"/>
      <c r="BO116" s="217"/>
      <c r="BP116" s="217"/>
      <c r="BQ116" s="217"/>
      <c r="BR116" s="223"/>
      <c r="BS116" s="346" t="str">
        <f>Data!$E$17</f>
        <v>TOH</v>
      </c>
      <c r="BT116" s="386">
        <f>IF($F129="","",RANK(BS114,$Q114:$CL114))</f>
        <v>4</v>
      </c>
      <c r="BU116" s="510"/>
      <c r="BV116" s="215"/>
      <c r="BW116" s="217"/>
      <c r="BX116" s="217"/>
      <c r="BY116" s="217"/>
      <c r="BZ116" s="217"/>
      <c r="CA116" s="223"/>
      <c r="CB116" s="346" t="s">
        <v>26</v>
      </c>
      <c r="CC116" s="386">
        <f>IF($F129="","",RANK(CB114,$Q114:$CM114))</f>
        <v>2</v>
      </c>
      <c r="CD116" s="511"/>
      <c r="CE116" s="215"/>
      <c r="CF116" s="217"/>
      <c r="CG116" s="217"/>
      <c r="CH116" s="217"/>
      <c r="CI116" s="217"/>
      <c r="CJ116" s="217"/>
      <c r="CK116" s="346" t="s">
        <v>27</v>
      </c>
      <c r="CL116" s="386">
        <f>IF($F129="","",RANK(CK114,$Q114:$CM114))</f>
        <v>4</v>
      </c>
      <c r="CM116" s="798"/>
      <c r="CN116" s="215"/>
      <c r="CO116" s="217"/>
      <c r="CP116" s="217"/>
      <c r="CQ116" s="217"/>
      <c r="CR116" s="217"/>
      <c r="CS116" s="217"/>
      <c r="CT116" s="217"/>
      <c r="CU116" s="296"/>
      <c r="CV116" s="246"/>
      <c r="CW116" s="255"/>
    </row>
    <row r="117" spans="1:101" ht="13.5" thickBot="1" x14ac:dyDescent="0.25">
      <c r="A117" s="264"/>
      <c r="B117" s="264"/>
      <c r="C117" s="202"/>
      <c r="D117" s="270"/>
      <c r="E117" s="224"/>
      <c r="F117" s="225"/>
      <c r="G117" s="226"/>
      <c r="H117" s="226"/>
      <c r="I117" s="227" t="s">
        <v>45</v>
      </c>
      <c r="J117" s="228" t="s">
        <v>46</v>
      </c>
      <c r="K117" s="229" t="s">
        <v>47</v>
      </c>
      <c r="L117" s="298"/>
      <c r="M117" s="374"/>
      <c r="N117" s="378"/>
      <c r="O117" s="230"/>
      <c r="P117" s="230"/>
      <c r="Q117" s="227" t="s">
        <v>45</v>
      </c>
      <c r="R117" s="228" t="s">
        <v>46</v>
      </c>
      <c r="S117" s="229" t="s">
        <v>47</v>
      </c>
      <c r="T117" s="231"/>
      <c r="U117" s="232"/>
      <c r="V117" s="232"/>
      <c r="W117" s="232"/>
      <c r="X117" s="232"/>
      <c r="Y117" s="230"/>
      <c r="Z117" s="227" t="s">
        <v>45</v>
      </c>
      <c r="AA117" s="228" t="s">
        <v>46</v>
      </c>
      <c r="AB117" s="229" t="s">
        <v>47</v>
      </c>
      <c r="AC117" s="231"/>
      <c r="AD117" s="232"/>
      <c r="AE117" s="232"/>
      <c r="AF117" s="232"/>
      <c r="AG117" s="232"/>
      <c r="AH117" s="230"/>
      <c r="AI117" s="227" t="s">
        <v>45</v>
      </c>
      <c r="AJ117" s="228" t="s">
        <v>46</v>
      </c>
      <c r="AK117" s="229" t="s">
        <v>47</v>
      </c>
      <c r="AL117" s="231"/>
      <c r="AM117" s="232"/>
      <c r="AN117" s="232"/>
      <c r="AO117" s="232"/>
      <c r="AP117" s="232"/>
      <c r="AQ117" s="230"/>
      <c r="AR117" s="227" t="s">
        <v>45</v>
      </c>
      <c r="AS117" s="228" t="s">
        <v>46</v>
      </c>
      <c r="AT117" s="229" t="s">
        <v>47</v>
      </c>
      <c r="AU117" s="231"/>
      <c r="AV117" s="232"/>
      <c r="AW117" s="232"/>
      <c r="AX117" s="232"/>
      <c r="AY117" s="232"/>
      <c r="AZ117" s="230"/>
      <c r="BA117" s="227" t="s">
        <v>45</v>
      </c>
      <c r="BB117" s="228" t="s">
        <v>46</v>
      </c>
      <c r="BC117" s="229" t="s">
        <v>47</v>
      </c>
      <c r="BD117" s="231"/>
      <c r="BE117" s="232"/>
      <c r="BF117" s="232"/>
      <c r="BG117" s="232"/>
      <c r="BH117" s="232"/>
      <c r="BI117" s="230"/>
      <c r="BJ117" s="227" t="s">
        <v>45</v>
      </c>
      <c r="BK117" s="228" t="s">
        <v>46</v>
      </c>
      <c r="BL117" s="229" t="s">
        <v>47</v>
      </c>
      <c r="BM117" s="231"/>
      <c r="BN117" s="232"/>
      <c r="BO117" s="232"/>
      <c r="BP117" s="232"/>
      <c r="BQ117" s="232"/>
      <c r="BR117" s="230"/>
      <c r="BS117" s="227" t="s">
        <v>45</v>
      </c>
      <c r="BT117" s="228" t="s">
        <v>46</v>
      </c>
      <c r="BU117" s="229" t="s">
        <v>47</v>
      </c>
      <c r="BV117" s="231"/>
      <c r="BW117" s="232"/>
      <c r="BX117" s="232"/>
      <c r="BY117" s="232"/>
      <c r="BZ117" s="233"/>
      <c r="CA117" s="230"/>
      <c r="CB117" s="227" t="s">
        <v>45</v>
      </c>
      <c r="CC117" s="228" t="s">
        <v>46</v>
      </c>
      <c r="CD117" s="229" t="s">
        <v>47</v>
      </c>
      <c r="CE117" s="231"/>
      <c r="CF117" s="232"/>
      <c r="CG117" s="232"/>
      <c r="CH117" s="232"/>
      <c r="CI117" s="232"/>
      <c r="CJ117" s="232"/>
      <c r="CK117" s="227" t="s">
        <v>45</v>
      </c>
      <c r="CL117" s="228" t="s">
        <v>46</v>
      </c>
      <c r="CM117" s="229" t="s">
        <v>47</v>
      </c>
      <c r="CN117" s="231"/>
      <c r="CO117" s="232"/>
      <c r="CP117" s="232"/>
      <c r="CQ117" s="232"/>
      <c r="CR117" s="232"/>
      <c r="CS117" s="232"/>
      <c r="CT117" s="234"/>
      <c r="CU117" s="296"/>
      <c r="CV117" s="246"/>
      <c r="CW117" s="265"/>
    </row>
    <row r="118" spans="1:101" x14ac:dyDescent="0.2">
      <c r="A118" s="264"/>
      <c r="B118" s="264"/>
      <c r="C118" s="202"/>
      <c r="D118" s="271">
        <v>1</v>
      </c>
      <c r="E118" s="166" t="s">
        <v>110</v>
      </c>
      <c r="F118" s="468">
        <v>5</v>
      </c>
      <c r="G118" s="472" t="s">
        <v>49</v>
      </c>
      <c r="H118" s="473">
        <v>0</v>
      </c>
      <c r="I118" s="170" t="str">
        <f t="shared" ref="I118:I129" si="250">IF($F118&gt;$H118,"x","")</f>
        <v>x</v>
      </c>
      <c r="J118" s="387" t="str">
        <f t="shared" ref="J118:J129" si="251">IF(F118&lt;&gt;"",IF(H118&lt;&gt;"",IF(F118=H118,"x",""),""),"")</f>
        <v/>
      </c>
      <c r="K118" s="388" t="str">
        <f t="shared" ref="K118:K129" si="252">IF($F118&lt;$H118,"x","")</f>
        <v/>
      </c>
      <c r="L118" s="299"/>
      <c r="M118" s="375"/>
      <c r="N118" s="379"/>
      <c r="O118" s="236"/>
      <c r="P118" s="236"/>
      <c r="Q118" s="480">
        <v>70</v>
      </c>
      <c r="R118" s="481">
        <v>20</v>
      </c>
      <c r="S118" s="482">
        <f>IF(Q118="","",100-SUM(Q118:R118))</f>
        <v>10</v>
      </c>
      <c r="T118" s="371"/>
      <c r="U118" s="232">
        <f t="shared" ref="U118:U129" si="253">IF($I118="x",Q118,"")</f>
        <v>70</v>
      </c>
      <c r="V118" s="232" t="str">
        <f t="shared" ref="V118:V129" si="254">IF($J118="x",R118,"")</f>
        <v/>
      </c>
      <c r="W118" s="232" t="str">
        <f t="shared" ref="W118:W129" si="255">IF($K118="x",S118,"")</f>
        <v/>
      </c>
      <c r="X118" s="232">
        <f>IF((MAX(U118,V118,W118))=0,"",IF((MAX(U118,V118,W118))=(MAX(Q118,R118,S118)),1,""))</f>
        <v>1</v>
      </c>
      <c r="Y118" s="371"/>
      <c r="Z118" s="495">
        <v>80</v>
      </c>
      <c r="AA118" s="496">
        <v>10</v>
      </c>
      <c r="AB118" s="482">
        <f t="shared" ref="AB118:AB129" si="256">IF(Z118="","",100-SUM(Z118:AA118))</f>
        <v>10</v>
      </c>
      <c r="AC118" s="371"/>
      <c r="AD118" s="232">
        <f t="shared" ref="AD118:AD129" si="257">IF($I118="x",Z118,"")</f>
        <v>80</v>
      </c>
      <c r="AE118" s="232" t="str">
        <f t="shared" ref="AE118:AE129" si="258">IF($J118="x",AA118,"")</f>
        <v/>
      </c>
      <c r="AF118" s="232" t="str">
        <f t="shared" ref="AF118:AF129" si="259">IF($K118="x",AB118,"")</f>
        <v/>
      </c>
      <c r="AG118" s="232">
        <f>IF((MAX(AD118,AE118,AF118))=0,"",IF((MAX(AD118,AE118,AF118))=(MAX(Z118,AA118,AB118)),1,""))</f>
        <v>1</v>
      </c>
      <c r="AH118" s="371"/>
      <c r="AI118" s="495">
        <v>80</v>
      </c>
      <c r="AJ118" s="496">
        <v>10</v>
      </c>
      <c r="AK118" s="482">
        <f t="shared" ref="AK118:AK129" si="260">IF(AI118="","",100-SUM(AI118:AJ118))</f>
        <v>10</v>
      </c>
      <c r="AL118" s="371"/>
      <c r="AM118" s="232">
        <f t="shared" ref="AM118:AM129" si="261">IF($I118="x",AI118,"")</f>
        <v>80</v>
      </c>
      <c r="AN118" s="232" t="str">
        <f t="shared" ref="AN118:AN129" si="262">IF($J118="x",AJ118,"")</f>
        <v/>
      </c>
      <c r="AO118" s="232" t="str">
        <f t="shared" ref="AO118:AO129" si="263">IF($K118="x",AK118,"")</f>
        <v/>
      </c>
      <c r="AP118" s="232">
        <f>IF((MAX(AM118,AN118,AO118))=0,"",IF((MAX(AM118,AN118,AO118))=(MAX(AI118,AJ118,AK118)),1,""))</f>
        <v>1</v>
      </c>
      <c r="AQ118" s="371"/>
      <c r="AR118" s="495">
        <v>80</v>
      </c>
      <c r="AS118" s="496">
        <v>10</v>
      </c>
      <c r="AT118" s="482">
        <f t="shared" ref="AT118:AT129" si="264">IF(AR118="","",100-SUM(AR118:AS118))</f>
        <v>10</v>
      </c>
      <c r="AU118" s="371"/>
      <c r="AV118" s="232">
        <f t="shared" ref="AV118:AV129" si="265">IF($I118="x",AR118,"")</f>
        <v>80</v>
      </c>
      <c r="AW118" s="232" t="str">
        <f t="shared" ref="AW118:AW129" si="266">IF($J118="x",AS118,"")</f>
        <v/>
      </c>
      <c r="AX118" s="232" t="str">
        <f t="shared" ref="AX118:AX129" si="267">IF($K118="x",AT118,"")</f>
        <v/>
      </c>
      <c r="AY118" s="232">
        <f>IF((MAX(AV118,AW118,AX118))=0,"",IF((MAX(AV118,AW118,AX118))=(MAX(AR118,AS118,AT118)),1,""))</f>
        <v>1</v>
      </c>
      <c r="AZ118" s="371"/>
      <c r="BA118" s="495">
        <v>80</v>
      </c>
      <c r="BB118" s="496">
        <v>10</v>
      </c>
      <c r="BC118" s="482">
        <f t="shared" ref="BC118:BC129" si="268">IF(BA118="","",100-SUM(BA118:BB118))</f>
        <v>10</v>
      </c>
      <c r="BD118" s="371"/>
      <c r="BE118" s="232">
        <f t="shared" ref="BE118:BE129" si="269">IF($I118="x",BA118,"")</f>
        <v>80</v>
      </c>
      <c r="BF118" s="232" t="str">
        <f t="shared" ref="BF118:BF129" si="270">IF($J118="x",BB118,"")</f>
        <v/>
      </c>
      <c r="BG118" s="232" t="str">
        <f t="shared" ref="BG118:BG129" si="271">IF($K118="x",BC118,"")</f>
        <v/>
      </c>
      <c r="BH118" s="232">
        <f>IF((MAX(BE118,BF118,BG118))=0,"",IF((MAX(BE118,BF118,BG118))=(MAX(BA118,BB118,BC118)),1,""))</f>
        <v>1</v>
      </c>
      <c r="BI118" s="371"/>
      <c r="BJ118" s="495">
        <v>80</v>
      </c>
      <c r="BK118" s="496">
        <v>10</v>
      </c>
      <c r="BL118" s="482">
        <f t="shared" ref="BL118:BL129" si="272">IF(BJ118="","",100-SUM(BJ118:BK118))</f>
        <v>10</v>
      </c>
      <c r="BM118" s="371"/>
      <c r="BN118" s="232">
        <f t="shared" ref="BN118:BN129" si="273">IF($I118="x",BJ118,"")</f>
        <v>80</v>
      </c>
      <c r="BO118" s="232" t="str">
        <f t="shared" ref="BO118:BO129" si="274">IF($J118="x",BK118,"")</f>
        <v/>
      </c>
      <c r="BP118" s="232" t="str">
        <f t="shared" ref="BP118:BP129" si="275">IF($K118="x",BL118,"")</f>
        <v/>
      </c>
      <c r="BQ118" s="232">
        <f>IF((MAX(BN118,BO118,BP118))=0,"",IF((MAX(BN118,BO118,BP118))=(MAX(BJ118,BK118,BL118)),1,""))</f>
        <v>1</v>
      </c>
      <c r="BR118" s="371"/>
      <c r="BS118" s="495">
        <v>70</v>
      </c>
      <c r="BT118" s="496">
        <v>20</v>
      </c>
      <c r="BU118" s="482">
        <f t="shared" ref="BU118:BU129" si="276">IF(BS118="","",100-SUM(BS118:BT118))</f>
        <v>10</v>
      </c>
      <c r="BV118" s="371"/>
      <c r="BW118" s="232">
        <f t="shared" ref="BW118:BW129" si="277">IF($I118="x",BS118,"")</f>
        <v>70</v>
      </c>
      <c r="BX118" s="232" t="str">
        <f t="shared" ref="BX118:BX129" si="278">IF($J118="x",BT118,"")</f>
        <v/>
      </c>
      <c r="BY118" s="232" t="str">
        <f t="shared" ref="BY118:BY129" si="279">IF($K118="x",BU118,"")</f>
        <v/>
      </c>
      <c r="BZ118" s="232">
        <f>IF((MAX(BW118,BX118,BY118))=0,"",IF((MAX(BW118,BX118,BY118))=(MAX(BS118,BT118,BU118)),1,""))</f>
        <v>1</v>
      </c>
      <c r="CA118" s="371"/>
      <c r="CB118" s="504">
        <f t="shared" ref="CB118:CB129" si="280">IFERROR(ROUNDUP((SUM(Q118,Z118,AI118,AR118,BA118,BJ118,BS118)/SUM($Q118:$S118,$Z118:$AB118,$AI118:$AK118,$AR118:$AT118,$BA118:$BC118,$BJ118:$BL118,$BS118:$BU118))*100,-1),"")</f>
        <v>80</v>
      </c>
      <c r="CC118" s="502">
        <f t="shared" ref="CC118:CC129" si="281">IFERROR(ROUNDDOWN((SUM(R118,AA118,AJ118,AS118,BB118,BK118,BT118)/SUM($Q118:$S118,$Z118:$AB118,$AI118:$AK118,$AR118:$AT118,$BA118:$BC118,$BJ118:$BL118,$BS118:$BU118))*100,-1),"")</f>
        <v>10</v>
      </c>
      <c r="CD118" s="503">
        <f t="shared" ref="CD118:CD129" si="282">IF(CB118="","",100-SUM(CB118:CC118))</f>
        <v>10</v>
      </c>
      <c r="CE118" s="371"/>
      <c r="CF118" s="232">
        <f t="shared" ref="CF118:CF129" si="283">IF($I118="x",CB118,"")</f>
        <v>80</v>
      </c>
      <c r="CG118" s="232" t="str">
        <f t="shared" ref="CG118:CG129" si="284">IF($J118="x",CC118,"")</f>
        <v/>
      </c>
      <c r="CH118" s="232" t="str">
        <f t="shared" ref="CH118:CH129" si="285">IF($K118="x",CD118,"")</f>
        <v/>
      </c>
      <c r="CI118" s="232">
        <f>IF((MAX(CF118,CG118,CH118))=0,"",IF((MAX(CF118,CG118,CH118))=(MAX(CB118,CC118,CD118)),1,""))</f>
        <v>1</v>
      </c>
      <c r="CJ118" s="232"/>
      <c r="CK118" s="495">
        <v>80</v>
      </c>
      <c r="CL118" s="496">
        <v>10</v>
      </c>
      <c r="CM118" s="482">
        <f t="shared" ref="CM118:CM129" si="286">IF(CK118="","",100-SUM(CK118:CL118))</f>
        <v>10</v>
      </c>
      <c r="CN118" s="371"/>
      <c r="CO118" s="232">
        <f t="shared" ref="CO118:CO129" si="287">IF($I118="x",CK118,"")</f>
        <v>80</v>
      </c>
      <c r="CP118" s="232" t="str">
        <f t="shared" ref="CP118:CP129" si="288">IF($J118="x",CL118,"")</f>
        <v/>
      </c>
      <c r="CQ118" s="232" t="str">
        <f t="shared" ref="CQ118:CQ129" si="289">IF($K118="x",CM118,"")</f>
        <v/>
      </c>
      <c r="CR118" s="232">
        <f>IF((MAX(CO118,CP118,CQ118))=0,"",IF((MAX(CO118,CP118,CQ118))=(MAX(CK118,CL118,CM118)),1,""))</f>
        <v>1</v>
      </c>
      <c r="CS118" s="232"/>
      <c r="CT118" s="371"/>
      <c r="CU118" s="296"/>
      <c r="CV118" s="246"/>
      <c r="CW118" s="264"/>
    </row>
    <row r="119" spans="1:101" x14ac:dyDescent="0.2">
      <c r="A119" s="264"/>
      <c r="B119" s="264"/>
      <c r="C119" s="202"/>
      <c r="D119" s="271">
        <v>2</v>
      </c>
      <c r="E119" s="167" t="s">
        <v>111</v>
      </c>
      <c r="F119" s="469">
        <v>1</v>
      </c>
      <c r="G119" s="474" t="s">
        <v>49</v>
      </c>
      <c r="H119" s="475">
        <v>3</v>
      </c>
      <c r="I119" s="389" t="str">
        <f t="shared" si="250"/>
        <v/>
      </c>
      <c r="J119" s="390" t="str">
        <f t="shared" si="251"/>
        <v/>
      </c>
      <c r="K119" s="391" t="str">
        <f t="shared" si="252"/>
        <v>x</v>
      </c>
      <c r="L119" s="299"/>
      <c r="M119" s="375"/>
      <c r="N119" s="379"/>
      <c r="O119" s="236"/>
      <c r="P119" s="236"/>
      <c r="Q119" s="483">
        <v>10</v>
      </c>
      <c r="R119" s="484">
        <v>10</v>
      </c>
      <c r="S119" s="485">
        <f t="shared" ref="S119:S129" si="290">IF(Q119="","",100-SUM(Q119:R119))</f>
        <v>80</v>
      </c>
      <c r="T119" s="371"/>
      <c r="U119" s="232" t="str">
        <f t="shared" si="253"/>
        <v/>
      </c>
      <c r="V119" s="232" t="str">
        <f t="shared" si="254"/>
        <v/>
      </c>
      <c r="W119" s="232">
        <f t="shared" si="255"/>
        <v>80</v>
      </c>
      <c r="X119" s="232">
        <f t="shared" ref="X119:X129" si="291">IF((MAX(U119,V119,W119))=0,"",IF((MAX(U119,V119,W119))=(MAX(Q119,R119,S119)),1,""))</f>
        <v>1</v>
      </c>
      <c r="Y119" s="371"/>
      <c r="Z119" s="497">
        <v>10</v>
      </c>
      <c r="AA119" s="498">
        <v>10</v>
      </c>
      <c r="AB119" s="485">
        <f t="shared" si="256"/>
        <v>80</v>
      </c>
      <c r="AC119" s="371"/>
      <c r="AD119" s="232" t="str">
        <f t="shared" si="257"/>
        <v/>
      </c>
      <c r="AE119" s="232" t="str">
        <f t="shared" si="258"/>
        <v/>
      </c>
      <c r="AF119" s="232">
        <f t="shared" si="259"/>
        <v>80</v>
      </c>
      <c r="AG119" s="232">
        <f t="shared" ref="AG119:AG129" si="292">IF((MAX(AD119,AE119,AF119))=0,"",IF((MAX(AD119,AE119,AF119))=(MAX(Z119,AA119,AB119)),1,""))</f>
        <v>1</v>
      </c>
      <c r="AH119" s="371"/>
      <c r="AI119" s="497">
        <v>10</v>
      </c>
      <c r="AJ119" s="498">
        <v>10</v>
      </c>
      <c r="AK119" s="485">
        <f t="shared" si="260"/>
        <v>80</v>
      </c>
      <c r="AL119" s="371"/>
      <c r="AM119" s="232" t="str">
        <f t="shared" si="261"/>
        <v/>
      </c>
      <c r="AN119" s="232" t="str">
        <f t="shared" si="262"/>
        <v/>
      </c>
      <c r="AO119" s="232">
        <f t="shared" si="263"/>
        <v>80</v>
      </c>
      <c r="AP119" s="232">
        <f t="shared" ref="AP119:AP129" si="293">IF((MAX(AM119,AN119,AO119))=0,"",IF((MAX(AM119,AN119,AO119))=(MAX(AI119,AJ119,AK119)),1,""))</f>
        <v>1</v>
      </c>
      <c r="AQ119" s="371"/>
      <c r="AR119" s="497">
        <v>10</v>
      </c>
      <c r="AS119" s="498">
        <v>10</v>
      </c>
      <c r="AT119" s="485">
        <f t="shared" si="264"/>
        <v>80</v>
      </c>
      <c r="AU119" s="371"/>
      <c r="AV119" s="232" t="str">
        <f t="shared" si="265"/>
        <v/>
      </c>
      <c r="AW119" s="232" t="str">
        <f t="shared" si="266"/>
        <v/>
      </c>
      <c r="AX119" s="232">
        <f t="shared" si="267"/>
        <v>80</v>
      </c>
      <c r="AY119" s="232">
        <f t="shared" ref="AY119:AY129" si="294">IF((MAX(AV119,AW119,AX119))=0,"",IF((MAX(AV119,AW119,AX119))=(MAX(AR119,AS119,AT119)),1,""))</f>
        <v>1</v>
      </c>
      <c r="AZ119" s="371"/>
      <c r="BA119" s="497">
        <v>10</v>
      </c>
      <c r="BB119" s="498">
        <v>10</v>
      </c>
      <c r="BC119" s="485">
        <f t="shared" si="268"/>
        <v>80</v>
      </c>
      <c r="BD119" s="371"/>
      <c r="BE119" s="232" t="str">
        <f t="shared" si="269"/>
        <v/>
      </c>
      <c r="BF119" s="232" t="str">
        <f t="shared" si="270"/>
        <v/>
      </c>
      <c r="BG119" s="232">
        <f t="shared" si="271"/>
        <v>80</v>
      </c>
      <c r="BH119" s="232">
        <f t="shared" ref="BH119:BH129" si="295">IF((MAX(BE119,BF119,BG119))=0,"",IF((MAX(BE119,BF119,BG119))=(MAX(BA119,BB119,BC119)),1,""))</f>
        <v>1</v>
      </c>
      <c r="BI119" s="371"/>
      <c r="BJ119" s="497">
        <v>10</v>
      </c>
      <c r="BK119" s="498">
        <v>10</v>
      </c>
      <c r="BL119" s="485">
        <f t="shared" si="272"/>
        <v>80</v>
      </c>
      <c r="BM119" s="371"/>
      <c r="BN119" s="232" t="str">
        <f t="shared" si="273"/>
        <v/>
      </c>
      <c r="BO119" s="232" t="str">
        <f t="shared" si="274"/>
        <v/>
      </c>
      <c r="BP119" s="232">
        <f t="shared" si="275"/>
        <v>80</v>
      </c>
      <c r="BQ119" s="232">
        <f t="shared" ref="BQ119:BQ129" si="296">IF((MAX(BN119,BO119,BP119))=0,"",IF((MAX(BN119,BO119,BP119))=(MAX(BJ119,BK119,BL119)),1,""))</f>
        <v>1</v>
      </c>
      <c r="BR119" s="371"/>
      <c r="BS119" s="497">
        <v>10</v>
      </c>
      <c r="BT119" s="498">
        <v>10</v>
      </c>
      <c r="BU119" s="485">
        <f t="shared" si="276"/>
        <v>80</v>
      </c>
      <c r="BV119" s="371"/>
      <c r="BW119" s="232" t="str">
        <f t="shared" si="277"/>
        <v/>
      </c>
      <c r="BX119" s="232" t="str">
        <f t="shared" si="278"/>
        <v/>
      </c>
      <c r="BY119" s="232">
        <f t="shared" si="279"/>
        <v>80</v>
      </c>
      <c r="BZ119" s="232">
        <f t="shared" ref="BZ119:BZ129" si="297">IF((MAX(BW119,BX119,BY119))=0,"",IF((MAX(BW119,BX119,BY119))=(MAX(BS119,BT119,BU119)),1,""))</f>
        <v>1</v>
      </c>
      <c r="CA119" s="371"/>
      <c r="CB119" s="504">
        <f t="shared" si="280"/>
        <v>10</v>
      </c>
      <c r="CC119" s="505">
        <f t="shared" si="281"/>
        <v>10</v>
      </c>
      <c r="CD119" s="506">
        <f t="shared" si="282"/>
        <v>80</v>
      </c>
      <c r="CE119" s="371"/>
      <c r="CF119" s="232" t="str">
        <f t="shared" si="283"/>
        <v/>
      </c>
      <c r="CG119" s="232" t="str">
        <f t="shared" si="284"/>
        <v/>
      </c>
      <c r="CH119" s="232">
        <f t="shared" si="285"/>
        <v>80</v>
      </c>
      <c r="CI119" s="232">
        <f t="shared" ref="CI119:CI129" si="298">IF((MAX(CF119,CG119,CH119))=0,"",IF((MAX(CF119,CG119,CH119))=(MAX(CB119,CC119,CD119)),1,""))</f>
        <v>1</v>
      </c>
      <c r="CJ119" s="232"/>
      <c r="CK119" s="497">
        <v>10</v>
      </c>
      <c r="CL119" s="498">
        <v>10</v>
      </c>
      <c r="CM119" s="485">
        <f t="shared" si="286"/>
        <v>80</v>
      </c>
      <c r="CN119" s="371"/>
      <c r="CO119" s="232" t="str">
        <f t="shared" si="287"/>
        <v/>
      </c>
      <c r="CP119" s="232" t="str">
        <f t="shared" si="288"/>
        <v/>
      </c>
      <c r="CQ119" s="232">
        <f t="shared" si="289"/>
        <v>80</v>
      </c>
      <c r="CR119" s="232">
        <f t="shared" ref="CR119:CR129" si="299">IF((MAX(CO119,CP119,CQ119))=0,"",IF((MAX(CO119,CP119,CQ119))=(MAX(CK119,CL119,CM119)),1,""))</f>
        <v>1</v>
      </c>
      <c r="CS119" s="232"/>
      <c r="CT119" s="371"/>
      <c r="CU119" s="296"/>
      <c r="CV119" s="246"/>
      <c r="CW119" s="264"/>
    </row>
    <row r="120" spans="1:101" ht="13.5" thickBot="1" x14ac:dyDescent="0.25">
      <c r="A120" s="264"/>
      <c r="B120" s="264"/>
      <c r="C120" s="202"/>
      <c r="D120" s="271">
        <v>3</v>
      </c>
      <c r="E120" s="168" t="s">
        <v>112</v>
      </c>
      <c r="F120" s="470">
        <v>1</v>
      </c>
      <c r="G120" s="476" t="s">
        <v>49</v>
      </c>
      <c r="H120" s="477">
        <v>6</v>
      </c>
      <c r="I120" s="392" t="str">
        <f t="shared" si="250"/>
        <v/>
      </c>
      <c r="J120" s="393" t="str">
        <f t="shared" si="251"/>
        <v/>
      </c>
      <c r="K120" s="394" t="str">
        <f t="shared" si="252"/>
        <v>x</v>
      </c>
      <c r="L120" s="299"/>
      <c r="M120" s="375"/>
      <c r="N120" s="379"/>
      <c r="O120" s="236"/>
      <c r="P120" s="236"/>
      <c r="Q120" s="486">
        <v>20</v>
      </c>
      <c r="R120" s="487">
        <v>20</v>
      </c>
      <c r="S120" s="488">
        <f t="shared" si="290"/>
        <v>60</v>
      </c>
      <c r="T120" s="371"/>
      <c r="U120" s="232" t="str">
        <f t="shared" si="253"/>
        <v/>
      </c>
      <c r="V120" s="232" t="str">
        <f t="shared" si="254"/>
        <v/>
      </c>
      <c r="W120" s="232">
        <f t="shared" si="255"/>
        <v>60</v>
      </c>
      <c r="X120" s="232">
        <f t="shared" si="291"/>
        <v>1</v>
      </c>
      <c r="Y120" s="371"/>
      <c r="Z120" s="499">
        <v>10</v>
      </c>
      <c r="AA120" s="500">
        <v>10</v>
      </c>
      <c r="AB120" s="488">
        <f t="shared" si="256"/>
        <v>80</v>
      </c>
      <c r="AC120" s="371"/>
      <c r="AD120" s="232" t="str">
        <f t="shared" si="257"/>
        <v/>
      </c>
      <c r="AE120" s="232" t="str">
        <f t="shared" si="258"/>
        <v/>
      </c>
      <c r="AF120" s="232">
        <f t="shared" si="259"/>
        <v>80</v>
      </c>
      <c r="AG120" s="232">
        <f t="shared" si="292"/>
        <v>1</v>
      </c>
      <c r="AH120" s="371"/>
      <c r="AI120" s="499">
        <v>10</v>
      </c>
      <c r="AJ120" s="500">
        <v>10</v>
      </c>
      <c r="AK120" s="488">
        <f t="shared" si="260"/>
        <v>80</v>
      </c>
      <c r="AL120" s="371"/>
      <c r="AM120" s="232" t="str">
        <f t="shared" si="261"/>
        <v/>
      </c>
      <c r="AN120" s="232" t="str">
        <f t="shared" si="262"/>
        <v/>
      </c>
      <c r="AO120" s="232">
        <f t="shared" si="263"/>
        <v>80</v>
      </c>
      <c r="AP120" s="232">
        <f t="shared" si="293"/>
        <v>1</v>
      </c>
      <c r="AQ120" s="371"/>
      <c r="AR120" s="499">
        <v>10</v>
      </c>
      <c r="AS120" s="500">
        <v>10</v>
      </c>
      <c r="AT120" s="488">
        <f t="shared" si="264"/>
        <v>80</v>
      </c>
      <c r="AU120" s="371"/>
      <c r="AV120" s="232" t="str">
        <f t="shared" si="265"/>
        <v/>
      </c>
      <c r="AW120" s="232" t="str">
        <f t="shared" si="266"/>
        <v/>
      </c>
      <c r="AX120" s="232">
        <f t="shared" si="267"/>
        <v>80</v>
      </c>
      <c r="AY120" s="232">
        <f t="shared" si="294"/>
        <v>1</v>
      </c>
      <c r="AZ120" s="371"/>
      <c r="BA120" s="499">
        <v>10</v>
      </c>
      <c r="BB120" s="500">
        <v>10</v>
      </c>
      <c r="BC120" s="488">
        <f t="shared" si="268"/>
        <v>80</v>
      </c>
      <c r="BD120" s="371"/>
      <c r="BE120" s="232" t="str">
        <f t="shared" si="269"/>
        <v/>
      </c>
      <c r="BF120" s="232" t="str">
        <f t="shared" si="270"/>
        <v/>
      </c>
      <c r="BG120" s="232">
        <f t="shared" si="271"/>
        <v>80</v>
      </c>
      <c r="BH120" s="232">
        <f t="shared" si="295"/>
        <v>1</v>
      </c>
      <c r="BI120" s="371"/>
      <c r="BJ120" s="499">
        <v>10</v>
      </c>
      <c r="BK120" s="500">
        <v>10</v>
      </c>
      <c r="BL120" s="488">
        <f t="shared" si="272"/>
        <v>80</v>
      </c>
      <c r="BM120" s="371"/>
      <c r="BN120" s="232" t="str">
        <f t="shared" si="273"/>
        <v/>
      </c>
      <c r="BO120" s="232" t="str">
        <f t="shared" si="274"/>
        <v/>
      </c>
      <c r="BP120" s="232">
        <f t="shared" si="275"/>
        <v>80</v>
      </c>
      <c r="BQ120" s="232">
        <f t="shared" si="296"/>
        <v>1</v>
      </c>
      <c r="BR120" s="371"/>
      <c r="BS120" s="499">
        <v>20</v>
      </c>
      <c r="BT120" s="500">
        <v>20</v>
      </c>
      <c r="BU120" s="488">
        <f t="shared" si="276"/>
        <v>60</v>
      </c>
      <c r="BV120" s="371"/>
      <c r="BW120" s="232" t="str">
        <f t="shared" si="277"/>
        <v/>
      </c>
      <c r="BX120" s="232" t="str">
        <f t="shared" si="278"/>
        <v/>
      </c>
      <c r="BY120" s="232">
        <f t="shared" si="279"/>
        <v>60</v>
      </c>
      <c r="BZ120" s="232">
        <f t="shared" si="297"/>
        <v>1</v>
      </c>
      <c r="CA120" s="371"/>
      <c r="CB120" s="507">
        <f t="shared" si="280"/>
        <v>20</v>
      </c>
      <c r="CC120" s="508">
        <f t="shared" si="281"/>
        <v>10</v>
      </c>
      <c r="CD120" s="509">
        <f t="shared" si="282"/>
        <v>70</v>
      </c>
      <c r="CE120" s="371"/>
      <c r="CF120" s="232" t="str">
        <f t="shared" si="283"/>
        <v/>
      </c>
      <c r="CG120" s="232" t="str">
        <f t="shared" si="284"/>
        <v/>
      </c>
      <c r="CH120" s="232">
        <f t="shared" si="285"/>
        <v>70</v>
      </c>
      <c r="CI120" s="232">
        <f t="shared" si="298"/>
        <v>1</v>
      </c>
      <c r="CJ120" s="232"/>
      <c r="CK120" s="499">
        <v>10</v>
      </c>
      <c r="CL120" s="500">
        <v>10</v>
      </c>
      <c r="CM120" s="488">
        <f t="shared" si="286"/>
        <v>80</v>
      </c>
      <c r="CN120" s="371"/>
      <c r="CO120" s="232" t="str">
        <f t="shared" si="287"/>
        <v/>
      </c>
      <c r="CP120" s="232" t="str">
        <f t="shared" si="288"/>
        <v/>
      </c>
      <c r="CQ120" s="232">
        <f t="shared" si="289"/>
        <v>80</v>
      </c>
      <c r="CR120" s="232">
        <f t="shared" si="299"/>
        <v>1</v>
      </c>
      <c r="CS120" s="232"/>
      <c r="CT120" s="371"/>
      <c r="CU120" s="296"/>
      <c r="CV120" s="246"/>
      <c r="CW120" s="264"/>
    </row>
    <row r="121" spans="1:101" x14ac:dyDescent="0.2">
      <c r="A121" s="264"/>
      <c r="B121" s="264"/>
      <c r="C121" s="202"/>
      <c r="D121" s="271">
        <v>4</v>
      </c>
      <c r="E121" s="166" t="s">
        <v>113</v>
      </c>
      <c r="F121" s="468">
        <v>2</v>
      </c>
      <c r="G121" s="472" t="s">
        <v>49</v>
      </c>
      <c r="H121" s="473">
        <v>0</v>
      </c>
      <c r="I121" s="170" t="str">
        <f t="shared" si="250"/>
        <v>x</v>
      </c>
      <c r="J121" s="387" t="str">
        <f t="shared" si="251"/>
        <v/>
      </c>
      <c r="K121" s="388" t="str">
        <f t="shared" si="252"/>
        <v/>
      </c>
      <c r="L121" s="299"/>
      <c r="M121" s="375"/>
      <c r="N121" s="379"/>
      <c r="O121" s="236"/>
      <c r="P121" s="236"/>
      <c r="Q121" s="480">
        <v>80</v>
      </c>
      <c r="R121" s="481">
        <v>10</v>
      </c>
      <c r="S121" s="482">
        <f t="shared" si="290"/>
        <v>10</v>
      </c>
      <c r="T121" s="371"/>
      <c r="U121" s="232">
        <f t="shared" si="253"/>
        <v>80</v>
      </c>
      <c r="V121" s="232" t="str">
        <f t="shared" si="254"/>
        <v/>
      </c>
      <c r="W121" s="232" t="str">
        <f t="shared" si="255"/>
        <v/>
      </c>
      <c r="X121" s="232">
        <f t="shared" si="291"/>
        <v>1</v>
      </c>
      <c r="Y121" s="371"/>
      <c r="Z121" s="495">
        <v>80</v>
      </c>
      <c r="AA121" s="496">
        <v>10</v>
      </c>
      <c r="AB121" s="482">
        <f t="shared" si="256"/>
        <v>10</v>
      </c>
      <c r="AC121" s="371"/>
      <c r="AD121" s="232">
        <f t="shared" si="257"/>
        <v>80</v>
      </c>
      <c r="AE121" s="232" t="str">
        <f t="shared" si="258"/>
        <v/>
      </c>
      <c r="AF121" s="232" t="str">
        <f t="shared" si="259"/>
        <v/>
      </c>
      <c r="AG121" s="232">
        <f t="shared" si="292"/>
        <v>1</v>
      </c>
      <c r="AH121" s="371"/>
      <c r="AI121" s="495">
        <v>80</v>
      </c>
      <c r="AJ121" s="496">
        <v>10</v>
      </c>
      <c r="AK121" s="482">
        <f t="shared" si="260"/>
        <v>10</v>
      </c>
      <c r="AL121" s="371"/>
      <c r="AM121" s="232">
        <f t="shared" si="261"/>
        <v>80</v>
      </c>
      <c r="AN121" s="232" t="str">
        <f t="shared" si="262"/>
        <v/>
      </c>
      <c r="AO121" s="232" t="str">
        <f t="shared" si="263"/>
        <v/>
      </c>
      <c r="AP121" s="232">
        <f t="shared" si="293"/>
        <v>1</v>
      </c>
      <c r="AQ121" s="371"/>
      <c r="AR121" s="495">
        <v>80</v>
      </c>
      <c r="AS121" s="496">
        <v>10</v>
      </c>
      <c r="AT121" s="482">
        <f t="shared" si="264"/>
        <v>10</v>
      </c>
      <c r="AU121" s="371"/>
      <c r="AV121" s="232">
        <f t="shared" si="265"/>
        <v>80</v>
      </c>
      <c r="AW121" s="232" t="str">
        <f t="shared" si="266"/>
        <v/>
      </c>
      <c r="AX121" s="232" t="str">
        <f t="shared" si="267"/>
        <v/>
      </c>
      <c r="AY121" s="232">
        <f t="shared" si="294"/>
        <v>1</v>
      </c>
      <c r="AZ121" s="371"/>
      <c r="BA121" s="495">
        <v>80</v>
      </c>
      <c r="BB121" s="496">
        <v>10</v>
      </c>
      <c r="BC121" s="482">
        <f t="shared" si="268"/>
        <v>10</v>
      </c>
      <c r="BD121" s="371"/>
      <c r="BE121" s="232">
        <f t="shared" si="269"/>
        <v>80</v>
      </c>
      <c r="BF121" s="232" t="str">
        <f t="shared" si="270"/>
        <v/>
      </c>
      <c r="BG121" s="232" t="str">
        <f t="shared" si="271"/>
        <v/>
      </c>
      <c r="BH121" s="232">
        <f t="shared" si="295"/>
        <v>1</v>
      </c>
      <c r="BI121" s="371"/>
      <c r="BJ121" s="495">
        <v>80</v>
      </c>
      <c r="BK121" s="496">
        <v>10</v>
      </c>
      <c r="BL121" s="482">
        <f t="shared" si="272"/>
        <v>10</v>
      </c>
      <c r="BM121" s="371"/>
      <c r="BN121" s="232">
        <f t="shared" si="273"/>
        <v>80</v>
      </c>
      <c r="BO121" s="232" t="str">
        <f t="shared" si="274"/>
        <v/>
      </c>
      <c r="BP121" s="232" t="str">
        <f t="shared" si="275"/>
        <v/>
      </c>
      <c r="BQ121" s="232">
        <f t="shared" si="296"/>
        <v>1</v>
      </c>
      <c r="BR121" s="371"/>
      <c r="BS121" s="495">
        <v>80</v>
      </c>
      <c r="BT121" s="496">
        <v>10</v>
      </c>
      <c r="BU121" s="482">
        <f t="shared" si="276"/>
        <v>10</v>
      </c>
      <c r="BV121" s="371"/>
      <c r="BW121" s="232">
        <f t="shared" si="277"/>
        <v>80</v>
      </c>
      <c r="BX121" s="232" t="str">
        <f t="shared" si="278"/>
        <v/>
      </c>
      <c r="BY121" s="232" t="str">
        <f t="shared" si="279"/>
        <v/>
      </c>
      <c r="BZ121" s="232">
        <f t="shared" si="297"/>
        <v>1</v>
      </c>
      <c r="CA121" s="371"/>
      <c r="CB121" s="501">
        <f t="shared" si="280"/>
        <v>80</v>
      </c>
      <c r="CC121" s="502">
        <f t="shared" si="281"/>
        <v>10</v>
      </c>
      <c r="CD121" s="503">
        <f t="shared" si="282"/>
        <v>10</v>
      </c>
      <c r="CE121" s="371"/>
      <c r="CF121" s="232">
        <f t="shared" si="283"/>
        <v>80</v>
      </c>
      <c r="CG121" s="232" t="str">
        <f t="shared" si="284"/>
        <v/>
      </c>
      <c r="CH121" s="232" t="str">
        <f t="shared" si="285"/>
        <v/>
      </c>
      <c r="CI121" s="232">
        <f t="shared" si="298"/>
        <v>1</v>
      </c>
      <c r="CJ121" s="232"/>
      <c r="CK121" s="495">
        <v>80</v>
      </c>
      <c r="CL121" s="496">
        <v>10</v>
      </c>
      <c r="CM121" s="482">
        <f t="shared" si="286"/>
        <v>10</v>
      </c>
      <c r="CN121" s="371"/>
      <c r="CO121" s="232">
        <f t="shared" si="287"/>
        <v>80</v>
      </c>
      <c r="CP121" s="232" t="str">
        <f t="shared" si="288"/>
        <v/>
      </c>
      <c r="CQ121" s="232" t="str">
        <f t="shared" si="289"/>
        <v/>
      </c>
      <c r="CR121" s="232">
        <f t="shared" si="299"/>
        <v>1</v>
      </c>
      <c r="CS121" s="232"/>
      <c r="CT121" s="371"/>
      <c r="CU121" s="296"/>
      <c r="CV121" s="246"/>
      <c r="CW121" s="264"/>
    </row>
    <row r="122" spans="1:101" x14ac:dyDescent="0.2">
      <c r="A122" s="264"/>
      <c r="B122" s="264"/>
      <c r="C122" s="202"/>
      <c r="D122" s="271">
        <v>5</v>
      </c>
      <c r="E122" s="167" t="s">
        <v>114</v>
      </c>
      <c r="F122" s="469">
        <v>2</v>
      </c>
      <c r="G122" s="474" t="s">
        <v>49</v>
      </c>
      <c r="H122" s="475">
        <v>0</v>
      </c>
      <c r="I122" s="389" t="str">
        <f t="shared" si="250"/>
        <v>x</v>
      </c>
      <c r="J122" s="390" t="str">
        <f t="shared" si="251"/>
        <v/>
      </c>
      <c r="K122" s="391" t="str">
        <f t="shared" si="252"/>
        <v/>
      </c>
      <c r="L122" s="299"/>
      <c r="M122" s="375"/>
      <c r="N122" s="379"/>
      <c r="O122" s="236"/>
      <c r="P122" s="236"/>
      <c r="Q122" s="483">
        <v>80</v>
      </c>
      <c r="R122" s="484">
        <v>10</v>
      </c>
      <c r="S122" s="485">
        <f t="shared" si="290"/>
        <v>10</v>
      </c>
      <c r="T122" s="371"/>
      <c r="U122" s="232">
        <f t="shared" si="253"/>
        <v>80</v>
      </c>
      <c r="V122" s="232" t="str">
        <f t="shared" si="254"/>
        <v/>
      </c>
      <c r="W122" s="232" t="str">
        <f t="shared" si="255"/>
        <v/>
      </c>
      <c r="X122" s="232">
        <f t="shared" si="291"/>
        <v>1</v>
      </c>
      <c r="Y122" s="371"/>
      <c r="Z122" s="497">
        <v>80</v>
      </c>
      <c r="AA122" s="498">
        <v>10</v>
      </c>
      <c r="AB122" s="485">
        <f t="shared" si="256"/>
        <v>10</v>
      </c>
      <c r="AC122" s="371"/>
      <c r="AD122" s="232">
        <f t="shared" si="257"/>
        <v>80</v>
      </c>
      <c r="AE122" s="232" t="str">
        <f t="shared" si="258"/>
        <v/>
      </c>
      <c r="AF122" s="232" t="str">
        <f t="shared" si="259"/>
        <v/>
      </c>
      <c r="AG122" s="232">
        <f t="shared" si="292"/>
        <v>1</v>
      </c>
      <c r="AH122" s="371"/>
      <c r="AI122" s="497">
        <v>30</v>
      </c>
      <c r="AJ122" s="498">
        <v>30</v>
      </c>
      <c r="AK122" s="485">
        <f t="shared" si="260"/>
        <v>40</v>
      </c>
      <c r="AL122" s="371"/>
      <c r="AM122" s="232">
        <f t="shared" si="261"/>
        <v>30</v>
      </c>
      <c r="AN122" s="232" t="str">
        <f t="shared" si="262"/>
        <v/>
      </c>
      <c r="AO122" s="232" t="str">
        <f t="shared" si="263"/>
        <v/>
      </c>
      <c r="AP122" s="232" t="str">
        <f t="shared" si="293"/>
        <v/>
      </c>
      <c r="AQ122" s="371"/>
      <c r="AR122" s="497">
        <v>80</v>
      </c>
      <c r="AS122" s="498">
        <v>10</v>
      </c>
      <c r="AT122" s="485">
        <f t="shared" si="264"/>
        <v>10</v>
      </c>
      <c r="AU122" s="371"/>
      <c r="AV122" s="232">
        <f t="shared" si="265"/>
        <v>80</v>
      </c>
      <c r="AW122" s="232" t="str">
        <f t="shared" si="266"/>
        <v/>
      </c>
      <c r="AX122" s="232" t="str">
        <f t="shared" si="267"/>
        <v/>
      </c>
      <c r="AY122" s="232">
        <f t="shared" si="294"/>
        <v>1</v>
      </c>
      <c r="AZ122" s="371"/>
      <c r="BA122" s="497">
        <v>80</v>
      </c>
      <c r="BB122" s="498">
        <v>10</v>
      </c>
      <c r="BC122" s="485">
        <f t="shared" si="268"/>
        <v>10</v>
      </c>
      <c r="BD122" s="371"/>
      <c r="BE122" s="232">
        <f t="shared" si="269"/>
        <v>80</v>
      </c>
      <c r="BF122" s="232" t="str">
        <f t="shared" si="270"/>
        <v/>
      </c>
      <c r="BG122" s="232" t="str">
        <f t="shared" si="271"/>
        <v/>
      </c>
      <c r="BH122" s="232">
        <f t="shared" si="295"/>
        <v>1</v>
      </c>
      <c r="BI122" s="371"/>
      <c r="BJ122" s="497">
        <v>30</v>
      </c>
      <c r="BK122" s="498">
        <v>40</v>
      </c>
      <c r="BL122" s="485">
        <f t="shared" si="272"/>
        <v>30</v>
      </c>
      <c r="BM122" s="371"/>
      <c r="BN122" s="232">
        <f t="shared" si="273"/>
        <v>30</v>
      </c>
      <c r="BO122" s="232" t="str">
        <f t="shared" si="274"/>
        <v/>
      </c>
      <c r="BP122" s="232" t="str">
        <f t="shared" si="275"/>
        <v/>
      </c>
      <c r="BQ122" s="232" t="str">
        <f t="shared" si="296"/>
        <v/>
      </c>
      <c r="BR122" s="371"/>
      <c r="BS122" s="497">
        <v>80</v>
      </c>
      <c r="BT122" s="498">
        <v>10</v>
      </c>
      <c r="BU122" s="485">
        <f t="shared" si="276"/>
        <v>10</v>
      </c>
      <c r="BV122" s="371"/>
      <c r="BW122" s="232">
        <f t="shared" si="277"/>
        <v>80</v>
      </c>
      <c r="BX122" s="232" t="str">
        <f t="shared" si="278"/>
        <v/>
      </c>
      <c r="BY122" s="232" t="str">
        <f t="shared" si="279"/>
        <v/>
      </c>
      <c r="BZ122" s="232">
        <f t="shared" si="297"/>
        <v>1</v>
      </c>
      <c r="CA122" s="371"/>
      <c r="CB122" s="504">
        <f t="shared" si="280"/>
        <v>70</v>
      </c>
      <c r="CC122" s="505">
        <f t="shared" si="281"/>
        <v>10</v>
      </c>
      <c r="CD122" s="506">
        <f t="shared" si="282"/>
        <v>20</v>
      </c>
      <c r="CE122" s="371"/>
      <c r="CF122" s="232">
        <f t="shared" si="283"/>
        <v>70</v>
      </c>
      <c r="CG122" s="232" t="str">
        <f t="shared" si="284"/>
        <v/>
      </c>
      <c r="CH122" s="232" t="str">
        <f t="shared" si="285"/>
        <v/>
      </c>
      <c r="CI122" s="232">
        <f t="shared" si="298"/>
        <v>1</v>
      </c>
      <c r="CJ122" s="232"/>
      <c r="CK122" s="497">
        <v>80</v>
      </c>
      <c r="CL122" s="498">
        <v>10</v>
      </c>
      <c r="CM122" s="485">
        <f t="shared" si="286"/>
        <v>10</v>
      </c>
      <c r="CN122" s="371"/>
      <c r="CO122" s="232">
        <f t="shared" si="287"/>
        <v>80</v>
      </c>
      <c r="CP122" s="232" t="str">
        <f t="shared" si="288"/>
        <v/>
      </c>
      <c r="CQ122" s="232" t="str">
        <f t="shared" si="289"/>
        <v/>
      </c>
      <c r="CR122" s="232">
        <f t="shared" si="299"/>
        <v>1</v>
      </c>
      <c r="CS122" s="232"/>
      <c r="CT122" s="371"/>
      <c r="CU122" s="296"/>
      <c r="CV122" s="246"/>
      <c r="CW122" s="264"/>
    </row>
    <row r="123" spans="1:101" ht="13.5" thickBot="1" x14ac:dyDescent="0.25">
      <c r="A123" s="264"/>
      <c r="B123" s="264"/>
      <c r="C123" s="202"/>
      <c r="D123" s="271">
        <v>6</v>
      </c>
      <c r="E123" s="168" t="s">
        <v>115</v>
      </c>
      <c r="F123" s="470">
        <v>1</v>
      </c>
      <c r="G123" s="476" t="s">
        <v>49</v>
      </c>
      <c r="H123" s="477">
        <v>0</v>
      </c>
      <c r="I123" s="392" t="str">
        <f t="shared" si="250"/>
        <v>x</v>
      </c>
      <c r="J123" s="393" t="str">
        <f t="shared" si="251"/>
        <v/>
      </c>
      <c r="K123" s="394" t="str">
        <f t="shared" si="252"/>
        <v/>
      </c>
      <c r="L123" s="299"/>
      <c r="M123" s="375"/>
      <c r="N123" s="379"/>
      <c r="O123" s="236"/>
      <c r="P123" s="236"/>
      <c r="Q123" s="489">
        <v>80</v>
      </c>
      <c r="R123" s="490">
        <v>10</v>
      </c>
      <c r="S123" s="491">
        <f t="shared" si="290"/>
        <v>10</v>
      </c>
      <c r="T123" s="371"/>
      <c r="U123" s="232">
        <f t="shared" si="253"/>
        <v>80</v>
      </c>
      <c r="V123" s="232" t="str">
        <f t="shared" si="254"/>
        <v/>
      </c>
      <c r="W123" s="232" t="str">
        <f t="shared" si="255"/>
        <v/>
      </c>
      <c r="X123" s="232">
        <f t="shared" si="291"/>
        <v>1</v>
      </c>
      <c r="Y123" s="371"/>
      <c r="Z123" s="499">
        <v>80</v>
      </c>
      <c r="AA123" s="500">
        <v>10</v>
      </c>
      <c r="AB123" s="491">
        <f t="shared" si="256"/>
        <v>10</v>
      </c>
      <c r="AC123" s="371"/>
      <c r="AD123" s="232">
        <f t="shared" si="257"/>
        <v>80</v>
      </c>
      <c r="AE123" s="232" t="str">
        <f t="shared" si="258"/>
        <v/>
      </c>
      <c r="AF123" s="232" t="str">
        <f t="shared" si="259"/>
        <v/>
      </c>
      <c r="AG123" s="232">
        <f t="shared" si="292"/>
        <v>1</v>
      </c>
      <c r="AH123" s="371"/>
      <c r="AI123" s="499">
        <v>80</v>
      </c>
      <c r="AJ123" s="500">
        <v>10</v>
      </c>
      <c r="AK123" s="491">
        <f t="shared" si="260"/>
        <v>10</v>
      </c>
      <c r="AL123" s="371"/>
      <c r="AM123" s="232">
        <f t="shared" si="261"/>
        <v>80</v>
      </c>
      <c r="AN123" s="232" t="str">
        <f t="shared" si="262"/>
        <v/>
      </c>
      <c r="AO123" s="232" t="str">
        <f t="shared" si="263"/>
        <v/>
      </c>
      <c r="AP123" s="232">
        <f t="shared" si="293"/>
        <v>1</v>
      </c>
      <c r="AQ123" s="371"/>
      <c r="AR123" s="499">
        <v>80</v>
      </c>
      <c r="AS123" s="500">
        <v>10</v>
      </c>
      <c r="AT123" s="491">
        <f t="shared" si="264"/>
        <v>10</v>
      </c>
      <c r="AU123" s="371"/>
      <c r="AV123" s="232">
        <f t="shared" si="265"/>
        <v>80</v>
      </c>
      <c r="AW123" s="232" t="str">
        <f t="shared" si="266"/>
        <v/>
      </c>
      <c r="AX123" s="232" t="str">
        <f t="shared" si="267"/>
        <v/>
      </c>
      <c r="AY123" s="232">
        <f t="shared" si="294"/>
        <v>1</v>
      </c>
      <c r="AZ123" s="371"/>
      <c r="BA123" s="499">
        <v>80</v>
      </c>
      <c r="BB123" s="500">
        <v>10</v>
      </c>
      <c r="BC123" s="491">
        <f t="shared" si="268"/>
        <v>10</v>
      </c>
      <c r="BD123" s="371"/>
      <c r="BE123" s="232">
        <f t="shared" si="269"/>
        <v>80</v>
      </c>
      <c r="BF123" s="232" t="str">
        <f t="shared" si="270"/>
        <v/>
      </c>
      <c r="BG123" s="232" t="str">
        <f t="shared" si="271"/>
        <v/>
      </c>
      <c r="BH123" s="232">
        <f t="shared" si="295"/>
        <v>1</v>
      </c>
      <c r="BI123" s="371"/>
      <c r="BJ123" s="499">
        <v>80</v>
      </c>
      <c r="BK123" s="500">
        <v>10</v>
      </c>
      <c r="BL123" s="491">
        <f t="shared" si="272"/>
        <v>10</v>
      </c>
      <c r="BM123" s="371"/>
      <c r="BN123" s="232">
        <f t="shared" si="273"/>
        <v>80</v>
      </c>
      <c r="BO123" s="232" t="str">
        <f t="shared" si="274"/>
        <v/>
      </c>
      <c r="BP123" s="232" t="str">
        <f t="shared" si="275"/>
        <v/>
      </c>
      <c r="BQ123" s="232">
        <f t="shared" si="296"/>
        <v>1</v>
      </c>
      <c r="BR123" s="371"/>
      <c r="BS123" s="499">
        <v>80</v>
      </c>
      <c r="BT123" s="500">
        <v>10</v>
      </c>
      <c r="BU123" s="491">
        <f t="shared" si="276"/>
        <v>10</v>
      </c>
      <c r="BV123" s="371"/>
      <c r="BW123" s="232">
        <f t="shared" si="277"/>
        <v>80</v>
      </c>
      <c r="BX123" s="232" t="str">
        <f t="shared" si="278"/>
        <v/>
      </c>
      <c r="BY123" s="232" t="str">
        <f t="shared" si="279"/>
        <v/>
      </c>
      <c r="BZ123" s="232">
        <f t="shared" si="297"/>
        <v>1</v>
      </c>
      <c r="CA123" s="371"/>
      <c r="CB123" s="507">
        <f t="shared" si="280"/>
        <v>80</v>
      </c>
      <c r="CC123" s="508">
        <f t="shared" si="281"/>
        <v>10</v>
      </c>
      <c r="CD123" s="509">
        <f t="shared" si="282"/>
        <v>10</v>
      </c>
      <c r="CE123" s="371"/>
      <c r="CF123" s="232">
        <f t="shared" si="283"/>
        <v>80</v>
      </c>
      <c r="CG123" s="232" t="str">
        <f t="shared" si="284"/>
        <v/>
      </c>
      <c r="CH123" s="232" t="str">
        <f t="shared" si="285"/>
        <v/>
      </c>
      <c r="CI123" s="232">
        <f t="shared" si="298"/>
        <v>1</v>
      </c>
      <c r="CJ123" s="232"/>
      <c r="CK123" s="499">
        <v>80</v>
      </c>
      <c r="CL123" s="500">
        <v>10</v>
      </c>
      <c r="CM123" s="491">
        <f t="shared" si="286"/>
        <v>10</v>
      </c>
      <c r="CN123" s="371"/>
      <c r="CO123" s="232">
        <f t="shared" si="287"/>
        <v>80</v>
      </c>
      <c r="CP123" s="232" t="str">
        <f t="shared" si="288"/>
        <v/>
      </c>
      <c r="CQ123" s="232" t="str">
        <f t="shared" si="289"/>
        <v/>
      </c>
      <c r="CR123" s="232">
        <f t="shared" si="299"/>
        <v>1</v>
      </c>
      <c r="CS123" s="232"/>
      <c r="CT123" s="371"/>
      <c r="CU123" s="296"/>
      <c r="CV123" s="246"/>
      <c r="CW123" s="264"/>
    </row>
    <row r="124" spans="1:101" x14ac:dyDescent="0.2">
      <c r="A124" s="264"/>
      <c r="B124" s="264"/>
      <c r="C124" s="202"/>
      <c r="D124" s="271">
        <v>7</v>
      </c>
      <c r="E124" s="166" t="s">
        <v>116</v>
      </c>
      <c r="F124" s="468">
        <v>0</v>
      </c>
      <c r="G124" s="472" t="s">
        <v>49</v>
      </c>
      <c r="H124" s="473">
        <v>1</v>
      </c>
      <c r="I124" s="170" t="str">
        <f t="shared" si="250"/>
        <v/>
      </c>
      <c r="J124" s="387" t="str">
        <f t="shared" si="251"/>
        <v/>
      </c>
      <c r="K124" s="388" t="str">
        <f t="shared" si="252"/>
        <v>x</v>
      </c>
      <c r="L124" s="299"/>
      <c r="M124" s="375"/>
      <c r="N124" s="379"/>
      <c r="O124" s="236"/>
      <c r="P124" s="236"/>
      <c r="Q124" s="480">
        <v>60</v>
      </c>
      <c r="R124" s="481">
        <v>20</v>
      </c>
      <c r="S124" s="482">
        <f t="shared" si="290"/>
        <v>20</v>
      </c>
      <c r="T124" s="371"/>
      <c r="U124" s="232" t="str">
        <f t="shared" si="253"/>
        <v/>
      </c>
      <c r="V124" s="232" t="str">
        <f t="shared" si="254"/>
        <v/>
      </c>
      <c r="W124" s="232">
        <f t="shared" si="255"/>
        <v>20</v>
      </c>
      <c r="X124" s="232" t="str">
        <f t="shared" si="291"/>
        <v/>
      </c>
      <c r="Y124" s="371"/>
      <c r="Z124" s="495">
        <v>80</v>
      </c>
      <c r="AA124" s="496">
        <v>10</v>
      </c>
      <c r="AB124" s="482">
        <f t="shared" si="256"/>
        <v>10</v>
      </c>
      <c r="AC124" s="371"/>
      <c r="AD124" s="232" t="str">
        <f t="shared" si="257"/>
        <v/>
      </c>
      <c r="AE124" s="232" t="str">
        <f t="shared" si="258"/>
        <v/>
      </c>
      <c r="AF124" s="232">
        <f t="shared" si="259"/>
        <v>10</v>
      </c>
      <c r="AG124" s="232" t="str">
        <f t="shared" si="292"/>
        <v/>
      </c>
      <c r="AH124" s="371"/>
      <c r="AI124" s="495">
        <v>40</v>
      </c>
      <c r="AJ124" s="496">
        <v>30</v>
      </c>
      <c r="AK124" s="482">
        <f t="shared" si="260"/>
        <v>30</v>
      </c>
      <c r="AL124" s="371"/>
      <c r="AM124" s="232" t="str">
        <f t="shared" si="261"/>
        <v/>
      </c>
      <c r="AN124" s="232" t="str">
        <f t="shared" si="262"/>
        <v/>
      </c>
      <c r="AO124" s="232">
        <f t="shared" si="263"/>
        <v>30</v>
      </c>
      <c r="AP124" s="232" t="str">
        <f t="shared" si="293"/>
        <v/>
      </c>
      <c r="AQ124" s="371"/>
      <c r="AR124" s="495">
        <v>60</v>
      </c>
      <c r="AS124" s="496">
        <v>30</v>
      </c>
      <c r="AT124" s="482">
        <f t="shared" si="264"/>
        <v>10</v>
      </c>
      <c r="AU124" s="371"/>
      <c r="AV124" s="232" t="str">
        <f t="shared" si="265"/>
        <v/>
      </c>
      <c r="AW124" s="232" t="str">
        <f t="shared" si="266"/>
        <v/>
      </c>
      <c r="AX124" s="232">
        <f t="shared" si="267"/>
        <v>10</v>
      </c>
      <c r="AY124" s="232" t="str">
        <f t="shared" si="294"/>
        <v/>
      </c>
      <c r="AZ124" s="371"/>
      <c r="BA124" s="495">
        <v>80</v>
      </c>
      <c r="BB124" s="496">
        <v>10</v>
      </c>
      <c r="BC124" s="482">
        <f t="shared" si="268"/>
        <v>10</v>
      </c>
      <c r="BD124" s="371"/>
      <c r="BE124" s="232" t="str">
        <f t="shared" si="269"/>
        <v/>
      </c>
      <c r="BF124" s="232" t="str">
        <f t="shared" si="270"/>
        <v/>
      </c>
      <c r="BG124" s="232">
        <f t="shared" si="271"/>
        <v>10</v>
      </c>
      <c r="BH124" s="232" t="str">
        <f t="shared" si="295"/>
        <v/>
      </c>
      <c r="BI124" s="371"/>
      <c r="BJ124" s="495">
        <v>30</v>
      </c>
      <c r="BK124" s="496">
        <v>40</v>
      </c>
      <c r="BL124" s="482">
        <f t="shared" si="272"/>
        <v>30</v>
      </c>
      <c r="BM124" s="371"/>
      <c r="BN124" s="232" t="str">
        <f t="shared" si="273"/>
        <v/>
      </c>
      <c r="BO124" s="232" t="str">
        <f t="shared" si="274"/>
        <v/>
      </c>
      <c r="BP124" s="232">
        <f t="shared" si="275"/>
        <v>30</v>
      </c>
      <c r="BQ124" s="232" t="str">
        <f t="shared" si="296"/>
        <v/>
      </c>
      <c r="BR124" s="371"/>
      <c r="BS124" s="495">
        <v>50</v>
      </c>
      <c r="BT124" s="496">
        <v>30</v>
      </c>
      <c r="BU124" s="482">
        <f t="shared" si="276"/>
        <v>20</v>
      </c>
      <c r="BV124" s="371"/>
      <c r="BW124" s="232" t="str">
        <f t="shared" si="277"/>
        <v/>
      </c>
      <c r="BX124" s="232" t="str">
        <f t="shared" si="278"/>
        <v/>
      </c>
      <c r="BY124" s="232">
        <f t="shared" si="279"/>
        <v>20</v>
      </c>
      <c r="BZ124" s="232" t="str">
        <f t="shared" si="297"/>
        <v/>
      </c>
      <c r="CA124" s="371"/>
      <c r="CB124" s="501">
        <f t="shared" si="280"/>
        <v>60</v>
      </c>
      <c r="CC124" s="502">
        <f t="shared" si="281"/>
        <v>20</v>
      </c>
      <c r="CD124" s="503">
        <f t="shared" si="282"/>
        <v>20</v>
      </c>
      <c r="CE124" s="371"/>
      <c r="CF124" s="232" t="str">
        <f t="shared" si="283"/>
        <v/>
      </c>
      <c r="CG124" s="232" t="str">
        <f t="shared" si="284"/>
        <v/>
      </c>
      <c r="CH124" s="232">
        <f t="shared" si="285"/>
        <v>20</v>
      </c>
      <c r="CI124" s="232" t="str">
        <f t="shared" si="298"/>
        <v/>
      </c>
      <c r="CJ124" s="232"/>
      <c r="CK124" s="495">
        <v>60</v>
      </c>
      <c r="CL124" s="496">
        <v>30</v>
      </c>
      <c r="CM124" s="482">
        <f t="shared" si="286"/>
        <v>10</v>
      </c>
      <c r="CN124" s="371"/>
      <c r="CO124" s="232" t="str">
        <f t="shared" si="287"/>
        <v/>
      </c>
      <c r="CP124" s="232" t="str">
        <f t="shared" si="288"/>
        <v/>
      </c>
      <c r="CQ124" s="232">
        <f t="shared" si="289"/>
        <v>10</v>
      </c>
      <c r="CR124" s="232" t="str">
        <f t="shared" si="299"/>
        <v/>
      </c>
      <c r="CS124" s="232"/>
      <c r="CT124" s="371"/>
      <c r="CU124" s="300"/>
      <c r="CV124" s="246"/>
      <c r="CW124" s="264"/>
    </row>
    <row r="125" spans="1:101" x14ac:dyDescent="0.2">
      <c r="A125" s="264"/>
      <c r="B125" s="264"/>
      <c r="C125" s="202"/>
      <c r="D125" s="271">
        <v>8</v>
      </c>
      <c r="E125" s="167" t="s">
        <v>117</v>
      </c>
      <c r="F125" s="469">
        <v>2</v>
      </c>
      <c r="G125" s="474" t="s">
        <v>49</v>
      </c>
      <c r="H125" s="475">
        <v>1</v>
      </c>
      <c r="I125" s="389" t="str">
        <f t="shared" si="250"/>
        <v>x</v>
      </c>
      <c r="J125" s="390" t="str">
        <f t="shared" si="251"/>
        <v/>
      </c>
      <c r="K125" s="391" t="str">
        <f t="shared" si="252"/>
        <v/>
      </c>
      <c r="L125" s="299"/>
      <c r="M125" s="375"/>
      <c r="N125" s="379"/>
      <c r="O125" s="236"/>
      <c r="P125" s="236"/>
      <c r="Q125" s="483">
        <v>20</v>
      </c>
      <c r="R125" s="484">
        <v>20</v>
      </c>
      <c r="S125" s="485">
        <f t="shared" si="290"/>
        <v>60</v>
      </c>
      <c r="T125" s="371"/>
      <c r="U125" s="232">
        <f t="shared" si="253"/>
        <v>20</v>
      </c>
      <c r="V125" s="232" t="str">
        <f t="shared" si="254"/>
        <v/>
      </c>
      <c r="W125" s="232" t="str">
        <f t="shared" si="255"/>
        <v/>
      </c>
      <c r="X125" s="232" t="str">
        <f t="shared" si="291"/>
        <v/>
      </c>
      <c r="Y125" s="371"/>
      <c r="Z125" s="497">
        <v>10</v>
      </c>
      <c r="AA125" s="498">
        <v>10</v>
      </c>
      <c r="AB125" s="485">
        <f t="shared" si="256"/>
        <v>80</v>
      </c>
      <c r="AC125" s="371"/>
      <c r="AD125" s="232">
        <f t="shared" si="257"/>
        <v>10</v>
      </c>
      <c r="AE125" s="232" t="str">
        <f t="shared" si="258"/>
        <v/>
      </c>
      <c r="AF125" s="232" t="str">
        <f t="shared" si="259"/>
        <v/>
      </c>
      <c r="AG125" s="232" t="str">
        <f t="shared" si="292"/>
        <v/>
      </c>
      <c r="AH125" s="371"/>
      <c r="AI125" s="497">
        <v>40</v>
      </c>
      <c r="AJ125" s="498">
        <v>20</v>
      </c>
      <c r="AK125" s="485">
        <f t="shared" si="260"/>
        <v>40</v>
      </c>
      <c r="AL125" s="371"/>
      <c r="AM125" s="232">
        <f t="shared" si="261"/>
        <v>40</v>
      </c>
      <c r="AN125" s="232" t="str">
        <f t="shared" si="262"/>
        <v/>
      </c>
      <c r="AO125" s="232" t="str">
        <f t="shared" si="263"/>
        <v/>
      </c>
      <c r="AP125" s="232">
        <f t="shared" si="293"/>
        <v>1</v>
      </c>
      <c r="AQ125" s="371"/>
      <c r="AR125" s="497">
        <v>10</v>
      </c>
      <c r="AS125" s="498">
        <v>30</v>
      </c>
      <c r="AT125" s="485">
        <f t="shared" si="264"/>
        <v>60</v>
      </c>
      <c r="AU125" s="371"/>
      <c r="AV125" s="232">
        <f t="shared" si="265"/>
        <v>10</v>
      </c>
      <c r="AW125" s="232" t="str">
        <f t="shared" si="266"/>
        <v/>
      </c>
      <c r="AX125" s="232" t="str">
        <f t="shared" si="267"/>
        <v/>
      </c>
      <c r="AY125" s="232" t="str">
        <f t="shared" si="294"/>
        <v/>
      </c>
      <c r="AZ125" s="371"/>
      <c r="BA125" s="497">
        <v>10</v>
      </c>
      <c r="BB125" s="498">
        <v>10</v>
      </c>
      <c r="BC125" s="485">
        <f t="shared" si="268"/>
        <v>80</v>
      </c>
      <c r="BD125" s="371"/>
      <c r="BE125" s="232">
        <f t="shared" si="269"/>
        <v>10</v>
      </c>
      <c r="BF125" s="232" t="str">
        <f t="shared" si="270"/>
        <v/>
      </c>
      <c r="BG125" s="232" t="str">
        <f t="shared" si="271"/>
        <v/>
      </c>
      <c r="BH125" s="232" t="str">
        <f t="shared" si="295"/>
        <v/>
      </c>
      <c r="BI125" s="371"/>
      <c r="BJ125" s="497">
        <v>80</v>
      </c>
      <c r="BK125" s="498">
        <v>10</v>
      </c>
      <c r="BL125" s="485">
        <f t="shared" si="272"/>
        <v>10</v>
      </c>
      <c r="BM125" s="371"/>
      <c r="BN125" s="232">
        <f t="shared" si="273"/>
        <v>80</v>
      </c>
      <c r="BO125" s="232" t="str">
        <f t="shared" si="274"/>
        <v/>
      </c>
      <c r="BP125" s="232" t="str">
        <f t="shared" si="275"/>
        <v/>
      </c>
      <c r="BQ125" s="232">
        <f t="shared" si="296"/>
        <v>1</v>
      </c>
      <c r="BR125" s="371"/>
      <c r="BS125" s="497">
        <v>20</v>
      </c>
      <c r="BT125" s="498">
        <v>20</v>
      </c>
      <c r="BU125" s="485">
        <f t="shared" si="276"/>
        <v>60</v>
      </c>
      <c r="BV125" s="371"/>
      <c r="BW125" s="232">
        <f t="shared" si="277"/>
        <v>20</v>
      </c>
      <c r="BX125" s="232" t="str">
        <f t="shared" si="278"/>
        <v/>
      </c>
      <c r="BY125" s="232" t="str">
        <f t="shared" si="279"/>
        <v/>
      </c>
      <c r="BZ125" s="232" t="str">
        <f t="shared" si="297"/>
        <v/>
      </c>
      <c r="CA125" s="371"/>
      <c r="CB125" s="504">
        <f t="shared" si="280"/>
        <v>30</v>
      </c>
      <c r="CC125" s="505">
        <f t="shared" si="281"/>
        <v>10</v>
      </c>
      <c r="CD125" s="506">
        <f t="shared" si="282"/>
        <v>60</v>
      </c>
      <c r="CE125" s="371"/>
      <c r="CF125" s="232">
        <f t="shared" si="283"/>
        <v>30</v>
      </c>
      <c r="CG125" s="232" t="str">
        <f t="shared" si="284"/>
        <v/>
      </c>
      <c r="CH125" s="232" t="str">
        <f t="shared" si="285"/>
        <v/>
      </c>
      <c r="CI125" s="232" t="str">
        <f t="shared" si="298"/>
        <v/>
      </c>
      <c r="CJ125" s="232"/>
      <c r="CK125" s="497">
        <v>10</v>
      </c>
      <c r="CL125" s="498">
        <v>30</v>
      </c>
      <c r="CM125" s="485">
        <f t="shared" si="286"/>
        <v>60</v>
      </c>
      <c r="CN125" s="371"/>
      <c r="CO125" s="232">
        <f t="shared" si="287"/>
        <v>10</v>
      </c>
      <c r="CP125" s="232" t="str">
        <f t="shared" si="288"/>
        <v/>
      </c>
      <c r="CQ125" s="232" t="str">
        <f t="shared" si="289"/>
        <v/>
      </c>
      <c r="CR125" s="232" t="str">
        <f t="shared" si="299"/>
        <v/>
      </c>
      <c r="CS125" s="232"/>
      <c r="CT125" s="371"/>
      <c r="CU125" s="300"/>
      <c r="CV125" s="246"/>
      <c r="CW125" s="264"/>
    </row>
    <row r="126" spans="1:101" ht="13.5" thickBot="1" x14ac:dyDescent="0.25">
      <c r="A126" s="264"/>
      <c r="B126" s="264"/>
      <c r="C126" s="202"/>
      <c r="D126" s="271">
        <v>9</v>
      </c>
      <c r="E126" s="168" t="s">
        <v>118</v>
      </c>
      <c r="F126" s="470">
        <v>0</v>
      </c>
      <c r="G126" s="476" t="s">
        <v>49</v>
      </c>
      <c r="H126" s="477">
        <v>0</v>
      </c>
      <c r="I126" s="392" t="str">
        <f t="shared" si="250"/>
        <v/>
      </c>
      <c r="J126" s="393" t="str">
        <f t="shared" si="251"/>
        <v>x</v>
      </c>
      <c r="K126" s="394" t="str">
        <f t="shared" si="252"/>
        <v/>
      </c>
      <c r="L126" s="299"/>
      <c r="M126" s="375"/>
      <c r="N126" s="379"/>
      <c r="O126" s="236"/>
      <c r="P126" s="236"/>
      <c r="Q126" s="489">
        <v>60</v>
      </c>
      <c r="R126" s="490">
        <v>20</v>
      </c>
      <c r="S126" s="491">
        <f t="shared" si="290"/>
        <v>20</v>
      </c>
      <c r="T126" s="371"/>
      <c r="U126" s="232" t="str">
        <f t="shared" si="253"/>
        <v/>
      </c>
      <c r="V126" s="232">
        <f t="shared" si="254"/>
        <v>20</v>
      </c>
      <c r="W126" s="232" t="str">
        <f t="shared" si="255"/>
        <v/>
      </c>
      <c r="X126" s="232" t="str">
        <f t="shared" si="291"/>
        <v/>
      </c>
      <c r="Y126" s="371"/>
      <c r="Z126" s="499">
        <v>80</v>
      </c>
      <c r="AA126" s="500">
        <v>10</v>
      </c>
      <c r="AB126" s="491">
        <f t="shared" si="256"/>
        <v>10</v>
      </c>
      <c r="AC126" s="371"/>
      <c r="AD126" s="232" t="str">
        <f t="shared" si="257"/>
        <v/>
      </c>
      <c r="AE126" s="232">
        <f t="shared" si="258"/>
        <v>10</v>
      </c>
      <c r="AF126" s="232" t="str">
        <f t="shared" si="259"/>
        <v/>
      </c>
      <c r="AG126" s="232" t="str">
        <f t="shared" si="292"/>
        <v/>
      </c>
      <c r="AH126" s="371"/>
      <c r="AI126" s="499">
        <v>70</v>
      </c>
      <c r="AJ126" s="500">
        <v>20</v>
      </c>
      <c r="AK126" s="491">
        <f t="shared" si="260"/>
        <v>10</v>
      </c>
      <c r="AL126" s="371"/>
      <c r="AM126" s="232" t="str">
        <f t="shared" si="261"/>
        <v/>
      </c>
      <c r="AN126" s="232">
        <f t="shared" si="262"/>
        <v>20</v>
      </c>
      <c r="AO126" s="232" t="str">
        <f t="shared" si="263"/>
        <v/>
      </c>
      <c r="AP126" s="232" t="str">
        <f t="shared" si="293"/>
        <v/>
      </c>
      <c r="AQ126" s="371"/>
      <c r="AR126" s="499">
        <v>50</v>
      </c>
      <c r="AS126" s="500">
        <v>30</v>
      </c>
      <c r="AT126" s="491">
        <f t="shared" si="264"/>
        <v>20</v>
      </c>
      <c r="AU126" s="371"/>
      <c r="AV126" s="232" t="str">
        <f t="shared" si="265"/>
        <v/>
      </c>
      <c r="AW126" s="232">
        <f t="shared" si="266"/>
        <v>30</v>
      </c>
      <c r="AX126" s="232" t="str">
        <f t="shared" si="267"/>
        <v/>
      </c>
      <c r="AY126" s="232" t="str">
        <f t="shared" si="294"/>
        <v/>
      </c>
      <c r="AZ126" s="371"/>
      <c r="BA126" s="499">
        <v>80</v>
      </c>
      <c r="BB126" s="500">
        <v>10</v>
      </c>
      <c r="BC126" s="491">
        <f t="shared" si="268"/>
        <v>10</v>
      </c>
      <c r="BD126" s="371"/>
      <c r="BE126" s="232" t="str">
        <f t="shared" si="269"/>
        <v/>
      </c>
      <c r="BF126" s="232">
        <f t="shared" si="270"/>
        <v>10</v>
      </c>
      <c r="BG126" s="232" t="str">
        <f t="shared" si="271"/>
        <v/>
      </c>
      <c r="BH126" s="232" t="str">
        <f t="shared" si="295"/>
        <v/>
      </c>
      <c r="BI126" s="371"/>
      <c r="BJ126" s="499">
        <v>80</v>
      </c>
      <c r="BK126" s="500">
        <v>10</v>
      </c>
      <c r="BL126" s="491">
        <f t="shared" si="272"/>
        <v>10</v>
      </c>
      <c r="BM126" s="371"/>
      <c r="BN126" s="232" t="str">
        <f t="shared" si="273"/>
        <v/>
      </c>
      <c r="BO126" s="232">
        <f t="shared" si="274"/>
        <v>10</v>
      </c>
      <c r="BP126" s="232" t="str">
        <f t="shared" si="275"/>
        <v/>
      </c>
      <c r="BQ126" s="232" t="str">
        <f t="shared" si="296"/>
        <v/>
      </c>
      <c r="BR126" s="371"/>
      <c r="BS126" s="499">
        <v>50</v>
      </c>
      <c r="BT126" s="500">
        <v>30</v>
      </c>
      <c r="BU126" s="491">
        <f t="shared" si="276"/>
        <v>20</v>
      </c>
      <c r="BV126" s="371"/>
      <c r="BW126" s="232" t="str">
        <f t="shared" si="277"/>
        <v/>
      </c>
      <c r="BX126" s="232">
        <f t="shared" si="278"/>
        <v>30</v>
      </c>
      <c r="BY126" s="232" t="str">
        <f t="shared" si="279"/>
        <v/>
      </c>
      <c r="BZ126" s="232" t="str">
        <f t="shared" si="297"/>
        <v/>
      </c>
      <c r="CA126" s="371"/>
      <c r="CB126" s="507">
        <f t="shared" si="280"/>
        <v>70</v>
      </c>
      <c r="CC126" s="508">
        <f t="shared" si="281"/>
        <v>10</v>
      </c>
      <c r="CD126" s="509">
        <f t="shared" si="282"/>
        <v>20</v>
      </c>
      <c r="CE126" s="371"/>
      <c r="CF126" s="232" t="str">
        <f t="shared" si="283"/>
        <v/>
      </c>
      <c r="CG126" s="232">
        <f t="shared" si="284"/>
        <v>10</v>
      </c>
      <c r="CH126" s="232" t="str">
        <f t="shared" si="285"/>
        <v/>
      </c>
      <c r="CI126" s="232" t="str">
        <f t="shared" si="298"/>
        <v/>
      </c>
      <c r="CJ126" s="232"/>
      <c r="CK126" s="499">
        <v>70</v>
      </c>
      <c r="CL126" s="500">
        <v>20</v>
      </c>
      <c r="CM126" s="491">
        <f t="shared" si="286"/>
        <v>10</v>
      </c>
      <c r="CN126" s="371"/>
      <c r="CO126" s="232" t="str">
        <f t="shared" si="287"/>
        <v/>
      </c>
      <c r="CP126" s="232">
        <f t="shared" si="288"/>
        <v>20</v>
      </c>
      <c r="CQ126" s="232" t="str">
        <f t="shared" si="289"/>
        <v/>
      </c>
      <c r="CR126" s="232" t="str">
        <f t="shared" si="299"/>
        <v/>
      </c>
      <c r="CS126" s="232"/>
      <c r="CT126" s="371"/>
      <c r="CU126" s="300"/>
      <c r="CV126" s="246"/>
      <c r="CW126" s="264"/>
    </row>
    <row r="127" spans="1:101" x14ac:dyDescent="0.2">
      <c r="A127" s="264"/>
      <c r="B127" s="264"/>
      <c r="C127" s="202"/>
      <c r="D127" s="271">
        <v>10</v>
      </c>
      <c r="E127" s="169" t="s">
        <v>119</v>
      </c>
      <c r="F127" s="471">
        <v>2</v>
      </c>
      <c r="G127" s="478" t="s">
        <v>49</v>
      </c>
      <c r="H127" s="479">
        <v>0</v>
      </c>
      <c r="I127" s="170" t="str">
        <f t="shared" si="250"/>
        <v>x</v>
      </c>
      <c r="J127" s="387" t="str">
        <f t="shared" si="251"/>
        <v/>
      </c>
      <c r="K127" s="388" t="str">
        <f t="shared" si="252"/>
        <v/>
      </c>
      <c r="L127" s="299"/>
      <c r="M127" s="375"/>
      <c r="N127" s="379"/>
      <c r="O127" s="236"/>
      <c r="P127" s="236"/>
      <c r="Q127" s="492">
        <v>50</v>
      </c>
      <c r="R127" s="493">
        <v>30</v>
      </c>
      <c r="S127" s="494">
        <f t="shared" si="290"/>
        <v>20</v>
      </c>
      <c r="T127" s="371"/>
      <c r="U127" s="232">
        <f t="shared" si="253"/>
        <v>50</v>
      </c>
      <c r="V127" s="232" t="str">
        <f t="shared" si="254"/>
        <v/>
      </c>
      <c r="W127" s="232" t="str">
        <f t="shared" si="255"/>
        <v/>
      </c>
      <c r="X127" s="232">
        <f t="shared" si="291"/>
        <v>1</v>
      </c>
      <c r="Y127" s="371"/>
      <c r="Z127" s="495">
        <v>80</v>
      </c>
      <c r="AA127" s="496">
        <v>10</v>
      </c>
      <c r="AB127" s="494">
        <f t="shared" si="256"/>
        <v>10</v>
      </c>
      <c r="AC127" s="371"/>
      <c r="AD127" s="232">
        <f t="shared" si="257"/>
        <v>80</v>
      </c>
      <c r="AE127" s="232" t="str">
        <f t="shared" si="258"/>
        <v/>
      </c>
      <c r="AF127" s="232" t="str">
        <f t="shared" si="259"/>
        <v/>
      </c>
      <c r="AG127" s="232">
        <f t="shared" si="292"/>
        <v>1</v>
      </c>
      <c r="AH127" s="371"/>
      <c r="AI127" s="495">
        <v>60</v>
      </c>
      <c r="AJ127" s="496">
        <v>20</v>
      </c>
      <c r="AK127" s="494">
        <f t="shared" si="260"/>
        <v>20</v>
      </c>
      <c r="AL127" s="371"/>
      <c r="AM127" s="232">
        <f t="shared" si="261"/>
        <v>60</v>
      </c>
      <c r="AN127" s="232" t="str">
        <f t="shared" si="262"/>
        <v/>
      </c>
      <c r="AO127" s="232" t="str">
        <f t="shared" si="263"/>
        <v/>
      </c>
      <c r="AP127" s="232">
        <f t="shared" si="293"/>
        <v>1</v>
      </c>
      <c r="AQ127" s="371"/>
      <c r="AR127" s="495">
        <v>60</v>
      </c>
      <c r="AS127" s="496">
        <v>30</v>
      </c>
      <c r="AT127" s="494">
        <f t="shared" si="264"/>
        <v>10</v>
      </c>
      <c r="AU127" s="371"/>
      <c r="AV127" s="232">
        <f t="shared" si="265"/>
        <v>60</v>
      </c>
      <c r="AW127" s="232" t="str">
        <f t="shared" si="266"/>
        <v/>
      </c>
      <c r="AX127" s="232" t="str">
        <f t="shared" si="267"/>
        <v/>
      </c>
      <c r="AY127" s="232">
        <f t="shared" si="294"/>
        <v>1</v>
      </c>
      <c r="AZ127" s="371"/>
      <c r="BA127" s="495">
        <v>80</v>
      </c>
      <c r="BB127" s="496">
        <v>10</v>
      </c>
      <c r="BC127" s="494">
        <f t="shared" si="268"/>
        <v>10</v>
      </c>
      <c r="BD127" s="371"/>
      <c r="BE127" s="232">
        <f t="shared" si="269"/>
        <v>80</v>
      </c>
      <c r="BF127" s="232" t="str">
        <f t="shared" si="270"/>
        <v/>
      </c>
      <c r="BG127" s="232" t="str">
        <f t="shared" si="271"/>
        <v/>
      </c>
      <c r="BH127" s="232">
        <f t="shared" si="295"/>
        <v>1</v>
      </c>
      <c r="BI127" s="371"/>
      <c r="BJ127" s="495">
        <v>10</v>
      </c>
      <c r="BK127" s="496">
        <v>10</v>
      </c>
      <c r="BL127" s="494">
        <f t="shared" si="272"/>
        <v>80</v>
      </c>
      <c r="BM127" s="371"/>
      <c r="BN127" s="232">
        <f t="shared" si="273"/>
        <v>10</v>
      </c>
      <c r="BO127" s="232" t="str">
        <f t="shared" si="274"/>
        <v/>
      </c>
      <c r="BP127" s="232" t="str">
        <f t="shared" si="275"/>
        <v/>
      </c>
      <c r="BQ127" s="232" t="str">
        <f t="shared" si="296"/>
        <v/>
      </c>
      <c r="BR127" s="371"/>
      <c r="BS127" s="495">
        <v>50</v>
      </c>
      <c r="BT127" s="496">
        <v>20</v>
      </c>
      <c r="BU127" s="494">
        <f t="shared" si="276"/>
        <v>30</v>
      </c>
      <c r="BV127" s="371"/>
      <c r="BW127" s="232">
        <f t="shared" si="277"/>
        <v>50</v>
      </c>
      <c r="BX127" s="232" t="str">
        <f t="shared" si="278"/>
        <v/>
      </c>
      <c r="BY127" s="232" t="str">
        <f t="shared" si="279"/>
        <v/>
      </c>
      <c r="BZ127" s="232">
        <f t="shared" si="297"/>
        <v>1</v>
      </c>
      <c r="CA127" s="371"/>
      <c r="CB127" s="501">
        <f t="shared" si="280"/>
        <v>60</v>
      </c>
      <c r="CC127" s="502">
        <f t="shared" si="281"/>
        <v>10</v>
      </c>
      <c r="CD127" s="503">
        <f t="shared" si="282"/>
        <v>30</v>
      </c>
      <c r="CE127" s="371"/>
      <c r="CF127" s="232">
        <f t="shared" si="283"/>
        <v>60</v>
      </c>
      <c r="CG127" s="232" t="str">
        <f t="shared" si="284"/>
        <v/>
      </c>
      <c r="CH127" s="232" t="str">
        <f t="shared" si="285"/>
        <v/>
      </c>
      <c r="CI127" s="232">
        <f t="shared" si="298"/>
        <v>1</v>
      </c>
      <c r="CJ127" s="232"/>
      <c r="CK127" s="495">
        <v>60</v>
      </c>
      <c r="CL127" s="496">
        <v>30</v>
      </c>
      <c r="CM127" s="494">
        <f t="shared" si="286"/>
        <v>10</v>
      </c>
      <c r="CN127" s="371"/>
      <c r="CO127" s="232">
        <f t="shared" si="287"/>
        <v>60</v>
      </c>
      <c r="CP127" s="232" t="str">
        <f t="shared" si="288"/>
        <v/>
      </c>
      <c r="CQ127" s="232" t="str">
        <f t="shared" si="289"/>
        <v/>
      </c>
      <c r="CR127" s="232">
        <f t="shared" si="299"/>
        <v>1</v>
      </c>
      <c r="CS127" s="232"/>
      <c r="CT127" s="371"/>
      <c r="CU127" s="300"/>
      <c r="CV127" s="246"/>
      <c r="CW127" s="264"/>
    </row>
    <row r="128" spans="1:101" x14ac:dyDescent="0.2">
      <c r="A128" s="264"/>
      <c r="B128" s="264"/>
      <c r="C128" s="202"/>
      <c r="D128" s="271">
        <v>11</v>
      </c>
      <c r="E128" s="167" t="s">
        <v>120</v>
      </c>
      <c r="F128" s="469">
        <v>0</v>
      </c>
      <c r="G128" s="474" t="s">
        <v>49</v>
      </c>
      <c r="H128" s="475">
        <v>4</v>
      </c>
      <c r="I128" s="389" t="str">
        <f t="shared" si="250"/>
        <v/>
      </c>
      <c r="J128" s="390" t="str">
        <f t="shared" si="251"/>
        <v/>
      </c>
      <c r="K128" s="391" t="str">
        <f t="shared" si="252"/>
        <v>x</v>
      </c>
      <c r="L128" s="299"/>
      <c r="M128" s="375"/>
      <c r="N128" s="379"/>
      <c r="O128" s="236"/>
      <c r="P128" s="236"/>
      <c r="Q128" s="483">
        <v>40</v>
      </c>
      <c r="R128" s="484">
        <v>30</v>
      </c>
      <c r="S128" s="485">
        <f t="shared" si="290"/>
        <v>30</v>
      </c>
      <c r="T128" s="371"/>
      <c r="U128" s="232" t="str">
        <f t="shared" si="253"/>
        <v/>
      </c>
      <c r="V128" s="232" t="str">
        <f t="shared" si="254"/>
        <v/>
      </c>
      <c r="W128" s="232">
        <f t="shared" si="255"/>
        <v>30</v>
      </c>
      <c r="X128" s="232" t="str">
        <f t="shared" si="291"/>
        <v/>
      </c>
      <c r="Y128" s="371"/>
      <c r="Z128" s="497">
        <v>80</v>
      </c>
      <c r="AA128" s="498">
        <v>10</v>
      </c>
      <c r="AB128" s="485">
        <f t="shared" si="256"/>
        <v>10</v>
      </c>
      <c r="AC128" s="371"/>
      <c r="AD128" s="232" t="str">
        <f t="shared" si="257"/>
        <v/>
      </c>
      <c r="AE128" s="232" t="str">
        <f t="shared" si="258"/>
        <v/>
      </c>
      <c r="AF128" s="232">
        <f t="shared" si="259"/>
        <v>10</v>
      </c>
      <c r="AG128" s="232" t="str">
        <f t="shared" si="292"/>
        <v/>
      </c>
      <c r="AH128" s="371"/>
      <c r="AI128" s="497">
        <v>40</v>
      </c>
      <c r="AJ128" s="498">
        <v>30</v>
      </c>
      <c r="AK128" s="485">
        <f t="shared" si="260"/>
        <v>30</v>
      </c>
      <c r="AL128" s="371"/>
      <c r="AM128" s="232" t="str">
        <f t="shared" si="261"/>
        <v/>
      </c>
      <c r="AN128" s="232" t="str">
        <f t="shared" si="262"/>
        <v/>
      </c>
      <c r="AO128" s="232">
        <f t="shared" si="263"/>
        <v>30</v>
      </c>
      <c r="AP128" s="232" t="str">
        <f t="shared" si="293"/>
        <v/>
      </c>
      <c r="AQ128" s="371"/>
      <c r="AR128" s="497">
        <v>30</v>
      </c>
      <c r="AS128" s="498">
        <v>40</v>
      </c>
      <c r="AT128" s="485">
        <f t="shared" si="264"/>
        <v>30</v>
      </c>
      <c r="AU128" s="371"/>
      <c r="AV128" s="232" t="str">
        <f t="shared" si="265"/>
        <v/>
      </c>
      <c r="AW128" s="232" t="str">
        <f t="shared" si="266"/>
        <v/>
      </c>
      <c r="AX128" s="232">
        <f t="shared" si="267"/>
        <v>30</v>
      </c>
      <c r="AY128" s="232" t="str">
        <f t="shared" si="294"/>
        <v/>
      </c>
      <c r="AZ128" s="371"/>
      <c r="BA128" s="497">
        <v>10</v>
      </c>
      <c r="BB128" s="498">
        <v>10</v>
      </c>
      <c r="BC128" s="485">
        <f t="shared" si="268"/>
        <v>80</v>
      </c>
      <c r="BD128" s="371"/>
      <c r="BE128" s="232" t="str">
        <f t="shared" si="269"/>
        <v/>
      </c>
      <c r="BF128" s="232" t="str">
        <f t="shared" si="270"/>
        <v/>
      </c>
      <c r="BG128" s="232">
        <f t="shared" si="271"/>
        <v>80</v>
      </c>
      <c r="BH128" s="232">
        <f t="shared" si="295"/>
        <v>1</v>
      </c>
      <c r="BI128" s="371"/>
      <c r="BJ128" s="497">
        <v>80</v>
      </c>
      <c r="BK128" s="498">
        <v>10</v>
      </c>
      <c r="BL128" s="485">
        <f t="shared" si="272"/>
        <v>10</v>
      </c>
      <c r="BM128" s="371"/>
      <c r="BN128" s="232" t="str">
        <f t="shared" si="273"/>
        <v/>
      </c>
      <c r="BO128" s="232" t="str">
        <f t="shared" si="274"/>
        <v/>
      </c>
      <c r="BP128" s="232">
        <f t="shared" si="275"/>
        <v>10</v>
      </c>
      <c r="BQ128" s="232" t="str">
        <f t="shared" si="296"/>
        <v/>
      </c>
      <c r="BR128" s="371"/>
      <c r="BS128" s="497">
        <v>30</v>
      </c>
      <c r="BT128" s="498">
        <v>40</v>
      </c>
      <c r="BU128" s="485">
        <f t="shared" si="276"/>
        <v>30</v>
      </c>
      <c r="BV128" s="371"/>
      <c r="BW128" s="232" t="str">
        <f t="shared" si="277"/>
        <v/>
      </c>
      <c r="BX128" s="232" t="str">
        <f t="shared" si="278"/>
        <v/>
      </c>
      <c r="BY128" s="232">
        <f t="shared" si="279"/>
        <v>30</v>
      </c>
      <c r="BZ128" s="232" t="str">
        <f t="shared" si="297"/>
        <v/>
      </c>
      <c r="CA128" s="371"/>
      <c r="CB128" s="504">
        <f t="shared" si="280"/>
        <v>50</v>
      </c>
      <c r="CC128" s="505">
        <f t="shared" si="281"/>
        <v>20</v>
      </c>
      <c r="CD128" s="506">
        <f t="shared" si="282"/>
        <v>30</v>
      </c>
      <c r="CE128" s="371"/>
      <c r="CF128" s="232" t="str">
        <f t="shared" si="283"/>
        <v/>
      </c>
      <c r="CG128" s="232" t="str">
        <f t="shared" si="284"/>
        <v/>
      </c>
      <c r="CH128" s="232">
        <f t="shared" si="285"/>
        <v>30</v>
      </c>
      <c r="CI128" s="232" t="str">
        <f t="shared" si="298"/>
        <v/>
      </c>
      <c r="CJ128" s="232"/>
      <c r="CK128" s="497">
        <v>30</v>
      </c>
      <c r="CL128" s="498">
        <v>40</v>
      </c>
      <c r="CM128" s="485">
        <f t="shared" si="286"/>
        <v>30</v>
      </c>
      <c r="CN128" s="371"/>
      <c r="CO128" s="232" t="str">
        <f t="shared" si="287"/>
        <v/>
      </c>
      <c r="CP128" s="232" t="str">
        <f t="shared" si="288"/>
        <v/>
      </c>
      <c r="CQ128" s="232">
        <f t="shared" si="289"/>
        <v>30</v>
      </c>
      <c r="CR128" s="232" t="str">
        <f t="shared" si="299"/>
        <v/>
      </c>
      <c r="CS128" s="232"/>
      <c r="CT128" s="371"/>
      <c r="CU128" s="300"/>
      <c r="CV128" s="246"/>
      <c r="CW128" s="264"/>
    </row>
    <row r="129" spans="1:101" ht="13.5" thickBot="1" x14ac:dyDescent="0.25">
      <c r="A129" s="264"/>
      <c r="B129" s="264"/>
      <c r="C129" s="202"/>
      <c r="D129" s="271">
        <v>12</v>
      </c>
      <c r="E129" s="168" t="s">
        <v>121</v>
      </c>
      <c r="F129" s="470">
        <v>1</v>
      </c>
      <c r="G129" s="476" t="s">
        <v>49</v>
      </c>
      <c r="H129" s="477">
        <v>2</v>
      </c>
      <c r="I129" s="392" t="str">
        <f t="shared" si="250"/>
        <v/>
      </c>
      <c r="J129" s="393" t="str">
        <f t="shared" si="251"/>
        <v/>
      </c>
      <c r="K129" s="394" t="str">
        <f t="shared" si="252"/>
        <v>x</v>
      </c>
      <c r="L129" s="299"/>
      <c r="M129" s="375"/>
      <c r="N129" s="379"/>
      <c r="O129" s="236"/>
      <c r="P129" s="236"/>
      <c r="Q129" s="489">
        <v>50</v>
      </c>
      <c r="R129" s="490">
        <v>30</v>
      </c>
      <c r="S129" s="491">
        <f t="shared" si="290"/>
        <v>20</v>
      </c>
      <c r="T129" s="371"/>
      <c r="U129" s="232" t="str">
        <f t="shared" si="253"/>
        <v/>
      </c>
      <c r="V129" s="232" t="str">
        <f t="shared" si="254"/>
        <v/>
      </c>
      <c r="W129" s="232">
        <f t="shared" si="255"/>
        <v>20</v>
      </c>
      <c r="X129" s="232" t="str">
        <f t="shared" si="291"/>
        <v/>
      </c>
      <c r="Y129" s="371"/>
      <c r="Z129" s="499">
        <v>80</v>
      </c>
      <c r="AA129" s="500">
        <v>10</v>
      </c>
      <c r="AB129" s="491">
        <f t="shared" si="256"/>
        <v>10</v>
      </c>
      <c r="AC129" s="371"/>
      <c r="AD129" s="232" t="str">
        <f t="shared" si="257"/>
        <v/>
      </c>
      <c r="AE129" s="232" t="str">
        <f t="shared" si="258"/>
        <v/>
      </c>
      <c r="AF129" s="232">
        <f t="shared" si="259"/>
        <v>10</v>
      </c>
      <c r="AG129" s="232" t="str">
        <f t="shared" si="292"/>
        <v/>
      </c>
      <c r="AH129" s="371"/>
      <c r="AI129" s="499">
        <v>80</v>
      </c>
      <c r="AJ129" s="500">
        <v>10</v>
      </c>
      <c r="AK129" s="491">
        <f t="shared" si="260"/>
        <v>10</v>
      </c>
      <c r="AL129" s="371"/>
      <c r="AM129" s="232" t="str">
        <f t="shared" si="261"/>
        <v/>
      </c>
      <c r="AN129" s="232" t="str">
        <f t="shared" si="262"/>
        <v/>
      </c>
      <c r="AO129" s="232">
        <f t="shared" si="263"/>
        <v>10</v>
      </c>
      <c r="AP129" s="232" t="str">
        <f t="shared" si="293"/>
        <v/>
      </c>
      <c r="AQ129" s="371"/>
      <c r="AR129" s="499">
        <v>60</v>
      </c>
      <c r="AS129" s="500">
        <v>30</v>
      </c>
      <c r="AT129" s="491">
        <f t="shared" si="264"/>
        <v>10</v>
      </c>
      <c r="AU129" s="371"/>
      <c r="AV129" s="232" t="str">
        <f t="shared" si="265"/>
        <v/>
      </c>
      <c r="AW129" s="232" t="str">
        <f t="shared" si="266"/>
        <v/>
      </c>
      <c r="AX129" s="232">
        <f t="shared" si="267"/>
        <v>10</v>
      </c>
      <c r="AY129" s="232" t="str">
        <f t="shared" si="294"/>
        <v/>
      </c>
      <c r="AZ129" s="371"/>
      <c r="BA129" s="499">
        <v>80</v>
      </c>
      <c r="BB129" s="500">
        <v>10</v>
      </c>
      <c r="BC129" s="491">
        <f t="shared" si="268"/>
        <v>10</v>
      </c>
      <c r="BD129" s="371"/>
      <c r="BE129" s="232" t="str">
        <f t="shared" si="269"/>
        <v/>
      </c>
      <c r="BF129" s="232" t="str">
        <f t="shared" si="270"/>
        <v/>
      </c>
      <c r="BG129" s="232">
        <f t="shared" si="271"/>
        <v>10</v>
      </c>
      <c r="BH129" s="232" t="str">
        <f t="shared" si="295"/>
        <v/>
      </c>
      <c r="BI129" s="371"/>
      <c r="BJ129" s="499">
        <v>80</v>
      </c>
      <c r="BK129" s="500">
        <v>10</v>
      </c>
      <c r="BL129" s="491">
        <f t="shared" si="272"/>
        <v>10</v>
      </c>
      <c r="BM129" s="371"/>
      <c r="BN129" s="232" t="str">
        <f t="shared" si="273"/>
        <v/>
      </c>
      <c r="BO129" s="232" t="str">
        <f t="shared" si="274"/>
        <v/>
      </c>
      <c r="BP129" s="232">
        <f t="shared" si="275"/>
        <v>10</v>
      </c>
      <c r="BQ129" s="232" t="str">
        <f t="shared" si="296"/>
        <v/>
      </c>
      <c r="BR129" s="371"/>
      <c r="BS129" s="499">
        <v>60</v>
      </c>
      <c r="BT129" s="500">
        <v>20</v>
      </c>
      <c r="BU129" s="491">
        <f t="shared" si="276"/>
        <v>20</v>
      </c>
      <c r="BV129" s="371"/>
      <c r="BW129" s="232" t="str">
        <f t="shared" si="277"/>
        <v/>
      </c>
      <c r="BX129" s="232" t="str">
        <f t="shared" si="278"/>
        <v/>
      </c>
      <c r="BY129" s="232">
        <f t="shared" si="279"/>
        <v>20</v>
      </c>
      <c r="BZ129" s="232" t="str">
        <f t="shared" si="297"/>
        <v/>
      </c>
      <c r="CA129" s="371"/>
      <c r="CB129" s="507">
        <f t="shared" si="280"/>
        <v>70</v>
      </c>
      <c r="CC129" s="508">
        <f t="shared" si="281"/>
        <v>10</v>
      </c>
      <c r="CD129" s="509">
        <f t="shared" si="282"/>
        <v>20</v>
      </c>
      <c r="CE129" s="371"/>
      <c r="CF129" s="232" t="str">
        <f t="shared" si="283"/>
        <v/>
      </c>
      <c r="CG129" s="232" t="str">
        <f t="shared" si="284"/>
        <v/>
      </c>
      <c r="CH129" s="232">
        <f t="shared" si="285"/>
        <v>20</v>
      </c>
      <c r="CI129" s="232" t="str">
        <f t="shared" si="298"/>
        <v/>
      </c>
      <c r="CJ129" s="232"/>
      <c r="CK129" s="499">
        <v>60</v>
      </c>
      <c r="CL129" s="500">
        <v>30</v>
      </c>
      <c r="CM129" s="491">
        <f t="shared" si="286"/>
        <v>10</v>
      </c>
      <c r="CN129" s="371"/>
      <c r="CO129" s="232" t="str">
        <f t="shared" si="287"/>
        <v/>
      </c>
      <c r="CP129" s="232" t="str">
        <f t="shared" si="288"/>
        <v/>
      </c>
      <c r="CQ129" s="232">
        <f t="shared" si="289"/>
        <v>10</v>
      </c>
      <c r="CR129" s="232" t="str">
        <f t="shared" si="299"/>
        <v/>
      </c>
      <c r="CS129" s="232"/>
      <c r="CT129" s="371"/>
      <c r="CU129" s="300"/>
      <c r="CV129" s="246"/>
      <c r="CW129" s="264"/>
    </row>
    <row r="130" spans="1:101" x14ac:dyDescent="0.2">
      <c r="A130" s="264"/>
      <c r="B130" s="264"/>
      <c r="C130" s="202"/>
      <c r="D130" s="272"/>
      <c r="E130" s="235"/>
      <c r="F130" s="395">
        <f>IF(SUM(F118:F129)=0,"",SUM(F118:F129))</f>
        <v>17</v>
      </c>
      <c r="G130" s="370" t="s">
        <v>49</v>
      </c>
      <c r="H130" s="396">
        <f>IF(SUM(H118:H129)=0,"",SUM(H118:H129))</f>
        <v>17</v>
      </c>
      <c r="I130" s="397">
        <f>IF(COUNTIF(I118:I129,"=x")=0,"",COUNTIF(I118:I129,"=x"))</f>
        <v>6</v>
      </c>
      <c r="J130" s="398">
        <f>IF(COUNTIF(J118:J129,"=x")=0,"",COUNTIF(J118:J129,"=x"))</f>
        <v>1</v>
      </c>
      <c r="K130" s="399">
        <f>IF(COUNTIF(K118:K129,"=x")=0,"",COUNTIF(K118:K129,"=x"))</f>
        <v>5</v>
      </c>
      <c r="L130" s="299"/>
      <c r="M130" s="375"/>
      <c r="N130" s="379"/>
      <c r="O130" s="236"/>
      <c r="P130" s="369"/>
      <c r="Q130" s="466">
        <f>SUM(U118:U129)</f>
        <v>380</v>
      </c>
      <c r="R130" s="466">
        <f>SUM(V118:V129)</f>
        <v>20</v>
      </c>
      <c r="S130" s="466">
        <f>SUM(W118:W129)</f>
        <v>210</v>
      </c>
      <c r="T130" s="368"/>
      <c r="U130" s="232"/>
      <c r="V130" s="232"/>
      <c r="W130" s="232"/>
      <c r="X130" s="232"/>
      <c r="Y130" s="367"/>
      <c r="Z130" s="466">
        <f>SUM(AD118:AD129)</f>
        <v>410</v>
      </c>
      <c r="AA130" s="466">
        <f>SUM(AE118:AE129)</f>
        <v>10</v>
      </c>
      <c r="AB130" s="466">
        <f>SUM(AF118:AF129)</f>
        <v>190</v>
      </c>
      <c r="AC130" s="368"/>
      <c r="AD130" s="232"/>
      <c r="AE130" s="232"/>
      <c r="AF130" s="232"/>
      <c r="AG130" s="232"/>
      <c r="AH130" s="367"/>
      <c r="AI130" s="466">
        <f>SUM(AM118:AM129)</f>
        <v>370</v>
      </c>
      <c r="AJ130" s="466">
        <f>SUM(AN118:AN129)</f>
        <v>20</v>
      </c>
      <c r="AK130" s="466">
        <f>SUM(AO118:AO129)</f>
        <v>230</v>
      </c>
      <c r="AL130" s="368"/>
      <c r="AM130" s="232"/>
      <c r="AN130" s="232"/>
      <c r="AO130" s="232"/>
      <c r="AP130" s="232"/>
      <c r="AQ130" s="367"/>
      <c r="AR130" s="466">
        <f>SUM(AV118:AV129)</f>
        <v>390</v>
      </c>
      <c r="AS130" s="466">
        <f>SUM(AW118:AW129)</f>
        <v>30</v>
      </c>
      <c r="AT130" s="466">
        <f>SUM(AX118:AX129)</f>
        <v>210</v>
      </c>
      <c r="AU130" s="368"/>
      <c r="AV130" s="232"/>
      <c r="AW130" s="232"/>
      <c r="AX130" s="232"/>
      <c r="AY130" s="232"/>
      <c r="AZ130" s="367"/>
      <c r="BA130" s="466">
        <f>SUM(BE118:BE129)</f>
        <v>410</v>
      </c>
      <c r="BB130" s="466">
        <f>SUM(BF118:BF129)</f>
        <v>10</v>
      </c>
      <c r="BC130" s="466">
        <f>SUM(BG118:BG129)</f>
        <v>260</v>
      </c>
      <c r="BD130" s="368"/>
      <c r="BE130" s="232"/>
      <c r="BF130" s="232"/>
      <c r="BG130" s="232"/>
      <c r="BH130" s="232"/>
      <c r="BI130" s="367"/>
      <c r="BJ130" s="466">
        <f>SUM(BN118:BN129)</f>
        <v>360</v>
      </c>
      <c r="BK130" s="466">
        <f>SUM(BO118:BO129)</f>
        <v>10</v>
      </c>
      <c r="BL130" s="466">
        <f>SUM(BP118:BP129)</f>
        <v>210</v>
      </c>
      <c r="BM130" s="368"/>
      <c r="BN130" s="232"/>
      <c r="BO130" s="232"/>
      <c r="BP130" s="232"/>
      <c r="BQ130" s="232"/>
      <c r="BR130" s="367"/>
      <c r="BS130" s="466">
        <f>SUM(BW118:BW129)</f>
        <v>380</v>
      </c>
      <c r="BT130" s="466">
        <f>SUM(BX118:BX129)</f>
        <v>30</v>
      </c>
      <c r="BU130" s="466">
        <f>SUM(BY118:BY129)</f>
        <v>210</v>
      </c>
      <c r="BV130" s="368"/>
      <c r="BW130" s="232"/>
      <c r="BX130" s="232"/>
      <c r="BY130" s="232"/>
      <c r="BZ130" s="232"/>
      <c r="CA130" s="369"/>
      <c r="CB130" s="466">
        <f>SUM(CF118:CF129)</f>
        <v>400</v>
      </c>
      <c r="CC130" s="466">
        <f>SUM(CG118:CG129)</f>
        <v>10</v>
      </c>
      <c r="CD130" s="466">
        <f>SUM(CH118:CH129)</f>
        <v>220</v>
      </c>
      <c r="CE130" s="368"/>
      <c r="CF130" s="232"/>
      <c r="CG130" s="232"/>
      <c r="CH130" s="232"/>
      <c r="CI130" s="232"/>
      <c r="CJ130" s="232"/>
      <c r="CK130" s="466">
        <f>SUM(CO118:CO129)</f>
        <v>390</v>
      </c>
      <c r="CL130" s="466">
        <f>SUM(CP118:CP129)</f>
        <v>20</v>
      </c>
      <c r="CM130" s="466">
        <f>SUM(CQ118:CQ129)</f>
        <v>210</v>
      </c>
      <c r="CN130" s="368"/>
      <c r="CO130" s="232"/>
      <c r="CP130" s="232"/>
      <c r="CQ130" s="232"/>
      <c r="CR130" s="232"/>
      <c r="CS130" s="232"/>
      <c r="CT130" s="232"/>
      <c r="CU130" s="300"/>
      <c r="CV130" s="246"/>
      <c r="CW130" s="265"/>
    </row>
    <row r="131" spans="1:101" ht="13.5" thickBot="1" x14ac:dyDescent="0.25">
      <c r="A131" s="264"/>
      <c r="B131" s="264"/>
      <c r="C131" s="202"/>
      <c r="D131" s="289"/>
      <c r="E131" s="282"/>
      <c r="F131" s="283"/>
      <c r="G131" s="282"/>
      <c r="H131" s="282"/>
      <c r="I131" s="282"/>
      <c r="J131" s="282"/>
      <c r="K131" s="282"/>
      <c r="L131" s="293"/>
      <c r="M131" s="301"/>
      <c r="N131" s="380"/>
      <c r="O131" s="376"/>
      <c r="P131" s="284"/>
      <c r="Q131" s="285"/>
      <c r="R131" s="285"/>
      <c r="S131" s="285"/>
      <c r="T131" s="286"/>
      <c r="U131" s="287"/>
      <c r="V131" s="287"/>
      <c r="W131" s="287"/>
      <c r="X131" s="287"/>
      <c r="Y131" s="284"/>
      <c r="Z131" s="285"/>
      <c r="AA131" s="285"/>
      <c r="AB131" s="285"/>
      <c r="AC131" s="286"/>
      <c r="AD131" s="287"/>
      <c r="AE131" s="287"/>
      <c r="AF131" s="287"/>
      <c r="AG131" s="288"/>
      <c r="AH131" s="284"/>
      <c r="AI131" s="285"/>
      <c r="AJ131" s="285"/>
      <c r="AK131" s="285"/>
      <c r="AL131" s="286"/>
      <c r="AM131" s="287"/>
      <c r="AN131" s="287"/>
      <c r="AO131" s="287"/>
      <c r="AP131" s="288"/>
      <c r="AQ131" s="284"/>
      <c r="AR131" s="285"/>
      <c r="AS131" s="285"/>
      <c r="AT131" s="285"/>
      <c r="AU131" s="286"/>
      <c r="AV131" s="287"/>
      <c r="AW131" s="287"/>
      <c r="AX131" s="287"/>
      <c r="AY131" s="288"/>
      <c r="AZ131" s="284"/>
      <c r="BA131" s="285"/>
      <c r="BB131" s="285"/>
      <c r="BC131" s="285"/>
      <c r="BD131" s="286"/>
      <c r="BE131" s="287"/>
      <c r="BF131" s="287"/>
      <c r="BG131" s="287"/>
      <c r="BH131" s="288"/>
      <c r="BI131" s="284"/>
      <c r="BJ131" s="284"/>
      <c r="BK131" s="284"/>
      <c r="BL131" s="284"/>
      <c r="BM131" s="284"/>
      <c r="BN131" s="284"/>
      <c r="BO131" s="284"/>
      <c r="BP131" s="284"/>
      <c r="BQ131" s="284"/>
      <c r="BR131" s="284"/>
      <c r="BS131" s="284"/>
      <c r="BT131" s="284"/>
      <c r="BU131" s="284"/>
      <c r="BV131" s="284"/>
      <c r="BW131" s="284"/>
      <c r="BX131" s="284"/>
      <c r="BY131" s="284"/>
      <c r="BZ131" s="284"/>
      <c r="CA131" s="284"/>
      <c r="CB131" s="284"/>
      <c r="CC131" s="284"/>
      <c r="CD131" s="284"/>
      <c r="CE131" s="284"/>
      <c r="CF131" s="284"/>
      <c r="CG131" s="284"/>
      <c r="CH131" s="284"/>
      <c r="CI131" s="284"/>
      <c r="CJ131" s="288"/>
      <c r="CK131" s="288"/>
      <c r="CL131" s="288"/>
      <c r="CM131" s="288"/>
      <c r="CN131" s="288"/>
      <c r="CO131" s="288"/>
      <c r="CP131" s="288"/>
      <c r="CQ131" s="288"/>
      <c r="CR131" s="288"/>
      <c r="CS131" s="288"/>
      <c r="CT131" s="282"/>
      <c r="CU131" s="294"/>
      <c r="CV131" s="246"/>
      <c r="CW131" s="265"/>
    </row>
    <row r="132" spans="1:101" ht="14.25" thickTop="1" thickBot="1" x14ac:dyDescent="0.25">
      <c r="A132" s="256"/>
      <c r="B132" s="256"/>
      <c r="C132" s="210"/>
      <c r="D132" s="211"/>
      <c r="E132" s="247"/>
      <c r="F132" s="248"/>
      <c r="G132" s="247"/>
      <c r="H132" s="247"/>
      <c r="I132" s="247"/>
      <c r="J132" s="247"/>
      <c r="K132" s="247"/>
      <c r="L132" s="249"/>
      <c r="M132" s="250"/>
      <c r="N132" s="250"/>
      <c r="O132" s="250"/>
      <c r="P132" s="250"/>
      <c r="Q132" s="247"/>
      <c r="R132" s="247"/>
      <c r="S132" s="247"/>
      <c r="T132" s="251"/>
      <c r="U132" s="252"/>
      <c r="V132" s="252"/>
      <c r="W132" s="252"/>
      <c r="X132" s="252"/>
      <c r="Y132" s="250"/>
      <c r="Z132" s="247"/>
      <c r="AA132" s="247"/>
      <c r="AB132" s="247"/>
      <c r="AC132" s="251"/>
      <c r="AD132" s="252"/>
      <c r="AE132" s="252"/>
      <c r="AF132" s="252"/>
      <c r="AG132" s="247"/>
      <c r="AH132" s="250"/>
      <c r="AI132" s="247"/>
      <c r="AJ132" s="247"/>
      <c r="AK132" s="247"/>
      <c r="AL132" s="251"/>
      <c r="AM132" s="252"/>
      <c r="AN132" s="252"/>
      <c r="AO132" s="252"/>
      <c r="AP132" s="253"/>
      <c r="AQ132" s="250"/>
      <c r="AR132" s="247"/>
      <c r="AS132" s="247"/>
      <c r="AT132" s="247"/>
      <c r="AU132" s="251"/>
      <c r="AV132" s="252"/>
      <c r="AW132" s="252"/>
      <c r="AX132" s="252"/>
      <c r="AY132" s="247"/>
      <c r="AZ132" s="250"/>
      <c r="BA132" s="247"/>
      <c r="BB132" s="247"/>
      <c r="BC132" s="247"/>
      <c r="BD132" s="251"/>
      <c r="BE132" s="252"/>
      <c r="BF132" s="252"/>
      <c r="BG132" s="252"/>
      <c r="BH132" s="247"/>
      <c r="BI132" s="250"/>
      <c r="BJ132" s="247"/>
      <c r="BK132" s="247"/>
      <c r="BL132" s="247"/>
      <c r="BM132" s="251"/>
      <c r="BN132" s="252"/>
      <c r="BO132" s="252"/>
      <c r="BP132" s="252"/>
      <c r="BQ132" s="247"/>
      <c r="BR132" s="212"/>
      <c r="BS132" s="247"/>
      <c r="BT132" s="247"/>
      <c r="BU132" s="247"/>
      <c r="BV132" s="250"/>
      <c r="BW132" s="252"/>
      <c r="BX132" s="252"/>
      <c r="BY132" s="252"/>
      <c r="BZ132" s="247"/>
      <c r="CA132" s="247"/>
      <c r="CB132" s="253"/>
      <c r="CC132" s="253"/>
      <c r="CD132" s="253"/>
      <c r="CE132" s="253"/>
      <c r="CF132" s="247"/>
      <c r="CG132" s="247"/>
      <c r="CH132" s="247"/>
      <c r="CI132" s="247"/>
      <c r="CJ132" s="247"/>
      <c r="CK132" s="247"/>
      <c r="CL132" s="247"/>
      <c r="CM132" s="247"/>
      <c r="CN132" s="247"/>
      <c r="CO132" s="247"/>
      <c r="CP132" s="247"/>
      <c r="CQ132" s="247"/>
      <c r="CR132" s="247"/>
      <c r="CS132" s="247"/>
      <c r="CT132" s="247"/>
      <c r="CU132" s="247"/>
      <c r="CV132" s="254"/>
      <c r="CW132" s="255"/>
    </row>
    <row r="133" spans="1:101" ht="14.25" thickTop="1" thickBot="1" x14ac:dyDescent="0.25">
      <c r="A133" s="255"/>
      <c r="B133" s="255"/>
      <c r="C133" s="255"/>
      <c r="D133" s="255"/>
      <c r="E133" s="255"/>
      <c r="F133" s="255"/>
      <c r="G133" s="255"/>
      <c r="H133" s="255"/>
      <c r="I133" s="255"/>
      <c r="J133" s="255"/>
      <c r="K133" s="255"/>
      <c r="L133" s="255"/>
      <c r="M133" s="255"/>
      <c r="N133" s="255"/>
      <c r="O133" s="255"/>
      <c r="P133" s="255"/>
      <c r="Q133" s="255"/>
      <c r="R133" s="255"/>
      <c r="S133" s="255"/>
      <c r="T133" s="255"/>
      <c r="U133" s="255"/>
      <c r="V133" s="255"/>
      <c r="W133" s="255"/>
      <c r="X133" s="255"/>
      <c r="Y133" s="255"/>
      <c r="Z133" s="255"/>
      <c r="AA133" s="255"/>
      <c r="AB133" s="255"/>
      <c r="AC133" s="255"/>
      <c r="AD133" s="255"/>
      <c r="AE133" s="255"/>
      <c r="AF133" s="255"/>
      <c r="AG133" s="255"/>
      <c r="AH133" s="255"/>
      <c r="AI133" s="255"/>
      <c r="AJ133" s="255"/>
      <c r="AK133" s="255"/>
      <c r="AL133" s="255"/>
      <c r="AM133" s="255"/>
      <c r="AN133" s="255"/>
      <c r="AO133" s="255"/>
      <c r="AP133" s="255"/>
      <c r="AQ133" s="255"/>
      <c r="AR133" s="255"/>
      <c r="AS133" s="255"/>
      <c r="AT133" s="255"/>
      <c r="AU133" s="255"/>
      <c r="AV133" s="255"/>
      <c r="AW133" s="255"/>
      <c r="AX133" s="255"/>
      <c r="AY133" s="255"/>
      <c r="AZ133" s="255"/>
      <c r="BA133" s="255"/>
      <c r="BB133" s="255"/>
      <c r="BC133" s="255"/>
      <c r="BD133" s="255"/>
      <c r="BE133" s="255"/>
      <c r="BF133" s="255"/>
      <c r="BG133" s="255"/>
      <c r="BH133" s="255"/>
      <c r="BI133" s="255"/>
      <c r="BJ133" s="255"/>
      <c r="BK133" s="255"/>
      <c r="BL133" s="255"/>
      <c r="BM133" s="255"/>
      <c r="BN133" s="255"/>
      <c r="BO133" s="255"/>
      <c r="BP133" s="255"/>
      <c r="BQ133" s="255"/>
      <c r="BR133" s="255"/>
      <c r="BS133" s="255"/>
      <c r="BT133" s="255"/>
      <c r="BU133" s="255"/>
      <c r="BV133" s="255"/>
      <c r="BW133" s="255"/>
      <c r="BX133" s="255"/>
      <c r="BY133" s="255"/>
      <c r="BZ133" s="255"/>
      <c r="CA133" s="255"/>
      <c r="CB133" s="436"/>
      <c r="CC133" s="436"/>
      <c r="CD133" s="436"/>
      <c r="CE133" s="436"/>
      <c r="CF133" s="255"/>
      <c r="CG133" s="255"/>
      <c r="CH133" s="255"/>
      <c r="CI133" s="255"/>
      <c r="CJ133" s="255"/>
      <c r="CK133" s="255"/>
      <c r="CL133" s="255"/>
      <c r="CM133" s="255"/>
      <c r="CN133" s="255"/>
      <c r="CO133" s="255"/>
      <c r="CP133" s="255"/>
      <c r="CQ133" s="255"/>
      <c r="CR133" s="255"/>
      <c r="CS133" s="255"/>
      <c r="CT133" s="255"/>
      <c r="CU133" s="255"/>
      <c r="CV133" s="255"/>
      <c r="CW133" s="255"/>
    </row>
    <row r="134" spans="1:101" ht="21" thickTop="1" x14ac:dyDescent="0.3">
      <c r="A134" s="256"/>
      <c r="B134" s="256"/>
      <c r="C134" s="190"/>
      <c r="D134" s="191"/>
      <c r="E134" s="865" t="str">
        <f>$E$2</f>
        <v>STPS 2026</v>
      </c>
      <c r="F134" s="267"/>
      <c r="G134" s="267"/>
      <c r="H134" s="267"/>
      <c r="I134" s="192"/>
      <c r="J134" s="192"/>
      <c r="K134" s="192"/>
      <c r="L134" s="193"/>
      <c r="M134" s="192"/>
      <c r="N134" s="192"/>
      <c r="O134" s="192"/>
      <c r="P134" s="194"/>
      <c r="Q134" s="192"/>
      <c r="R134" s="192"/>
      <c r="S134" s="192"/>
      <c r="T134" s="195"/>
      <c r="U134" s="196"/>
      <c r="V134" s="196"/>
      <c r="W134" s="196"/>
      <c r="X134" s="196"/>
      <c r="Y134" s="194"/>
      <c r="Z134" s="192"/>
      <c r="AA134" s="192"/>
      <c r="AB134" s="192"/>
      <c r="AC134" s="195"/>
      <c r="AD134" s="196"/>
      <c r="AE134" s="196"/>
      <c r="AF134" s="196"/>
      <c r="AG134" s="197"/>
      <c r="AH134" s="194"/>
      <c r="AI134" s="192"/>
      <c r="AJ134" s="237"/>
      <c r="AK134" s="237"/>
      <c r="AL134" s="198"/>
      <c r="AM134" s="238"/>
      <c r="AN134" s="238"/>
      <c r="AO134" s="238"/>
      <c r="AP134" s="197"/>
      <c r="AQ134" s="239"/>
      <c r="AR134" s="240"/>
      <c r="AS134" s="199"/>
      <c r="AT134" s="200"/>
      <c r="AU134" s="198"/>
      <c r="AV134" s="196"/>
      <c r="AW134" s="196"/>
      <c r="AX134" s="196"/>
      <c r="AY134" s="197"/>
      <c r="AZ134" s="239"/>
      <c r="BA134" s="240"/>
      <c r="BB134" s="200"/>
      <c r="BC134" s="237"/>
      <c r="BD134" s="241"/>
      <c r="BE134" s="196"/>
      <c r="BF134" s="196"/>
      <c r="BG134" s="196"/>
      <c r="BH134" s="197"/>
      <c r="BI134" s="242"/>
      <c r="BJ134" s="237"/>
      <c r="BK134" s="237"/>
      <c r="BL134" s="237"/>
      <c r="BM134" s="241"/>
      <c r="BN134" s="196"/>
      <c r="BO134" s="196"/>
      <c r="BP134" s="196"/>
      <c r="BQ134" s="197"/>
      <c r="BR134" s="201"/>
      <c r="BS134" s="237"/>
      <c r="BT134" s="237"/>
      <c r="BU134" s="237"/>
      <c r="BV134" s="242"/>
      <c r="BW134" s="237"/>
      <c r="BX134" s="237"/>
      <c r="BY134" s="237"/>
      <c r="BZ134" s="237"/>
      <c r="CA134" s="237"/>
      <c r="CB134" s="437"/>
      <c r="CC134" s="437"/>
      <c r="CD134" s="437"/>
      <c r="CE134" s="437"/>
      <c r="CF134" s="237"/>
      <c r="CG134" s="237"/>
      <c r="CH134" s="237"/>
      <c r="CI134" s="237"/>
      <c r="CJ134" s="197"/>
      <c r="CK134" s="197"/>
      <c r="CL134" s="197"/>
      <c r="CM134" s="197"/>
      <c r="CN134" s="197"/>
      <c r="CO134" s="197"/>
      <c r="CP134" s="197"/>
      <c r="CQ134" s="197"/>
      <c r="CR134" s="197"/>
      <c r="CS134" s="197"/>
      <c r="CT134" s="401"/>
      <c r="CU134" s="237"/>
      <c r="CV134" s="243"/>
      <c r="CW134" s="255"/>
    </row>
    <row r="135" spans="1:101" ht="13.5" thickBot="1" x14ac:dyDescent="0.25">
      <c r="A135" s="256"/>
      <c r="B135" s="256"/>
      <c r="C135" s="202"/>
      <c r="D135" s="188"/>
      <c r="E135" s="266" t="str">
        <f>E3</f>
        <v>Skorgen Tippelag</v>
      </c>
      <c r="F135" s="406"/>
      <c r="G135" s="406"/>
      <c r="H135" s="406"/>
      <c r="I135" s="406"/>
      <c r="J135" s="406"/>
      <c r="K135" s="406"/>
      <c r="L135" s="406"/>
      <c r="M135" s="406"/>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6"/>
      <c r="AQ135" s="406"/>
      <c r="AR135" s="406"/>
      <c r="AS135" s="406"/>
      <c r="AT135" s="406"/>
      <c r="AU135" s="406"/>
      <c r="AV135" s="406"/>
      <c r="AW135" s="406"/>
      <c r="AX135" s="406"/>
      <c r="AY135" s="406"/>
      <c r="AZ135" s="406"/>
      <c r="BA135" s="406"/>
      <c r="BB135" s="406"/>
      <c r="BC135" s="406"/>
      <c r="BD135" s="406"/>
      <c r="BE135" s="406"/>
      <c r="BF135" s="406"/>
      <c r="BG135" s="406"/>
      <c r="BH135" s="406"/>
      <c r="BI135" s="406"/>
      <c r="BJ135" s="406"/>
      <c r="BK135" s="406"/>
      <c r="BL135" s="406"/>
      <c r="BM135" s="406"/>
      <c r="BN135" s="406"/>
      <c r="BO135" s="406"/>
      <c r="BP135" s="406"/>
      <c r="BQ135" s="406"/>
      <c r="BR135" s="406"/>
      <c r="BS135" s="406"/>
      <c r="BT135" s="406"/>
      <c r="BU135" s="406"/>
      <c r="BV135" s="406"/>
      <c r="BW135" s="406"/>
      <c r="BX135" s="406"/>
      <c r="BY135" s="406"/>
      <c r="BZ135" s="406"/>
      <c r="CA135" s="406"/>
      <c r="CB135" s="438"/>
      <c r="CC135" s="438"/>
      <c r="CD135" s="438"/>
      <c r="CE135" s="438"/>
      <c r="CF135" s="406"/>
      <c r="CG135" s="406"/>
      <c r="CH135" s="406"/>
      <c r="CI135" s="406"/>
      <c r="CJ135" s="406"/>
      <c r="CK135" s="406"/>
      <c r="CL135" s="406"/>
      <c r="CM135" s="406"/>
      <c r="CN135" s="366"/>
      <c r="CO135" s="366"/>
      <c r="CP135" s="366"/>
      <c r="CQ135" s="366"/>
      <c r="CR135" s="366"/>
      <c r="CS135" s="366"/>
      <c r="CT135" s="187"/>
      <c r="CU135" s="310"/>
      <c r="CV135" s="246"/>
      <c r="CW135" s="255"/>
    </row>
    <row r="136" spans="1:101" ht="18.75" thickTop="1" x14ac:dyDescent="0.2">
      <c r="A136" s="256"/>
      <c r="B136" s="256"/>
      <c r="C136" s="209"/>
      <c r="D136" s="290"/>
      <c r="E136" s="273"/>
      <c r="F136" s="274"/>
      <c r="G136" s="273"/>
      <c r="H136" s="273"/>
      <c r="I136" s="803" t="s">
        <v>39</v>
      </c>
      <c r="J136" s="805"/>
      <c r="K136" s="805"/>
      <c r="L136" s="291"/>
      <c r="M136" s="302"/>
      <c r="N136" s="242"/>
      <c r="O136" s="275"/>
      <c r="P136" s="275"/>
      <c r="Q136" s="808">
        <f>IF($F140="","",SUM(Q152:S152)-S138)</f>
        <v>600</v>
      </c>
      <c r="R136" s="808"/>
      <c r="S136" s="808"/>
      <c r="T136" s="276"/>
      <c r="U136" s="277"/>
      <c r="V136" s="277"/>
      <c r="W136" s="277"/>
      <c r="X136" s="277"/>
      <c r="Y136" s="275"/>
      <c r="Z136" s="808">
        <f>IF($F140="","",SUM(Z152:AB152)-AB138)</f>
        <v>680</v>
      </c>
      <c r="AA136" s="808"/>
      <c r="AB136" s="808"/>
      <c r="AC136" s="276"/>
      <c r="AD136" s="277"/>
      <c r="AE136" s="277"/>
      <c r="AF136" s="277"/>
      <c r="AG136" s="273"/>
      <c r="AH136" s="275"/>
      <c r="AI136" s="808">
        <f>IF($F140="","",SUM(AI152:AK152)-AK138)</f>
        <v>580</v>
      </c>
      <c r="AJ136" s="808"/>
      <c r="AK136" s="808"/>
      <c r="AL136" s="276"/>
      <c r="AM136" s="277"/>
      <c r="AN136" s="277"/>
      <c r="AO136" s="277"/>
      <c r="AP136" s="273"/>
      <c r="AQ136" s="275"/>
      <c r="AR136" s="808">
        <f>IF($F140="","",SUM(AR152:AT152)-AT138)</f>
        <v>640</v>
      </c>
      <c r="AS136" s="808"/>
      <c r="AT136" s="808"/>
      <c r="AU136" s="278"/>
      <c r="AV136" s="277"/>
      <c r="AW136" s="277"/>
      <c r="AX136" s="277"/>
      <c r="AY136" s="279"/>
      <c r="AZ136" s="280"/>
      <c r="BA136" s="808">
        <f>IF($F140="","",SUM(BA152:BC152)-BC138)</f>
        <v>610</v>
      </c>
      <c r="BB136" s="808"/>
      <c r="BC136" s="808"/>
      <c r="BD136" s="278"/>
      <c r="BE136" s="277"/>
      <c r="BF136" s="277"/>
      <c r="BG136" s="277"/>
      <c r="BH136" s="279"/>
      <c r="BI136" s="280"/>
      <c r="BJ136" s="808">
        <f>IF($F140="","",SUM(BJ152:BL152)-BL138)</f>
        <v>660</v>
      </c>
      <c r="BK136" s="808"/>
      <c r="BL136" s="808"/>
      <c r="BM136" s="278"/>
      <c r="BN136" s="277"/>
      <c r="BO136" s="277"/>
      <c r="BP136" s="277"/>
      <c r="BQ136" s="279"/>
      <c r="BR136" s="281"/>
      <c r="BS136" s="808">
        <f>IF($F140="","",SUM(BS152:BU152)-BU138)</f>
        <v>580</v>
      </c>
      <c r="BT136" s="808"/>
      <c r="BU136" s="808"/>
      <c r="BV136" s="280"/>
      <c r="BW136" s="279"/>
      <c r="BX136" s="279"/>
      <c r="BY136" s="279"/>
      <c r="BZ136" s="279"/>
      <c r="CA136" s="281"/>
      <c r="CB136" s="808">
        <f>IF($F140="","",SUM(CB152:CD152)-CD138)</f>
        <v>610</v>
      </c>
      <c r="CC136" s="808"/>
      <c r="CD136" s="808"/>
      <c r="CE136" s="280"/>
      <c r="CF136" s="279"/>
      <c r="CG136" s="279"/>
      <c r="CH136" s="279"/>
      <c r="CI136" s="279"/>
      <c r="CJ136" s="273"/>
      <c r="CK136" s="808">
        <f>IF($F140="","",SUM(CK152:CM152))</f>
        <v>640</v>
      </c>
      <c r="CL136" s="808"/>
      <c r="CM136" s="808"/>
      <c r="CN136" s="280"/>
      <c r="CO136" s="279"/>
      <c r="CP136" s="279"/>
      <c r="CQ136" s="279"/>
      <c r="CR136" s="273"/>
      <c r="CS136" s="273"/>
      <c r="CT136" s="273"/>
      <c r="CU136" s="292"/>
      <c r="CV136" s="246"/>
      <c r="CW136" s="255"/>
    </row>
    <row r="137" spans="1:101" x14ac:dyDescent="0.2">
      <c r="A137" s="256"/>
      <c r="B137" s="256"/>
      <c r="C137" s="209"/>
      <c r="D137" s="916">
        <v>42</v>
      </c>
      <c r="E137" s="588">
        <f>IF(D137="","",DATE($D$4,1,1)+(D137-1)*7+(6-WEEKDAY(DATE($D$4,1,1),2)))</f>
        <v>45948</v>
      </c>
      <c r="F137" s="213"/>
      <c r="G137" s="214"/>
      <c r="H137" s="214"/>
      <c r="I137" s="804">
        <f>IF(ISERROR(AVERAGE(Q136,Z136,AI136,AR136,BA136,BJ136,BS136,CB136,CK136)),"",AVERAGE(Q136,Z136,AI136,AR136,BA136,BJ136,BS136,CB136,CK136))</f>
        <v>622.22222222222217</v>
      </c>
      <c r="J137" s="806"/>
      <c r="K137" s="806"/>
      <c r="L137" s="295"/>
      <c r="M137" s="372"/>
      <c r="N137" s="245"/>
      <c r="O137" s="215"/>
      <c r="P137" s="215"/>
      <c r="Q137" s="710">
        <f>IF(Q136="","",Q136/Data!$X$1)</f>
        <v>0.5</v>
      </c>
      <c r="R137" s="710"/>
      <c r="S137" s="711">
        <f>IF(SUM(X140:X151)=0,"",SUM(X140:X151))</f>
        <v>7</v>
      </c>
      <c r="T137" s="216"/>
      <c r="U137" s="217"/>
      <c r="V137" s="217"/>
      <c r="W137" s="217"/>
      <c r="X137" s="217"/>
      <c r="Y137" s="215"/>
      <c r="Z137" s="710">
        <f>IF(Z136="","",Z136/Data!$X$1)</f>
        <v>0.56666666666666665</v>
      </c>
      <c r="AA137" s="710"/>
      <c r="AB137" s="711">
        <f>IF(SUM(AG140:AG151)=0,"",SUM(AG140:AG151))</f>
        <v>8</v>
      </c>
      <c r="AC137" s="216"/>
      <c r="AD137" s="217"/>
      <c r="AE137" s="217"/>
      <c r="AF137" s="217"/>
      <c r="AG137" s="217"/>
      <c r="AH137" s="215"/>
      <c r="AI137" s="710">
        <f>IF(AI136="","",AI136/Data!$X$1)</f>
        <v>0.48333333333333334</v>
      </c>
      <c r="AJ137" s="710"/>
      <c r="AK137" s="711">
        <f>IF(SUM(AP140:AP151)=0,"",SUM(AP140:AP151))</f>
        <v>7</v>
      </c>
      <c r="AL137" s="216"/>
      <c r="AM137" s="217"/>
      <c r="AN137" s="217"/>
      <c r="AO137" s="217"/>
      <c r="AP137" s="217"/>
      <c r="AQ137" s="215"/>
      <c r="AR137" s="710">
        <f>IF(AR136="","",AR136/Data!$X$1)</f>
        <v>0.53333333333333333</v>
      </c>
      <c r="AS137" s="710"/>
      <c r="AT137" s="711">
        <f>IF(SUM(AY140:AY151)=0,"",SUM(AY140:AY151))</f>
        <v>7</v>
      </c>
      <c r="AU137" s="218"/>
      <c r="AV137" s="217"/>
      <c r="AW137" s="217"/>
      <c r="AX137" s="217"/>
      <c r="AY137" s="217"/>
      <c r="AZ137" s="219"/>
      <c r="BA137" s="710">
        <f>IF(BA136="","",BA136/Data!$X$1)</f>
        <v>0.5083333333333333</v>
      </c>
      <c r="BB137" s="710"/>
      <c r="BC137" s="711">
        <f>IF(SUM(BH140:BH151)=0,"",SUM(BH140:BH151))</f>
        <v>7</v>
      </c>
      <c r="BD137" s="218"/>
      <c r="BE137" s="217"/>
      <c r="BF137" s="217"/>
      <c r="BG137" s="217"/>
      <c r="BH137" s="217"/>
      <c r="BI137" s="219"/>
      <c r="BJ137" s="710">
        <f>IF(BJ136="","",BJ136/Data!$X$1)</f>
        <v>0.55000000000000004</v>
      </c>
      <c r="BK137" s="710"/>
      <c r="BL137" s="711">
        <f>IF(SUM(BQ140:BQ151)=0,"",SUM(BQ140:BQ151))</f>
        <v>8</v>
      </c>
      <c r="BM137" s="218"/>
      <c r="BN137" s="217"/>
      <c r="BO137" s="217"/>
      <c r="BP137" s="217"/>
      <c r="BQ137" s="217"/>
      <c r="BR137" s="220"/>
      <c r="BS137" s="710">
        <f>IF(BS136="","",BS136/Data!$X$1)</f>
        <v>0.48333333333333334</v>
      </c>
      <c r="BT137" s="710"/>
      <c r="BU137" s="711">
        <f>IF(SUM(BZ140:BZ151)=0,"",SUM(BZ140:BZ151))</f>
        <v>7</v>
      </c>
      <c r="BV137" s="219"/>
      <c r="BW137" s="217"/>
      <c r="BX137" s="217"/>
      <c r="BY137" s="217"/>
      <c r="BZ137" s="217"/>
      <c r="CA137" s="220"/>
      <c r="CB137" s="710">
        <f>IF(CB136="","",CB136/Data!$X$1)</f>
        <v>0.5083333333333333</v>
      </c>
      <c r="CC137" s="710"/>
      <c r="CD137" s="711">
        <f>IF(SUM(CI140:CI151)=0,"",SUM(CI140:CI151))</f>
        <v>7</v>
      </c>
      <c r="CE137" s="219"/>
      <c r="CF137" s="217"/>
      <c r="CG137" s="217"/>
      <c r="CH137" s="217"/>
      <c r="CI137" s="217"/>
      <c r="CJ137" s="217"/>
      <c r="CK137" s="710">
        <f>IF(CK136="","",CK136/Data!$X$1)</f>
        <v>0.53333333333333333</v>
      </c>
      <c r="CL137" s="710"/>
      <c r="CM137" s="711">
        <f>IF(SUM(CR140:CR151)=0,"",SUM(CR140:CR151))</f>
        <v>7</v>
      </c>
      <c r="CN137" s="219"/>
      <c r="CO137" s="217"/>
      <c r="CP137" s="217"/>
      <c r="CQ137" s="217"/>
      <c r="CR137" s="217"/>
      <c r="CS137" s="217"/>
      <c r="CT137" s="217"/>
      <c r="CU137" s="296"/>
      <c r="CV137" s="246"/>
      <c r="CW137" s="255"/>
    </row>
    <row r="138" spans="1:101" ht="13.5" thickBot="1" x14ac:dyDescent="0.25">
      <c r="A138" s="256"/>
      <c r="B138" s="256"/>
      <c r="C138" s="209"/>
      <c r="D138" s="269">
        <f>D116+1</f>
        <v>7</v>
      </c>
      <c r="E138" s="402" t="s">
        <v>61</v>
      </c>
      <c r="F138" s="221"/>
      <c r="G138" s="222"/>
      <c r="H138" s="222"/>
      <c r="I138" s="802"/>
      <c r="J138" s="807"/>
      <c r="K138" s="807"/>
      <c r="L138" s="297"/>
      <c r="M138" s="373"/>
      <c r="N138" s="377"/>
      <c r="O138" s="222"/>
      <c r="P138" s="222"/>
      <c r="Q138" s="385" t="str">
        <f>Data!$E$11</f>
        <v>AHH</v>
      </c>
      <c r="R138" s="386">
        <f>IF($F151="","",RANK(Q136,$Q136:$CL136))</f>
        <v>7</v>
      </c>
      <c r="S138" s="510"/>
      <c r="T138" s="216">
        <v>0</v>
      </c>
      <c r="U138" s="217"/>
      <c r="V138" s="217"/>
      <c r="W138" s="217"/>
      <c r="X138" s="217"/>
      <c r="Y138" s="215"/>
      <c r="Z138" s="385" t="str">
        <f>Data!$E$12</f>
        <v>RB</v>
      </c>
      <c r="AA138" s="386">
        <f>IF($F151="","",RANK(Z136,$Q136:$CL136))</f>
        <v>1</v>
      </c>
      <c r="AB138" s="510"/>
      <c r="AC138" s="216"/>
      <c r="AD138" s="217"/>
      <c r="AE138" s="217"/>
      <c r="AF138" s="217"/>
      <c r="AG138" s="217"/>
      <c r="AH138" s="215"/>
      <c r="AI138" s="385" t="str">
        <f>Data!$E$13</f>
        <v>EB</v>
      </c>
      <c r="AJ138" s="386">
        <f>IF($F151="","",RANK(AI136,$Q136:$CL136))</f>
        <v>8</v>
      </c>
      <c r="AK138" s="510"/>
      <c r="AL138" s="216"/>
      <c r="AM138" s="217"/>
      <c r="AN138" s="217"/>
      <c r="AO138" s="217"/>
      <c r="AP138" s="217"/>
      <c r="AQ138" s="215"/>
      <c r="AR138" s="346" t="str">
        <f>Data!$E$14</f>
        <v>KAF</v>
      </c>
      <c r="AS138" s="386">
        <f>IF($F151="","",RANK(AR136,$Q136:$CL136))</f>
        <v>3</v>
      </c>
      <c r="AT138" s="510"/>
      <c r="AU138" s="216"/>
      <c r="AV138" s="217"/>
      <c r="AW138" s="217"/>
      <c r="AX138" s="217"/>
      <c r="AY138" s="217"/>
      <c r="AZ138" s="215"/>
      <c r="BA138" s="346" t="str">
        <f>Data!$E$15</f>
        <v>ØG</v>
      </c>
      <c r="BB138" s="386">
        <f>IF($F151="","",RANK(BA136,$Q136:$CL136))</f>
        <v>5</v>
      </c>
      <c r="BC138" s="510"/>
      <c r="BD138" s="216"/>
      <c r="BE138" s="217"/>
      <c r="BF138" s="217"/>
      <c r="BG138" s="217"/>
      <c r="BH138" s="217"/>
      <c r="BI138" s="215"/>
      <c r="BJ138" s="346" t="str">
        <f>Data!$E$16</f>
        <v>JH</v>
      </c>
      <c r="BK138" s="386">
        <f>IF($F151="","",RANK(BJ136,$Q136:$CL136))</f>
        <v>2</v>
      </c>
      <c r="BL138" s="510"/>
      <c r="BM138" s="216"/>
      <c r="BN138" s="217"/>
      <c r="BO138" s="217"/>
      <c r="BP138" s="217"/>
      <c r="BQ138" s="217"/>
      <c r="BR138" s="223"/>
      <c r="BS138" s="346" t="str">
        <f>Data!$E$17</f>
        <v>TOH</v>
      </c>
      <c r="BT138" s="386">
        <f>IF($F151="","",RANK(BS136,$Q136:$CL136))</f>
        <v>8</v>
      </c>
      <c r="BU138" s="510"/>
      <c r="BV138" s="215"/>
      <c r="BW138" s="217"/>
      <c r="BX138" s="217"/>
      <c r="BY138" s="217"/>
      <c r="BZ138" s="217"/>
      <c r="CA138" s="223"/>
      <c r="CB138" s="346" t="s">
        <v>26</v>
      </c>
      <c r="CC138" s="386">
        <f>IF($F151="","",RANK(CB136,$Q136:$CM136))</f>
        <v>5</v>
      </c>
      <c r="CD138" s="511"/>
      <c r="CE138" s="215"/>
      <c r="CF138" s="217"/>
      <c r="CG138" s="217"/>
      <c r="CH138" s="217"/>
      <c r="CI138" s="217"/>
      <c r="CJ138" s="217"/>
      <c r="CK138" s="346" t="s">
        <v>27</v>
      </c>
      <c r="CL138" s="386">
        <f>IF($F151="","",RANK(CK136,$Q136:$CM136))</f>
        <v>3</v>
      </c>
      <c r="CM138" s="798"/>
      <c r="CN138" s="215"/>
      <c r="CO138" s="217"/>
      <c r="CP138" s="217"/>
      <c r="CQ138" s="217"/>
      <c r="CR138" s="217"/>
      <c r="CS138" s="217"/>
      <c r="CT138" s="217"/>
      <c r="CU138" s="296"/>
      <c r="CV138" s="246"/>
      <c r="CW138" s="255"/>
    </row>
    <row r="139" spans="1:101" ht="13.5" thickBot="1" x14ac:dyDescent="0.25">
      <c r="A139" s="264"/>
      <c r="B139" s="264"/>
      <c r="C139" s="202"/>
      <c r="D139" s="270"/>
      <c r="E139" s="224"/>
      <c r="F139" s="225"/>
      <c r="G139" s="226"/>
      <c r="H139" s="226"/>
      <c r="I139" s="227" t="s">
        <v>45</v>
      </c>
      <c r="J139" s="228" t="s">
        <v>46</v>
      </c>
      <c r="K139" s="229" t="s">
        <v>47</v>
      </c>
      <c r="L139" s="298"/>
      <c r="M139" s="374"/>
      <c r="N139" s="378"/>
      <c r="O139" s="230"/>
      <c r="P139" s="230"/>
      <c r="Q139" s="227" t="s">
        <v>45</v>
      </c>
      <c r="R139" s="228" t="s">
        <v>46</v>
      </c>
      <c r="S139" s="229" t="s">
        <v>47</v>
      </c>
      <c r="T139" s="231"/>
      <c r="U139" s="232"/>
      <c r="V139" s="232"/>
      <c r="W139" s="232"/>
      <c r="X139" s="232"/>
      <c r="Y139" s="230"/>
      <c r="Z139" s="227" t="s">
        <v>45</v>
      </c>
      <c r="AA139" s="228" t="s">
        <v>46</v>
      </c>
      <c r="AB139" s="229" t="s">
        <v>47</v>
      </c>
      <c r="AC139" s="231"/>
      <c r="AD139" s="232"/>
      <c r="AE139" s="232"/>
      <c r="AF139" s="232"/>
      <c r="AG139" s="232"/>
      <c r="AH139" s="230"/>
      <c r="AI139" s="227" t="s">
        <v>45</v>
      </c>
      <c r="AJ139" s="228" t="s">
        <v>46</v>
      </c>
      <c r="AK139" s="229" t="s">
        <v>47</v>
      </c>
      <c r="AL139" s="231"/>
      <c r="AM139" s="232"/>
      <c r="AN139" s="232"/>
      <c r="AO139" s="232"/>
      <c r="AP139" s="232"/>
      <c r="AQ139" s="230"/>
      <c r="AR139" s="227" t="s">
        <v>45</v>
      </c>
      <c r="AS139" s="228" t="s">
        <v>46</v>
      </c>
      <c r="AT139" s="229" t="s">
        <v>47</v>
      </c>
      <c r="AU139" s="231"/>
      <c r="AV139" s="232"/>
      <c r="AW139" s="232"/>
      <c r="AX139" s="232"/>
      <c r="AY139" s="232"/>
      <c r="AZ139" s="230"/>
      <c r="BA139" s="227" t="s">
        <v>45</v>
      </c>
      <c r="BB139" s="228" t="s">
        <v>46</v>
      </c>
      <c r="BC139" s="229" t="s">
        <v>47</v>
      </c>
      <c r="BD139" s="231"/>
      <c r="BE139" s="232"/>
      <c r="BF139" s="232"/>
      <c r="BG139" s="232"/>
      <c r="BH139" s="232"/>
      <c r="BI139" s="230"/>
      <c r="BJ139" s="227" t="s">
        <v>45</v>
      </c>
      <c r="BK139" s="228" t="s">
        <v>46</v>
      </c>
      <c r="BL139" s="229" t="s">
        <v>47</v>
      </c>
      <c r="BM139" s="231"/>
      <c r="BN139" s="232"/>
      <c r="BO139" s="232"/>
      <c r="BP139" s="232"/>
      <c r="BQ139" s="232"/>
      <c r="BR139" s="230"/>
      <c r="BS139" s="227" t="s">
        <v>45</v>
      </c>
      <c r="BT139" s="228" t="s">
        <v>46</v>
      </c>
      <c r="BU139" s="229" t="s">
        <v>47</v>
      </c>
      <c r="BV139" s="231"/>
      <c r="BW139" s="232"/>
      <c r="BX139" s="232"/>
      <c r="BY139" s="232"/>
      <c r="BZ139" s="233"/>
      <c r="CA139" s="230"/>
      <c r="CB139" s="227" t="s">
        <v>45</v>
      </c>
      <c r="CC139" s="228" t="s">
        <v>46</v>
      </c>
      <c r="CD139" s="229" t="s">
        <v>47</v>
      </c>
      <c r="CE139" s="231"/>
      <c r="CF139" s="232"/>
      <c r="CG139" s="232"/>
      <c r="CH139" s="232"/>
      <c r="CI139" s="232"/>
      <c r="CJ139" s="232"/>
      <c r="CK139" s="227" t="s">
        <v>45</v>
      </c>
      <c r="CL139" s="228" t="s">
        <v>46</v>
      </c>
      <c r="CM139" s="229" t="s">
        <v>47</v>
      </c>
      <c r="CN139" s="231"/>
      <c r="CO139" s="232"/>
      <c r="CP139" s="232"/>
      <c r="CQ139" s="232"/>
      <c r="CR139" s="232"/>
      <c r="CS139" s="232"/>
      <c r="CT139" s="234"/>
      <c r="CU139" s="296"/>
      <c r="CV139" s="246"/>
      <c r="CW139" s="265"/>
    </row>
    <row r="140" spans="1:101" x14ac:dyDescent="0.2">
      <c r="A140" s="264"/>
      <c r="B140" s="264"/>
      <c r="C140" s="202"/>
      <c r="D140" s="271">
        <v>1</v>
      </c>
      <c r="E140" s="166" t="s">
        <v>122</v>
      </c>
      <c r="F140" s="468">
        <v>4</v>
      </c>
      <c r="G140" s="472" t="s">
        <v>49</v>
      </c>
      <c r="H140" s="473">
        <v>1</v>
      </c>
      <c r="I140" s="170" t="str">
        <f t="shared" ref="I140:I151" si="300">IF($F140&gt;$H140,"x","")</f>
        <v>x</v>
      </c>
      <c r="J140" s="387" t="str">
        <f t="shared" ref="J140:J151" si="301">IF(F140&lt;&gt;"",IF(H140&lt;&gt;"",IF(F140=H140,"x",""),""),"")</f>
        <v/>
      </c>
      <c r="K140" s="388" t="str">
        <f t="shared" ref="K140:K151" si="302">IF($F140&lt;$H140,"x","")</f>
        <v/>
      </c>
      <c r="L140" s="299"/>
      <c r="M140" s="375"/>
      <c r="N140" s="379"/>
      <c r="O140" s="236"/>
      <c r="P140" s="236"/>
      <c r="Q140" s="480">
        <v>80</v>
      </c>
      <c r="R140" s="481">
        <v>10</v>
      </c>
      <c r="S140" s="482">
        <f>IF(Q140="","",100-SUM(Q140:R140))</f>
        <v>10</v>
      </c>
      <c r="T140" s="371"/>
      <c r="U140" s="232">
        <f t="shared" ref="U140:U151" si="303">IF($I140="x",Q140,"")</f>
        <v>80</v>
      </c>
      <c r="V140" s="232" t="str">
        <f t="shared" ref="V140:V151" si="304">IF($J140="x",R140,"")</f>
        <v/>
      </c>
      <c r="W140" s="232" t="str">
        <f t="shared" ref="W140:W151" si="305">IF($K140="x",S140,"")</f>
        <v/>
      </c>
      <c r="X140" s="232">
        <f>IF((MAX(U140,V140,W140))=0,"",IF((MAX(U140,V140,W140))=(MAX(Q140,R140,S140)),1,""))</f>
        <v>1</v>
      </c>
      <c r="Y140" s="371"/>
      <c r="Z140" s="495">
        <v>80</v>
      </c>
      <c r="AA140" s="496">
        <v>10</v>
      </c>
      <c r="AB140" s="482">
        <f t="shared" ref="AB140:AB151" si="306">IF(Z140="","",100-SUM(Z140:AA140))</f>
        <v>10</v>
      </c>
      <c r="AC140" s="371"/>
      <c r="AD140" s="232">
        <f t="shared" ref="AD140:AD151" si="307">IF($I140="x",Z140,"")</f>
        <v>80</v>
      </c>
      <c r="AE140" s="232" t="str">
        <f t="shared" ref="AE140:AE151" si="308">IF($J140="x",AA140,"")</f>
        <v/>
      </c>
      <c r="AF140" s="232" t="str">
        <f t="shared" ref="AF140:AF151" si="309">IF($K140="x",AB140,"")</f>
        <v/>
      </c>
      <c r="AG140" s="232">
        <f>IF((MAX(AD140,AE140,AF140))=0,"",IF((MAX(AD140,AE140,AF140))=(MAX(Z140,AA140,AB140)),1,""))</f>
        <v>1</v>
      </c>
      <c r="AH140" s="371"/>
      <c r="AI140" s="495">
        <v>80</v>
      </c>
      <c r="AJ140" s="496">
        <v>10</v>
      </c>
      <c r="AK140" s="482">
        <f t="shared" ref="AK140:AK151" si="310">IF(AI140="","",100-SUM(AI140:AJ140))</f>
        <v>10</v>
      </c>
      <c r="AL140" s="371"/>
      <c r="AM140" s="232">
        <f t="shared" ref="AM140:AM151" si="311">IF($I140="x",AI140,"")</f>
        <v>80</v>
      </c>
      <c r="AN140" s="232" t="str">
        <f t="shared" ref="AN140:AN151" si="312">IF($J140="x",AJ140,"")</f>
        <v/>
      </c>
      <c r="AO140" s="232" t="str">
        <f t="shared" ref="AO140:AO151" si="313">IF($K140="x",AK140,"")</f>
        <v/>
      </c>
      <c r="AP140" s="232">
        <f>IF((MAX(AM140,AN140,AO140))=0,"",IF((MAX(AM140,AN140,AO140))=(MAX(AI140,AJ140,AK140)),1,""))</f>
        <v>1</v>
      </c>
      <c r="AQ140" s="371"/>
      <c r="AR140" s="495">
        <v>80</v>
      </c>
      <c r="AS140" s="496">
        <v>10</v>
      </c>
      <c r="AT140" s="482">
        <f t="shared" ref="AT140:AT151" si="314">IF(AR140="","",100-SUM(AR140:AS140))</f>
        <v>10</v>
      </c>
      <c r="AU140" s="371"/>
      <c r="AV140" s="232">
        <f t="shared" ref="AV140:AV151" si="315">IF($I140="x",AR140,"")</f>
        <v>80</v>
      </c>
      <c r="AW140" s="232" t="str">
        <f t="shared" ref="AW140:AW151" si="316">IF($J140="x",AS140,"")</f>
        <v/>
      </c>
      <c r="AX140" s="232" t="str">
        <f t="shared" ref="AX140:AX151" si="317">IF($K140="x",AT140,"")</f>
        <v/>
      </c>
      <c r="AY140" s="232">
        <f>IF((MAX(AV140,AW140,AX140))=0,"",IF((MAX(AV140,AW140,AX140))=(MAX(AR140,AS140,AT140)),1,""))</f>
        <v>1</v>
      </c>
      <c r="AZ140" s="371"/>
      <c r="BA140" s="495">
        <v>80</v>
      </c>
      <c r="BB140" s="496">
        <v>10</v>
      </c>
      <c r="BC140" s="482">
        <f t="shared" ref="BC140:BC151" si="318">IF(BA140="","",100-SUM(BA140:BB140))</f>
        <v>10</v>
      </c>
      <c r="BD140" s="371"/>
      <c r="BE140" s="232">
        <f t="shared" ref="BE140:BE151" si="319">IF($I140="x",BA140,"")</f>
        <v>80</v>
      </c>
      <c r="BF140" s="232" t="str">
        <f t="shared" ref="BF140:BF151" si="320">IF($J140="x",BB140,"")</f>
        <v/>
      </c>
      <c r="BG140" s="232" t="str">
        <f t="shared" ref="BG140:BG151" si="321">IF($K140="x",BC140,"")</f>
        <v/>
      </c>
      <c r="BH140" s="232">
        <f>IF((MAX(BE140,BF140,BG140))=0,"",IF((MAX(BE140,BF140,BG140))=(MAX(BA140,BB140,BC140)),1,""))</f>
        <v>1</v>
      </c>
      <c r="BI140" s="371"/>
      <c r="BJ140" s="495">
        <v>80</v>
      </c>
      <c r="BK140" s="496">
        <v>10</v>
      </c>
      <c r="BL140" s="482">
        <f t="shared" ref="BL140:BL151" si="322">IF(BJ140="","",100-SUM(BJ140:BK140))</f>
        <v>10</v>
      </c>
      <c r="BM140" s="371"/>
      <c r="BN140" s="232">
        <f t="shared" ref="BN140:BN151" si="323">IF($I140="x",BJ140,"")</f>
        <v>80</v>
      </c>
      <c r="BO140" s="232" t="str">
        <f t="shared" ref="BO140:BO151" si="324">IF($J140="x",BK140,"")</f>
        <v/>
      </c>
      <c r="BP140" s="232" t="str">
        <f t="shared" ref="BP140:BP151" si="325">IF($K140="x",BL140,"")</f>
        <v/>
      </c>
      <c r="BQ140" s="232">
        <f>IF((MAX(BN140,BO140,BP140))=0,"",IF((MAX(BN140,BO140,BP140))=(MAX(BJ140,BK140,BL140)),1,""))</f>
        <v>1</v>
      </c>
      <c r="BR140" s="371"/>
      <c r="BS140" s="495">
        <v>80</v>
      </c>
      <c r="BT140" s="496">
        <v>10</v>
      </c>
      <c r="BU140" s="482">
        <f t="shared" ref="BU140:BU151" si="326">IF(BS140="","",100-SUM(BS140:BT140))</f>
        <v>10</v>
      </c>
      <c r="BV140" s="371"/>
      <c r="BW140" s="232">
        <f t="shared" ref="BW140:BW151" si="327">IF($I140="x",BS140,"")</f>
        <v>80</v>
      </c>
      <c r="BX140" s="232" t="str">
        <f t="shared" ref="BX140:BX151" si="328">IF($J140="x",BT140,"")</f>
        <v/>
      </c>
      <c r="BY140" s="232" t="str">
        <f t="shared" ref="BY140:BY151" si="329">IF($K140="x",BU140,"")</f>
        <v/>
      </c>
      <c r="BZ140" s="232">
        <f>IF((MAX(BW140,BX140,BY140))=0,"",IF((MAX(BW140,BX140,BY140))=(MAX(BS140,BT140,BU140)),1,""))</f>
        <v>1</v>
      </c>
      <c r="CA140" s="371"/>
      <c r="CB140" s="501">
        <f t="shared" ref="CB140:CB151" si="330">IFERROR(ROUNDUP((SUM(Q140,Z140,AI140,AR140,BA140,BJ140,BS140)/SUM($Q140:$S140,$Z140:$AB140,$AI140:$AK140,$AR140:$AT140,$BA140:$BC140,$BJ140:$BL140,$BS140:$BU140))*100,-1),"")</f>
        <v>80</v>
      </c>
      <c r="CC140" s="502">
        <f t="shared" ref="CC140:CC151" si="331">IFERROR(ROUNDDOWN((SUM(R140,AA140,AJ140,AS140,BB140,BK140,BT140)/SUM($Q140:$S140,$Z140:$AB140,$AI140:$AK140,$AR140:$AT140,$BA140:$BC140,$BJ140:$BL140,$BS140:$BU140))*100,-1),"")</f>
        <v>10</v>
      </c>
      <c r="CD140" s="503">
        <f t="shared" ref="CD140:CD151" si="332">IF(CB140="","",100-SUM(CB140:CC140))</f>
        <v>10</v>
      </c>
      <c r="CE140" s="371"/>
      <c r="CF140" s="232">
        <f t="shared" ref="CF140:CF151" si="333">IF($I140="x",CB140,"")</f>
        <v>80</v>
      </c>
      <c r="CG140" s="232" t="str">
        <f t="shared" ref="CG140:CG151" si="334">IF($J140="x",CC140,"")</f>
        <v/>
      </c>
      <c r="CH140" s="232" t="str">
        <f t="shared" ref="CH140:CH151" si="335">IF($K140="x",CD140,"")</f>
        <v/>
      </c>
      <c r="CI140" s="232">
        <f>IF((MAX(CF140,CG140,CH140))=0,"",IF((MAX(CF140,CG140,CH140))=(MAX(CB140,CC140,CD140)),1,""))</f>
        <v>1</v>
      </c>
      <c r="CJ140" s="232"/>
      <c r="CK140" s="495">
        <v>80</v>
      </c>
      <c r="CL140" s="496">
        <v>10</v>
      </c>
      <c r="CM140" s="482">
        <f t="shared" ref="CM140:CM151" si="336">IF(CK140="","",100-SUM(CK140:CL140))</f>
        <v>10</v>
      </c>
      <c r="CN140" s="371"/>
      <c r="CO140" s="232">
        <f t="shared" ref="CO140:CO151" si="337">IF($I140="x",CK140,"")</f>
        <v>80</v>
      </c>
      <c r="CP140" s="232" t="str">
        <f t="shared" ref="CP140:CP151" si="338">IF($J140="x",CL140,"")</f>
        <v/>
      </c>
      <c r="CQ140" s="232" t="str">
        <f t="shared" ref="CQ140:CQ151" si="339">IF($K140="x",CM140,"")</f>
        <v/>
      </c>
      <c r="CR140" s="232">
        <f>IF((MAX(CO140,CP140,CQ140))=0,"",IF((MAX(CO140,CP140,CQ140))=(MAX(CK140,CL140,CM140)),1,""))</f>
        <v>1</v>
      </c>
      <c r="CS140" s="232"/>
      <c r="CT140" s="371"/>
      <c r="CU140" s="296"/>
      <c r="CV140" s="246"/>
      <c r="CW140" s="264"/>
    </row>
    <row r="141" spans="1:101" x14ac:dyDescent="0.2">
      <c r="A141" s="264"/>
      <c r="B141" s="264"/>
      <c r="C141" s="202"/>
      <c r="D141" s="271">
        <v>2</v>
      </c>
      <c r="E141" s="167" t="s">
        <v>123</v>
      </c>
      <c r="F141" s="469">
        <v>2</v>
      </c>
      <c r="G141" s="474"/>
      <c r="H141" s="475">
        <v>2</v>
      </c>
      <c r="I141" s="389" t="str">
        <f t="shared" si="300"/>
        <v/>
      </c>
      <c r="J141" s="390" t="str">
        <f t="shared" si="301"/>
        <v>x</v>
      </c>
      <c r="K141" s="391" t="str">
        <f t="shared" si="302"/>
        <v/>
      </c>
      <c r="L141" s="299"/>
      <c r="M141" s="375"/>
      <c r="N141" s="379"/>
      <c r="O141" s="236"/>
      <c r="P141" s="236"/>
      <c r="Q141" s="483">
        <v>20</v>
      </c>
      <c r="R141" s="484">
        <v>30</v>
      </c>
      <c r="S141" s="485">
        <f t="shared" ref="S141:S151" si="340">IF(Q141="","",100-SUM(Q141:R141))</f>
        <v>50</v>
      </c>
      <c r="T141" s="371"/>
      <c r="U141" s="232" t="str">
        <f t="shared" si="303"/>
        <v/>
      </c>
      <c r="V141" s="232">
        <f t="shared" si="304"/>
        <v>30</v>
      </c>
      <c r="W141" s="232" t="str">
        <f t="shared" si="305"/>
        <v/>
      </c>
      <c r="X141" s="232" t="str">
        <f t="shared" ref="X141:X151" si="341">IF((MAX(U141,V141,W141))=0,"",IF((MAX(U141,V141,W141))=(MAX(Q141,R141,S141)),1,""))</f>
        <v/>
      </c>
      <c r="Y141" s="371"/>
      <c r="Z141" s="497">
        <v>10</v>
      </c>
      <c r="AA141" s="498">
        <v>10</v>
      </c>
      <c r="AB141" s="485">
        <f t="shared" si="306"/>
        <v>80</v>
      </c>
      <c r="AC141" s="371"/>
      <c r="AD141" s="232" t="str">
        <f t="shared" si="307"/>
        <v/>
      </c>
      <c r="AE141" s="232">
        <f t="shared" si="308"/>
        <v>10</v>
      </c>
      <c r="AF141" s="232" t="str">
        <f t="shared" si="309"/>
        <v/>
      </c>
      <c r="AG141" s="232" t="str">
        <f t="shared" ref="AG141:AG151" si="342">IF((MAX(AD141,AE141,AF141))=0,"",IF((MAX(AD141,AE141,AF141))=(MAX(Z141,AA141,AB141)),1,""))</f>
        <v/>
      </c>
      <c r="AH141" s="371"/>
      <c r="AI141" s="497">
        <v>20</v>
      </c>
      <c r="AJ141" s="498">
        <v>20</v>
      </c>
      <c r="AK141" s="485">
        <f t="shared" si="310"/>
        <v>60</v>
      </c>
      <c r="AL141" s="371"/>
      <c r="AM141" s="232" t="str">
        <f t="shared" si="311"/>
        <v/>
      </c>
      <c r="AN141" s="232">
        <f t="shared" si="312"/>
        <v>20</v>
      </c>
      <c r="AO141" s="232" t="str">
        <f t="shared" si="313"/>
        <v/>
      </c>
      <c r="AP141" s="232" t="str">
        <f t="shared" ref="AP141:AP151" si="343">IF((MAX(AM141,AN141,AO141))=0,"",IF((MAX(AM141,AN141,AO141))=(MAX(AI141,AJ141,AK141)),1,""))</f>
        <v/>
      </c>
      <c r="AQ141" s="371"/>
      <c r="AR141" s="497">
        <v>20</v>
      </c>
      <c r="AS141" s="498">
        <v>30</v>
      </c>
      <c r="AT141" s="485">
        <f t="shared" si="314"/>
        <v>50</v>
      </c>
      <c r="AU141" s="371"/>
      <c r="AV141" s="232" t="str">
        <f t="shared" si="315"/>
        <v/>
      </c>
      <c r="AW141" s="232">
        <f t="shared" si="316"/>
        <v>30</v>
      </c>
      <c r="AX141" s="232" t="str">
        <f t="shared" si="317"/>
        <v/>
      </c>
      <c r="AY141" s="232" t="str">
        <f t="shared" ref="AY141:AY151" si="344">IF((MAX(AV141,AW141,AX141))=0,"",IF((MAX(AV141,AW141,AX141))=(MAX(AR141,AS141,AT141)),1,""))</f>
        <v/>
      </c>
      <c r="AZ141" s="371"/>
      <c r="BA141" s="497">
        <v>80</v>
      </c>
      <c r="BB141" s="498">
        <v>10</v>
      </c>
      <c r="BC141" s="485">
        <f t="shared" si="318"/>
        <v>10</v>
      </c>
      <c r="BD141" s="371"/>
      <c r="BE141" s="232" t="str">
        <f t="shared" si="319"/>
        <v/>
      </c>
      <c r="BF141" s="232">
        <f t="shared" si="320"/>
        <v>10</v>
      </c>
      <c r="BG141" s="232" t="str">
        <f t="shared" si="321"/>
        <v/>
      </c>
      <c r="BH141" s="232" t="str">
        <f t="shared" ref="BH141:BH151" si="345">IF((MAX(BE141,BF141,BG141))=0,"",IF((MAX(BE141,BF141,BG141))=(MAX(BA141,BB141,BC141)),1,""))</f>
        <v/>
      </c>
      <c r="BI141" s="371"/>
      <c r="BJ141" s="497">
        <v>10</v>
      </c>
      <c r="BK141" s="498">
        <v>10</v>
      </c>
      <c r="BL141" s="485">
        <f t="shared" si="322"/>
        <v>80</v>
      </c>
      <c r="BM141" s="371"/>
      <c r="BN141" s="232" t="str">
        <f t="shared" si="323"/>
        <v/>
      </c>
      <c r="BO141" s="232">
        <f t="shared" si="324"/>
        <v>10</v>
      </c>
      <c r="BP141" s="232" t="str">
        <f t="shared" si="325"/>
        <v/>
      </c>
      <c r="BQ141" s="232" t="str">
        <f t="shared" ref="BQ141:BQ151" si="346">IF((MAX(BN141,BO141,BP141))=0,"",IF((MAX(BN141,BO141,BP141))=(MAX(BJ141,BK141,BL141)),1,""))</f>
        <v/>
      </c>
      <c r="BR141" s="371"/>
      <c r="BS141" s="497">
        <v>30</v>
      </c>
      <c r="BT141" s="498">
        <v>20</v>
      </c>
      <c r="BU141" s="485">
        <f t="shared" si="326"/>
        <v>50</v>
      </c>
      <c r="BV141" s="371"/>
      <c r="BW141" s="232" t="str">
        <f t="shared" si="327"/>
        <v/>
      </c>
      <c r="BX141" s="232">
        <f t="shared" si="328"/>
        <v>20</v>
      </c>
      <c r="BY141" s="232" t="str">
        <f t="shared" si="329"/>
        <v/>
      </c>
      <c r="BZ141" s="232" t="str">
        <f t="shared" ref="BZ141:BZ151" si="347">IF((MAX(BW141,BX141,BY141))=0,"",IF((MAX(BW141,BX141,BY141))=(MAX(BS141,BT141,BU141)),1,""))</f>
        <v/>
      </c>
      <c r="CA141" s="371"/>
      <c r="CB141" s="504">
        <f t="shared" si="330"/>
        <v>30</v>
      </c>
      <c r="CC141" s="505">
        <f t="shared" si="331"/>
        <v>10</v>
      </c>
      <c r="CD141" s="506">
        <f t="shared" si="332"/>
        <v>60</v>
      </c>
      <c r="CE141" s="371"/>
      <c r="CF141" s="232" t="str">
        <f t="shared" si="333"/>
        <v/>
      </c>
      <c r="CG141" s="232">
        <f t="shared" si="334"/>
        <v>10</v>
      </c>
      <c r="CH141" s="232" t="str">
        <f t="shared" si="335"/>
        <v/>
      </c>
      <c r="CI141" s="232" t="str">
        <f t="shared" ref="CI141:CI151" si="348">IF((MAX(CF141,CG141,CH141))=0,"",IF((MAX(CF141,CG141,CH141))=(MAX(CB141,CC141,CD141)),1,""))</f>
        <v/>
      </c>
      <c r="CJ141" s="232"/>
      <c r="CK141" s="497">
        <v>50</v>
      </c>
      <c r="CL141" s="498">
        <v>30</v>
      </c>
      <c r="CM141" s="485">
        <f t="shared" si="336"/>
        <v>20</v>
      </c>
      <c r="CN141" s="371"/>
      <c r="CO141" s="232" t="str">
        <f t="shared" si="337"/>
        <v/>
      </c>
      <c r="CP141" s="232">
        <f t="shared" si="338"/>
        <v>30</v>
      </c>
      <c r="CQ141" s="232" t="str">
        <f t="shared" si="339"/>
        <v/>
      </c>
      <c r="CR141" s="232" t="str">
        <f t="shared" ref="CR141:CR151" si="349">IF((MAX(CO141,CP141,CQ141))=0,"",IF((MAX(CO141,CP141,CQ141))=(MAX(CK141,CL141,CM141)),1,""))</f>
        <v/>
      </c>
      <c r="CS141" s="232"/>
      <c r="CT141" s="371"/>
      <c r="CU141" s="296"/>
      <c r="CV141" s="246"/>
      <c r="CW141" s="264"/>
    </row>
    <row r="142" spans="1:101" ht="13.5" thickBot="1" x14ac:dyDescent="0.25">
      <c r="A142" s="264"/>
      <c r="B142" s="264"/>
      <c r="C142" s="202"/>
      <c r="D142" s="271">
        <v>3</v>
      </c>
      <c r="E142" s="168" t="s">
        <v>124</v>
      </c>
      <c r="F142" s="470">
        <v>0</v>
      </c>
      <c r="G142" s="476" t="s">
        <v>49</v>
      </c>
      <c r="H142" s="477">
        <v>6</v>
      </c>
      <c r="I142" s="392" t="str">
        <f t="shared" si="300"/>
        <v/>
      </c>
      <c r="J142" s="393" t="str">
        <f t="shared" si="301"/>
        <v/>
      </c>
      <c r="K142" s="394" t="str">
        <f t="shared" si="302"/>
        <v>x</v>
      </c>
      <c r="L142" s="299"/>
      <c r="M142" s="375"/>
      <c r="N142" s="379"/>
      <c r="O142" s="236"/>
      <c r="P142" s="236"/>
      <c r="Q142" s="486">
        <v>10</v>
      </c>
      <c r="R142" s="487">
        <v>20</v>
      </c>
      <c r="S142" s="488">
        <f t="shared" si="340"/>
        <v>70</v>
      </c>
      <c r="T142" s="371"/>
      <c r="U142" s="232" t="str">
        <f t="shared" si="303"/>
        <v/>
      </c>
      <c r="V142" s="232" t="str">
        <f t="shared" si="304"/>
        <v/>
      </c>
      <c r="W142" s="232">
        <f t="shared" si="305"/>
        <v>70</v>
      </c>
      <c r="X142" s="232">
        <f t="shared" si="341"/>
        <v>1</v>
      </c>
      <c r="Y142" s="371"/>
      <c r="Z142" s="499">
        <v>10</v>
      </c>
      <c r="AA142" s="500">
        <v>10</v>
      </c>
      <c r="AB142" s="488">
        <f t="shared" si="306"/>
        <v>80</v>
      </c>
      <c r="AC142" s="371"/>
      <c r="AD142" s="232" t="str">
        <f t="shared" si="307"/>
        <v/>
      </c>
      <c r="AE142" s="232" t="str">
        <f t="shared" si="308"/>
        <v/>
      </c>
      <c r="AF142" s="232">
        <f t="shared" si="309"/>
        <v>80</v>
      </c>
      <c r="AG142" s="232">
        <f t="shared" si="342"/>
        <v>1</v>
      </c>
      <c r="AH142" s="371"/>
      <c r="AI142" s="499">
        <v>10</v>
      </c>
      <c r="AJ142" s="500">
        <v>10</v>
      </c>
      <c r="AK142" s="488">
        <f t="shared" si="310"/>
        <v>80</v>
      </c>
      <c r="AL142" s="371"/>
      <c r="AM142" s="232" t="str">
        <f t="shared" si="311"/>
        <v/>
      </c>
      <c r="AN142" s="232" t="str">
        <f t="shared" si="312"/>
        <v/>
      </c>
      <c r="AO142" s="232">
        <f t="shared" si="313"/>
        <v>80</v>
      </c>
      <c r="AP142" s="232">
        <f t="shared" si="343"/>
        <v>1</v>
      </c>
      <c r="AQ142" s="371"/>
      <c r="AR142" s="499">
        <v>10</v>
      </c>
      <c r="AS142" s="500">
        <v>30</v>
      </c>
      <c r="AT142" s="488">
        <f t="shared" si="314"/>
        <v>60</v>
      </c>
      <c r="AU142" s="371"/>
      <c r="AV142" s="232" t="str">
        <f t="shared" si="315"/>
        <v/>
      </c>
      <c r="AW142" s="232" t="str">
        <f t="shared" si="316"/>
        <v/>
      </c>
      <c r="AX142" s="232">
        <f t="shared" si="317"/>
        <v>60</v>
      </c>
      <c r="AY142" s="232">
        <f t="shared" si="344"/>
        <v>1</v>
      </c>
      <c r="AZ142" s="371"/>
      <c r="BA142" s="499">
        <v>10</v>
      </c>
      <c r="BB142" s="500">
        <v>10</v>
      </c>
      <c r="BC142" s="488">
        <f t="shared" si="318"/>
        <v>80</v>
      </c>
      <c r="BD142" s="371"/>
      <c r="BE142" s="232" t="str">
        <f t="shared" si="319"/>
        <v/>
      </c>
      <c r="BF142" s="232" t="str">
        <f t="shared" si="320"/>
        <v/>
      </c>
      <c r="BG142" s="232">
        <f t="shared" si="321"/>
        <v>80</v>
      </c>
      <c r="BH142" s="232">
        <f t="shared" si="345"/>
        <v>1</v>
      </c>
      <c r="BI142" s="371"/>
      <c r="BJ142" s="499">
        <v>10</v>
      </c>
      <c r="BK142" s="500">
        <v>10</v>
      </c>
      <c r="BL142" s="488">
        <f t="shared" si="322"/>
        <v>80</v>
      </c>
      <c r="BM142" s="371"/>
      <c r="BN142" s="232" t="str">
        <f t="shared" si="323"/>
        <v/>
      </c>
      <c r="BO142" s="232" t="str">
        <f t="shared" si="324"/>
        <v/>
      </c>
      <c r="BP142" s="232">
        <f t="shared" si="325"/>
        <v>80</v>
      </c>
      <c r="BQ142" s="232">
        <f t="shared" si="346"/>
        <v>1</v>
      </c>
      <c r="BR142" s="371"/>
      <c r="BS142" s="499">
        <v>20</v>
      </c>
      <c r="BT142" s="500">
        <v>20</v>
      </c>
      <c r="BU142" s="488">
        <f t="shared" si="326"/>
        <v>60</v>
      </c>
      <c r="BV142" s="371"/>
      <c r="BW142" s="232" t="str">
        <f t="shared" si="327"/>
        <v/>
      </c>
      <c r="BX142" s="232" t="str">
        <f t="shared" si="328"/>
        <v/>
      </c>
      <c r="BY142" s="232">
        <f t="shared" si="329"/>
        <v>60</v>
      </c>
      <c r="BZ142" s="232">
        <f t="shared" si="347"/>
        <v>1</v>
      </c>
      <c r="CA142" s="371"/>
      <c r="CB142" s="507">
        <f t="shared" si="330"/>
        <v>20</v>
      </c>
      <c r="CC142" s="508">
        <f t="shared" si="331"/>
        <v>10</v>
      </c>
      <c r="CD142" s="509">
        <f t="shared" si="332"/>
        <v>70</v>
      </c>
      <c r="CE142" s="371"/>
      <c r="CF142" s="232" t="str">
        <f t="shared" si="333"/>
        <v/>
      </c>
      <c r="CG142" s="232" t="str">
        <f t="shared" si="334"/>
        <v/>
      </c>
      <c r="CH142" s="232">
        <f t="shared" si="335"/>
        <v>70</v>
      </c>
      <c r="CI142" s="232">
        <f t="shared" si="348"/>
        <v>1</v>
      </c>
      <c r="CJ142" s="232"/>
      <c r="CK142" s="499">
        <v>10</v>
      </c>
      <c r="CL142" s="500">
        <v>20</v>
      </c>
      <c r="CM142" s="488">
        <f t="shared" si="336"/>
        <v>70</v>
      </c>
      <c r="CN142" s="371"/>
      <c r="CO142" s="232" t="str">
        <f t="shared" si="337"/>
        <v/>
      </c>
      <c r="CP142" s="232" t="str">
        <f t="shared" si="338"/>
        <v/>
      </c>
      <c r="CQ142" s="232">
        <f t="shared" si="339"/>
        <v>70</v>
      </c>
      <c r="CR142" s="232">
        <f t="shared" si="349"/>
        <v>1</v>
      </c>
      <c r="CS142" s="232"/>
      <c r="CT142" s="371"/>
      <c r="CU142" s="296"/>
      <c r="CV142" s="246"/>
      <c r="CW142" s="264"/>
    </row>
    <row r="143" spans="1:101" x14ac:dyDescent="0.2">
      <c r="A143" s="264"/>
      <c r="B143" s="264"/>
      <c r="C143" s="202"/>
      <c r="D143" s="271">
        <v>4</v>
      </c>
      <c r="E143" s="166" t="s">
        <v>125</v>
      </c>
      <c r="F143" s="468">
        <v>2</v>
      </c>
      <c r="G143" s="472" t="s">
        <v>49</v>
      </c>
      <c r="H143" s="473">
        <v>4</v>
      </c>
      <c r="I143" s="170" t="str">
        <f t="shared" si="300"/>
        <v/>
      </c>
      <c r="J143" s="387" t="str">
        <f t="shared" si="301"/>
        <v/>
      </c>
      <c r="K143" s="388" t="str">
        <f t="shared" si="302"/>
        <v>x</v>
      </c>
      <c r="L143" s="299"/>
      <c r="M143" s="375"/>
      <c r="N143" s="379"/>
      <c r="O143" s="236"/>
      <c r="P143" s="236"/>
      <c r="Q143" s="480">
        <v>10</v>
      </c>
      <c r="R143" s="481">
        <v>20</v>
      </c>
      <c r="S143" s="482">
        <f t="shared" si="340"/>
        <v>70</v>
      </c>
      <c r="T143" s="371"/>
      <c r="U143" s="232" t="str">
        <f t="shared" si="303"/>
        <v/>
      </c>
      <c r="V143" s="232" t="str">
        <f t="shared" si="304"/>
        <v/>
      </c>
      <c r="W143" s="232">
        <f t="shared" si="305"/>
        <v>70</v>
      </c>
      <c r="X143" s="232">
        <f t="shared" si="341"/>
        <v>1</v>
      </c>
      <c r="Y143" s="371"/>
      <c r="Z143" s="495">
        <v>10</v>
      </c>
      <c r="AA143" s="496">
        <v>10</v>
      </c>
      <c r="AB143" s="482">
        <f t="shared" si="306"/>
        <v>80</v>
      </c>
      <c r="AC143" s="371"/>
      <c r="AD143" s="232" t="str">
        <f t="shared" si="307"/>
        <v/>
      </c>
      <c r="AE143" s="232" t="str">
        <f t="shared" si="308"/>
        <v/>
      </c>
      <c r="AF143" s="232">
        <f t="shared" si="309"/>
        <v>80</v>
      </c>
      <c r="AG143" s="232">
        <f t="shared" si="342"/>
        <v>1</v>
      </c>
      <c r="AH143" s="371"/>
      <c r="AI143" s="495">
        <v>70</v>
      </c>
      <c r="AJ143" s="496">
        <v>20</v>
      </c>
      <c r="AK143" s="482">
        <f t="shared" si="310"/>
        <v>10</v>
      </c>
      <c r="AL143" s="371"/>
      <c r="AM143" s="232" t="str">
        <f t="shared" si="311"/>
        <v/>
      </c>
      <c r="AN143" s="232" t="str">
        <f t="shared" si="312"/>
        <v/>
      </c>
      <c r="AO143" s="232">
        <f t="shared" si="313"/>
        <v>10</v>
      </c>
      <c r="AP143" s="232" t="str">
        <f t="shared" si="343"/>
        <v/>
      </c>
      <c r="AQ143" s="371"/>
      <c r="AR143" s="495">
        <v>10</v>
      </c>
      <c r="AS143" s="496">
        <v>10</v>
      </c>
      <c r="AT143" s="482">
        <f t="shared" si="314"/>
        <v>80</v>
      </c>
      <c r="AU143" s="371"/>
      <c r="AV143" s="232" t="str">
        <f t="shared" si="315"/>
        <v/>
      </c>
      <c r="AW143" s="232" t="str">
        <f t="shared" si="316"/>
        <v/>
      </c>
      <c r="AX143" s="232">
        <f t="shared" si="317"/>
        <v>80</v>
      </c>
      <c r="AY143" s="232">
        <f t="shared" si="344"/>
        <v>1</v>
      </c>
      <c r="AZ143" s="371"/>
      <c r="BA143" s="495">
        <v>80</v>
      </c>
      <c r="BB143" s="496">
        <v>10</v>
      </c>
      <c r="BC143" s="482">
        <f t="shared" si="318"/>
        <v>10</v>
      </c>
      <c r="BD143" s="371"/>
      <c r="BE143" s="232" t="str">
        <f t="shared" si="319"/>
        <v/>
      </c>
      <c r="BF143" s="232" t="str">
        <f t="shared" si="320"/>
        <v/>
      </c>
      <c r="BG143" s="232">
        <f t="shared" si="321"/>
        <v>10</v>
      </c>
      <c r="BH143" s="232" t="str">
        <f t="shared" si="345"/>
        <v/>
      </c>
      <c r="BI143" s="371"/>
      <c r="BJ143" s="495">
        <v>10</v>
      </c>
      <c r="BK143" s="496">
        <v>10</v>
      </c>
      <c r="BL143" s="482">
        <f t="shared" si="322"/>
        <v>80</v>
      </c>
      <c r="BM143" s="371"/>
      <c r="BN143" s="232" t="str">
        <f t="shared" si="323"/>
        <v/>
      </c>
      <c r="BO143" s="232" t="str">
        <f t="shared" si="324"/>
        <v/>
      </c>
      <c r="BP143" s="232">
        <f t="shared" si="325"/>
        <v>80</v>
      </c>
      <c r="BQ143" s="232">
        <f t="shared" si="346"/>
        <v>1</v>
      </c>
      <c r="BR143" s="371"/>
      <c r="BS143" s="495">
        <v>20</v>
      </c>
      <c r="BT143" s="496">
        <v>20</v>
      </c>
      <c r="BU143" s="482">
        <f t="shared" si="326"/>
        <v>60</v>
      </c>
      <c r="BV143" s="371"/>
      <c r="BW143" s="232" t="str">
        <f t="shared" si="327"/>
        <v/>
      </c>
      <c r="BX143" s="232" t="str">
        <f t="shared" si="328"/>
        <v/>
      </c>
      <c r="BY143" s="232">
        <f t="shared" si="329"/>
        <v>60</v>
      </c>
      <c r="BZ143" s="232">
        <f t="shared" si="347"/>
        <v>1</v>
      </c>
      <c r="CA143" s="371"/>
      <c r="CB143" s="501">
        <f t="shared" si="330"/>
        <v>30</v>
      </c>
      <c r="CC143" s="502">
        <f t="shared" si="331"/>
        <v>10</v>
      </c>
      <c r="CD143" s="503">
        <f t="shared" si="332"/>
        <v>60</v>
      </c>
      <c r="CE143" s="371"/>
      <c r="CF143" s="232" t="str">
        <f t="shared" si="333"/>
        <v/>
      </c>
      <c r="CG143" s="232" t="str">
        <f t="shared" si="334"/>
        <v/>
      </c>
      <c r="CH143" s="232">
        <f t="shared" si="335"/>
        <v>60</v>
      </c>
      <c r="CI143" s="232">
        <f t="shared" si="348"/>
        <v>1</v>
      </c>
      <c r="CJ143" s="232"/>
      <c r="CK143" s="495">
        <v>10</v>
      </c>
      <c r="CL143" s="496">
        <v>20</v>
      </c>
      <c r="CM143" s="482">
        <f t="shared" si="336"/>
        <v>70</v>
      </c>
      <c r="CN143" s="371"/>
      <c r="CO143" s="232" t="str">
        <f t="shared" si="337"/>
        <v/>
      </c>
      <c r="CP143" s="232" t="str">
        <f t="shared" si="338"/>
        <v/>
      </c>
      <c r="CQ143" s="232">
        <f t="shared" si="339"/>
        <v>70</v>
      </c>
      <c r="CR143" s="232">
        <f t="shared" si="349"/>
        <v>1</v>
      </c>
      <c r="CS143" s="232"/>
      <c r="CT143" s="371"/>
      <c r="CU143" s="296"/>
      <c r="CV143" s="246"/>
      <c r="CW143" s="264"/>
    </row>
    <row r="144" spans="1:101" x14ac:dyDescent="0.2">
      <c r="A144" s="264"/>
      <c r="B144" s="264"/>
      <c r="C144" s="202"/>
      <c r="D144" s="271">
        <v>5</v>
      </c>
      <c r="E144" s="167" t="s">
        <v>126</v>
      </c>
      <c r="F144" s="469">
        <v>1</v>
      </c>
      <c r="G144" s="474" t="s">
        <v>49</v>
      </c>
      <c r="H144" s="475">
        <v>1</v>
      </c>
      <c r="I144" s="389" t="str">
        <f t="shared" si="300"/>
        <v/>
      </c>
      <c r="J144" s="390" t="str">
        <f t="shared" si="301"/>
        <v>x</v>
      </c>
      <c r="K144" s="391" t="str">
        <f t="shared" si="302"/>
        <v/>
      </c>
      <c r="L144" s="299"/>
      <c r="M144" s="375"/>
      <c r="N144" s="379"/>
      <c r="O144" s="236"/>
      <c r="P144" s="236"/>
      <c r="Q144" s="483">
        <v>50</v>
      </c>
      <c r="R144" s="484">
        <v>30</v>
      </c>
      <c r="S144" s="485">
        <f t="shared" si="340"/>
        <v>20</v>
      </c>
      <c r="T144" s="371"/>
      <c r="U144" s="232" t="str">
        <f t="shared" si="303"/>
        <v/>
      </c>
      <c r="V144" s="232">
        <f t="shared" si="304"/>
        <v>30</v>
      </c>
      <c r="W144" s="232" t="str">
        <f t="shared" si="305"/>
        <v/>
      </c>
      <c r="X144" s="232" t="str">
        <f t="shared" si="341"/>
        <v/>
      </c>
      <c r="Y144" s="371"/>
      <c r="Z144" s="497">
        <v>80</v>
      </c>
      <c r="AA144" s="498">
        <v>10</v>
      </c>
      <c r="AB144" s="485">
        <f t="shared" si="306"/>
        <v>10</v>
      </c>
      <c r="AC144" s="371"/>
      <c r="AD144" s="232" t="str">
        <f t="shared" si="307"/>
        <v/>
      </c>
      <c r="AE144" s="232">
        <f t="shared" si="308"/>
        <v>10</v>
      </c>
      <c r="AF144" s="232" t="str">
        <f t="shared" si="309"/>
        <v/>
      </c>
      <c r="AG144" s="232" t="str">
        <f t="shared" si="342"/>
        <v/>
      </c>
      <c r="AH144" s="371"/>
      <c r="AI144" s="497">
        <v>40</v>
      </c>
      <c r="AJ144" s="498">
        <v>40</v>
      </c>
      <c r="AK144" s="485">
        <f t="shared" si="310"/>
        <v>20</v>
      </c>
      <c r="AL144" s="371"/>
      <c r="AM144" s="232" t="str">
        <f t="shared" si="311"/>
        <v/>
      </c>
      <c r="AN144" s="232">
        <f t="shared" si="312"/>
        <v>40</v>
      </c>
      <c r="AO144" s="232" t="str">
        <f t="shared" si="313"/>
        <v/>
      </c>
      <c r="AP144" s="232">
        <f t="shared" si="343"/>
        <v>1</v>
      </c>
      <c r="AQ144" s="371"/>
      <c r="AR144" s="497">
        <v>50</v>
      </c>
      <c r="AS144" s="498">
        <v>40</v>
      </c>
      <c r="AT144" s="485">
        <f t="shared" si="314"/>
        <v>10</v>
      </c>
      <c r="AU144" s="371"/>
      <c r="AV144" s="232" t="str">
        <f t="shared" si="315"/>
        <v/>
      </c>
      <c r="AW144" s="232">
        <f t="shared" si="316"/>
        <v>40</v>
      </c>
      <c r="AX144" s="232" t="str">
        <f t="shared" si="317"/>
        <v/>
      </c>
      <c r="AY144" s="232" t="str">
        <f t="shared" si="344"/>
        <v/>
      </c>
      <c r="AZ144" s="371"/>
      <c r="BA144" s="497">
        <v>80</v>
      </c>
      <c r="BB144" s="498">
        <v>10</v>
      </c>
      <c r="BC144" s="485">
        <f t="shared" si="318"/>
        <v>10</v>
      </c>
      <c r="BD144" s="371"/>
      <c r="BE144" s="232" t="str">
        <f t="shared" si="319"/>
        <v/>
      </c>
      <c r="BF144" s="232">
        <f t="shared" si="320"/>
        <v>10</v>
      </c>
      <c r="BG144" s="232" t="str">
        <f t="shared" si="321"/>
        <v/>
      </c>
      <c r="BH144" s="232" t="str">
        <f t="shared" si="345"/>
        <v/>
      </c>
      <c r="BI144" s="371"/>
      <c r="BJ144" s="497">
        <v>30</v>
      </c>
      <c r="BK144" s="498">
        <v>40</v>
      </c>
      <c r="BL144" s="485">
        <f t="shared" si="322"/>
        <v>30</v>
      </c>
      <c r="BM144" s="371"/>
      <c r="BN144" s="232" t="str">
        <f t="shared" si="323"/>
        <v/>
      </c>
      <c r="BO144" s="232">
        <f t="shared" si="324"/>
        <v>40</v>
      </c>
      <c r="BP144" s="232" t="str">
        <f t="shared" si="325"/>
        <v/>
      </c>
      <c r="BQ144" s="232">
        <f t="shared" si="346"/>
        <v>1</v>
      </c>
      <c r="BR144" s="371"/>
      <c r="BS144" s="497">
        <v>50</v>
      </c>
      <c r="BT144" s="498">
        <v>30</v>
      </c>
      <c r="BU144" s="485">
        <f t="shared" si="326"/>
        <v>20</v>
      </c>
      <c r="BV144" s="371"/>
      <c r="BW144" s="232" t="str">
        <f t="shared" si="327"/>
        <v/>
      </c>
      <c r="BX144" s="232">
        <f t="shared" si="328"/>
        <v>30</v>
      </c>
      <c r="BY144" s="232" t="str">
        <f t="shared" si="329"/>
        <v/>
      </c>
      <c r="BZ144" s="232" t="str">
        <f t="shared" si="347"/>
        <v/>
      </c>
      <c r="CA144" s="371"/>
      <c r="CB144" s="504">
        <f t="shared" si="330"/>
        <v>60</v>
      </c>
      <c r="CC144" s="505">
        <f t="shared" si="331"/>
        <v>20</v>
      </c>
      <c r="CD144" s="506">
        <f t="shared" si="332"/>
        <v>20</v>
      </c>
      <c r="CE144" s="371"/>
      <c r="CF144" s="232" t="str">
        <f t="shared" si="333"/>
        <v/>
      </c>
      <c r="CG144" s="232">
        <f t="shared" si="334"/>
        <v>20</v>
      </c>
      <c r="CH144" s="232" t="str">
        <f t="shared" si="335"/>
        <v/>
      </c>
      <c r="CI144" s="232" t="str">
        <f t="shared" si="348"/>
        <v/>
      </c>
      <c r="CJ144" s="232"/>
      <c r="CK144" s="497">
        <v>50</v>
      </c>
      <c r="CL144" s="498">
        <v>30</v>
      </c>
      <c r="CM144" s="485">
        <f t="shared" si="336"/>
        <v>20</v>
      </c>
      <c r="CN144" s="371"/>
      <c r="CO144" s="232" t="str">
        <f t="shared" si="337"/>
        <v/>
      </c>
      <c r="CP144" s="232">
        <f t="shared" si="338"/>
        <v>30</v>
      </c>
      <c r="CQ144" s="232" t="str">
        <f t="shared" si="339"/>
        <v/>
      </c>
      <c r="CR144" s="232" t="str">
        <f t="shared" si="349"/>
        <v/>
      </c>
      <c r="CS144" s="232"/>
      <c r="CT144" s="371"/>
      <c r="CU144" s="296"/>
      <c r="CV144" s="246"/>
      <c r="CW144" s="264"/>
    </row>
    <row r="145" spans="1:101" ht="13.5" thickBot="1" x14ac:dyDescent="0.25">
      <c r="A145" s="264"/>
      <c r="B145" s="264"/>
      <c r="C145" s="202"/>
      <c r="D145" s="271">
        <v>6</v>
      </c>
      <c r="E145" s="168" t="s">
        <v>127</v>
      </c>
      <c r="F145" s="470">
        <v>0</v>
      </c>
      <c r="G145" s="476" t="s">
        <v>49</v>
      </c>
      <c r="H145" s="477">
        <v>0</v>
      </c>
      <c r="I145" s="392" t="str">
        <f t="shared" si="300"/>
        <v/>
      </c>
      <c r="J145" s="393" t="str">
        <f t="shared" si="301"/>
        <v>x</v>
      </c>
      <c r="K145" s="394" t="str">
        <f t="shared" si="302"/>
        <v/>
      </c>
      <c r="L145" s="299"/>
      <c r="M145" s="375"/>
      <c r="N145" s="379"/>
      <c r="O145" s="236"/>
      <c r="P145" s="236"/>
      <c r="Q145" s="489">
        <v>40</v>
      </c>
      <c r="R145" s="490">
        <v>30</v>
      </c>
      <c r="S145" s="491">
        <f t="shared" si="340"/>
        <v>30</v>
      </c>
      <c r="T145" s="371"/>
      <c r="U145" s="232" t="str">
        <f t="shared" si="303"/>
        <v/>
      </c>
      <c r="V145" s="232">
        <f t="shared" si="304"/>
        <v>30</v>
      </c>
      <c r="W145" s="232" t="str">
        <f t="shared" si="305"/>
        <v/>
      </c>
      <c r="X145" s="232" t="str">
        <f t="shared" si="341"/>
        <v/>
      </c>
      <c r="Y145" s="371"/>
      <c r="Z145" s="499">
        <v>10</v>
      </c>
      <c r="AA145" s="500">
        <v>80</v>
      </c>
      <c r="AB145" s="491">
        <f t="shared" si="306"/>
        <v>10</v>
      </c>
      <c r="AC145" s="371"/>
      <c r="AD145" s="232" t="str">
        <f t="shared" si="307"/>
        <v/>
      </c>
      <c r="AE145" s="232">
        <f t="shared" si="308"/>
        <v>80</v>
      </c>
      <c r="AF145" s="232" t="str">
        <f t="shared" si="309"/>
        <v/>
      </c>
      <c r="AG145" s="232">
        <f t="shared" si="342"/>
        <v>1</v>
      </c>
      <c r="AH145" s="371"/>
      <c r="AI145" s="499">
        <v>20</v>
      </c>
      <c r="AJ145" s="500">
        <v>30</v>
      </c>
      <c r="AK145" s="491">
        <f t="shared" si="310"/>
        <v>50</v>
      </c>
      <c r="AL145" s="371"/>
      <c r="AM145" s="232" t="str">
        <f t="shared" si="311"/>
        <v/>
      </c>
      <c r="AN145" s="232">
        <f t="shared" si="312"/>
        <v>30</v>
      </c>
      <c r="AO145" s="232" t="str">
        <f t="shared" si="313"/>
        <v/>
      </c>
      <c r="AP145" s="232" t="str">
        <f t="shared" si="343"/>
        <v/>
      </c>
      <c r="AQ145" s="371"/>
      <c r="AR145" s="499">
        <v>40</v>
      </c>
      <c r="AS145" s="500">
        <v>50</v>
      </c>
      <c r="AT145" s="491">
        <f t="shared" si="314"/>
        <v>10</v>
      </c>
      <c r="AU145" s="371"/>
      <c r="AV145" s="232" t="str">
        <f t="shared" si="315"/>
        <v/>
      </c>
      <c r="AW145" s="232">
        <f t="shared" si="316"/>
        <v>50</v>
      </c>
      <c r="AX145" s="232" t="str">
        <f t="shared" si="317"/>
        <v/>
      </c>
      <c r="AY145" s="232">
        <f t="shared" si="344"/>
        <v>1</v>
      </c>
      <c r="AZ145" s="371"/>
      <c r="BA145" s="499">
        <v>10</v>
      </c>
      <c r="BB145" s="500">
        <v>10</v>
      </c>
      <c r="BC145" s="491">
        <f t="shared" si="318"/>
        <v>80</v>
      </c>
      <c r="BD145" s="371"/>
      <c r="BE145" s="232" t="str">
        <f t="shared" si="319"/>
        <v/>
      </c>
      <c r="BF145" s="232">
        <f t="shared" si="320"/>
        <v>10</v>
      </c>
      <c r="BG145" s="232" t="str">
        <f t="shared" si="321"/>
        <v/>
      </c>
      <c r="BH145" s="232" t="str">
        <f t="shared" si="345"/>
        <v/>
      </c>
      <c r="BI145" s="371"/>
      <c r="BJ145" s="499">
        <v>20</v>
      </c>
      <c r="BK145" s="500">
        <v>30</v>
      </c>
      <c r="BL145" s="491">
        <f t="shared" si="322"/>
        <v>50</v>
      </c>
      <c r="BM145" s="371"/>
      <c r="BN145" s="232" t="str">
        <f t="shared" si="323"/>
        <v/>
      </c>
      <c r="BO145" s="232">
        <f t="shared" si="324"/>
        <v>30</v>
      </c>
      <c r="BP145" s="232" t="str">
        <f t="shared" si="325"/>
        <v/>
      </c>
      <c r="BQ145" s="232" t="str">
        <f t="shared" si="346"/>
        <v/>
      </c>
      <c r="BR145" s="371"/>
      <c r="BS145" s="499">
        <v>40</v>
      </c>
      <c r="BT145" s="500">
        <v>30</v>
      </c>
      <c r="BU145" s="491">
        <f t="shared" si="326"/>
        <v>30</v>
      </c>
      <c r="BV145" s="371"/>
      <c r="BW145" s="232" t="str">
        <f t="shared" si="327"/>
        <v/>
      </c>
      <c r="BX145" s="232">
        <f t="shared" si="328"/>
        <v>30</v>
      </c>
      <c r="BY145" s="232" t="str">
        <f t="shared" si="329"/>
        <v/>
      </c>
      <c r="BZ145" s="232" t="str">
        <f t="shared" si="347"/>
        <v/>
      </c>
      <c r="CA145" s="371"/>
      <c r="CB145" s="507">
        <f t="shared" si="330"/>
        <v>30</v>
      </c>
      <c r="CC145" s="508">
        <f t="shared" si="331"/>
        <v>30</v>
      </c>
      <c r="CD145" s="509">
        <f t="shared" si="332"/>
        <v>40</v>
      </c>
      <c r="CE145" s="371"/>
      <c r="CF145" s="232" t="str">
        <f t="shared" si="333"/>
        <v/>
      </c>
      <c r="CG145" s="232">
        <f t="shared" si="334"/>
        <v>30</v>
      </c>
      <c r="CH145" s="232" t="str">
        <f t="shared" si="335"/>
        <v/>
      </c>
      <c r="CI145" s="232" t="str">
        <f t="shared" si="348"/>
        <v/>
      </c>
      <c r="CJ145" s="232"/>
      <c r="CK145" s="499">
        <v>10</v>
      </c>
      <c r="CL145" s="500">
        <v>20</v>
      </c>
      <c r="CM145" s="491">
        <f t="shared" si="336"/>
        <v>70</v>
      </c>
      <c r="CN145" s="371"/>
      <c r="CO145" s="232" t="str">
        <f t="shared" si="337"/>
        <v/>
      </c>
      <c r="CP145" s="232">
        <f t="shared" si="338"/>
        <v>20</v>
      </c>
      <c r="CQ145" s="232" t="str">
        <f t="shared" si="339"/>
        <v/>
      </c>
      <c r="CR145" s="232" t="str">
        <f t="shared" si="349"/>
        <v/>
      </c>
      <c r="CS145" s="232"/>
      <c r="CT145" s="371"/>
      <c r="CU145" s="296"/>
      <c r="CV145" s="246"/>
      <c r="CW145" s="264"/>
    </row>
    <row r="146" spans="1:101" x14ac:dyDescent="0.2">
      <c r="A146" s="264"/>
      <c r="B146" s="264"/>
      <c r="C146" s="202"/>
      <c r="D146" s="271">
        <v>7</v>
      </c>
      <c r="E146" s="166" t="s">
        <v>128</v>
      </c>
      <c r="F146" s="468">
        <v>0</v>
      </c>
      <c r="G146" s="472" t="s">
        <v>49</v>
      </c>
      <c r="H146" s="473">
        <v>1</v>
      </c>
      <c r="I146" s="170" t="str">
        <f t="shared" si="300"/>
        <v/>
      </c>
      <c r="J146" s="387" t="str">
        <f t="shared" si="301"/>
        <v/>
      </c>
      <c r="K146" s="388" t="str">
        <f t="shared" si="302"/>
        <v>x</v>
      </c>
      <c r="L146" s="299"/>
      <c r="M146" s="375"/>
      <c r="N146" s="379"/>
      <c r="O146" s="236"/>
      <c r="P146" s="236"/>
      <c r="Q146" s="480">
        <v>10</v>
      </c>
      <c r="R146" s="481">
        <v>20</v>
      </c>
      <c r="S146" s="482">
        <f t="shared" si="340"/>
        <v>70</v>
      </c>
      <c r="T146" s="371"/>
      <c r="U146" s="232" t="str">
        <f t="shared" si="303"/>
        <v/>
      </c>
      <c r="V146" s="232" t="str">
        <f t="shared" si="304"/>
        <v/>
      </c>
      <c r="W146" s="232">
        <f t="shared" si="305"/>
        <v>70</v>
      </c>
      <c r="X146" s="232">
        <f t="shared" si="341"/>
        <v>1</v>
      </c>
      <c r="Y146" s="371"/>
      <c r="Z146" s="495">
        <v>10</v>
      </c>
      <c r="AA146" s="496">
        <v>10</v>
      </c>
      <c r="AB146" s="482">
        <f t="shared" si="306"/>
        <v>80</v>
      </c>
      <c r="AC146" s="371"/>
      <c r="AD146" s="232" t="str">
        <f t="shared" si="307"/>
        <v/>
      </c>
      <c r="AE146" s="232" t="str">
        <f t="shared" si="308"/>
        <v/>
      </c>
      <c r="AF146" s="232">
        <f t="shared" si="309"/>
        <v>80</v>
      </c>
      <c r="AG146" s="232">
        <f t="shared" si="342"/>
        <v>1</v>
      </c>
      <c r="AH146" s="371"/>
      <c r="AI146" s="495">
        <v>10</v>
      </c>
      <c r="AJ146" s="496">
        <v>10</v>
      </c>
      <c r="AK146" s="482">
        <f t="shared" si="310"/>
        <v>80</v>
      </c>
      <c r="AL146" s="371"/>
      <c r="AM146" s="232" t="str">
        <f t="shared" si="311"/>
        <v/>
      </c>
      <c r="AN146" s="232" t="str">
        <f t="shared" si="312"/>
        <v/>
      </c>
      <c r="AO146" s="232">
        <f t="shared" si="313"/>
        <v>80</v>
      </c>
      <c r="AP146" s="232">
        <f t="shared" si="343"/>
        <v>1</v>
      </c>
      <c r="AQ146" s="371"/>
      <c r="AR146" s="495">
        <v>10</v>
      </c>
      <c r="AS146" s="496">
        <v>10</v>
      </c>
      <c r="AT146" s="482">
        <f t="shared" si="314"/>
        <v>80</v>
      </c>
      <c r="AU146" s="371"/>
      <c r="AV146" s="232" t="str">
        <f t="shared" si="315"/>
        <v/>
      </c>
      <c r="AW146" s="232" t="str">
        <f t="shared" si="316"/>
        <v/>
      </c>
      <c r="AX146" s="232">
        <f t="shared" si="317"/>
        <v>80</v>
      </c>
      <c r="AY146" s="232">
        <f t="shared" si="344"/>
        <v>1</v>
      </c>
      <c r="AZ146" s="371"/>
      <c r="BA146" s="495">
        <v>10</v>
      </c>
      <c r="BB146" s="496">
        <v>10</v>
      </c>
      <c r="BC146" s="482">
        <f t="shared" si="318"/>
        <v>80</v>
      </c>
      <c r="BD146" s="371"/>
      <c r="BE146" s="232" t="str">
        <f t="shared" si="319"/>
        <v/>
      </c>
      <c r="BF146" s="232" t="str">
        <f t="shared" si="320"/>
        <v/>
      </c>
      <c r="BG146" s="232">
        <f t="shared" si="321"/>
        <v>80</v>
      </c>
      <c r="BH146" s="232">
        <f t="shared" si="345"/>
        <v>1</v>
      </c>
      <c r="BI146" s="371"/>
      <c r="BJ146" s="495">
        <v>10</v>
      </c>
      <c r="BK146" s="496">
        <v>10</v>
      </c>
      <c r="BL146" s="482">
        <f t="shared" si="322"/>
        <v>80</v>
      </c>
      <c r="BM146" s="371"/>
      <c r="BN146" s="232" t="str">
        <f t="shared" si="323"/>
        <v/>
      </c>
      <c r="BO146" s="232" t="str">
        <f t="shared" si="324"/>
        <v/>
      </c>
      <c r="BP146" s="232">
        <f t="shared" si="325"/>
        <v>80</v>
      </c>
      <c r="BQ146" s="232">
        <f t="shared" si="346"/>
        <v>1</v>
      </c>
      <c r="BR146" s="371"/>
      <c r="BS146" s="495">
        <v>10</v>
      </c>
      <c r="BT146" s="496">
        <v>10</v>
      </c>
      <c r="BU146" s="482">
        <f t="shared" si="326"/>
        <v>80</v>
      </c>
      <c r="BV146" s="371"/>
      <c r="BW146" s="232" t="str">
        <f t="shared" si="327"/>
        <v/>
      </c>
      <c r="BX146" s="232" t="str">
        <f t="shared" si="328"/>
        <v/>
      </c>
      <c r="BY146" s="232">
        <f t="shared" si="329"/>
        <v>80</v>
      </c>
      <c r="BZ146" s="232">
        <f t="shared" si="347"/>
        <v>1</v>
      </c>
      <c r="CA146" s="371"/>
      <c r="CB146" s="501">
        <f t="shared" si="330"/>
        <v>10</v>
      </c>
      <c r="CC146" s="502">
        <f t="shared" si="331"/>
        <v>10</v>
      </c>
      <c r="CD146" s="503">
        <f t="shared" si="332"/>
        <v>80</v>
      </c>
      <c r="CE146" s="371"/>
      <c r="CF146" s="232" t="str">
        <f t="shared" si="333"/>
        <v/>
      </c>
      <c r="CG146" s="232" t="str">
        <f t="shared" si="334"/>
        <v/>
      </c>
      <c r="CH146" s="232">
        <f t="shared" si="335"/>
        <v>80</v>
      </c>
      <c r="CI146" s="232">
        <f t="shared" si="348"/>
        <v>1</v>
      </c>
      <c r="CJ146" s="232"/>
      <c r="CK146" s="495">
        <v>10</v>
      </c>
      <c r="CL146" s="496">
        <v>10</v>
      </c>
      <c r="CM146" s="482">
        <f t="shared" si="336"/>
        <v>80</v>
      </c>
      <c r="CN146" s="371"/>
      <c r="CO146" s="232" t="str">
        <f t="shared" si="337"/>
        <v/>
      </c>
      <c r="CP146" s="232" t="str">
        <f t="shared" si="338"/>
        <v/>
      </c>
      <c r="CQ146" s="232">
        <f t="shared" si="339"/>
        <v>80</v>
      </c>
      <c r="CR146" s="232">
        <f t="shared" si="349"/>
        <v>1</v>
      </c>
      <c r="CS146" s="232"/>
      <c r="CT146" s="371"/>
      <c r="CU146" s="300"/>
      <c r="CV146" s="246"/>
      <c r="CW146" s="264"/>
    </row>
    <row r="147" spans="1:101" x14ac:dyDescent="0.2">
      <c r="A147" s="264"/>
      <c r="B147" s="264"/>
      <c r="C147" s="202"/>
      <c r="D147" s="271">
        <v>8</v>
      </c>
      <c r="E147" s="167" t="s">
        <v>129</v>
      </c>
      <c r="F147" s="469">
        <v>2</v>
      </c>
      <c r="G147" s="474" t="s">
        <v>49</v>
      </c>
      <c r="H147" s="475">
        <v>1</v>
      </c>
      <c r="I147" s="389" t="str">
        <f t="shared" si="300"/>
        <v>x</v>
      </c>
      <c r="J147" s="390" t="str">
        <f t="shared" si="301"/>
        <v/>
      </c>
      <c r="K147" s="391" t="str">
        <f t="shared" si="302"/>
        <v/>
      </c>
      <c r="L147" s="299"/>
      <c r="M147" s="375"/>
      <c r="N147" s="379"/>
      <c r="O147" s="236"/>
      <c r="P147" s="236"/>
      <c r="Q147" s="483">
        <v>40</v>
      </c>
      <c r="R147" s="484">
        <v>30</v>
      </c>
      <c r="S147" s="485">
        <f t="shared" si="340"/>
        <v>30</v>
      </c>
      <c r="T147" s="371"/>
      <c r="U147" s="232">
        <f t="shared" si="303"/>
        <v>40</v>
      </c>
      <c r="V147" s="232" t="str">
        <f t="shared" si="304"/>
        <v/>
      </c>
      <c r="W147" s="232" t="str">
        <f t="shared" si="305"/>
        <v/>
      </c>
      <c r="X147" s="232">
        <f t="shared" si="341"/>
        <v>1</v>
      </c>
      <c r="Y147" s="371"/>
      <c r="Z147" s="497">
        <v>80</v>
      </c>
      <c r="AA147" s="498">
        <v>10</v>
      </c>
      <c r="AB147" s="485">
        <f t="shared" si="306"/>
        <v>10</v>
      </c>
      <c r="AC147" s="371"/>
      <c r="AD147" s="232">
        <f t="shared" si="307"/>
        <v>80</v>
      </c>
      <c r="AE147" s="232" t="str">
        <f t="shared" si="308"/>
        <v/>
      </c>
      <c r="AF147" s="232" t="str">
        <f t="shared" si="309"/>
        <v/>
      </c>
      <c r="AG147" s="232">
        <f t="shared" si="342"/>
        <v>1</v>
      </c>
      <c r="AH147" s="371"/>
      <c r="AI147" s="497">
        <v>30</v>
      </c>
      <c r="AJ147" s="498">
        <v>40</v>
      </c>
      <c r="AK147" s="485">
        <f t="shared" si="310"/>
        <v>30</v>
      </c>
      <c r="AL147" s="371"/>
      <c r="AM147" s="232">
        <f t="shared" si="311"/>
        <v>30</v>
      </c>
      <c r="AN147" s="232" t="str">
        <f t="shared" si="312"/>
        <v/>
      </c>
      <c r="AO147" s="232" t="str">
        <f t="shared" si="313"/>
        <v/>
      </c>
      <c r="AP147" s="232" t="str">
        <f t="shared" si="343"/>
        <v/>
      </c>
      <c r="AQ147" s="371"/>
      <c r="AR147" s="497">
        <v>30</v>
      </c>
      <c r="AS147" s="498">
        <v>40</v>
      </c>
      <c r="AT147" s="485">
        <f t="shared" si="314"/>
        <v>30</v>
      </c>
      <c r="AU147" s="371"/>
      <c r="AV147" s="232">
        <f t="shared" si="315"/>
        <v>30</v>
      </c>
      <c r="AW147" s="232" t="str">
        <f t="shared" si="316"/>
        <v/>
      </c>
      <c r="AX147" s="232" t="str">
        <f t="shared" si="317"/>
        <v/>
      </c>
      <c r="AY147" s="232" t="str">
        <f t="shared" si="344"/>
        <v/>
      </c>
      <c r="AZ147" s="371"/>
      <c r="BA147" s="497">
        <v>80</v>
      </c>
      <c r="BB147" s="498">
        <v>10</v>
      </c>
      <c r="BC147" s="485">
        <f t="shared" si="318"/>
        <v>10</v>
      </c>
      <c r="BD147" s="371"/>
      <c r="BE147" s="232">
        <f t="shared" si="319"/>
        <v>80</v>
      </c>
      <c r="BF147" s="232" t="str">
        <f t="shared" si="320"/>
        <v/>
      </c>
      <c r="BG147" s="232" t="str">
        <f t="shared" si="321"/>
        <v/>
      </c>
      <c r="BH147" s="232">
        <f t="shared" si="345"/>
        <v>1</v>
      </c>
      <c r="BI147" s="371"/>
      <c r="BJ147" s="497">
        <v>80</v>
      </c>
      <c r="BK147" s="498">
        <v>10</v>
      </c>
      <c r="BL147" s="485">
        <f t="shared" si="322"/>
        <v>10</v>
      </c>
      <c r="BM147" s="371"/>
      <c r="BN147" s="232">
        <f t="shared" si="323"/>
        <v>80</v>
      </c>
      <c r="BO147" s="232" t="str">
        <f t="shared" si="324"/>
        <v/>
      </c>
      <c r="BP147" s="232" t="str">
        <f t="shared" si="325"/>
        <v/>
      </c>
      <c r="BQ147" s="232">
        <f t="shared" si="346"/>
        <v>1</v>
      </c>
      <c r="BR147" s="371"/>
      <c r="BS147" s="497">
        <v>40</v>
      </c>
      <c r="BT147" s="498">
        <v>30</v>
      </c>
      <c r="BU147" s="485">
        <f t="shared" si="326"/>
        <v>30</v>
      </c>
      <c r="BV147" s="371"/>
      <c r="BW147" s="232">
        <f t="shared" si="327"/>
        <v>40</v>
      </c>
      <c r="BX147" s="232" t="str">
        <f t="shared" si="328"/>
        <v/>
      </c>
      <c r="BY147" s="232" t="str">
        <f t="shared" si="329"/>
        <v/>
      </c>
      <c r="BZ147" s="232">
        <f t="shared" si="347"/>
        <v>1</v>
      </c>
      <c r="CA147" s="371"/>
      <c r="CB147" s="504">
        <f t="shared" si="330"/>
        <v>60</v>
      </c>
      <c r="CC147" s="505">
        <f t="shared" si="331"/>
        <v>20</v>
      </c>
      <c r="CD147" s="506">
        <f t="shared" si="332"/>
        <v>20</v>
      </c>
      <c r="CE147" s="371"/>
      <c r="CF147" s="232">
        <f t="shared" si="333"/>
        <v>60</v>
      </c>
      <c r="CG147" s="232" t="str">
        <f t="shared" si="334"/>
        <v/>
      </c>
      <c r="CH147" s="232" t="str">
        <f t="shared" si="335"/>
        <v/>
      </c>
      <c r="CI147" s="232">
        <f t="shared" si="348"/>
        <v>1</v>
      </c>
      <c r="CJ147" s="232"/>
      <c r="CK147" s="497">
        <v>60</v>
      </c>
      <c r="CL147" s="498">
        <v>30</v>
      </c>
      <c r="CM147" s="485">
        <f t="shared" si="336"/>
        <v>10</v>
      </c>
      <c r="CN147" s="371"/>
      <c r="CO147" s="232">
        <f t="shared" si="337"/>
        <v>60</v>
      </c>
      <c r="CP147" s="232" t="str">
        <f t="shared" si="338"/>
        <v/>
      </c>
      <c r="CQ147" s="232" t="str">
        <f t="shared" si="339"/>
        <v/>
      </c>
      <c r="CR147" s="232">
        <f t="shared" si="349"/>
        <v>1</v>
      </c>
      <c r="CS147" s="232"/>
      <c r="CT147" s="371"/>
      <c r="CU147" s="300"/>
      <c r="CV147" s="246"/>
      <c r="CW147" s="264"/>
    </row>
    <row r="148" spans="1:101" ht="13.5" thickBot="1" x14ac:dyDescent="0.25">
      <c r="A148" s="264"/>
      <c r="B148" s="264"/>
      <c r="C148" s="202"/>
      <c r="D148" s="271">
        <v>9</v>
      </c>
      <c r="E148" s="168" t="s">
        <v>130</v>
      </c>
      <c r="F148" s="470">
        <v>2</v>
      </c>
      <c r="G148" s="476" t="s">
        <v>49</v>
      </c>
      <c r="H148" s="477">
        <v>0</v>
      </c>
      <c r="I148" s="392" t="str">
        <f t="shared" si="300"/>
        <v>x</v>
      </c>
      <c r="J148" s="393" t="str">
        <f t="shared" si="301"/>
        <v/>
      </c>
      <c r="K148" s="394" t="str">
        <f t="shared" si="302"/>
        <v/>
      </c>
      <c r="L148" s="299"/>
      <c r="M148" s="375"/>
      <c r="N148" s="379"/>
      <c r="O148" s="236"/>
      <c r="P148" s="236"/>
      <c r="Q148" s="489">
        <v>20</v>
      </c>
      <c r="R148" s="490">
        <v>30</v>
      </c>
      <c r="S148" s="491">
        <f t="shared" si="340"/>
        <v>50</v>
      </c>
      <c r="T148" s="371"/>
      <c r="U148" s="232">
        <f t="shared" si="303"/>
        <v>20</v>
      </c>
      <c r="V148" s="232" t="str">
        <f t="shared" si="304"/>
        <v/>
      </c>
      <c r="W148" s="232" t="str">
        <f t="shared" si="305"/>
        <v/>
      </c>
      <c r="X148" s="232" t="str">
        <f t="shared" si="341"/>
        <v/>
      </c>
      <c r="Y148" s="371"/>
      <c r="Z148" s="499">
        <v>10</v>
      </c>
      <c r="AA148" s="500">
        <v>10</v>
      </c>
      <c r="AB148" s="491">
        <f t="shared" si="306"/>
        <v>80</v>
      </c>
      <c r="AC148" s="371"/>
      <c r="AD148" s="232">
        <f t="shared" si="307"/>
        <v>10</v>
      </c>
      <c r="AE148" s="232" t="str">
        <f t="shared" si="308"/>
        <v/>
      </c>
      <c r="AF148" s="232" t="str">
        <f t="shared" si="309"/>
        <v/>
      </c>
      <c r="AG148" s="232" t="str">
        <f t="shared" si="342"/>
        <v/>
      </c>
      <c r="AH148" s="371"/>
      <c r="AI148" s="499">
        <v>10</v>
      </c>
      <c r="AJ148" s="500">
        <v>10</v>
      </c>
      <c r="AK148" s="491">
        <f t="shared" si="310"/>
        <v>80</v>
      </c>
      <c r="AL148" s="371"/>
      <c r="AM148" s="232">
        <f t="shared" si="311"/>
        <v>10</v>
      </c>
      <c r="AN148" s="232" t="str">
        <f t="shared" si="312"/>
        <v/>
      </c>
      <c r="AO148" s="232" t="str">
        <f t="shared" si="313"/>
        <v/>
      </c>
      <c r="AP148" s="232" t="str">
        <f t="shared" si="343"/>
        <v/>
      </c>
      <c r="AQ148" s="371"/>
      <c r="AR148" s="499">
        <v>20</v>
      </c>
      <c r="AS148" s="500">
        <v>30</v>
      </c>
      <c r="AT148" s="491">
        <f t="shared" si="314"/>
        <v>50</v>
      </c>
      <c r="AU148" s="371"/>
      <c r="AV148" s="232">
        <f t="shared" si="315"/>
        <v>20</v>
      </c>
      <c r="AW148" s="232" t="str">
        <f t="shared" si="316"/>
        <v/>
      </c>
      <c r="AX148" s="232" t="str">
        <f t="shared" si="317"/>
        <v/>
      </c>
      <c r="AY148" s="232" t="str">
        <f t="shared" si="344"/>
        <v/>
      </c>
      <c r="AZ148" s="371"/>
      <c r="BA148" s="499">
        <v>80</v>
      </c>
      <c r="BB148" s="500">
        <v>10</v>
      </c>
      <c r="BC148" s="491">
        <f t="shared" si="318"/>
        <v>10</v>
      </c>
      <c r="BD148" s="371"/>
      <c r="BE148" s="232">
        <f t="shared" si="319"/>
        <v>80</v>
      </c>
      <c r="BF148" s="232" t="str">
        <f t="shared" si="320"/>
        <v/>
      </c>
      <c r="BG148" s="232" t="str">
        <f t="shared" si="321"/>
        <v/>
      </c>
      <c r="BH148" s="232">
        <f t="shared" si="345"/>
        <v>1</v>
      </c>
      <c r="BI148" s="371"/>
      <c r="BJ148" s="499">
        <v>10</v>
      </c>
      <c r="BK148" s="500">
        <v>10</v>
      </c>
      <c r="BL148" s="491">
        <f t="shared" si="322"/>
        <v>80</v>
      </c>
      <c r="BM148" s="371"/>
      <c r="BN148" s="232">
        <f t="shared" si="323"/>
        <v>10</v>
      </c>
      <c r="BO148" s="232" t="str">
        <f t="shared" si="324"/>
        <v/>
      </c>
      <c r="BP148" s="232" t="str">
        <f t="shared" si="325"/>
        <v/>
      </c>
      <c r="BQ148" s="232" t="str">
        <f t="shared" si="346"/>
        <v/>
      </c>
      <c r="BR148" s="371"/>
      <c r="BS148" s="499">
        <v>20</v>
      </c>
      <c r="BT148" s="500">
        <v>20</v>
      </c>
      <c r="BU148" s="491">
        <f t="shared" si="326"/>
        <v>60</v>
      </c>
      <c r="BV148" s="371"/>
      <c r="BW148" s="232">
        <f t="shared" si="327"/>
        <v>20</v>
      </c>
      <c r="BX148" s="232" t="str">
        <f t="shared" si="328"/>
        <v/>
      </c>
      <c r="BY148" s="232" t="str">
        <f t="shared" si="329"/>
        <v/>
      </c>
      <c r="BZ148" s="232" t="str">
        <f t="shared" si="347"/>
        <v/>
      </c>
      <c r="CA148" s="371"/>
      <c r="CB148" s="507">
        <f t="shared" si="330"/>
        <v>30</v>
      </c>
      <c r="CC148" s="508">
        <f t="shared" si="331"/>
        <v>10</v>
      </c>
      <c r="CD148" s="509">
        <f t="shared" si="332"/>
        <v>60</v>
      </c>
      <c r="CE148" s="371"/>
      <c r="CF148" s="232">
        <f t="shared" si="333"/>
        <v>30</v>
      </c>
      <c r="CG148" s="232" t="str">
        <f t="shared" si="334"/>
        <v/>
      </c>
      <c r="CH148" s="232" t="str">
        <f t="shared" si="335"/>
        <v/>
      </c>
      <c r="CI148" s="232" t="str">
        <f t="shared" si="348"/>
        <v/>
      </c>
      <c r="CJ148" s="232"/>
      <c r="CK148" s="499">
        <v>20</v>
      </c>
      <c r="CL148" s="500">
        <v>30</v>
      </c>
      <c r="CM148" s="491">
        <f t="shared" si="336"/>
        <v>50</v>
      </c>
      <c r="CN148" s="371"/>
      <c r="CO148" s="232">
        <f t="shared" si="337"/>
        <v>20</v>
      </c>
      <c r="CP148" s="232" t="str">
        <f t="shared" si="338"/>
        <v/>
      </c>
      <c r="CQ148" s="232" t="str">
        <f t="shared" si="339"/>
        <v/>
      </c>
      <c r="CR148" s="232" t="str">
        <f t="shared" si="349"/>
        <v/>
      </c>
      <c r="CS148" s="232"/>
      <c r="CT148" s="371"/>
      <c r="CU148" s="300"/>
      <c r="CV148" s="246"/>
      <c r="CW148" s="264"/>
    </row>
    <row r="149" spans="1:101" x14ac:dyDescent="0.2">
      <c r="A149" s="264"/>
      <c r="B149" s="264"/>
      <c r="C149" s="202"/>
      <c r="D149" s="271">
        <v>10</v>
      </c>
      <c r="E149" s="169" t="s">
        <v>131</v>
      </c>
      <c r="F149" s="471">
        <v>3</v>
      </c>
      <c r="G149" s="478" t="s">
        <v>49</v>
      </c>
      <c r="H149" s="479">
        <v>3</v>
      </c>
      <c r="I149" s="170" t="str">
        <f t="shared" si="300"/>
        <v/>
      </c>
      <c r="J149" s="387" t="str">
        <f t="shared" si="301"/>
        <v>x</v>
      </c>
      <c r="K149" s="388" t="str">
        <f t="shared" si="302"/>
        <v/>
      </c>
      <c r="L149" s="299"/>
      <c r="M149" s="375"/>
      <c r="N149" s="379"/>
      <c r="O149" s="236"/>
      <c r="P149" s="236"/>
      <c r="Q149" s="492">
        <v>50</v>
      </c>
      <c r="R149" s="493">
        <v>30</v>
      </c>
      <c r="S149" s="494">
        <f t="shared" si="340"/>
        <v>20</v>
      </c>
      <c r="T149" s="371"/>
      <c r="U149" s="232" t="str">
        <f t="shared" si="303"/>
        <v/>
      </c>
      <c r="V149" s="232">
        <f t="shared" si="304"/>
        <v>30</v>
      </c>
      <c r="W149" s="232" t="str">
        <f t="shared" si="305"/>
        <v/>
      </c>
      <c r="X149" s="232" t="str">
        <f t="shared" si="341"/>
        <v/>
      </c>
      <c r="Y149" s="371"/>
      <c r="Z149" s="495">
        <v>80</v>
      </c>
      <c r="AA149" s="496">
        <v>10</v>
      </c>
      <c r="AB149" s="494">
        <f t="shared" si="306"/>
        <v>10</v>
      </c>
      <c r="AC149" s="371"/>
      <c r="AD149" s="232" t="str">
        <f t="shared" si="307"/>
        <v/>
      </c>
      <c r="AE149" s="232">
        <f t="shared" si="308"/>
        <v>10</v>
      </c>
      <c r="AF149" s="232" t="str">
        <f t="shared" si="309"/>
        <v/>
      </c>
      <c r="AG149" s="232" t="str">
        <f t="shared" si="342"/>
        <v/>
      </c>
      <c r="AH149" s="371"/>
      <c r="AI149" s="495">
        <v>40</v>
      </c>
      <c r="AJ149" s="496">
        <v>40</v>
      </c>
      <c r="AK149" s="494">
        <f t="shared" si="310"/>
        <v>20</v>
      </c>
      <c r="AL149" s="371"/>
      <c r="AM149" s="232" t="str">
        <f t="shared" si="311"/>
        <v/>
      </c>
      <c r="AN149" s="232">
        <f t="shared" si="312"/>
        <v>40</v>
      </c>
      <c r="AO149" s="232" t="str">
        <f t="shared" si="313"/>
        <v/>
      </c>
      <c r="AP149" s="232">
        <f t="shared" si="343"/>
        <v>1</v>
      </c>
      <c r="AQ149" s="371"/>
      <c r="AR149" s="495">
        <v>50</v>
      </c>
      <c r="AS149" s="496">
        <v>30</v>
      </c>
      <c r="AT149" s="494">
        <f t="shared" si="314"/>
        <v>20</v>
      </c>
      <c r="AU149" s="371"/>
      <c r="AV149" s="232" t="str">
        <f t="shared" si="315"/>
        <v/>
      </c>
      <c r="AW149" s="232">
        <f t="shared" si="316"/>
        <v>30</v>
      </c>
      <c r="AX149" s="232" t="str">
        <f t="shared" si="317"/>
        <v/>
      </c>
      <c r="AY149" s="232" t="str">
        <f t="shared" si="344"/>
        <v/>
      </c>
      <c r="AZ149" s="371"/>
      <c r="BA149" s="495">
        <v>10</v>
      </c>
      <c r="BB149" s="496">
        <v>10</v>
      </c>
      <c r="BC149" s="494">
        <f t="shared" si="318"/>
        <v>80</v>
      </c>
      <c r="BD149" s="371"/>
      <c r="BE149" s="232" t="str">
        <f t="shared" si="319"/>
        <v/>
      </c>
      <c r="BF149" s="232">
        <f t="shared" si="320"/>
        <v>10</v>
      </c>
      <c r="BG149" s="232" t="str">
        <f t="shared" si="321"/>
        <v/>
      </c>
      <c r="BH149" s="232" t="str">
        <f t="shared" si="345"/>
        <v/>
      </c>
      <c r="BI149" s="371"/>
      <c r="BJ149" s="495">
        <v>80</v>
      </c>
      <c r="BK149" s="496">
        <v>10</v>
      </c>
      <c r="BL149" s="494">
        <f t="shared" si="322"/>
        <v>10</v>
      </c>
      <c r="BM149" s="371"/>
      <c r="BN149" s="232" t="str">
        <f t="shared" si="323"/>
        <v/>
      </c>
      <c r="BO149" s="232">
        <f t="shared" si="324"/>
        <v>10</v>
      </c>
      <c r="BP149" s="232" t="str">
        <f t="shared" si="325"/>
        <v/>
      </c>
      <c r="BQ149" s="232" t="str">
        <f t="shared" si="346"/>
        <v/>
      </c>
      <c r="BR149" s="371"/>
      <c r="BS149" s="495">
        <v>50</v>
      </c>
      <c r="BT149" s="496">
        <v>20</v>
      </c>
      <c r="BU149" s="494">
        <f t="shared" si="326"/>
        <v>30</v>
      </c>
      <c r="BV149" s="371"/>
      <c r="BW149" s="232" t="str">
        <f t="shared" si="327"/>
        <v/>
      </c>
      <c r="BX149" s="232">
        <f t="shared" si="328"/>
        <v>20</v>
      </c>
      <c r="BY149" s="232" t="str">
        <f t="shared" si="329"/>
        <v/>
      </c>
      <c r="BZ149" s="232" t="str">
        <f t="shared" si="347"/>
        <v/>
      </c>
      <c r="CA149" s="371"/>
      <c r="CB149" s="501">
        <f t="shared" si="330"/>
        <v>60</v>
      </c>
      <c r="CC149" s="502">
        <f t="shared" si="331"/>
        <v>20</v>
      </c>
      <c r="CD149" s="503">
        <f t="shared" si="332"/>
        <v>20</v>
      </c>
      <c r="CE149" s="371"/>
      <c r="CF149" s="232" t="str">
        <f t="shared" si="333"/>
        <v/>
      </c>
      <c r="CG149" s="232">
        <f t="shared" si="334"/>
        <v>20</v>
      </c>
      <c r="CH149" s="232" t="str">
        <f t="shared" si="335"/>
        <v/>
      </c>
      <c r="CI149" s="232" t="str">
        <f t="shared" si="348"/>
        <v/>
      </c>
      <c r="CJ149" s="232"/>
      <c r="CK149" s="495">
        <v>50</v>
      </c>
      <c r="CL149" s="496">
        <v>30</v>
      </c>
      <c r="CM149" s="494">
        <f t="shared" si="336"/>
        <v>20</v>
      </c>
      <c r="CN149" s="371"/>
      <c r="CO149" s="232" t="str">
        <f t="shared" si="337"/>
        <v/>
      </c>
      <c r="CP149" s="232">
        <f t="shared" si="338"/>
        <v>30</v>
      </c>
      <c r="CQ149" s="232" t="str">
        <f t="shared" si="339"/>
        <v/>
      </c>
      <c r="CR149" s="232" t="str">
        <f t="shared" si="349"/>
        <v/>
      </c>
      <c r="CS149" s="232"/>
      <c r="CT149" s="371"/>
      <c r="CU149" s="300"/>
      <c r="CV149" s="246"/>
      <c r="CW149" s="264"/>
    </row>
    <row r="150" spans="1:101" x14ac:dyDescent="0.2">
      <c r="A150" s="264"/>
      <c r="B150" s="264"/>
      <c r="C150" s="202"/>
      <c r="D150" s="271">
        <v>11</v>
      </c>
      <c r="E150" s="167" t="s">
        <v>132</v>
      </c>
      <c r="F150" s="469">
        <v>2</v>
      </c>
      <c r="G150" s="474" t="s">
        <v>49</v>
      </c>
      <c r="H150" s="475">
        <v>0</v>
      </c>
      <c r="I150" s="389" t="str">
        <f t="shared" si="300"/>
        <v>x</v>
      </c>
      <c r="J150" s="390" t="str">
        <f t="shared" si="301"/>
        <v/>
      </c>
      <c r="K150" s="391" t="str">
        <f t="shared" si="302"/>
        <v/>
      </c>
      <c r="L150" s="299"/>
      <c r="M150" s="375"/>
      <c r="N150" s="379"/>
      <c r="O150" s="236"/>
      <c r="P150" s="236"/>
      <c r="Q150" s="483">
        <v>80</v>
      </c>
      <c r="R150" s="484">
        <v>10</v>
      </c>
      <c r="S150" s="485">
        <f t="shared" si="340"/>
        <v>10</v>
      </c>
      <c r="T150" s="371"/>
      <c r="U150" s="232">
        <f t="shared" si="303"/>
        <v>80</v>
      </c>
      <c r="V150" s="232" t="str">
        <f t="shared" si="304"/>
        <v/>
      </c>
      <c r="W150" s="232" t="str">
        <f t="shared" si="305"/>
        <v/>
      </c>
      <c r="X150" s="232">
        <f t="shared" si="341"/>
        <v>1</v>
      </c>
      <c r="Y150" s="371"/>
      <c r="Z150" s="497">
        <v>80</v>
      </c>
      <c r="AA150" s="498">
        <v>10</v>
      </c>
      <c r="AB150" s="485">
        <f t="shared" si="306"/>
        <v>10</v>
      </c>
      <c r="AC150" s="371"/>
      <c r="AD150" s="232">
        <f t="shared" si="307"/>
        <v>80</v>
      </c>
      <c r="AE150" s="232" t="str">
        <f t="shared" si="308"/>
        <v/>
      </c>
      <c r="AF150" s="232" t="str">
        <f t="shared" si="309"/>
        <v/>
      </c>
      <c r="AG150" s="232">
        <f t="shared" si="342"/>
        <v>1</v>
      </c>
      <c r="AH150" s="371"/>
      <c r="AI150" s="497">
        <v>80</v>
      </c>
      <c r="AJ150" s="498">
        <v>10</v>
      </c>
      <c r="AK150" s="485">
        <f t="shared" si="310"/>
        <v>10</v>
      </c>
      <c r="AL150" s="371"/>
      <c r="AM150" s="232">
        <f t="shared" si="311"/>
        <v>80</v>
      </c>
      <c r="AN150" s="232" t="str">
        <f t="shared" si="312"/>
        <v/>
      </c>
      <c r="AO150" s="232" t="str">
        <f t="shared" si="313"/>
        <v/>
      </c>
      <c r="AP150" s="232">
        <f t="shared" si="343"/>
        <v>1</v>
      </c>
      <c r="AQ150" s="371"/>
      <c r="AR150" s="497">
        <v>80</v>
      </c>
      <c r="AS150" s="498">
        <v>10</v>
      </c>
      <c r="AT150" s="485">
        <f t="shared" si="314"/>
        <v>10</v>
      </c>
      <c r="AU150" s="371"/>
      <c r="AV150" s="232">
        <f t="shared" si="315"/>
        <v>80</v>
      </c>
      <c r="AW150" s="232" t="str">
        <f t="shared" si="316"/>
        <v/>
      </c>
      <c r="AX150" s="232" t="str">
        <f t="shared" si="317"/>
        <v/>
      </c>
      <c r="AY150" s="232">
        <f t="shared" si="344"/>
        <v>1</v>
      </c>
      <c r="AZ150" s="371"/>
      <c r="BA150" s="497">
        <v>80</v>
      </c>
      <c r="BB150" s="498">
        <v>10</v>
      </c>
      <c r="BC150" s="485">
        <f t="shared" si="318"/>
        <v>10</v>
      </c>
      <c r="BD150" s="371"/>
      <c r="BE150" s="232">
        <f t="shared" si="319"/>
        <v>80</v>
      </c>
      <c r="BF150" s="232" t="str">
        <f t="shared" si="320"/>
        <v/>
      </c>
      <c r="BG150" s="232" t="str">
        <f t="shared" si="321"/>
        <v/>
      </c>
      <c r="BH150" s="232">
        <f t="shared" si="345"/>
        <v>1</v>
      </c>
      <c r="BI150" s="371"/>
      <c r="BJ150" s="497">
        <v>80</v>
      </c>
      <c r="BK150" s="498">
        <v>10</v>
      </c>
      <c r="BL150" s="485">
        <f t="shared" si="322"/>
        <v>10</v>
      </c>
      <c r="BM150" s="371"/>
      <c r="BN150" s="232">
        <f t="shared" si="323"/>
        <v>80</v>
      </c>
      <c r="BO150" s="232" t="str">
        <f t="shared" si="324"/>
        <v/>
      </c>
      <c r="BP150" s="232" t="str">
        <f t="shared" si="325"/>
        <v/>
      </c>
      <c r="BQ150" s="232">
        <f t="shared" si="346"/>
        <v>1</v>
      </c>
      <c r="BR150" s="371"/>
      <c r="BS150" s="497">
        <v>80</v>
      </c>
      <c r="BT150" s="498">
        <v>10</v>
      </c>
      <c r="BU150" s="485">
        <f t="shared" si="326"/>
        <v>10</v>
      </c>
      <c r="BV150" s="371"/>
      <c r="BW150" s="232">
        <f t="shared" si="327"/>
        <v>80</v>
      </c>
      <c r="BX150" s="232" t="str">
        <f t="shared" si="328"/>
        <v/>
      </c>
      <c r="BY150" s="232" t="str">
        <f t="shared" si="329"/>
        <v/>
      </c>
      <c r="BZ150" s="232">
        <f t="shared" si="347"/>
        <v>1</v>
      </c>
      <c r="CA150" s="371"/>
      <c r="CB150" s="504">
        <f t="shared" si="330"/>
        <v>80</v>
      </c>
      <c r="CC150" s="505">
        <f t="shared" si="331"/>
        <v>10</v>
      </c>
      <c r="CD150" s="506">
        <f t="shared" si="332"/>
        <v>10</v>
      </c>
      <c r="CE150" s="371"/>
      <c r="CF150" s="232">
        <f t="shared" si="333"/>
        <v>80</v>
      </c>
      <c r="CG150" s="232" t="str">
        <f t="shared" si="334"/>
        <v/>
      </c>
      <c r="CH150" s="232" t="str">
        <f t="shared" si="335"/>
        <v/>
      </c>
      <c r="CI150" s="232">
        <f t="shared" si="348"/>
        <v>1</v>
      </c>
      <c r="CJ150" s="232"/>
      <c r="CK150" s="497">
        <v>80</v>
      </c>
      <c r="CL150" s="498">
        <v>10</v>
      </c>
      <c r="CM150" s="485">
        <f t="shared" si="336"/>
        <v>10</v>
      </c>
      <c r="CN150" s="371"/>
      <c r="CO150" s="232">
        <f t="shared" si="337"/>
        <v>80</v>
      </c>
      <c r="CP150" s="232" t="str">
        <f t="shared" si="338"/>
        <v/>
      </c>
      <c r="CQ150" s="232" t="str">
        <f t="shared" si="339"/>
        <v/>
      </c>
      <c r="CR150" s="232">
        <f t="shared" si="349"/>
        <v>1</v>
      </c>
      <c r="CS150" s="232"/>
      <c r="CT150" s="371"/>
      <c r="CU150" s="300"/>
      <c r="CV150" s="246"/>
      <c r="CW150" s="264"/>
    </row>
    <row r="151" spans="1:101" ht="13.5" thickBot="1" x14ac:dyDescent="0.25">
      <c r="A151" s="264"/>
      <c r="B151" s="264"/>
      <c r="C151" s="202"/>
      <c r="D151" s="271">
        <v>12</v>
      </c>
      <c r="E151" s="168" t="s">
        <v>133</v>
      </c>
      <c r="F151" s="470">
        <v>2</v>
      </c>
      <c r="G151" s="476" t="s">
        <v>49</v>
      </c>
      <c r="H151" s="477">
        <v>0</v>
      </c>
      <c r="I151" s="392" t="str">
        <f t="shared" si="300"/>
        <v>x</v>
      </c>
      <c r="J151" s="393" t="str">
        <f t="shared" si="301"/>
        <v/>
      </c>
      <c r="K151" s="394" t="str">
        <f t="shared" si="302"/>
        <v/>
      </c>
      <c r="L151" s="299"/>
      <c r="M151" s="375"/>
      <c r="N151" s="379"/>
      <c r="O151" s="236"/>
      <c r="P151" s="236"/>
      <c r="Q151" s="489">
        <v>50</v>
      </c>
      <c r="R151" s="490">
        <v>30</v>
      </c>
      <c r="S151" s="491">
        <f t="shared" si="340"/>
        <v>20</v>
      </c>
      <c r="T151" s="371"/>
      <c r="U151" s="232">
        <f t="shared" si="303"/>
        <v>50</v>
      </c>
      <c r="V151" s="232" t="str">
        <f t="shared" si="304"/>
        <v/>
      </c>
      <c r="W151" s="232" t="str">
        <f t="shared" si="305"/>
        <v/>
      </c>
      <c r="X151" s="232">
        <f t="shared" si="341"/>
        <v>1</v>
      </c>
      <c r="Y151" s="371"/>
      <c r="Z151" s="499">
        <v>80</v>
      </c>
      <c r="AA151" s="500">
        <v>10</v>
      </c>
      <c r="AB151" s="491">
        <f t="shared" si="306"/>
        <v>10</v>
      </c>
      <c r="AC151" s="371"/>
      <c r="AD151" s="232">
        <f t="shared" si="307"/>
        <v>80</v>
      </c>
      <c r="AE151" s="232" t="str">
        <f t="shared" si="308"/>
        <v/>
      </c>
      <c r="AF151" s="232" t="str">
        <f t="shared" si="309"/>
        <v/>
      </c>
      <c r="AG151" s="232">
        <f t="shared" si="342"/>
        <v>1</v>
      </c>
      <c r="AH151" s="371"/>
      <c r="AI151" s="499">
        <v>80</v>
      </c>
      <c r="AJ151" s="500">
        <v>10</v>
      </c>
      <c r="AK151" s="491">
        <f t="shared" si="310"/>
        <v>10</v>
      </c>
      <c r="AL151" s="371"/>
      <c r="AM151" s="232">
        <f t="shared" si="311"/>
        <v>80</v>
      </c>
      <c r="AN151" s="232" t="str">
        <f t="shared" si="312"/>
        <v/>
      </c>
      <c r="AO151" s="232" t="str">
        <f t="shared" si="313"/>
        <v/>
      </c>
      <c r="AP151" s="232">
        <f t="shared" si="343"/>
        <v>1</v>
      </c>
      <c r="AQ151" s="371"/>
      <c r="AR151" s="499">
        <v>60</v>
      </c>
      <c r="AS151" s="500">
        <v>30</v>
      </c>
      <c r="AT151" s="491">
        <f t="shared" si="314"/>
        <v>10</v>
      </c>
      <c r="AU151" s="371"/>
      <c r="AV151" s="232">
        <f t="shared" si="315"/>
        <v>60</v>
      </c>
      <c r="AW151" s="232" t="str">
        <f t="shared" si="316"/>
        <v/>
      </c>
      <c r="AX151" s="232" t="str">
        <f t="shared" si="317"/>
        <v/>
      </c>
      <c r="AY151" s="232">
        <f t="shared" si="344"/>
        <v>1</v>
      </c>
      <c r="AZ151" s="371"/>
      <c r="BA151" s="499">
        <v>80</v>
      </c>
      <c r="BB151" s="500">
        <v>10</v>
      </c>
      <c r="BC151" s="491">
        <f t="shared" si="318"/>
        <v>10</v>
      </c>
      <c r="BD151" s="371"/>
      <c r="BE151" s="232">
        <f t="shared" si="319"/>
        <v>80</v>
      </c>
      <c r="BF151" s="232" t="str">
        <f t="shared" si="320"/>
        <v/>
      </c>
      <c r="BG151" s="232" t="str">
        <f t="shared" si="321"/>
        <v/>
      </c>
      <c r="BH151" s="232">
        <f t="shared" si="345"/>
        <v>1</v>
      </c>
      <c r="BI151" s="371"/>
      <c r="BJ151" s="499">
        <v>80</v>
      </c>
      <c r="BK151" s="500">
        <v>10</v>
      </c>
      <c r="BL151" s="491">
        <f t="shared" si="322"/>
        <v>10</v>
      </c>
      <c r="BM151" s="371"/>
      <c r="BN151" s="232">
        <f t="shared" si="323"/>
        <v>80</v>
      </c>
      <c r="BO151" s="232" t="str">
        <f t="shared" si="324"/>
        <v/>
      </c>
      <c r="BP151" s="232" t="str">
        <f t="shared" si="325"/>
        <v/>
      </c>
      <c r="BQ151" s="232">
        <f t="shared" si="346"/>
        <v>1</v>
      </c>
      <c r="BR151" s="371"/>
      <c r="BS151" s="499">
        <v>60</v>
      </c>
      <c r="BT151" s="500">
        <v>20</v>
      </c>
      <c r="BU151" s="491">
        <f t="shared" si="326"/>
        <v>20</v>
      </c>
      <c r="BV151" s="371"/>
      <c r="BW151" s="232">
        <f t="shared" si="327"/>
        <v>60</v>
      </c>
      <c r="BX151" s="232" t="str">
        <f t="shared" si="328"/>
        <v/>
      </c>
      <c r="BY151" s="232" t="str">
        <f t="shared" si="329"/>
        <v/>
      </c>
      <c r="BZ151" s="232">
        <f t="shared" si="347"/>
        <v>1</v>
      </c>
      <c r="CA151" s="371"/>
      <c r="CB151" s="507">
        <f t="shared" si="330"/>
        <v>70</v>
      </c>
      <c r="CC151" s="508">
        <f t="shared" si="331"/>
        <v>10</v>
      </c>
      <c r="CD151" s="509">
        <f t="shared" si="332"/>
        <v>20</v>
      </c>
      <c r="CE151" s="371"/>
      <c r="CF151" s="232">
        <f t="shared" si="333"/>
        <v>70</v>
      </c>
      <c r="CG151" s="232" t="str">
        <f t="shared" si="334"/>
        <v/>
      </c>
      <c r="CH151" s="232" t="str">
        <f t="shared" si="335"/>
        <v/>
      </c>
      <c r="CI151" s="232">
        <f t="shared" si="348"/>
        <v>1</v>
      </c>
      <c r="CJ151" s="232"/>
      <c r="CK151" s="499">
        <v>70</v>
      </c>
      <c r="CL151" s="500">
        <v>20</v>
      </c>
      <c r="CM151" s="491">
        <f t="shared" si="336"/>
        <v>10</v>
      </c>
      <c r="CN151" s="371"/>
      <c r="CO151" s="232">
        <f t="shared" si="337"/>
        <v>70</v>
      </c>
      <c r="CP151" s="232" t="str">
        <f t="shared" si="338"/>
        <v/>
      </c>
      <c r="CQ151" s="232" t="str">
        <f t="shared" si="339"/>
        <v/>
      </c>
      <c r="CR151" s="232">
        <f t="shared" si="349"/>
        <v>1</v>
      </c>
      <c r="CS151" s="232"/>
      <c r="CT151" s="371"/>
      <c r="CU151" s="300"/>
      <c r="CV151" s="246"/>
      <c r="CW151" s="264"/>
    </row>
    <row r="152" spans="1:101" x14ac:dyDescent="0.2">
      <c r="A152" s="264"/>
      <c r="B152" s="264"/>
      <c r="C152" s="202"/>
      <c r="D152" s="272"/>
      <c r="E152" s="235"/>
      <c r="F152" s="395">
        <f>IF(SUM(F140:F151)=0,"",SUM(F140:F151))</f>
        <v>20</v>
      </c>
      <c r="G152" s="370" t="s">
        <v>49</v>
      </c>
      <c r="H152" s="396">
        <f>IF(SUM(H140:H151)=0,"",SUM(H140:H151))</f>
        <v>19</v>
      </c>
      <c r="I152" s="397">
        <f>IF(COUNTIF(I140:I151,"=x")=0,"",COUNTIF(I140:I151,"=x"))</f>
        <v>5</v>
      </c>
      <c r="J152" s="398">
        <f>IF(COUNTIF(J140:J151,"=x")=0,"",COUNTIF(J140:J151,"=x"))</f>
        <v>4</v>
      </c>
      <c r="K152" s="399">
        <f>IF(COUNTIF(K140:K151,"=x")=0,"",COUNTIF(K140:K151,"=x"))</f>
        <v>3</v>
      </c>
      <c r="L152" s="299"/>
      <c r="M152" s="375"/>
      <c r="N152" s="379"/>
      <c r="O152" s="236"/>
      <c r="P152" s="369"/>
      <c r="Q152" s="466">
        <f>SUM(U140:U151)</f>
        <v>270</v>
      </c>
      <c r="R152" s="466">
        <f>SUM(V140:V151)</f>
        <v>120</v>
      </c>
      <c r="S152" s="466">
        <f>SUM(W140:W151)</f>
        <v>210</v>
      </c>
      <c r="T152" s="368"/>
      <c r="U152" s="232"/>
      <c r="V152" s="232"/>
      <c r="W152" s="232"/>
      <c r="X152" s="232"/>
      <c r="Y152" s="367"/>
      <c r="Z152" s="466">
        <f>SUM(AD140:AD151)</f>
        <v>330</v>
      </c>
      <c r="AA152" s="466">
        <f>SUM(AE140:AE151)</f>
        <v>110</v>
      </c>
      <c r="AB152" s="466">
        <f>SUM(AF140:AF151)</f>
        <v>240</v>
      </c>
      <c r="AC152" s="368"/>
      <c r="AD152" s="232"/>
      <c r="AE152" s="232"/>
      <c r="AF152" s="232"/>
      <c r="AG152" s="232"/>
      <c r="AH152" s="367"/>
      <c r="AI152" s="466">
        <f>SUM(AM140:AM151)</f>
        <v>280</v>
      </c>
      <c r="AJ152" s="466">
        <f>SUM(AN140:AN151)</f>
        <v>130</v>
      </c>
      <c r="AK152" s="466">
        <f>SUM(AO140:AO151)</f>
        <v>170</v>
      </c>
      <c r="AL152" s="368"/>
      <c r="AM152" s="232"/>
      <c r="AN152" s="232"/>
      <c r="AO152" s="232"/>
      <c r="AP152" s="232"/>
      <c r="AQ152" s="367"/>
      <c r="AR152" s="466">
        <f>SUM(AV140:AV151)</f>
        <v>270</v>
      </c>
      <c r="AS152" s="466">
        <f>SUM(AW140:AW151)</f>
        <v>150</v>
      </c>
      <c r="AT152" s="466">
        <f>SUM(AX140:AX151)</f>
        <v>220</v>
      </c>
      <c r="AU152" s="368"/>
      <c r="AV152" s="232"/>
      <c r="AW152" s="232"/>
      <c r="AX152" s="232"/>
      <c r="AY152" s="232"/>
      <c r="AZ152" s="367"/>
      <c r="BA152" s="466">
        <f>SUM(BE140:BE151)</f>
        <v>400</v>
      </c>
      <c r="BB152" s="466">
        <f>SUM(BF140:BF151)</f>
        <v>40</v>
      </c>
      <c r="BC152" s="466">
        <f>SUM(BG140:BG151)</f>
        <v>170</v>
      </c>
      <c r="BD152" s="368"/>
      <c r="BE152" s="232"/>
      <c r="BF152" s="232"/>
      <c r="BG152" s="232"/>
      <c r="BH152" s="232"/>
      <c r="BI152" s="367"/>
      <c r="BJ152" s="466">
        <f>SUM(BN140:BN151)</f>
        <v>330</v>
      </c>
      <c r="BK152" s="466">
        <f>SUM(BO140:BO151)</f>
        <v>90</v>
      </c>
      <c r="BL152" s="466">
        <f>SUM(BP140:BP151)</f>
        <v>240</v>
      </c>
      <c r="BM152" s="368"/>
      <c r="BN152" s="232"/>
      <c r="BO152" s="232"/>
      <c r="BP152" s="232"/>
      <c r="BQ152" s="232"/>
      <c r="BR152" s="367"/>
      <c r="BS152" s="466">
        <f>SUM(BW140:BW151)</f>
        <v>280</v>
      </c>
      <c r="BT152" s="466">
        <f>SUM(BX140:BX151)</f>
        <v>100</v>
      </c>
      <c r="BU152" s="466">
        <f>SUM(BY140:BY151)</f>
        <v>200</v>
      </c>
      <c r="BV152" s="368"/>
      <c r="BW152" s="232"/>
      <c r="BX152" s="232"/>
      <c r="BY152" s="232"/>
      <c r="BZ152" s="232"/>
      <c r="CA152" s="369"/>
      <c r="CB152" s="466">
        <f>SUM(CF140:CF151)</f>
        <v>320</v>
      </c>
      <c r="CC152" s="466">
        <f>SUM(CG140:CG151)</f>
        <v>80</v>
      </c>
      <c r="CD152" s="466">
        <f>SUM(CH140:CH151)</f>
        <v>210</v>
      </c>
      <c r="CE152" s="368"/>
      <c r="CF152" s="232"/>
      <c r="CG152" s="232"/>
      <c r="CH152" s="232"/>
      <c r="CI152" s="232"/>
      <c r="CJ152" s="232"/>
      <c r="CK152" s="466">
        <f>SUM(CO140:CO151)</f>
        <v>310</v>
      </c>
      <c r="CL152" s="466">
        <f>SUM(CP140:CP151)</f>
        <v>110</v>
      </c>
      <c r="CM152" s="466">
        <f>SUM(CQ140:CQ151)</f>
        <v>220</v>
      </c>
      <c r="CN152" s="368"/>
      <c r="CO152" s="232"/>
      <c r="CP152" s="232"/>
      <c r="CQ152" s="232"/>
      <c r="CR152" s="232"/>
      <c r="CS152" s="232"/>
      <c r="CT152" s="232"/>
      <c r="CU152" s="300"/>
      <c r="CV152" s="246"/>
      <c r="CW152" s="265"/>
    </row>
    <row r="153" spans="1:101" ht="13.5" thickBot="1" x14ac:dyDescent="0.25">
      <c r="A153" s="264"/>
      <c r="B153" s="264"/>
      <c r="C153" s="202"/>
      <c r="D153" s="289"/>
      <c r="E153" s="282"/>
      <c r="F153" s="283"/>
      <c r="G153" s="282"/>
      <c r="H153" s="282"/>
      <c r="I153" s="282"/>
      <c r="J153" s="282"/>
      <c r="K153" s="282"/>
      <c r="L153" s="293"/>
      <c r="M153" s="301"/>
      <c r="N153" s="380"/>
      <c r="O153" s="376"/>
      <c r="P153" s="284"/>
      <c r="Q153" s="285"/>
      <c r="R153" s="285"/>
      <c r="S153" s="285"/>
      <c r="T153" s="286"/>
      <c r="U153" s="287"/>
      <c r="V153" s="287"/>
      <c r="W153" s="287"/>
      <c r="X153" s="287"/>
      <c r="Y153" s="284"/>
      <c r="Z153" s="285"/>
      <c r="AA153" s="285"/>
      <c r="AB153" s="285"/>
      <c r="AC153" s="286"/>
      <c r="AD153" s="287"/>
      <c r="AE153" s="287"/>
      <c r="AF153" s="287"/>
      <c r="AG153" s="288"/>
      <c r="AH153" s="284"/>
      <c r="AI153" s="285"/>
      <c r="AJ153" s="285"/>
      <c r="AK153" s="285"/>
      <c r="AL153" s="286"/>
      <c r="AM153" s="287"/>
      <c r="AN153" s="287"/>
      <c r="AO153" s="287"/>
      <c r="AP153" s="288"/>
      <c r="AQ153" s="284"/>
      <c r="AR153" s="285"/>
      <c r="AS153" s="285"/>
      <c r="AT153" s="285"/>
      <c r="AU153" s="286"/>
      <c r="AV153" s="287"/>
      <c r="AW153" s="287"/>
      <c r="AX153" s="287"/>
      <c r="AY153" s="288"/>
      <c r="AZ153" s="284"/>
      <c r="BA153" s="285"/>
      <c r="BB153" s="285"/>
      <c r="BC153" s="285"/>
      <c r="BD153" s="286"/>
      <c r="BE153" s="287"/>
      <c r="BF153" s="287"/>
      <c r="BG153" s="287"/>
      <c r="BH153" s="288"/>
      <c r="BI153" s="284"/>
      <c r="BJ153" s="284"/>
      <c r="BK153" s="284"/>
      <c r="BL153" s="284"/>
      <c r="BM153" s="284"/>
      <c r="BN153" s="284"/>
      <c r="BO153" s="284"/>
      <c r="BP153" s="284"/>
      <c r="BQ153" s="284"/>
      <c r="BR153" s="284"/>
      <c r="BS153" s="284"/>
      <c r="BT153" s="284"/>
      <c r="BU153" s="284"/>
      <c r="BV153" s="284"/>
      <c r="BW153" s="284"/>
      <c r="BX153" s="284"/>
      <c r="BY153" s="284"/>
      <c r="BZ153" s="284"/>
      <c r="CA153" s="284"/>
      <c r="CB153" s="284"/>
      <c r="CC153" s="284"/>
      <c r="CD153" s="284"/>
      <c r="CE153" s="284"/>
      <c r="CF153" s="284"/>
      <c r="CG153" s="284"/>
      <c r="CH153" s="284"/>
      <c r="CI153" s="284"/>
      <c r="CJ153" s="288"/>
      <c r="CK153" s="288"/>
      <c r="CL153" s="288"/>
      <c r="CM153" s="288"/>
      <c r="CN153" s="288"/>
      <c r="CO153" s="288"/>
      <c r="CP153" s="288"/>
      <c r="CQ153" s="288"/>
      <c r="CR153" s="288"/>
      <c r="CS153" s="288"/>
      <c r="CT153" s="282"/>
      <c r="CU153" s="294"/>
      <c r="CV153" s="246"/>
      <c r="CW153" s="265"/>
    </row>
    <row r="154" spans="1:101" ht="14.25" thickTop="1" thickBot="1" x14ac:dyDescent="0.25">
      <c r="A154" s="256"/>
      <c r="B154" s="256"/>
      <c r="C154" s="210"/>
      <c r="D154" s="211"/>
      <c r="E154" s="247"/>
      <c r="F154" s="248"/>
      <c r="G154" s="247"/>
      <c r="H154" s="247"/>
      <c r="I154" s="247"/>
      <c r="J154" s="247"/>
      <c r="K154" s="247"/>
      <c r="L154" s="249"/>
      <c r="M154" s="250"/>
      <c r="N154" s="250"/>
      <c r="O154" s="250"/>
      <c r="P154" s="250"/>
      <c r="Q154" s="247"/>
      <c r="R154" s="247"/>
      <c r="S154" s="247"/>
      <c r="T154" s="251"/>
      <c r="U154" s="252"/>
      <c r="V154" s="252"/>
      <c r="W154" s="252"/>
      <c r="X154" s="252"/>
      <c r="Y154" s="250"/>
      <c r="Z154" s="247"/>
      <c r="AA154" s="247"/>
      <c r="AB154" s="247"/>
      <c r="AC154" s="251"/>
      <c r="AD154" s="252"/>
      <c r="AE154" s="252"/>
      <c r="AF154" s="252"/>
      <c r="AG154" s="247"/>
      <c r="AH154" s="250"/>
      <c r="AI154" s="247"/>
      <c r="AJ154" s="247"/>
      <c r="AK154" s="247"/>
      <c r="AL154" s="251"/>
      <c r="AM154" s="252"/>
      <c r="AN154" s="252"/>
      <c r="AO154" s="252"/>
      <c r="AP154" s="253"/>
      <c r="AQ154" s="250"/>
      <c r="AR154" s="247"/>
      <c r="AS154" s="247"/>
      <c r="AT154" s="247"/>
      <c r="AU154" s="251"/>
      <c r="AV154" s="252"/>
      <c r="AW154" s="252"/>
      <c r="AX154" s="252"/>
      <c r="AY154" s="247"/>
      <c r="AZ154" s="250"/>
      <c r="BA154" s="247"/>
      <c r="BB154" s="247"/>
      <c r="BC154" s="247"/>
      <c r="BD154" s="251"/>
      <c r="BE154" s="252"/>
      <c r="BF154" s="252"/>
      <c r="BG154" s="252"/>
      <c r="BH154" s="247"/>
      <c r="BI154" s="250"/>
      <c r="BJ154" s="247"/>
      <c r="BK154" s="247"/>
      <c r="BL154" s="247"/>
      <c r="BM154" s="251"/>
      <c r="BN154" s="252"/>
      <c r="BO154" s="252"/>
      <c r="BP154" s="252"/>
      <c r="BQ154" s="247"/>
      <c r="BR154" s="212"/>
      <c r="BS154" s="247"/>
      <c r="BT154" s="247"/>
      <c r="BU154" s="247"/>
      <c r="BV154" s="250"/>
      <c r="BW154" s="252"/>
      <c r="BX154" s="252"/>
      <c r="BY154" s="252"/>
      <c r="BZ154" s="247"/>
      <c r="CA154" s="247"/>
      <c r="CB154" s="253"/>
      <c r="CC154" s="253"/>
      <c r="CD154" s="253"/>
      <c r="CE154" s="253"/>
      <c r="CF154" s="247"/>
      <c r="CG154" s="247"/>
      <c r="CH154" s="247"/>
      <c r="CI154" s="247"/>
      <c r="CJ154" s="247"/>
      <c r="CK154" s="247"/>
      <c r="CL154" s="247"/>
      <c r="CM154" s="247"/>
      <c r="CN154" s="247"/>
      <c r="CO154" s="247"/>
      <c r="CP154" s="247"/>
      <c r="CQ154" s="247"/>
      <c r="CR154" s="247"/>
      <c r="CS154" s="247"/>
      <c r="CT154" s="247"/>
      <c r="CU154" s="247"/>
      <c r="CV154" s="254"/>
      <c r="CW154" s="255"/>
    </row>
    <row r="155" spans="1:101" ht="14.25" thickTop="1" thickBot="1" x14ac:dyDescent="0.25">
      <c r="A155" s="255"/>
      <c r="B155" s="255"/>
      <c r="C155" s="255"/>
      <c r="D155" s="255"/>
      <c r="E155" s="255"/>
      <c r="F155" s="255"/>
      <c r="G155" s="255"/>
      <c r="H155" s="255"/>
      <c r="I155" s="255"/>
      <c r="J155" s="255"/>
      <c r="K155" s="255"/>
      <c r="L155" s="255"/>
      <c r="M155" s="255"/>
      <c r="N155" s="255"/>
      <c r="O155" s="255"/>
      <c r="P155" s="255"/>
      <c r="Q155" s="255"/>
      <c r="R155" s="255"/>
      <c r="S155" s="255"/>
      <c r="T155" s="255"/>
      <c r="U155" s="255"/>
      <c r="V155" s="255"/>
      <c r="W155" s="255"/>
      <c r="X155" s="255"/>
      <c r="Y155" s="255"/>
      <c r="Z155" s="255"/>
      <c r="AA155" s="255"/>
      <c r="AB155" s="255"/>
      <c r="AC155" s="255"/>
      <c r="AD155" s="255"/>
      <c r="AE155" s="255"/>
      <c r="AF155" s="255"/>
      <c r="AG155" s="255"/>
      <c r="AH155" s="255"/>
      <c r="AI155" s="255"/>
      <c r="AJ155" s="255"/>
      <c r="AK155" s="255"/>
      <c r="AL155" s="255"/>
      <c r="AM155" s="255"/>
      <c r="AN155" s="255"/>
      <c r="AO155" s="255"/>
      <c r="AP155" s="255"/>
      <c r="AQ155" s="255"/>
      <c r="AR155" s="255"/>
      <c r="AS155" s="255"/>
      <c r="AT155" s="255"/>
      <c r="AU155" s="255"/>
      <c r="AV155" s="255"/>
      <c r="AW155" s="255"/>
      <c r="AX155" s="255"/>
      <c r="AY155" s="255"/>
      <c r="AZ155" s="255"/>
      <c r="BA155" s="255"/>
      <c r="BB155" s="255"/>
      <c r="BC155" s="255"/>
      <c r="BD155" s="255"/>
      <c r="BE155" s="255"/>
      <c r="BF155" s="255"/>
      <c r="BG155" s="255"/>
      <c r="BH155" s="255"/>
      <c r="BI155" s="255"/>
      <c r="BJ155" s="255"/>
      <c r="BK155" s="255"/>
      <c r="BL155" s="255"/>
      <c r="BM155" s="255"/>
      <c r="BN155" s="255"/>
      <c r="BO155" s="255"/>
      <c r="BP155" s="255"/>
      <c r="BQ155" s="255"/>
      <c r="BR155" s="255"/>
      <c r="BS155" s="255"/>
      <c r="BT155" s="255"/>
      <c r="BU155" s="255"/>
      <c r="BV155" s="255"/>
      <c r="BW155" s="255"/>
      <c r="BX155" s="255"/>
      <c r="BY155" s="255"/>
      <c r="BZ155" s="255"/>
      <c r="CA155" s="255"/>
      <c r="CB155" s="436"/>
      <c r="CC155" s="436"/>
      <c r="CD155" s="436"/>
      <c r="CE155" s="436"/>
      <c r="CF155" s="255"/>
      <c r="CG155" s="255"/>
      <c r="CH155" s="255"/>
      <c r="CI155" s="255"/>
      <c r="CJ155" s="255"/>
      <c r="CK155" s="255"/>
      <c r="CL155" s="255"/>
      <c r="CM155" s="255"/>
      <c r="CN155" s="255"/>
      <c r="CO155" s="255"/>
      <c r="CP155" s="255"/>
      <c r="CQ155" s="255"/>
      <c r="CR155" s="255"/>
      <c r="CS155" s="255"/>
      <c r="CT155" s="255"/>
      <c r="CU155" s="255"/>
      <c r="CV155" s="255"/>
      <c r="CW155" s="255"/>
    </row>
    <row r="156" spans="1:101" ht="21" thickTop="1" x14ac:dyDescent="0.3">
      <c r="A156" s="256"/>
      <c r="B156" s="256"/>
      <c r="C156" s="190"/>
      <c r="D156" s="191"/>
      <c r="E156" s="865" t="str">
        <f>$E$2</f>
        <v>STPS 2026</v>
      </c>
      <c r="F156" s="267"/>
      <c r="G156" s="267"/>
      <c r="H156" s="267"/>
      <c r="I156" s="192"/>
      <c r="J156" s="192"/>
      <c r="K156" s="192"/>
      <c r="L156" s="193"/>
      <c r="M156" s="192"/>
      <c r="N156" s="192"/>
      <c r="O156" s="192"/>
      <c r="P156" s="194"/>
      <c r="Q156" s="192"/>
      <c r="R156" s="192"/>
      <c r="S156" s="192"/>
      <c r="T156" s="195"/>
      <c r="U156" s="196"/>
      <c r="V156" s="196"/>
      <c r="W156" s="196"/>
      <c r="X156" s="196"/>
      <c r="Y156" s="194"/>
      <c r="Z156" s="192"/>
      <c r="AA156" s="192"/>
      <c r="AB156" s="192"/>
      <c r="AC156" s="195"/>
      <c r="AD156" s="196"/>
      <c r="AE156" s="196"/>
      <c r="AF156" s="196"/>
      <c r="AG156" s="197"/>
      <c r="AH156" s="194"/>
      <c r="AI156" s="192"/>
      <c r="AJ156" s="237"/>
      <c r="AK156" s="237"/>
      <c r="AL156" s="198"/>
      <c r="AM156" s="238"/>
      <c r="AN156" s="238"/>
      <c r="AO156" s="238"/>
      <c r="AP156" s="197"/>
      <c r="AQ156" s="239"/>
      <c r="AR156" s="240"/>
      <c r="AS156" s="199"/>
      <c r="AT156" s="200"/>
      <c r="AU156" s="198"/>
      <c r="AV156" s="196"/>
      <c r="AW156" s="196"/>
      <c r="AX156" s="196"/>
      <c r="AY156" s="197"/>
      <c r="AZ156" s="239"/>
      <c r="BA156" s="240"/>
      <c r="BB156" s="200"/>
      <c r="BC156" s="237"/>
      <c r="BD156" s="241"/>
      <c r="BE156" s="196"/>
      <c r="BF156" s="196"/>
      <c r="BG156" s="196"/>
      <c r="BH156" s="197"/>
      <c r="BI156" s="242"/>
      <c r="BJ156" s="237"/>
      <c r="BK156" s="237"/>
      <c r="BL156" s="237"/>
      <c r="BM156" s="241"/>
      <c r="BN156" s="196"/>
      <c r="BO156" s="196"/>
      <c r="BP156" s="196"/>
      <c r="BQ156" s="197"/>
      <c r="BR156" s="201"/>
      <c r="BS156" s="237"/>
      <c r="BT156" s="237"/>
      <c r="BU156" s="237"/>
      <c r="BV156" s="242"/>
      <c r="BW156" s="237"/>
      <c r="BX156" s="237"/>
      <c r="BY156" s="237"/>
      <c r="BZ156" s="237"/>
      <c r="CA156" s="237"/>
      <c r="CB156" s="437"/>
      <c r="CC156" s="437"/>
      <c r="CD156" s="437"/>
      <c r="CE156" s="437"/>
      <c r="CF156" s="237"/>
      <c r="CG156" s="237"/>
      <c r="CH156" s="237"/>
      <c r="CI156" s="237"/>
      <c r="CJ156" s="197"/>
      <c r="CK156" s="197"/>
      <c r="CL156" s="197"/>
      <c r="CM156" s="197"/>
      <c r="CN156" s="197"/>
      <c r="CO156" s="197"/>
      <c r="CP156" s="197"/>
      <c r="CQ156" s="197"/>
      <c r="CR156" s="197"/>
      <c r="CS156" s="197"/>
      <c r="CT156" s="401"/>
      <c r="CU156" s="237"/>
      <c r="CV156" s="243"/>
      <c r="CW156" s="255"/>
    </row>
    <row r="157" spans="1:101" ht="13.5" thickBot="1" x14ac:dyDescent="0.25">
      <c r="A157" s="256"/>
      <c r="B157" s="256"/>
      <c r="C157" s="202"/>
      <c r="D157" s="188"/>
      <c r="E157" s="266" t="str">
        <f>E3</f>
        <v>Skorgen Tippelag</v>
      </c>
      <c r="F157" s="406"/>
      <c r="G157" s="406"/>
      <c r="H157" s="406"/>
      <c r="I157" s="406"/>
      <c r="J157" s="406"/>
      <c r="K157" s="406"/>
      <c r="L157" s="406"/>
      <c r="M157" s="406"/>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6"/>
      <c r="AQ157" s="406"/>
      <c r="AR157" s="406"/>
      <c r="AS157" s="406"/>
      <c r="AT157" s="406"/>
      <c r="AU157" s="406"/>
      <c r="AV157" s="406"/>
      <c r="AW157" s="406"/>
      <c r="AX157" s="406"/>
      <c r="AY157" s="406"/>
      <c r="AZ157" s="406"/>
      <c r="BA157" s="406"/>
      <c r="BB157" s="406"/>
      <c r="BC157" s="406"/>
      <c r="BD157" s="406"/>
      <c r="BE157" s="406"/>
      <c r="BF157" s="406"/>
      <c r="BG157" s="406"/>
      <c r="BH157" s="406"/>
      <c r="BI157" s="406"/>
      <c r="BJ157" s="406"/>
      <c r="BK157" s="406"/>
      <c r="BL157" s="406"/>
      <c r="BM157" s="406"/>
      <c r="BN157" s="406"/>
      <c r="BO157" s="406"/>
      <c r="BP157" s="406"/>
      <c r="BQ157" s="406"/>
      <c r="BR157" s="406"/>
      <c r="BS157" s="406"/>
      <c r="BT157" s="406"/>
      <c r="BU157" s="406"/>
      <c r="BV157" s="406"/>
      <c r="BW157" s="406"/>
      <c r="BX157" s="406"/>
      <c r="BY157" s="406"/>
      <c r="BZ157" s="406"/>
      <c r="CA157" s="406"/>
      <c r="CB157" s="438"/>
      <c r="CC157" s="438"/>
      <c r="CD157" s="438"/>
      <c r="CE157" s="438"/>
      <c r="CF157" s="406"/>
      <c r="CG157" s="406"/>
      <c r="CH157" s="406"/>
      <c r="CI157" s="406"/>
      <c r="CJ157" s="406"/>
      <c r="CK157" s="406"/>
      <c r="CL157" s="406"/>
      <c r="CM157" s="406"/>
      <c r="CN157" s="366"/>
      <c r="CO157" s="366"/>
      <c r="CP157" s="366"/>
      <c r="CQ157" s="366"/>
      <c r="CR157" s="366"/>
      <c r="CS157" s="366"/>
      <c r="CT157" s="187"/>
      <c r="CU157" s="310"/>
      <c r="CV157" s="246"/>
      <c r="CW157" s="255"/>
    </row>
    <row r="158" spans="1:101" ht="18.75" thickTop="1" x14ac:dyDescent="0.2">
      <c r="A158" s="256"/>
      <c r="B158" s="256"/>
      <c r="C158" s="209"/>
      <c r="D158" s="290"/>
      <c r="E158" s="273"/>
      <c r="F158" s="274"/>
      <c r="G158" s="273"/>
      <c r="H158" s="273"/>
      <c r="I158" s="803" t="s">
        <v>39</v>
      </c>
      <c r="J158" s="805"/>
      <c r="K158" s="805"/>
      <c r="L158" s="291"/>
      <c r="M158" s="302"/>
      <c r="N158" s="242"/>
      <c r="O158" s="275"/>
      <c r="P158" s="275"/>
      <c r="Q158" s="808">
        <f>IF($F162="","",SUM(Q174:S174)-S160)</f>
        <v>440</v>
      </c>
      <c r="R158" s="808"/>
      <c r="S158" s="808"/>
      <c r="T158" s="276"/>
      <c r="U158" s="277"/>
      <c r="V158" s="277"/>
      <c r="W158" s="277"/>
      <c r="X158" s="277"/>
      <c r="Y158" s="275"/>
      <c r="Z158" s="808">
        <f>IF($F162="","",SUM(Z174:AB174)-AB160)</f>
        <v>470</v>
      </c>
      <c r="AA158" s="808"/>
      <c r="AB158" s="808"/>
      <c r="AC158" s="276"/>
      <c r="AD158" s="277"/>
      <c r="AE158" s="277"/>
      <c r="AF158" s="277"/>
      <c r="AG158" s="273"/>
      <c r="AH158" s="275"/>
      <c r="AI158" s="808">
        <f>IF($F162="","",SUM(AI174:AK174)-AK160)</f>
        <v>570</v>
      </c>
      <c r="AJ158" s="808"/>
      <c r="AK158" s="808"/>
      <c r="AL158" s="276"/>
      <c r="AM158" s="277"/>
      <c r="AN158" s="277"/>
      <c r="AO158" s="277"/>
      <c r="AP158" s="273"/>
      <c r="AQ158" s="275"/>
      <c r="AR158" s="808">
        <f>IF($F162="","",SUM(AR174:AT174)-AT160)</f>
        <v>550</v>
      </c>
      <c r="AS158" s="808"/>
      <c r="AT158" s="808"/>
      <c r="AU158" s="278"/>
      <c r="AV158" s="277"/>
      <c r="AW158" s="277"/>
      <c r="AX158" s="277"/>
      <c r="AY158" s="279"/>
      <c r="AZ158" s="280"/>
      <c r="BA158" s="808">
        <f>IF($F162="","",SUM(BA174:BC174)-BC160)</f>
        <v>520</v>
      </c>
      <c r="BB158" s="808"/>
      <c r="BC158" s="808"/>
      <c r="BD158" s="278"/>
      <c r="BE158" s="277"/>
      <c r="BF158" s="277"/>
      <c r="BG158" s="277"/>
      <c r="BH158" s="279"/>
      <c r="BI158" s="280"/>
      <c r="BJ158" s="808">
        <f>IF($F162="","",SUM(BJ174:BL174)-BL160)</f>
        <v>560</v>
      </c>
      <c r="BK158" s="808"/>
      <c r="BL158" s="808"/>
      <c r="BM158" s="278"/>
      <c r="BN158" s="277"/>
      <c r="BO158" s="277"/>
      <c r="BP158" s="277"/>
      <c r="BQ158" s="279"/>
      <c r="BR158" s="281"/>
      <c r="BS158" s="808">
        <f>IF($F162="","",SUM(BS174:BU174)-BU160)</f>
        <v>480</v>
      </c>
      <c r="BT158" s="808"/>
      <c r="BU158" s="808"/>
      <c r="BV158" s="280"/>
      <c r="BW158" s="279"/>
      <c r="BX158" s="279"/>
      <c r="BY158" s="279"/>
      <c r="BZ158" s="279"/>
      <c r="CA158" s="281"/>
      <c r="CB158" s="808">
        <f>IF($F162="","",SUM(CB174:CD174)-CD160)</f>
        <v>520</v>
      </c>
      <c r="CC158" s="808"/>
      <c r="CD158" s="808"/>
      <c r="CE158" s="280"/>
      <c r="CF158" s="279"/>
      <c r="CG158" s="279"/>
      <c r="CH158" s="279"/>
      <c r="CI158" s="279"/>
      <c r="CJ158" s="273"/>
      <c r="CK158" s="808">
        <f>IF($F162="","",SUM(CK174:CM174))</f>
        <v>500</v>
      </c>
      <c r="CL158" s="808"/>
      <c r="CM158" s="808"/>
      <c r="CN158" s="280"/>
      <c r="CO158" s="279"/>
      <c r="CP158" s="279"/>
      <c r="CQ158" s="279"/>
      <c r="CR158" s="273"/>
      <c r="CS158" s="273"/>
      <c r="CT158" s="273"/>
      <c r="CU158" s="292"/>
      <c r="CV158" s="246"/>
      <c r="CW158" s="255"/>
    </row>
    <row r="159" spans="1:101" x14ac:dyDescent="0.2">
      <c r="A159" s="256"/>
      <c r="B159" s="256"/>
      <c r="C159" s="209"/>
      <c r="D159" s="916">
        <v>43</v>
      </c>
      <c r="E159" s="588">
        <f>IF(D159="","",DATE($D$4,1,1)+(D159-1)*7+(6-WEEKDAY(DATE($D$4,1,1),2)))</f>
        <v>45955</v>
      </c>
      <c r="F159" s="213"/>
      <c r="G159" s="214"/>
      <c r="H159" s="214"/>
      <c r="I159" s="804">
        <f>IF(ISERROR(AVERAGE(Q158,Z158,AI158,AR158,BA158,BJ158,BS158,CB158,CK158)),"",AVERAGE(Q158,Z158,AI158,AR158,BA158,BJ158,BS158,CB158,CK158))</f>
        <v>512.22222222222217</v>
      </c>
      <c r="J159" s="806"/>
      <c r="K159" s="806"/>
      <c r="L159" s="295"/>
      <c r="M159" s="372"/>
      <c r="N159" s="245"/>
      <c r="O159" s="215"/>
      <c r="P159" s="215"/>
      <c r="Q159" s="710">
        <f>IF(Q158="","",Q158/Data!$X$1)</f>
        <v>0.36666666666666664</v>
      </c>
      <c r="R159" s="710"/>
      <c r="S159" s="711">
        <f>IF(SUM(X162:X173)=0,"",SUM(X162:X173))</f>
        <v>5</v>
      </c>
      <c r="T159" s="216"/>
      <c r="U159" s="217"/>
      <c r="V159" s="217"/>
      <c r="W159" s="217"/>
      <c r="X159" s="217"/>
      <c r="Y159" s="215"/>
      <c r="Z159" s="710">
        <f>IF(Z158="","",Z158/Data!$X$1)</f>
        <v>0.39166666666666666</v>
      </c>
      <c r="AA159" s="710"/>
      <c r="AB159" s="711">
        <f>IF(SUM(AG162:AG173)=0,"",SUM(AG162:AG173))</f>
        <v>5</v>
      </c>
      <c r="AC159" s="216"/>
      <c r="AD159" s="217"/>
      <c r="AE159" s="217"/>
      <c r="AF159" s="217"/>
      <c r="AG159" s="217"/>
      <c r="AH159" s="215"/>
      <c r="AI159" s="710">
        <f>IF(AI158="","",AI158/Data!$X$1)</f>
        <v>0.47499999999999998</v>
      </c>
      <c r="AJ159" s="710"/>
      <c r="AK159" s="711">
        <f>IF(SUM(AP162:AP173)=0,"",SUM(AP162:AP173))</f>
        <v>6</v>
      </c>
      <c r="AL159" s="216"/>
      <c r="AM159" s="217"/>
      <c r="AN159" s="217"/>
      <c r="AO159" s="217"/>
      <c r="AP159" s="217"/>
      <c r="AQ159" s="215"/>
      <c r="AR159" s="710">
        <f>IF(AR158="","",AR158/Data!$X$1)</f>
        <v>0.45833333333333331</v>
      </c>
      <c r="AS159" s="710"/>
      <c r="AT159" s="711">
        <f>IF(SUM(AY162:AY173)=0,"",SUM(AY162:AY173))</f>
        <v>7</v>
      </c>
      <c r="AU159" s="218"/>
      <c r="AV159" s="217"/>
      <c r="AW159" s="217"/>
      <c r="AX159" s="217"/>
      <c r="AY159" s="217"/>
      <c r="AZ159" s="219"/>
      <c r="BA159" s="710">
        <f>IF(BA158="","",BA158/Data!$X$1)</f>
        <v>0.43333333333333335</v>
      </c>
      <c r="BB159" s="710"/>
      <c r="BC159" s="711">
        <f>IF(SUM(BH162:BH173)=0,"",SUM(BH162:BH173))</f>
        <v>6</v>
      </c>
      <c r="BD159" s="218"/>
      <c r="BE159" s="217"/>
      <c r="BF159" s="217"/>
      <c r="BG159" s="217"/>
      <c r="BH159" s="217"/>
      <c r="BI159" s="219"/>
      <c r="BJ159" s="710">
        <f>IF(BJ158="","",BJ158/Data!$X$1)</f>
        <v>0.46666666666666667</v>
      </c>
      <c r="BK159" s="710"/>
      <c r="BL159" s="711">
        <f>IF(SUM(BQ162:BQ173)=0,"",SUM(BQ162:BQ173))</f>
        <v>6</v>
      </c>
      <c r="BM159" s="218"/>
      <c r="BN159" s="217"/>
      <c r="BO159" s="217"/>
      <c r="BP159" s="217"/>
      <c r="BQ159" s="217"/>
      <c r="BR159" s="220"/>
      <c r="BS159" s="710">
        <f>IF(BS158="","",BS158/Data!$X$1)</f>
        <v>0.4</v>
      </c>
      <c r="BT159" s="710"/>
      <c r="BU159" s="711">
        <f>IF(SUM(BZ162:BZ173)=0,"",SUM(BZ162:BZ173))</f>
        <v>6</v>
      </c>
      <c r="BV159" s="219"/>
      <c r="BW159" s="217"/>
      <c r="BX159" s="217"/>
      <c r="BY159" s="217"/>
      <c r="BZ159" s="217"/>
      <c r="CA159" s="220"/>
      <c r="CB159" s="710">
        <f>IF(CB158="","",CB158/Data!$X$1)</f>
        <v>0.43333333333333335</v>
      </c>
      <c r="CC159" s="710"/>
      <c r="CD159" s="711">
        <f>IF(SUM(CI162:CI173)=0,"",SUM(CI162:CI173))</f>
        <v>8</v>
      </c>
      <c r="CE159" s="219"/>
      <c r="CF159" s="217"/>
      <c r="CG159" s="217"/>
      <c r="CH159" s="217"/>
      <c r="CI159" s="217"/>
      <c r="CJ159" s="217"/>
      <c r="CK159" s="710">
        <f>IF(CK158="","",CK158/Data!$X$1)</f>
        <v>0.41666666666666669</v>
      </c>
      <c r="CL159" s="710"/>
      <c r="CM159" s="711">
        <f>IF(SUM(CR162:CR173)=0,"",SUM(CR162:CR173))</f>
        <v>5</v>
      </c>
      <c r="CN159" s="219"/>
      <c r="CO159" s="217"/>
      <c r="CP159" s="217"/>
      <c r="CQ159" s="217"/>
      <c r="CR159" s="217"/>
      <c r="CS159" s="217"/>
      <c r="CT159" s="217"/>
      <c r="CU159" s="296"/>
      <c r="CV159" s="246"/>
      <c r="CW159" s="255"/>
    </row>
    <row r="160" spans="1:101" ht="13.5" thickBot="1" x14ac:dyDescent="0.25">
      <c r="A160" s="256"/>
      <c r="B160" s="256"/>
      <c r="C160" s="209"/>
      <c r="D160" s="269">
        <f>D138+1</f>
        <v>8</v>
      </c>
      <c r="E160" s="402" t="s">
        <v>61</v>
      </c>
      <c r="F160" s="221"/>
      <c r="G160" s="222"/>
      <c r="H160" s="222"/>
      <c r="I160" s="802"/>
      <c r="J160" s="807"/>
      <c r="K160" s="807"/>
      <c r="L160" s="297"/>
      <c r="M160" s="373"/>
      <c r="N160" s="377"/>
      <c r="O160" s="222"/>
      <c r="P160" s="222"/>
      <c r="Q160" s="385" t="str">
        <f>Data!$E$11</f>
        <v>AHH</v>
      </c>
      <c r="R160" s="386">
        <f>IF($F173="","",RANK(Q158,$Q158:$CL158))</f>
        <v>9</v>
      </c>
      <c r="S160" s="510"/>
      <c r="T160" s="216">
        <v>0</v>
      </c>
      <c r="U160" s="217"/>
      <c r="V160" s="217"/>
      <c r="W160" s="217"/>
      <c r="X160" s="217"/>
      <c r="Y160" s="215"/>
      <c r="Z160" s="385" t="str">
        <f>Data!$E$12</f>
        <v>RB</v>
      </c>
      <c r="AA160" s="386">
        <f>IF($F173="","",RANK(Z158,$Q158:$CL158))</f>
        <v>8</v>
      </c>
      <c r="AB160" s="510"/>
      <c r="AC160" s="216"/>
      <c r="AD160" s="217"/>
      <c r="AE160" s="217"/>
      <c r="AF160" s="217"/>
      <c r="AG160" s="217"/>
      <c r="AH160" s="215"/>
      <c r="AI160" s="385" t="str">
        <f>Data!$E$13</f>
        <v>EB</v>
      </c>
      <c r="AJ160" s="386">
        <f>IF($F173="","",RANK(AI158,$Q158:$CL158))</f>
        <v>1</v>
      </c>
      <c r="AK160" s="510"/>
      <c r="AL160" s="216"/>
      <c r="AM160" s="217"/>
      <c r="AN160" s="217"/>
      <c r="AO160" s="217"/>
      <c r="AP160" s="217"/>
      <c r="AQ160" s="215"/>
      <c r="AR160" s="346" t="str">
        <f>Data!$E$14</f>
        <v>KAF</v>
      </c>
      <c r="AS160" s="386">
        <f>IF($F173="","",RANK(AR158,$Q158:$CL158))</f>
        <v>3</v>
      </c>
      <c r="AT160" s="510"/>
      <c r="AU160" s="216"/>
      <c r="AV160" s="217"/>
      <c r="AW160" s="217"/>
      <c r="AX160" s="217"/>
      <c r="AY160" s="217"/>
      <c r="AZ160" s="215"/>
      <c r="BA160" s="346" t="str">
        <f>Data!$E$15</f>
        <v>ØG</v>
      </c>
      <c r="BB160" s="386">
        <f>IF($F173="","",RANK(BA158,$Q158:$CL158))</f>
        <v>4</v>
      </c>
      <c r="BC160" s="510"/>
      <c r="BD160" s="216"/>
      <c r="BE160" s="217"/>
      <c r="BF160" s="217"/>
      <c r="BG160" s="217"/>
      <c r="BH160" s="217"/>
      <c r="BI160" s="215"/>
      <c r="BJ160" s="346" t="str">
        <f>Data!$E$16</f>
        <v>JH</v>
      </c>
      <c r="BK160" s="386">
        <f>IF($F173="","",RANK(BJ158,$Q158:$CL158))</f>
        <v>2</v>
      </c>
      <c r="BL160" s="510"/>
      <c r="BM160" s="216"/>
      <c r="BN160" s="217"/>
      <c r="BO160" s="217"/>
      <c r="BP160" s="217"/>
      <c r="BQ160" s="217"/>
      <c r="BR160" s="223"/>
      <c r="BS160" s="346" t="str">
        <f>Data!$E$17</f>
        <v>TOH</v>
      </c>
      <c r="BT160" s="386">
        <f>IF($F173="","",RANK(BS158,$Q158:$CL158))</f>
        <v>7</v>
      </c>
      <c r="BU160" s="510"/>
      <c r="BV160" s="215"/>
      <c r="BW160" s="217"/>
      <c r="BX160" s="217"/>
      <c r="BY160" s="217"/>
      <c r="BZ160" s="217"/>
      <c r="CA160" s="223"/>
      <c r="CB160" s="346" t="s">
        <v>26</v>
      </c>
      <c r="CC160" s="386">
        <f>IF($F173="","",RANK(CB158,$Q158:$CM158))</f>
        <v>4</v>
      </c>
      <c r="CD160" s="511"/>
      <c r="CE160" s="215"/>
      <c r="CF160" s="217"/>
      <c r="CG160" s="217"/>
      <c r="CH160" s="217"/>
      <c r="CI160" s="217"/>
      <c r="CJ160" s="217"/>
      <c r="CK160" s="346" t="s">
        <v>27</v>
      </c>
      <c r="CL160" s="386">
        <f>IF($F173="","",RANK(CK158,$Q158:$CM158))</f>
        <v>6</v>
      </c>
      <c r="CM160" s="798"/>
      <c r="CN160" s="215"/>
      <c r="CO160" s="217"/>
      <c r="CP160" s="217"/>
      <c r="CQ160" s="217"/>
      <c r="CR160" s="217"/>
      <c r="CS160" s="217"/>
      <c r="CT160" s="217"/>
      <c r="CU160" s="296"/>
      <c r="CV160" s="246"/>
      <c r="CW160" s="255"/>
    </row>
    <row r="161" spans="1:101" ht="13.5" thickBot="1" x14ac:dyDescent="0.25">
      <c r="A161" s="264"/>
      <c r="B161" s="264"/>
      <c r="C161" s="202"/>
      <c r="D161" s="270"/>
      <c r="E161" s="224"/>
      <c r="F161" s="225"/>
      <c r="G161" s="226"/>
      <c r="H161" s="226"/>
      <c r="I161" s="227" t="s">
        <v>45</v>
      </c>
      <c r="J161" s="228" t="s">
        <v>46</v>
      </c>
      <c r="K161" s="229" t="s">
        <v>47</v>
      </c>
      <c r="L161" s="298"/>
      <c r="M161" s="374"/>
      <c r="N161" s="378"/>
      <c r="O161" s="230"/>
      <c r="P161" s="230"/>
      <c r="Q161" s="227" t="s">
        <v>45</v>
      </c>
      <c r="R161" s="228" t="s">
        <v>46</v>
      </c>
      <c r="S161" s="229" t="s">
        <v>47</v>
      </c>
      <c r="T161" s="231"/>
      <c r="U161" s="232"/>
      <c r="V161" s="232"/>
      <c r="W161" s="232"/>
      <c r="X161" s="232"/>
      <c r="Y161" s="230"/>
      <c r="Z161" s="227" t="s">
        <v>45</v>
      </c>
      <c r="AA161" s="228" t="s">
        <v>46</v>
      </c>
      <c r="AB161" s="229" t="s">
        <v>47</v>
      </c>
      <c r="AC161" s="231"/>
      <c r="AD161" s="232"/>
      <c r="AE161" s="232"/>
      <c r="AF161" s="232"/>
      <c r="AG161" s="232"/>
      <c r="AH161" s="230"/>
      <c r="AI161" s="227" t="s">
        <v>45</v>
      </c>
      <c r="AJ161" s="228" t="s">
        <v>46</v>
      </c>
      <c r="AK161" s="229" t="s">
        <v>47</v>
      </c>
      <c r="AL161" s="231"/>
      <c r="AM161" s="232"/>
      <c r="AN161" s="232"/>
      <c r="AO161" s="232"/>
      <c r="AP161" s="232"/>
      <c r="AQ161" s="230"/>
      <c r="AR161" s="227" t="s">
        <v>45</v>
      </c>
      <c r="AS161" s="228" t="s">
        <v>46</v>
      </c>
      <c r="AT161" s="229" t="s">
        <v>47</v>
      </c>
      <c r="AU161" s="231"/>
      <c r="AV161" s="232"/>
      <c r="AW161" s="232"/>
      <c r="AX161" s="232"/>
      <c r="AY161" s="232"/>
      <c r="AZ161" s="230"/>
      <c r="BA161" s="227" t="s">
        <v>45</v>
      </c>
      <c r="BB161" s="228" t="s">
        <v>46</v>
      </c>
      <c r="BC161" s="229" t="s">
        <v>47</v>
      </c>
      <c r="BD161" s="231"/>
      <c r="BE161" s="232"/>
      <c r="BF161" s="232"/>
      <c r="BG161" s="232"/>
      <c r="BH161" s="232"/>
      <c r="BI161" s="230"/>
      <c r="BJ161" s="227" t="s">
        <v>45</v>
      </c>
      <c r="BK161" s="228" t="s">
        <v>46</v>
      </c>
      <c r="BL161" s="229" t="s">
        <v>47</v>
      </c>
      <c r="BM161" s="231"/>
      <c r="BN161" s="232"/>
      <c r="BO161" s="232"/>
      <c r="BP161" s="232"/>
      <c r="BQ161" s="232"/>
      <c r="BR161" s="230"/>
      <c r="BS161" s="227" t="s">
        <v>45</v>
      </c>
      <c r="BT161" s="228" t="s">
        <v>46</v>
      </c>
      <c r="BU161" s="229" t="s">
        <v>47</v>
      </c>
      <c r="BV161" s="231"/>
      <c r="BW161" s="232"/>
      <c r="BX161" s="232"/>
      <c r="BY161" s="232"/>
      <c r="BZ161" s="233"/>
      <c r="CA161" s="230"/>
      <c r="CB161" s="227" t="s">
        <v>45</v>
      </c>
      <c r="CC161" s="228" t="s">
        <v>46</v>
      </c>
      <c r="CD161" s="229" t="s">
        <v>47</v>
      </c>
      <c r="CE161" s="231"/>
      <c r="CF161" s="232"/>
      <c r="CG161" s="232"/>
      <c r="CH161" s="232"/>
      <c r="CI161" s="232"/>
      <c r="CJ161" s="232"/>
      <c r="CK161" s="227" t="s">
        <v>45</v>
      </c>
      <c r="CL161" s="228" t="s">
        <v>46</v>
      </c>
      <c r="CM161" s="229" t="s">
        <v>47</v>
      </c>
      <c r="CN161" s="231"/>
      <c r="CO161" s="232"/>
      <c r="CP161" s="232"/>
      <c r="CQ161" s="232"/>
      <c r="CR161" s="232"/>
      <c r="CS161" s="232"/>
      <c r="CT161" s="234"/>
      <c r="CU161" s="296"/>
      <c r="CV161" s="246"/>
      <c r="CW161" s="265"/>
    </row>
    <row r="162" spans="1:101" x14ac:dyDescent="0.2">
      <c r="A162" s="264"/>
      <c r="B162" s="264"/>
      <c r="C162" s="202"/>
      <c r="D162" s="271">
        <v>1</v>
      </c>
      <c r="E162" s="166" t="s">
        <v>134</v>
      </c>
      <c r="F162" s="468">
        <v>2</v>
      </c>
      <c r="G162" s="472" t="s">
        <v>49</v>
      </c>
      <c r="H162" s="473">
        <v>1</v>
      </c>
      <c r="I162" s="170" t="str">
        <f t="shared" ref="I162:I173" si="350">IF($F162&gt;$H162,"x","")</f>
        <v>x</v>
      </c>
      <c r="J162" s="387" t="str">
        <f t="shared" ref="J162:J173" si="351">IF(F162&lt;&gt;"",IF(H162&lt;&gt;"",IF(F162=H162,"x",""),""),"")</f>
        <v/>
      </c>
      <c r="K162" s="388" t="str">
        <f t="shared" ref="K162:K173" si="352">IF($F162&lt;$H162,"x","")</f>
        <v/>
      </c>
      <c r="L162" s="299"/>
      <c r="M162" s="375"/>
      <c r="N162" s="379"/>
      <c r="O162" s="236"/>
      <c r="P162" s="236"/>
      <c r="Q162" s="480">
        <v>40</v>
      </c>
      <c r="R162" s="481">
        <v>40</v>
      </c>
      <c r="S162" s="482">
        <f>IF(Q162="","",100-SUM(Q162:R162))</f>
        <v>20</v>
      </c>
      <c r="T162" s="371"/>
      <c r="U162" s="232">
        <f t="shared" ref="U162:U173" si="353">IF($I162="x",Q162,"")</f>
        <v>40</v>
      </c>
      <c r="V162" s="232" t="str">
        <f t="shared" ref="V162:V173" si="354">IF($J162="x",R162,"")</f>
        <v/>
      </c>
      <c r="W162" s="232" t="str">
        <f t="shared" ref="W162:W173" si="355">IF($K162="x",S162,"")</f>
        <v/>
      </c>
      <c r="X162" s="232">
        <f>IF((MAX(U162,V162,W162))=0,"",IF((MAX(U162,V162,W162))=(MAX(Q162,R162,S162)),1,""))</f>
        <v>1</v>
      </c>
      <c r="Y162" s="371"/>
      <c r="Z162" s="495">
        <v>80</v>
      </c>
      <c r="AA162" s="496">
        <v>10</v>
      </c>
      <c r="AB162" s="482">
        <f t="shared" ref="AB162:AB173" si="356">IF(Z162="","",100-SUM(Z162:AA162))</f>
        <v>10</v>
      </c>
      <c r="AC162" s="371"/>
      <c r="AD162" s="232">
        <f t="shared" ref="AD162:AD173" si="357">IF($I162="x",Z162,"")</f>
        <v>80</v>
      </c>
      <c r="AE162" s="232" t="str">
        <f t="shared" ref="AE162:AE173" si="358">IF($J162="x",AA162,"")</f>
        <v/>
      </c>
      <c r="AF162" s="232" t="str">
        <f t="shared" ref="AF162:AF173" si="359">IF($K162="x",AB162,"")</f>
        <v/>
      </c>
      <c r="AG162" s="232">
        <f>IF((MAX(AD162,AE162,AF162))=0,"",IF((MAX(AD162,AE162,AF162))=(MAX(Z162,AA162,AB162)),1,""))</f>
        <v>1</v>
      </c>
      <c r="AH162" s="371"/>
      <c r="AI162" s="495">
        <v>70</v>
      </c>
      <c r="AJ162" s="496">
        <v>10</v>
      </c>
      <c r="AK162" s="482">
        <f t="shared" ref="AK162:AK173" si="360">IF(AI162="","",100-SUM(AI162:AJ162))</f>
        <v>20</v>
      </c>
      <c r="AL162" s="371"/>
      <c r="AM162" s="232">
        <f t="shared" ref="AM162:AM173" si="361">IF($I162="x",AI162,"")</f>
        <v>70</v>
      </c>
      <c r="AN162" s="232" t="str">
        <f t="shared" ref="AN162:AN173" si="362">IF($J162="x",AJ162,"")</f>
        <v/>
      </c>
      <c r="AO162" s="232" t="str">
        <f t="shared" ref="AO162:AO173" si="363">IF($K162="x",AK162,"")</f>
        <v/>
      </c>
      <c r="AP162" s="232">
        <f>IF((MAX(AM162,AN162,AO162))=0,"",IF((MAX(AM162,AN162,AO162))=(MAX(AI162,AJ162,AK162)),1,""))</f>
        <v>1</v>
      </c>
      <c r="AQ162" s="371"/>
      <c r="AR162" s="495">
        <v>60</v>
      </c>
      <c r="AS162" s="496">
        <v>30</v>
      </c>
      <c r="AT162" s="482">
        <f t="shared" ref="AT162:AT173" si="364">IF(AR162="","",100-SUM(AR162:AS162))</f>
        <v>10</v>
      </c>
      <c r="AU162" s="371"/>
      <c r="AV162" s="232">
        <f t="shared" ref="AV162:AV173" si="365">IF($I162="x",AR162,"")</f>
        <v>60</v>
      </c>
      <c r="AW162" s="232" t="str">
        <f t="shared" ref="AW162:AW173" si="366">IF($J162="x",AS162,"")</f>
        <v/>
      </c>
      <c r="AX162" s="232" t="str">
        <f t="shared" ref="AX162:AX173" si="367">IF($K162="x",AT162,"")</f>
        <v/>
      </c>
      <c r="AY162" s="232">
        <f>IF((MAX(AV162,AW162,AX162))=0,"",IF((MAX(AV162,AW162,AX162))=(MAX(AR162,AS162,AT162)),1,""))</f>
        <v>1</v>
      </c>
      <c r="AZ162" s="371"/>
      <c r="BA162" s="495">
        <v>10</v>
      </c>
      <c r="BB162" s="496">
        <v>30</v>
      </c>
      <c r="BC162" s="482">
        <f t="shared" ref="BC162:BC173" si="368">IF(BA162="","",100-SUM(BA162:BB162))</f>
        <v>60</v>
      </c>
      <c r="BD162" s="371"/>
      <c r="BE162" s="232">
        <f t="shared" ref="BE162:BE173" si="369">IF($I162="x",BA162,"")</f>
        <v>10</v>
      </c>
      <c r="BF162" s="232" t="str">
        <f t="shared" ref="BF162:BF173" si="370">IF($J162="x",BB162,"")</f>
        <v/>
      </c>
      <c r="BG162" s="232" t="str">
        <f t="shared" ref="BG162:BG173" si="371">IF($K162="x",BC162,"")</f>
        <v/>
      </c>
      <c r="BH162" s="232" t="str">
        <f>IF((MAX(BE162,BF162,BG162))=0,"",IF((MAX(BE162,BF162,BG162))=(MAX(BA162,BB162,BC162)),1,""))</f>
        <v/>
      </c>
      <c r="BI162" s="371"/>
      <c r="BJ162" s="495">
        <v>10</v>
      </c>
      <c r="BK162" s="496">
        <v>10</v>
      </c>
      <c r="BL162" s="482">
        <f t="shared" ref="BL162:BL173" si="372">IF(BJ162="","",100-SUM(BJ162:BK162))</f>
        <v>80</v>
      </c>
      <c r="BM162" s="371"/>
      <c r="BN162" s="232">
        <f t="shared" ref="BN162:BN173" si="373">IF($I162="x",BJ162,"")</f>
        <v>10</v>
      </c>
      <c r="BO162" s="232" t="str">
        <f t="shared" ref="BO162:BO173" si="374">IF($J162="x",BK162,"")</f>
        <v/>
      </c>
      <c r="BP162" s="232" t="str">
        <f t="shared" ref="BP162:BP173" si="375">IF($K162="x",BL162,"")</f>
        <v/>
      </c>
      <c r="BQ162" s="232" t="str">
        <f>IF((MAX(BN162,BO162,BP162))=0,"",IF((MAX(BN162,BO162,BP162))=(MAX(BJ162,BK162,BL162)),1,""))</f>
        <v/>
      </c>
      <c r="BR162" s="371"/>
      <c r="BS162" s="495">
        <v>20</v>
      </c>
      <c r="BT162" s="496">
        <v>20</v>
      </c>
      <c r="BU162" s="482">
        <f t="shared" ref="BU162:BU173" si="376">IF(BS162="","",100-SUM(BS162:BT162))</f>
        <v>60</v>
      </c>
      <c r="BV162" s="371"/>
      <c r="BW162" s="232">
        <f t="shared" ref="BW162:BW173" si="377">IF($I162="x",BS162,"")</f>
        <v>20</v>
      </c>
      <c r="BX162" s="232" t="str">
        <f t="shared" ref="BX162:BX173" si="378">IF($J162="x",BT162,"")</f>
        <v/>
      </c>
      <c r="BY162" s="232" t="str">
        <f t="shared" ref="BY162:BY173" si="379">IF($K162="x",BU162,"")</f>
        <v/>
      </c>
      <c r="BZ162" s="232" t="str">
        <f>IF((MAX(BW162,BX162,BY162))=0,"",IF((MAX(BW162,BX162,BY162))=(MAX(BS162,BT162,BU162)),1,""))</f>
        <v/>
      </c>
      <c r="CA162" s="371"/>
      <c r="CB162" s="501">
        <f t="shared" ref="CB162:CB173" si="380">IFERROR(ROUNDUP((SUM(Q162,Z162,AI162,AR162,BA162,BJ162,BS162)/SUM($Q162:$S162,$Z162:$AB162,$AI162:$AK162,$AR162:$AT162,$BA162:$BC162,$BJ162:$BL162,$BS162:$BU162))*100,-1),"")</f>
        <v>50</v>
      </c>
      <c r="CC162" s="502">
        <f t="shared" ref="CC162:CC173" si="381">IFERROR(ROUNDDOWN((SUM(R162,AA162,AJ162,AS162,BB162,BK162,BT162)/SUM($Q162:$S162,$Z162:$AB162,$AI162:$AK162,$AR162:$AT162,$BA162:$BC162,$BJ162:$BL162,$BS162:$BU162))*100,-1),"")</f>
        <v>20</v>
      </c>
      <c r="CD162" s="503">
        <f t="shared" ref="CD162:CD173" si="382">IF(CB162="","",100-SUM(CB162:CC162))</f>
        <v>30</v>
      </c>
      <c r="CE162" s="371"/>
      <c r="CF162" s="232">
        <f t="shared" ref="CF162:CF173" si="383">IF($I162="x",CB162,"")</f>
        <v>50</v>
      </c>
      <c r="CG162" s="232" t="str">
        <f t="shared" ref="CG162:CG173" si="384">IF($J162="x",CC162,"")</f>
        <v/>
      </c>
      <c r="CH162" s="232" t="str">
        <f t="shared" ref="CH162:CH173" si="385">IF($K162="x",CD162,"")</f>
        <v/>
      </c>
      <c r="CI162" s="232">
        <f>IF((MAX(CF162,CG162,CH162))=0,"",IF((MAX(CF162,CG162,CH162))=(MAX(CB162,CC162,CD162)),1,""))</f>
        <v>1</v>
      </c>
      <c r="CJ162" s="232"/>
      <c r="CK162" s="495">
        <v>40</v>
      </c>
      <c r="CL162" s="496">
        <v>40</v>
      </c>
      <c r="CM162" s="482">
        <f t="shared" ref="CM162:CM173" si="386">IF(CK162="","",100-SUM(CK162:CL162))</f>
        <v>20</v>
      </c>
      <c r="CN162" s="371"/>
      <c r="CO162" s="232">
        <f t="shared" ref="CO162:CO173" si="387">IF($I162="x",CK162,"")</f>
        <v>40</v>
      </c>
      <c r="CP162" s="232" t="str">
        <f t="shared" ref="CP162:CP173" si="388">IF($J162="x",CL162,"")</f>
        <v/>
      </c>
      <c r="CQ162" s="232" t="str">
        <f t="shared" ref="CQ162:CQ173" si="389">IF($K162="x",CM162,"")</f>
        <v/>
      </c>
      <c r="CR162" s="232">
        <f>IF((MAX(CO162,CP162,CQ162))=0,"",IF((MAX(CO162,CP162,CQ162))=(MAX(CK162,CL162,CM162)),1,""))</f>
        <v>1</v>
      </c>
      <c r="CS162" s="232"/>
      <c r="CT162" s="371"/>
      <c r="CU162" s="296"/>
      <c r="CV162" s="246"/>
      <c r="CW162" s="264"/>
    </row>
    <row r="163" spans="1:101" x14ac:dyDescent="0.2">
      <c r="A163" s="264"/>
      <c r="B163" s="264"/>
      <c r="C163" s="202"/>
      <c r="D163" s="271">
        <v>2</v>
      </c>
      <c r="E163" s="167" t="s">
        <v>135</v>
      </c>
      <c r="F163" s="469">
        <v>5</v>
      </c>
      <c r="G163" s="474" t="s">
        <v>49</v>
      </c>
      <c r="H163" s="475">
        <v>1</v>
      </c>
      <c r="I163" s="389" t="str">
        <f t="shared" si="350"/>
        <v>x</v>
      </c>
      <c r="J163" s="390" t="str">
        <f t="shared" si="351"/>
        <v/>
      </c>
      <c r="K163" s="391" t="str">
        <f t="shared" si="352"/>
        <v/>
      </c>
      <c r="L163" s="299"/>
      <c r="M163" s="375"/>
      <c r="N163" s="379"/>
      <c r="O163" s="236"/>
      <c r="P163" s="236"/>
      <c r="Q163" s="483">
        <v>60</v>
      </c>
      <c r="R163" s="484">
        <v>20</v>
      </c>
      <c r="S163" s="485">
        <f t="shared" ref="S163:S173" si="390">IF(Q163="","",100-SUM(Q163:R163))</f>
        <v>20</v>
      </c>
      <c r="T163" s="371"/>
      <c r="U163" s="232">
        <f t="shared" si="353"/>
        <v>60</v>
      </c>
      <c r="V163" s="232" t="str">
        <f t="shared" si="354"/>
        <v/>
      </c>
      <c r="W163" s="232" t="str">
        <f t="shared" si="355"/>
        <v/>
      </c>
      <c r="X163" s="232">
        <f t="shared" ref="X163:X173" si="391">IF((MAX(U163,V163,W163))=0,"",IF((MAX(U163,V163,W163))=(MAX(Q163,R163,S163)),1,""))</f>
        <v>1</v>
      </c>
      <c r="Y163" s="371"/>
      <c r="Z163" s="497">
        <v>80</v>
      </c>
      <c r="AA163" s="498">
        <v>10</v>
      </c>
      <c r="AB163" s="485">
        <f t="shared" si="356"/>
        <v>10</v>
      </c>
      <c r="AC163" s="371"/>
      <c r="AD163" s="232">
        <f t="shared" si="357"/>
        <v>80</v>
      </c>
      <c r="AE163" s="232" t="str">
        <f t="shared" si="358"/>
        <v/>
      </c>
      <c r="AF163" s="232" t="str">
        <f t="shared" si="359"/>
        <v/>
      </c>
      <c r="AG163" s="232">
        <f t="shared" ref="AG163:AG173" si="392">IF((MAX(AD163,AE163,AF163))=0,"",IF((MAX(AD163,AE163,AF163))=(MAX(Z163,AA163,AB163)),1,""))</f>
        <v>1</v>
      </c>
      <c r="AH163" s="371"/>
      <c r="AI163" s="497">
        <v>80</v>
      </c>
      <c r="AJ163" s="498">
        <v>10</v>
      </c>
      <c r="AK163" s="485">
        <f t="shared" si="360"/>
        <v>10</v>
      </c>
      <c r="AL163" s="371"/>
      <c r="AM163" s="232">
        <f t="shared" si="361"/>
        <v>80</v>
      </c>
      <c r="AN163" s="232" t="str">
        <f t="shared" si="362"/>
        <v/>
      </c>
      <c r="AO163" s="232" t="str">
        <f t="shared" si="363"/>
        <v/>
      </c>
      <c r="AP163" s="232">
        <f t="shared" ref="AP163:AP173" si="393">IF((MAX(AM163,AN163,AO163))=0,"",IF((MAX(AM163,AN163,AO163))=(MAX(AI163,AJ163,AK163)),1,""))</f>
        <v>1</v>
      </c>
      <c r="AQ163" s="371"/>
      <c r="AR163" s="497">
        <v>80</v>
      </c>
      <c r="AS163" s="498">
        <v>10</v>
      </c>
      <c r="AT163" s="485">
        <f t="shared" si="364"/>
        <v>10</v>
      </c>
      <c r="AU163" s="371"/>
      <c r="AV163" s="232">
        <f t="shared" si="365"/>
        <v>80</v>
      </c>
      <c r="AW163" s="232" t="str">
        <f t="shared" si="366"/>
        <v/>
      </c>
      <c r="AX163" s="232" t="str">
        <f t="shared" si="367"/>
        <v/>
      </c>
      <c r="AY163" s="232">
        <f t="shared" ref="AY163:AY173" si="394">IF((MAX(AV163,AW163,AX163))=0,"",IF((MAX(AV163,AW163,AX163))=(MAX(AR163,AS163,AT163)),1,""))</f>
        <v>1</v>
      </c>
      <c r="AZ163" s="371"/>
      <c r="BA163" s="497">
        <v>80</v>
      </c>
      <c r="BB163" s="498">
        <v>10</v>
      </c>
      <c r="BC163" s="485">
        <f t="shared" si="368"/>
        <v>10</v>
      </c>
      <c r="BD163" s="371"/>
      <c r="BE163" s="232">
        <f t="shared" si="369"/>
        <v>80</v>
      </c>
      <c r="BF163" s="232" t="str">
        <f t="shared" si="370"/>
        <v/>
      </c>
      <c r="BG163" s="232" t="str">
        <f t="shared" si="371"/>
        <v/>
      </c>
      <c r="BH163" s="232">
        <f t="shared" ref="BH163:BH173" si="395">IF((MAX(BE163,BF163,BG163))=0,"",IF((MAX(BE163,BF163,BG163))=(MAX(BA163,BB163,BC163)),1,""))</f>
        <v>1</v>
      </c>
      <c r="BI163" s="371"/>
      <c r="BJ163" s="497">
        <v>80</v>
      </c>
      <c r="BK163" s="498">
        <v>10</v>
      </c>
      <c r="BL163" s="485">
        <f t="shared" si="372"/>
        <v>10</v>
      </c>
      <c r="BM163" s="371"/>
      <c r="BN163" s="232">
        <f t="shared" si="373"/>
        <v>80</v>
      </c>
      <c r="BO163" s="232" t="str">
        <f t="shared" si="374"/>
        <v/>
      </c>
      <c r="BP163" s="232" t="str">
        <f t="shared" si="375"/>
        <v/>
      </c>
      <c r="BQ163" s="232">
        <f t="shared" ref="BQ163:BQ173" si="396">IF((MAX(BN163,BO163,BP163))=0,"",IF((MAX(BN163,BO163,BP163))=(MAX(BJ163,BK163,BL163)),1,""))</f>
        <v>1</v>
      </c>
      <c r="BR163" s="371"/>
      <c r="BS163" s="497">
        <v>70</v>
      </c>
      <c r="BT163" s="498">
        <v>20</v>
      </c>
      <c r="BU163" s="485">
        <f t="shared" si="376"/>
        <v>10</v>
      </c>
      <c r="BV163" s="371"/>
      <c r="BW163" s="232">
        <f t="shared" si="377"/>
        <v>70</v>
      </c>
      <c r="BX163" s="232" t="str">
        <f t="shared" si="378"/>
        <v/>
      </c>
      <c r="BY163" s="232" t="str">
        <f t="shared" si="379"/>
        <v/>
      </c>
      <c r="BZ163" s="232">
        <f t="shared" ref="BZ163:BZ173" si="397">IF((MAX(BW163,BX163,BY163))=0,"",IF((MAX(BW163,BX163,BY163))=(MAX(BS163,BT163,BU163)),1,""))</f>
        <v>1</v>
      </c>
      <c r="CA163" s="371"/>
      <c r="CB163" s="504">
        <f t="shared" si="380"/>
        <v>80</v>
      </c>
      <c r="CC163" s="505">
        <f t="shared" si="381"/>
        <v>10</v>
      </c>
      <c r="CD163" s="506">
        <f t="shared" si="382"/>
        <v>10</v>
      </c>
      <c r="CE163" s="371"/>
      <c r="CF163" s="232">
        <f t="shared" si="383"/>
        <v>80</v>
      </c>
      <c r="CG163" s="232" t="str">
        <f t="shared" si="384"/>
        <v/>
      </c>
      <c r="CH163" s="232" t="str">
        <f t="shared" si="385"/>
        <v/>
      </c>
      <c r="CI163" s="232">
        <f t="shared" ref="CI163:CI173" si="398">IF((MAX(CF163,CG163,CH163))=0,"",IF((MAX(CF163,CG163,CH163))=(MAX(CB163,CC163,CD163)),1,""))</f>
        <v>1</v>
      </c>
      <c r="CJ163" s="232"/>
      <c r="CK163" s="497">
        <v>80</v>
      </c>
      <c r="CL163" s="498">
        <v>10</v>
      </c>
      <c r="CM163" s="485">
        <f t="shared" si="386"/>
        <v>10</v>
      </c>
      <c r="CN163" s="371"/>
      <c r="CO163" s="232">
        <f t="shared" si="387"/>
        <v>80</v>
      </c>
      <c r="CP163" s="232" t="str">
        <f t="shared" si="388"/>
        <v/>
      </c>
      <c r="CQ163" s="232" t="str">
        <f t="shared" si="389"/>
        <v/>
      </c>
      <c r="CR163" s="232">
        <f t="shared" ref="CR163:CR173" si="399">IF((MAX(CO163,CP163,CQ163))=0,"",IF((MAX(CO163,CP163,CQ163))=(MAX(CK163,CL163,CM163)),1,""))</f>
        <v>1</v>
      </c>
      <c r="CS163" s="232"/>
      <c r="CT163" s="371"/>
      <c r="CU163" s="296"/>
      <c r="CV163" s="246"/>
      <c r="CW163" s="264"/>
    </row>
    <row r="164" spans="1:101" ht="13.5" thickBot="1" x14ac:dyDescent="0.25">
      <c r="A164" s="264"/>
      <c r="B164" s="264"/>
      <c r="C164" s="202"/>
      <c r="D164" s="271">
        <v>3</v>
      </c>
      <c r="E164" s="168" t="s">
        <v>136</v>
      </c>
      <c r="F164" s="470">
        <v>1</v>
      </c>
      <c r="G164" s="476" t="s">
        <v>49</v>
      </c>
      <c r="H164" s="477">
        <v>3</v>
      </c>
      <c r="I164" s="392" t="str">
        <f t="shared" si="350"/>
        <v/>
      </c>
      <c r="J164" s="393" t="str">
        <f t="shared" si="351"/>
        <v/>
      </c>
      <c r="K164" s="394" t="str">
        <f t="shared" si="352"/>
        <v>x</v>
      </c>
      <c r="L164" s="299"/>
      <c r="M164" s="375"/>
      <c r="N164" s="379"/>
      <c r="O164" s="236"/>
      <c r="P164" s="236"/>
      <c r="Q164" s="486">
        <v>30</v>
      </c>
      <c r="R164" s="487">
        <v>40</v>
      </c>
      <c r="S164" s="488">
        <f t="shared" si="390"/>
        <v>30</v>
      </c>
      <c r="T164" s="371"/>
      <c r="U164" s="232" t="str">
        <f t="shared" si="353"/>
        <v/>
      </c>
      <c r="V164" s="232" t="str">
        <f t="shared" si="354"/>
        <v/>
      </c>
      <c r="W164" s="232">
        <f t="shared" si="355"/>
        <v>30</v>
      </c>
      <c r="X164" s="232" t="str">
        <f t="shared" si="391"/>
        <v/>
      </c>
      <c r="Y164" s="371"/>
      <c r="Z164" s="499">
        <v>80</v>
      </c>
      <c r="AA164" s="500">
        <v>10</v>
      </c>
      <c r="AB164" s="488">
        <f t="shared" si="356"/>
        <v>10</v>
      </c>
      <c r="AC164" s="371"/>
      <c r="AD164" s="232" t="str">
        <f t="shared" si="357"/>
        <v/>
      </c>
      <c r="AE164" s="232" t="str">
        <f t="shared" si="358"/>
        <v/>
      </c>
      <c r="AF164" s="232">
        <f t="shared" si="359"/>
        <v>10</v>
      </c>
      <c r="AG164" s="232" t="str">
        <f t="shared" si="392"/>
        <v/>
      </c>
      <c r="AH164" s="371"/>
      <c r="AI164" s="499">
        <v>60</v>
      </c>
      <c r="AJ164" s="500">
        <v>20</v>
      </c>
      <c r="AK164" s="488">
        <f t="shared" si="360"/>
        <v>20</v>
      </c>
      <c r="AL164" s="371"/>
      <c r="AM164" s="232" t="str">
        <f t="shared" si="361"/>
        <v/>
      </c>
      <c r="AN164" s="232" t="str">
        <f t="shared" si="362"/>
        <v/>
      </c>
      <c r="AO164" s="232">
        <f t="shared" si="363"/>
        <v>20</v>
      </c>
      <c r="AP164" s="232" t="str">
        <f t="shared" si="393"/>
        <v/>
      </c>
      <c r="AQ164" s="371"/>
      <c r="AR164" s="499">
        <v>40</v>
      </c>
      <c r="AS164" s="500">
        <v>20</v>
      </c>
      <c r="AT164" s="488">
        <f t="shared" si="364"/>
        <v>40</v>
      </c>
      <c r="AU164" s="371"/>
      <c r="AV164" s="232" t="str">
        <f t="shared" si="365"/>
        <v/>
      </c>
      <c r="AW164" s="232" t="str">
        <f t="shared" si="366"/>
        <v/>
      </c>
      <c r="AX164" s="232">
        <f t="shared" si="367"/>
        <v>40</v>
      </c>
      <c r="AY164" s="232">
        <f t="shared" si="394"/>
        <v>1</v>
      </c>
      <c r="AZ164" s="371"/>
      <c r="BA164" s="499">
        <v>10</v>
      </c>
      <c r="BB164" s="500">
        <v>10</v>
      </c>
      <c r="BC164" s="488">
        <f t="shared" si="368"/>
        <v>80</v>
      </c>
      <c r="BD164" s="371"/>
      <c r="BE164" s="232" t="str">
        <f t="shared" si="369"/>
        <v/>
      </c>
      <c r="BF164" s="232" t="str">
        <f t="shared" si="370"/>
        <v/>
      </c>
      <c r="BG164" s="232">
        <f t="shared" si="371"/>
        <v>80</v>
      </c>
      <c r="BH164" s="232">
        <f t="shared" si="395"/>
        <v>1</v>
      </c>
      <c r="BI164" s="371"/>
      <c r="BJ164" s="499">
        <v>10</v>
      </c>
      <c r="BK164" s="500">
        <v>10</v>
      </c>
      <c r="BL164" s="488">
        <f t="shared" si="372"/>
        <v>80</v>
      </c>
      <c r="BM164" s="371"/>
      <c r="BN164" s="232" t="str">
        <f t="shared" si="373"/>
        <v/>
      </c>
      <c r="BO164" s="232" t="str">
        <f t="shared" si="374"/>
        <v/>
      </c>
      <c r="BP164" s="232">
        <f t="shared" si="375"/>
        <v>80</v>
      </c>
      <c r="BQ164" s="232">
        <f t="shared" si="396"/>
        <v>1</v>
      </c>
      <c r="BR164" s="371"/>
      <c r="BS164" s="499">
        <v>20</v>
      </c>
      <c r="BT164" s="500">
        <v>30</v>
      </c>
      <c r="BU164" s="488">
        <f t="shared" si="376"/>
        <v>50</v>
      </c>
      <c r="BV164" s="371"/>
      <c r="BW164" s="232" t="str">
        <f t="shared" si="377"/>
        <v/>
      </c>
      <c r="BX164" s="232" t="str">
        <f t="shared" si="378"/>
        <v/>
      </c>
      <c r="BY164" s="232">
        <f t="shared" si="379"/>
        <v>50</v>
      </c>
      <c r="BZ164" s="232">
        <f t="shared" si="397"/>
        <v>1</v>
      </c>
      <c r="CA164" s="371"/>
      <c r="CB164" s="507">
        <f t="shared" si="380"/>
        <v>40</v>
      </c>
      <c r="CC164" s="508">
        <f t="shared" si="381"/>
        <v>20</v>
      </c>
      <c r="CD164" s="509">
        <f t="shared" si="382"/>
        <v>40</v>
      </c>
      <c r="CE164" s="371"/>
      <c r="CF164" s="232" t="str">
        <f t="shared" si="383"/>
        <v/>
      </c>
      <c r="CG164" s="232" t="str">
        <f t="shared" si="384"/>
        <v/>
      </c>
      <c r="CH164" s="232">
        <f t="shared" si="385"/>
        <v>40</v>
      </c>
      <c r="CI164" s="232">
        <f t="shared" si="398"/>
        <v>1</v>
      </c>
      <c r="CJ164" s="232"/>
      <c r="CK164" s="499">
        <v>30</v>
      </c>
      <c r="CL164" s="500">
        <v>40</v>
      </c>
      <c r="CM164" s="488">
        <f t="shared" si="386"/>
        <v>30</v>
      </c>
      <c r="CN164" s="371"/>
      <c r="CO164" s="232" t="str">
        <f t="shared" si="387"/>
        <v/>
      </c>
      <c r="CP164" s="232" t="str">
        <f t="shared" si="388"/>
        <v/>
      </c>
      <c r="CQ164" s="232">
        <f t="shared" si="389"/>
        <v>30</v>
      </c>
      <c r="CR164" s="232" t="str">
        <f t="shared" si="399"/>
        <v/>
      </c>
      <c r="CS164" s="232"/>
      <c r="CT164" s="371"/>
      <c r="CU164" s="296"/>
      <c r="CV164" s="246"/>
      <c r="CW164" s="264"/>
    </row>
    <row r="165" spans="1:101" x14ac:dyDescent="0.2">
      <c r="A165" s="264"/>
      <c r="B165" s="264"/>
      <c r="C165" s="202"/>
      <c r="D165" s="271">
        <v>4</v>
      </c>
      <c r="E165" s="166" t="s">
        <v>137</v>
      </c>
      <c r="F165" s="468">
        <v>2</v>
      </c>
      <c r="G165" s="472" t="s">
        <v>49</v>
      </c>
      <c r="H165" s="473">
        <v>1</v>
      </c>
      <c r="I165" s="170" t="str">
        <f t="shared" si="350"/>
        <v>x</v>
      </c>
      <c r="J165" s="387" t="str">
        <f t="shared" si="351"/>
        <v/>
      </c>
      <c r="K165" s="388" t="str">
        <f t="shared" si="352"/>
        <v/>
      </c>
      <c r="L165" s="299"/>
      <c r="M165" s="375"/>
      <c r="N165" s="379"/>
      <c r="O165" s="236"/>
      <c r="P165" s="236"/>
      <c r="Q165" s="480">
        <v>60</v>
      </c>
      <c r="R165" s="481">
        <v>20</v>
      </c>
      <c r="S165" s="482">
        <f t="shared" si="390"/>
        <v>20</v>
      </c>
      <c r="T165" s="371"/>
      <c r="U165" s="232">
        <f t="shared" si="353"/>
        <v>60</v>
      </c>
      <c r="V165" s="232" t="str">
        <f t="shared" si="354"/>
        <v/>
      </c>
      <c r="W165" s="232" t="str">
        <f t="shared" si="355"/>
        <v/>
      </c>
      <c r="X165" s="232">
        <f t="shared" si="391"/>
        <v>1</v>
      </c>
      <c r="Y165" s="371"/>
      <c r="Z165" s="495">
        <v>80</v>
      </c>
      <c r="AA165" s="496">
        <v>10</v>
      </c>
      <c r="AB165" s="482">
        <f t="shared" si="356"/>
        <v>10</v>
      </c>
      <c r="AC165" s="371"/>
      <c r="AD165" s="232">
        <f t="shared" si="357"/>
        <v>80</v>
      </c>
      <c r="AE165" s="232" t="str">
        <f t="shared" si="358"/>
        <v/>
      </c>
      <c r="AF165" s="232" t="str">
        <f t="shared" si="359"/>
        <v/>
      </c>
      <c r="AG165" s="232">
        <f t="shared" si="392"/>
        <v>1</v>
      </c>
      <c r="AH165" s="371"/>
      <c r="AI165" s="495">
        <v>80</v>
      </c>
      <c r="AJ165" s="496">
        <v>10</v>
      </c>
      <c r="AK165" s="482">
        <f t="shared" si="360"/>
        <v>10</v>
      </c>
      <c r="AL165" s="371"/>
      <c r="AM165" s="232">
        <f t="shared" si="361"/>
        <v>80</v>
      </c>
      <c r="AN165" s="232" t="str">
        <f t="shared" si="362"/>
        <v/>
      </c>
      <c r="AO165" s="232" t="str">
        <f t="shared" si="363"/>
        <v/>
      </c>
      <c r="AP165" s="232">
        <f t="shared" si="393"/>
        <v>1</v>
      </c>
      <c r="AQ165" s="371"/>
      <c r="AR165" s="495">
        <v>80</v>
      </c>
      <c r="AS165" s="496">
        <v>10</v>
      </c>
      <c r="AT165" s="482">
        <f t="shared" si="364"/>
        <v>10</v>
      </c>
      <c r="AU165" s="371"/>
      <c r="AV165" s="232">
        <f t="shared" si="365"/>
        <v>80</v>
      </c>
      <c r="AW165" s="232" t="str">
        <f t="shared" si="366"/>
        <v/>
      </c>
      <c r="AX165" s="232" t="str">
        <f t="shared" si="367"/>
        <v/>
      </c>
      <c r="AY165" s="232">
        <f t="shared" si="394"/>
        <v>1</v>
      </c>
      <c r="AZ165" s="371"/>
      <c r="BA165" s="495">
        <v>80</v>
      </c>
      <c r="BB165" s="496">
        <v>10</v>
      </c>
      <c r="BC165" s="482">
        <f t="shared" si="368"/>
        <v>10</v>
      </c>
      <c r="BD165" s="371"/>
      <c r="BE165" s="232">
        <f t="shared" si="369"/>
        <v>80</v>
      </c>
      <c r="BF165" s="232" t="str">
        <f t="shared" si="370"/>
        <v/>
      </c>
      <c r="BG165" s="232" t="str">
        <f t="shared" si="371"/>
        <v/>
      </c>
      <c r="BH165" s="232">
        <f t="shared" si="395"/>
        <v>1</v>
      </c>
      <c r="BI165" s="371"/>
      <c r="BJ165" s="495">
        <v>80</v>
      </c>
      <c r="BK165" s="496">
        <v>10</v>
      </c>
      <c r="BL165" s="482">
        <f t="shared" si="372"/>
        <v>10</v>
      </c>
      <c r="BM165" s="371"/>
      <c r="BN165" s="232">
        <f t="shared" si="373"/>
        <v>80</v>
      </c>
      <c r="BO165" s="232" t="str">
        <f t="shared" si="374"/>
        <v/>
      </c>
      <c r="BP165" s="232" t="str">
        <f t="shared" si="375"/>
        <v/>
      </c>
      <c r="BQ165" s="232">
        <f t="shared" si="396"/>
        <v>1</v>
      </c>
      <c r="BR165" s="371"/>
      <c r="BS165" s="495">
        <v>80</v>
      </c>
      <c r="BT165" s="496">
        <v>10</v>
      </c>
      <c r="BU165" s="482">
        <f t="shared" si="376"/>
        <v>10</v>
      </c>
      <c r="BV165" s="371"/>
      <c r="BW165" s="232">
        <f t="shared" si="377"/>
        <v>80</v>
      </c>
      <c r="BX165" s="232" t="str">
        <f t="shared" si="378"/>
        <v/>
      </c>
      <c r="BY165" s="232" t="str">
        <f t="shared" si="379"/>
        <v/>
      </c>
      <c r="BZ165" s="232">
        <f t="shared" si="397"/>
        <v>1</v>
      </c>
      <c r="CA165" s="371"/>
      <c r="CB165" s="501">
        <f t="shared" si="380"/>
        <v>80</v>
      </c>
      <c r="CC165" s="502">
        <f t="shared" si="381"/>
        <v>10</v>
      </c>
      <c r="CD165" s="503">
        <f t="shared" si="382"/>
        <v>10</v>
      </c>
      <c r="CE165" s="371"/>
      <c r="CF165" s="232">
        <f t="shared" si="383"/>
        <v>80</v>
      </c>
      <c r="CG165" s="232" t="str">
        <f t="shared" si="384"/>
        <v/>
      </c>
      <c r="CH165" s="232" t="str">
        <f t="shared" si="385"/>
        <v/>
      </c>
      <c r="CI165" s="232">
        <f t="shared" si="398"/>
        <v>1</v>
      </c>
      <c r="CJ165" s="232"/>
      <c r="CK165" s="495">
        <v>80</v>
      </c>
      <c r="CL165" s="496">
        <v>10</v>
      </c>
      <c r="CM165" s="482">
        <f t="shared" si="386"/>
        <v>10</v>
      </c>
      <c r="CN165" s="371"/>
      <c r="CO165" s="232">
        <f t="shared" si="387"/>
        <v>80</v>
      </c>
      <c r="CP165" s="232" t="str">
        <f t="shared" si="388"/>
        <v/>
      </c>
      <c r="CQ165" s="232" t="str">
        <f t="shared" si="389"/>
        <v/>
      </c>
      <c r="CR165" s="232">
        <f t="shared" si="399"/>
        <v>1</v>
      </c>
      <c r="CS165" s="232"/>
      <c r="CT165" s="371"/>
      <c r="CU165" s="296"/>
      <c r="CV165" s="246"/>
      <c r="CW165" s="264"/>
    </row>
    <row r="166" spans="1:101" x14ac:dyDescent="0.2">
      <c r="A166" s="264"/>
      <c r="B166" s="264"/>
      <c r="C166" s="202"/>
      <c r="D166" s="271">
        <v>5</v>
      </c>
      <c r="E166" s="167" t="s">
        <v>138</v>
      </c>
      <c r="F166" s="469">
        <v>0</v>
      </c>
      <c r="G166" s="474" t="s">
        <v>49</v>
      </c>
      <c r="H166" s="475">
        <v>1</v>
      </c>
      <c r="I166" s="389" t="str">
        <f t="shared" si="350"/>
        <v/>
      </c>
      <c r="J166" s="390" t="str">
        <f t="shared" si="351"/>
        <v/>
      </c>
      <c r="K166" s="391" t="str">
        <f t="shared" si="352"/>
        <v>x</v>
      </c>
      <c r="L166" s="299"/>
      <c r="M166" s="375"/>
      <c r="N166" s="379"/>
      <c r="O166" s="236"/>
      <c r="P166" s="236"/>
      <c r="Q166" s="483">
        <v>30</v>
      </c>
      <c r="R166" s="484">
        <v>40</v>
      </c>
      <c r="S166" s="485">
        <f t="shared" si="390"/>
        <v>30</v>
      </c>
      <c r="T166" s="371"/>
      <c r="U166" s="232" t="str">
        <f t="shared" si="353"/>
        <v/>
      </c>
      <c r="V166" s="232" t="str">
        <f t="shared" si="354"/>
        <v/>
      </c>
      <c r="W166" s="232">
        <f t="shared" si="355"/>
        <v>30</v>
      </c>
      <c r="X166" s="232" t="str">
        <f t="shared" si="391"/>
        <v/>
      </c>
      <c r="Y166" s="371"/>
      <c r="Z166" s="497">
        <v>80</v>
      </c>
      <c r="AA166" s="498">
        <v>10</v>
      </c>
      <c r="AB166" s="485">
        <f t="shared" si="356"/>
        <v>10</v>
      </c>
      <c r="AC166" s="371"/>
      <c r="AD166" s="232" t="str">
        <f t="shared" si="357"/>
        <v/>
      </c>
      <c r="AE166" s="232" t="str">
        <f t="shared" si="358"/>
        <v/>
      </c>
      <c r="AF166" s="232">
        <f t="shared" si="359"/>
        <v>10</v>
      </c>
      <c r="AG166" s="232" t="str">
        <f t="shared" si="392"/>
        <v/>
      </c>
      <c r="AH166" s="371"/>
      <c r="AI166" s="497">
        <v>30</v>
      </c>
      <c r="AJ166" s="498">
        <v>40</v>
      </c>
      <c r="AK166" s="485">
        <f t="shared" si="360"/>
        <v>30</v>
      </c>
      <c r="AL166" s="371"/>
      <c r="AM166" s="232" t="str">
        <f t="shared" si="361"/>
        <v/>
      </c>
      <c r="AN166" s="232" t="str">
        <f t="shared" si="362"/>
        <v/>
      </c>
      <c r="AO166" s="232">
        <f t="shared" si="363"/>
        <v>30</v>
      </c>
      <c r="AP166" s="232" t="str">
        <f t="shared" si="393"/>
        <v/>
      </c>
      <c r="AQ166" s="371"/>
      <c r="AR166" s="497">
        <v>30</v>
      </c>
      <c r="AS166" s="498">
        <v>10</v>
      </c>
      <c r="AT166" s="485">
        <f t="shared" si="364"/>
        <v>60</v>
      </c>
      <c r="AU166" s="371"/>
      <c r="AV166" s="232" t="str">
        <f t="shared" si="365"/>
        <v/>
      </c>
      <c r="AW166" s="232" t="str">
        <f t="shared" si="366"/>
        <v/>
      </c>
      <c r="AX166" s="232">
        <f t="shared" si="367"/>
        <v>60</v>
      </c>
      <c r="AY166" s="232">
        <f t="shared" si="394"/>
        <v>1</v>
      </c>
      <c r="AZ166" s="371"/>
      <c r="BA166" s="497">
        <v>10</v>
      </c>
      <c r="BB166" s="498">
        <v>30</v>
      </c>
      <c r="BC166" s="485">
        <f t="shared" si="368"/>
        <v>60</v>
      </c>
      <c r="BD166" s="371"/>
      <c r="BE166" s="232" t="str">
        <f t="shared" si="369"/>
        <v/>
      </c>
      <c r="BF166" s="232" t="str">
        <f t="shared" si="370"/>
        <v/>
      </c>
      <c r="BG166" s="232">
        <f t="shared" si="371"/>
        <v>60</v>
      </c>
      <c r="BH166" s="232">
        <f t="shared" si="395"/>
        <v>1</v>
      </c>
      <c r="BI166" s="371"/>
      <c r="BJ166" s="497">
        <v>10</v>
      </c>
      <c r="BK166" s="498">
        <v>10</v>
      </c>
      <c r="BL166" s="485">
        <f t="shared" si="372"/>
        <v>80</v>
      </c>
      <c r="BM166" s="371"/>
      <c r="BN166" s="232" t="str">
        <f t="shared" si="373"/>
        <v/>
      </c>
      <c r="BO166" s="232" t="str">
        <f t="shared" si="374"/>
        <v/>
      </c>
      <c r="BP166" s="232">
        <f t="shared" si="375"/>
        <v>80</v>
      </c>
      <c r="BQ166" s="232">
        <f t="shared" si="396"/>
        <v>1</v>
      </c>
      <c r="BR166" s="371"/>
      <c r="BS166" s="497">
        <v>60</v>
      </c>
      <c r="BT166" s="498">
        <v>20</v>
      </c>
      <c r="BU166" s="485">
        <f t="shared" si="376"/>
        <v>20</v>
      </c>
      <c r="BV166" s="371"/>
      <c r="BW166" s="232" t="str">
        <f t="shared" si="377"/>
        <v/>
      </c>
      <c r="BX166" s="232" t="str">
        <f t="shared" si="378"/>
        <v/>
      </c>
      <c r="BY166" s="232">
        <f t="shared" si="379"/>
        <v>20</v>
      </c>
      <c r="BZ166" s="232" t="str">
        <f t="shared" si="397"/>
        <v/>
      </c>
      <c r="CA166" s="371"/>
      <c r="CB166" s="504">
        <f t="shared" si="380"/>
        <v>40</v>
      </c>
      <c r="CC166" s="505">
        <f t="shared" si="381"/>
        <v>20</v>
      </c>
      <c r="CD166" s="506">
        <f t="shared" si="382"/>
        <v>40</v>
      </c>
      <c r="CE166" s="371"/>
      <c r="CF166" s="232" t="str">
        <f t="shared" si="383"/>
        <v/>
      </c>
      <c r="CG166" s="232" t="str">
        <f t="shared" si="384"/>
        <v/>
      </c>
      <c r="CH166" s="232">
        <f t="shared" si="385"/>
        <v>40</v>
      </c>
      <c r="CI166" s="232">
        <f t="shared" si="398"/>
        <v>1</v>
      </c>
      <c r="CJ166" s="232"/>
      <c r="CK166" s="497">
        <v>30</v>
      </c>
      <c r="CL166" s="498">
        <v>40</v>
      </c>
      <c r="CM166" s="485">
        <f t="shared" si="386"/>
        <v>30</v>
      </c>
      <c r="CN166" s="371"/>
      <c r="CO166" s="232" t="str">
        <f t="shared" si="387"/>
        <v/>
      </c>
      <c r="CP166" s="232" t="str">
        <f t="shared" si="388"/>
        <v/>
      </c>
      <c r="CQ166" s="232">
        <f t="shared" si="389"/>
        <v>30</v>
      </c>
      <c r="CR166" s="232" t="str">
        <f t="shared" si="399"/>
        <v/>
      </c>
      <c r="CS166" s="232"/>
      <c r="CT166" s="371"/>
      <c r="CU166" s="296"/>
      <c r="CV166" s="246"/>
      <c r="CW166" s="264"/>
    </row>
    <row r="167" spans="1:101" ht="13.5" thickBot="1" x14ac:dyDescent="0.25">
      <c r="A167" s="264"/>
      <c r="B167" s="264"/>
      <c r="C167" s="202"/>
      <c r="D167" s="271">
        <v>6</v>
      </c>
      <c r="E167" s="168" t="s">
        <v>139</v>
      </c>
      <c r="F167" s="470">
        <v>1</v>
      </c>
      <c r="G167" s="476" t="s">
        <v>49</v>
      </c>
      <c r="H167" s="477">
        <v>1</v>
      </c>
      <c r="I167" s="392" t="str">
        <f t="shared" si="350"/>
        <v/>
      </c>
      <c r="J167" s="393" t="str">
        <f t="shared" si="351"/>
        <v>x</v>
      </c>
      <c r="K167" s="394" t="str">
        <f t="shared" si="352"/>
        <v/>
      </c>
      <c r="L167" s="299"/>
      <c r="M167" s="375"/>
      <c r="N167" s="379"/>
      <c r="O167" s="236"/>
      <c r="P167" s="236"/>
      <c r="Q167" s="489">
        <v>30</v>
      </c>
      <c r="R167" s="490">
        <v>30</v>
      </c>
      <c r="S167" s="491">
        <f t="shared" si="390"/>
        <v>40</v>
      </c>
      <c r="T167" s="371"/>
      <c r="U167" s="232" t="str">
        <f t="shared" si="353"/>
        <v/>
      </c>
      <c r="V167" s="232">
        <f t="shared" si="354"/>
        <v>30</v>
      </c>
      <c r="W167" s="232" t="str">
        <f t="shared" si="355"/>
        <v/>
      </c>
      <c r="X167" s="232" t="str">
        <f t="shared" si="391"/>
        <v/>
      </c>
      <c r="Y167" s="371"/>
      <c r="Z167" s="499">
        <v>10</v>
      </c>
      <c r="AA167" s="500">
        <v>10</v>
      </c>
      <c r="AB167" s="491">
        <f t="shared" si="356"/>
        <v>80</v>
      </c>
      <c r="AC167" s="371"/>
      <c r="AD167" s="232" t="str">
        <f t="shared" si="357"/>
        <v/>
      </c>
      <c r="AE167" s="232">
        <f t="shared" si="358"/>
        <v>10</v>
      </c>
      <c r="AF167" s="232" t="str">
        <f t="shared" si="359"/>
        <v/>
      </c>
      <c r="AG167" s="232" t="str">
        <f t="shared" si="392"/>
        <v/>
      </c>
      <c r="AH167" s="371"/>
      <c r="AI167" s="499">
        <v>30</v>
      </c>
      <c r="AJ167" s="500">
        <v>30</v>
      </c>
      <c r="AK167" s="491">
        <f t="shared" si="360"/>
        <v>40</v>
      </c>
      <c r="AL167" s="371"/>
      <c r="AM167" s="232" t="str">
        <f t="shared" si="361"/>
        <v/>
      </c>
      <c r="AN167" s="232">
        <f t="shared" si="362"/>
        <v>30</v>
      </c>
      <c r="AO167" s="232" t="str">
        <f t="shared" si="363"/>
        <v/>
      </c>
      <c r="AP167" s="232" t="str">
        <f t="shared" si="393"/>
        <v/>
      </c>
      <c r="AQ167" s="371"/>
      <c r="AR167" s="499">
        <v>10</v>
      </c>
      <c r="AS167" s="500">
        <v>20</v>
      </c>
      <c r="AT167" s="491">
        <f t="shared" si="364"/>
        <v>70</v>
      </c>
      <c r="AU167" s="371"/>
      <c r="AV167" s="232" t="str">
        <f t="shared" si="365"/>
        <v/>
      </c>
      <c r="AW167" s="232">
        <f t="shared" si="366"/>
        <v>20</v>
      </c>
      <c r="AX167" s="232" t="str">
        <f t="shared" si="367"/>
        <v/>
      </c>
      <c r="AY167" s="232" t="str">
        <f t="shared" si="394"/>
        <v/>
      </c>
      <c r="AZ167" s="371"/>
      <c r="BA167" s="499">
        <v>60</v>
      </c>
      <c r="BB167" s="500">
        <v>10</v>
      </c>
      <c r="BC167" s="491">
        <f t="shared" si="368"/>
        <v>30</v>
      </c>
      <c r="BD167" s="371"/>
      <c r="BE167" s="232" t="str">
        <f t="shared" si="369"/>
        <v/>
      </c>
      <c r="BF167" s="232">
        <f t="shared" si="370"/>
        <v>10</v>
      </c>
      <c r="BG167" s="232" t="str">
        <f t="shared" si="371"/>
        <v/>
      </c>
      <c r="BH167" s="232" t="str">
        <f t="shared" si="395"/>
        <v/>
      </c>
      <c r="BI167" s="371"/>
      <c r="BJ167" s="499">
        <v>10</v>
      </c>
      <c r="BK167" s="500">
        <v>10</v>
      </c>
      <c r="BL167" s="491">
        <f t="shared" si="372"/>
        <v>80</v>
      </c>
      <c r="BM167" s="371"/>
      <c r="BN167" s="232" t="str">
        <f t="shared" si="373"/>
        <v/>
      </c>
      <c r="BO167" s="232">
        <f t="shared" si="374"/>
        <v>10</v>
      </c>
      <c r="BP167" s="232" t="str">
        <f t="shared" si="375"/>
        <v/>
      </c>
      <c r="BQ167" s="232" t="str">
        <f t="shared" si="396"/>
        <v/>
      </c>
      <c r="BR167" s="371"/>
      <c r="BS167" s="499">
        <v>30</v>
      </c>
      <c r="BT167" s="500">
        <v>20</v>
      </c>
      <c r="BU167" s="491">
        <f t="shared" si="376"/>
        <v>50</v>
      </c>
      <c r="BV167" s="371"/>
      <c r="BW167" s="232" t="str">
        <f t="shared" si="377"/>
        <v/>
      </c>
      <c r="BX167" s="232">
        <f t="shared" si="378"/>
        <v>20</v>
      </c>
      <c r="BY167" s="232" t="str">
        <f t="shared" si="379"/>
        <v/>
      </c>
      <c r="BZ167" s="232" t="str">
        <f t="shared" si="397"/>
        <v/>
      </c>
      <c r="CA167" s="371"/>
      <c r="CB167" s="507">
        <f t="shared" si="380"/>
        <v>30</v>
      </c>
      <c r="CC167" s="508">
        <f t="shared" si="381"/>
        <v>10</v>
      </c>
      <c r="CD167" s="509">
        <f t="shared" si="382"/>
        <v>60</v>
      </c>
      <c r="CE167" s="371"/>
      <c r="CF167" s="232" t="str">
        <f t="shared" si="383"/>
        <v/>
      </c>
      <c r="CG167" s="232">
        <f t="shared" si="384"/>
        <v>10</v>
      </c>
      <c r="CH167" s="232" t="str">
        <f t="shared" si="385"/>
        <v/>
      </c>
      <c r="CI167" s="232" t="str">
        <f t="shared" si="398"/>
        <v/>
      </c>
      <c r="CJ167" s="232"/>
      <c r="CK167" s="499">
        <v>10</v>
      </c>
      <c r="CL167" s="500">
        <v>10</v>
      </c>
      <c r="CM167" s="491">
        <f t="shared" si="386"/>
        <v>80</v>
      </c>
      <c r="CN167" s="371"/>
      <c r="CO167" s="232" t="str">
        <f t="shared" si="387"/>
        <v/>
      </c>
      <c r="CP167" s="232">
        <f t="shared" si="388"/>
        <v>10</v>
      </c>
      <c r="CQ167" s="232" t="str">
        <f t="shared" si="389"/>
        <v/>
      </c>
      <c r="CR167" s="232" t="str">
        <f t="shared" si="399"/>
        <v/>
      </c>
      <c r="CS167" s="232"/>
      <c r="CT167" s="371"/>
      <c r="CU167" s="296"/>
      <c r="CV167" s="246"/>
      <c r="CW167" s="264"/>
    </row>
    <row r="168" spans="1:101" x14ac:dyDescent="0.2">
      <c r="A168" s="264"/>
      <c r="B168" s="264"/>
      <c r="C168" s="202"/>
      <c r="D168" s="271">
        <v>7</v>
      </c>
      <c r="E168" s="166" t="s">
        <v>140</v>
      </c>
      <c r="F168" s="468">
        <v>0</v>
      </c>
      <c r="G168" s="472" t="s">
        <v>49</v>
      </c>
      <c r="H168" s="473">
        <v>1</v>
      </c>
      <c r="I168" s="170" t="str">
        <f t="shared" si="350"/>
        <v/>
      </c>
      <c r="J168" s="387" t="str">
        <f t="shared" si="351"/>
        <v/>
      </c>
      <c r="K168" s="388" t="str">
        <f t="shared" si="352"/>
        <v>x</v>
      </c>
      <c r="L168" s="299"/>
      <c r="M168" s="375"/>
      <c r="N168" s="379"/>
      <c r="O168" s="236"/>
      <c r="P168" s="236"/>
      <c r="Q168" s="480">
        <v>40</v>
      </c>
      <c r="R168" s="481">
        <v>30</v>
      </c>
      <c r="S168" s="482">
        <f t="shared" si="390"/>
        <v>30</v>
      </c>
      <c r="T168" s="371"/>
      <c r="U168" s="232" t="str">
        <f t="shared" si="353"/>
        <v/>
      </c>
      <c r="V168" s="232" t="str">
        <f t="shared" si="354"/>
        <v/>
      </c>
      <c r="W168" s="232">
        <f t="shared" si="355"/>
        <v>30</v>
      </c>
      <c r="X168" s="232" t="str">
        <f t="shared" si="391"/>
        <v/>
      </c>
      <c r="Y168" s="371"/>
      <c r="Z168" s="495">
        <v>80</v>
      </c>
      <c r="AA168" s="496">
        <v>10</v>
      </c>
      <c r="AB168" s="482">
        <f t="shared" si="356"/>
        <v>10</v>
      </c>
      <c r="AC168" s="371"/>
      <c r="AD168" s="232" t="str">
        <f t="shared" si="357"/>
        <v/>
      </c>
      <c r="AE168" s="232" t="str">
        <f t="shared" si="358"/>
        <v/>
      </c>
      <c r="AF168" s="232">
        <f t="shared" si="359"/>
        <v>10</v>
      </c>
      <c r="AG168" s="232" t="str">
        <f t="shared" si="392"/>
        <v/>
      </c>
      <c r="AH168" s="371"/>
      <c r="AI168" s="495">
        <v>40</v>
      </c>
      <c r="AJ168" s="496">
        <v>20</v>
      </c>
      <c r="AK168" s="482">
        <f t="shared" si="360"/>
        <v>40</v>
      </c>
      <c r="AL168" s="371"/>
      <c r="AM168" s="232" t="str">
        <f t="shared" si="361"/>
        <v/>
      </c>
      <c r="AN168" s="232" t="str">
        <f t="shared" si="362"/>
        <v/>
      </c>
      <c r="AO168" s="232">
        <f t="shared" si="363"/>
        <v>40</v>
      </c>
      <c r="AP168" s="232">
        <f t="shared" si="393"/>
        <v>1</v>
      </c>
      <c r="AQ168" s="371"/>
      <c r="AR168" s="495">
        <v>50</v>
      </c>
      <c r="AS168" s="496">
        <v>30</v>
      </c>
      <c r="AT168" s="482">
        <f t="shared" si="364"/>
        <v>20</v>
      </c>
      <c r="AU168" s="371"/>
      <c r="AV168" s="232" t="str">
        <f t="shared" si="365"/>
        <v/>
      </c>
      <c r="AW168" s="232" t="str">
        <f t="shared" si="366"/>
        <v/>
      </c>
      <c r="AX168" s="232">
        <f t="shared" si="367"/>
        <v>20</v>
      </c>
      <c r="AY168" s="232" t="str">
        <f t="shared" si="394"/>
        <v/>
      </c>
      <c r="AZ168" s="371"/>
      <c r="BA168" s="495">
        <v>20</v>
      </c>
      <c r="BB168" s="496">
        <v>50</v>
      </c>
      <c r="BC168" s="482">
        <f t="shared" si="368"/>
        <v>30</v>
      </c>
      <c r="BD168" s="371"/>
      <c r="BE168" s="232" t="str">
        <f t="shared" si="369"/>
        <v/>
      </c>
      <c r="BF168" s="232" t="str">
        <f t="shared" si="370"/>
        <v/>
      </c>
      <c r="BG168" s="232">
        <f t="shared" si="371"/>
        <v>30</v>
      </c>
      <c r="BH168" s="232" t="str">
        <f t="shared" si="395"/>
        <v/>
      </c>
      <c r="BI168" s="371"/>
      <c r="BJ168" s="495">
        <v>10</v>
      </c>
      <c r="BK168" s="496">
        <v>10</v>
      </c>
      <c r="BL168" s="482">
        <f t="shared" si="372"/>
        <v>80</v>
      </c>
      <c r="BM168" s="371"/>
      <c r="BN168" s="232" t="str">
        <f t="shared" si="373"/>
        <v/>
      </c>
      <c r="BO168" s="232" t="str">
        <f t="shared" si="374"/>
        <v/>
      </c>
      <c r="BP168" s="232">
        <f t="shared" si="375"/>
        <v>80</v>
      </c>
      <c r="BQ168" s="232">
        <f t="shared" si="396"/>
        <v>1</v>
      </c>
      <c r="BR168" s="371"/>
      <c r="BS168" s="495">
        <v>20</v>
      </c>
      <c r="BT168" s="496">
        <v>20</v>
      </c>
      <c r="BU168" s="482">
        <f t="shared" si="376"/>
        <v>60</v>
      </c>
      <c r="BV168" s="371"/>
      <c r="BW168" s="232" t="str">
        <f t="shared" si="377"/>
        <v/>
      </c>
      <c r="BX168" s="232" t="str">
        <f t="shared" si="378"/>
        <v/>
      </c>
      <c r="BY168" s="232">
        <f t="shared" si="379"/>
        <v>60</v>
      </c>
      <c r="BZ168" s="232">
        <f t="shared" si="397"/>
        <v>1</v>
      </c>
      <c r="CA168" s="371"/>
      <c r="CB168" s="501">
        <f t="shared" si="380"/>
        <v>40</v>
      </c>
      <c r="CC168" s="502">
        <f t="shared" si="381"/>
        <v>20</v>
      </c>
      <c r="CD168" s="503">
        <f t="shared" si="382"/>
        <v>40</v>
      </c>
      <c r="CE168" s="371"/>
      <c r="CF168" s="232" t="str">
        <f t="shared" si="383"/>
        <v/>
      </c>
      <c r="CG168" s="232" t="str">
        <f t="shared" si="384"/>
        <v/>
      </c>
      <c r="CH168" s="232">
        <f t="shared" si="385"/>
        <v>40</v>
      </c>
      <c r="CI168" s="232">
        <f t="shared" si="398"/>
        <v>1</v>
      </c>
      <c r="CJ168" s="232"/>
      <c r="CK168" s="495">
        <v>20</v>
      </c>
      <c r="CL168" s="496">
        <v>50</v>
      </c>
      <c r="CM168" s="482">
        <f t="shared" si="386"/>
        <v>30</v>
      </c>
      <c r="CN168" s="371"/>
      <c r="CO168" s="232" t="str">
        <f t="shared" si="387"/>
        <v/>
      </c>
      <c r="CP168" s="232" t="str">
        <f t="shared" si="388"/>
        <v/>
      </c>
      <c r="CQ168" s="232">
        <f t="shared" si="389"/>
        <v>30</v>
      </c>
      <c r="CR168" s="232" t="str">
        <f t="shared" si="399"/>
        <v/>
      </c>
      <c r="CS168" s="232"/>
      <c r="CT168" s="371"/>
      <c r="CU168" s="300"/>
      <c r="CV168" s="246"/>
      <c r="CW168" s="264"/>
    </row>
    <row r="169" spans="1:101" x14ac:dyDescent="0.2">
      <c r="A169" s="264"/>
      <c r="B169" s="264"/>
      <c r="C169" s="202"/>
      <c r="D169" s="271">
        <v>8</v>
      </c>
      <c r="E169" s="167" t="s">
        <v>141</v>
      </c>
      <c r="F169" s="469">
        <v>2</v>
      </c>
      <c r="G169" s="474" t="s">
        <v>49</v>
      </c>
      <c r="H169" s="475">
        <v>2</v>
      </c>
      <c r="I169" s="389" t="str">
        <f t="shared" si="350"/>
        <v/>
      </c>
      <c r="J169" s="390" t="str">
        <f t="shared" si="351"/>
        <v>x</v>
      </c>
      <c r="K169" s="391" t="str">
        <f t="shared" si="352"/>
        <v/>
      </c>
      <c r="L169" s="299"/>
      <c r="M169" s="375"/>
      <c r="N169" s="379"/>
      <c r="O169" s="236"/>
      <c r="P169" s="236"/>
      <c r="Q169" s="483">
        <v>20</v>
      </c>
      <c r="R169" s="484">
        <v>30</v>
      </c>
      <c r="S169" s="485">
        <f t="shared" si="390"/>
        <v>50</v>
      </c>
      <c r="T169" s="371"/>
      <c r="U169" s="232" t="str">
        <f t="shared" si="353"/>
        <v/>
      </c>
      <c r="V169" s="232">
        <f t="shared" si="354"/>
        <v>30</v>
      </c>
      <c r="W169" s="232" t="str">
        <f t="shared" si="355"/>
        <v/>
      </c>
      <c r="X169" s="232" t="str">
        <f t="shared" si="391"/>
        <v/>
      </c>
      <c r="Y169" s="371"/>
      <c r="Z169" s="497">
        <v>10</v>
      </c>
      <c r="AA169" s="498">
        <v>10</v>
      </c>
      <c r="AB169" s="485">
        <f t="shared" si="356"/>
        <v>80</v>
      </c>
      <c r="AC169" s="371"/>
      <c r="AD169" s="232" t="str">
        <f t="shared" si="357"/>
        <v/>
      </c>
      <c r="AE169" s="232">
        <f t="shared" si="358"/>
        <v>10</v>
      </c>
      <c r="AF169" s="232" t="str">
        <f t="shared" si="359"/>
        <v/>
      </c>
      <c r="AG169" s="232" t="str">
        <f t="shared" si="392"/>
        <v/>
      </c>
      <c r="AH169" s="371"/>
      <c r="AI169" s="497">
        <v>30</v>
      </c>
      <c r="AJ169" s="498">
        <v>20</v>
      </c>
      <c r="AK169" s="485">
        <f t="shared" si="360"/>
        <v>50</v>
      </c>
      <c r="AL169" s="371"/>
      <c r="AM169" s="232" t="str">
        <f t="shared" si="361"/>
        <v/>
      </c>
      <c r="AN169" s="232">
        <f t="shared" si="362"/>
        <v>20</v>
      </c>
      <c r="AO169" s="232" t="str">
        <f t="shared" si="363"/>
        <v/>
      </c>
      <c r="AP169" s="232" t="str">
        <f t="shared" si="393"/>
        <v/>
      </c>
      <c r="AQ169" s="371"/>
      <c r="AR169" s="497">
        <v>10</v>
      </c>
      <c r="AS169" s="498">
        <v>30</v>
      </c>
      <c r="AT169" s="485">
        <f t="shared" si="364"/>
        <v>60</v>
      </c>
      <c r="AU169" s="371"/>
      <c r="AV169" s="232" t="str">
        <f t="shared" si="365"/>
        <v/>
      </c>
      <c r="AW169" s="232">
        <f t="shared" si="366"/>
        <v>30</v>
      </c>
      <c r="AX169" s="232" t="str">
        <f t="shared" si="367"/>
        <v/>
      </c>
      <c r="AY169" s="232" t="str">
        <f t="shared" si="394"/>
        <v/>
      </c>
      <c r="AZ169" s="371"/>
      <c r="BA169" s="497">
        <v>10</v>
      </c>
      <c r="BB169" s="498">
        <v>10</v>
      </c>
      <c r="BC169" s="485">
        <f t="shared" si="368"/>
        <v>80</v>
      </c>
      <c r="BD169" s="371"/>
      <c r="BE169" s="232" t="str">
        <f t="shared" si="369"/>
        <v/>
      </c>
      <c r="BF169" s="232">
        <f t="shared" si="370"/>
        <v>10</v>
      </c>
      <c r="BG169" s="232" t="str">
        <f t="shared" si="371"/>
        <v/>
      </c>
      <c r="BH169" s="232" t="str">
        <f t="shared" si="395"/>
        <v/>
      </c>
      <c r="BI169" s="371"/>
      <c r="BJ169" s="497">
        <v>10</v>
      </c>
      <c r="BK169" s="498">
        <v>10</v>
      </c>
      <c r="BL169" s="485">
        <f t="shared" si="372"/>
        <v>80</v>
      </c>
      <c r="BM169" s="371"/>
      <c r="BN169" s="232" t="str">
        <f t="shared" si="373"/>
        <v/>
      </c>
      <c r="BO169" s="232">
        <f t="shared" si="374"/>
        <v>10</v>
      </c>
      <c r="BP169" s="232" t="str">
        <f t="shared" si="375"/>
        <v/>
      </c>
      <c r="BQ169" s="232" t="str">
        <f t="shared" si="396"/>
        <v/>
      </c>
      <c r="BR169" s="371"/>
      <c r="BS169" s="497">
        <v>20</v>
      </c>
      <c r="BT169" s="498">
        <v>10</v>
      </c>
      <c r="BU169" s="485">
        <f t="shared" si="376"/>
        <v>70</v>
      </c>
      <c r="BV169" s="371"/>
      <c r="BW169" s="232" t="str">
        <f t="shared" si="377"/>
        <v/>
      </c>
      <c r="BX169" s="232">
        <f t="shared" si="378"/>
        <v>10</v>
      </c>
      <c r="BY169" s="232" t="str">
        <f t="shared" si="379"/>
        <v/>
      </c>
      <c r="BZ169" s="232" t="str">
        <f t="shared" si="397"/>
        <v/>
      </c>
      <c r="CA169" s="371"/>
      <c r="CB169" s="504">
        <f t="shared" si="380"/>
        <v>20</v>
      </c>
      <c r="CC169" s="505">
        <f t="shared" si="381"/>
        <v>10</v>
      </c>
      <c r="CD169" s="506">
        <f t="shared" si="382"/>
        <v>70</v>
      </c>
      <c r="CE169" s="371"/>
      <c r="CF169" s="232" t="str">
        <f t="shared" si="383"/>
        <v/>
      </c>
      <c r="CG169" s="232">
        <f t="shared" si="384"/>
        <v>10</v>
      </c>
      <c r="CH169" s="232" t="str">
        <f t="shared" si="385"/>
        <v/>
      </c>
      <c r="CI169" s="232" t="str">
        <f t="shared" si="398"/>
        <v/>
      </c>
      <c r="CJ169" s="232"/>
      <c r="CK169" s="497">
        <v>10</v>
      </c>
      <c r="CL169" s="498">
        <v>30</v>
      </c>
      <c r="CM169" s="485">
        <f t="shared" si="386"/>
        <v>60</v>
      </c>
      <c r="CN169" s="371"/>
      <c r="CO169" s="232" t="str">
        <f t="shared" si="387"/>
        <v/>
      </c>
      <c r="CP169" s="232">
        <f t="shared" si="388"/>
        <v>30</v>
      </c>
      <c r="CQ169" s="232" t="str">
        <f t="shared" si="389"/>
        <v/>
      </c>
      <c r="CR169" s="232" t="str">
        <f t="shared" si="399"/>
        <v/>
      </c>
      <c r="CS169" s="232"/>
      <c r="CT169" s="371"/>
      <c r="CU169" s="300"/>
      <c r="CV169" s="246"/>
      <c r="CW169" s="264"/>
    </row>
    <row r="170" spans="1:101" ht="13.5" thickBot="1" x14ac:dyDescent="0.25">
      <c r="A170" s="264"/>
      <c r="B170" s="264"/>
      <c r="C170" s="202"/>
      <c r="D170" s="271">
        <v>9</v>
      </c>
      <c r="E170" s="168" t="s">
        <v>142</v>
      </c>
      <c r="F170" s="470">
        <v>1</v>
      </c>
      <c r="G170" s="476" t="s">
        <v>49</v>
      </c>
      <c r="H170" s="477">
        <v>2</v>
      </c>
      <c r="I170" s="392" t="str">
        <f t="shared" si="350"/>
        <v/>
      </c>
      <c r="J170" s="393" t="str">
        <f t="shared" si="351"/>
        <v/>
      </c>
      <c r="K170" s="394" t="str">
        <f t="shared" si="352"/>
        <v>x</v>
      </c>
      <c r="L170" s="299"/>
      <c r="M170" s="375"/>
      <c r="N170" s="379"/>
      <c r="O170" s="236"/>
      <c r="P170" s="236"/>
      <c r="Q170" s="489">
        <v>60</v>
      </c>
      <c r="R170" s="490">
        <v>20</v>
      </c>
      <c r="S170" s="491">
        <f t="shared" si="390"/>
        <v>20</v>
      </c>
      <c r="T170" s="371"/>
      <c r="U170" s="232" t="str">
        <f t="shared" si="353"/>
        <v/>
      </c>
      <c r="V170" s="232" t="str">
        <f t="shared" si="354"/>
        <v/>
      </c>
      <c r="W170" s="232">
        <f t="shared" si="355"/>
        <v>20</v>
      </c>
      <c r="X170" s="232" t="str">
        <f t="shared" si="391"/>
        <v/>
      </c>
      <c r="Y170" s="371"/>
      <c r="Z170" s="499">
        <v>80</v>
      </c>
      <c r="AA170" s="500">
        <v>10</v>
      </c>
      <c r="AB170" s="491">
        <f t="shared" si="356"/>
        <v>10</v>
      </c>
      <c r="AC170" s="371"/>
      <c r="AD170" s="232" t="str">
        <f t="shared" si="357"/>
        <v/>
      </c>
      <c r="AE170" s="232" t="str">
        <f t="shared" si="358"/>
        <v/>
      </c>
      <c r="AF170" s="232">
        <f t="shared" si="359"/>
        <v>10</v>
      </c>
      <c r="AG170" s="232" t="str">
        <f t="shared" si="392"/>
        <v/>
      </c>
      <c r="AH170" s="371"/>
      <c r="AI170" s="499">
        <v>50</v>
      </c>
      <c r="AJ170" s="500">
        <v>20</v>
      </c>
      <c r="AK170" s="491">
        <f t="shared" si="360"/>
        <v>30</v>
      </c>
      <c r="AL170" s="371"/>
      <c r="AM170" s="232" t="str">
        <f t="shared" si="361"/>
        <v/>
      </c>
      <c r="AN170" s="232" t="str">
        <f t="shared" si="362"/>
        <v/>
      </c>
      <c r="AO170" s="232">
        <f t="shared" si="363"/>
        <v>30</v>
      </c>
      <c r="AP170" s="232" t="str">
        <f t="shared" si="393"/>
        <v/>
      </c>
      <c r="AQ170" s="371"/>
      <c r="AR170" s="499">
        <v>80</v>
      </c>
      <c r="AS170" s="500">
        <v>10</v>
      </c>
      <c r="AT170" s="491">
        <f t="shared" si="364"/>
        <v>10</v>
      </c>
      <c r="AU170" s="371"/>
      <c r="AV170" s="232" t="str">
        <f t="shared" si="365"/>
        <v/>
      </c>
      <c r="AW170" s="232" t="str">
        <f t="shared" si="366"/>
        <v/>
      </c>
      <c r="AX170" s="232">
        <f t="shared" si="367"/>
        <v>10</v>
      </c>
      <c r="AY170" s="232" t="str">
        <f t="shared" si="394"/>
        <v/>
      </c>
      <c r="AZ170" s="371"/>
      <c r="BA170" s="499">
        <v>80</v>
      </c>
      <c r="BB170" s="500">
        <v>10</v>
      </c>
      <c r="BC170" s="491">
        <f t="shared" si="368"/>
        <v>10</v>
      </c>
      <c r="BD170" s="371"/>
      <c r="BE170" s="232" t="str">
        <f t="shared" si="369"/>
        <v/>
      </c>
      <c r="BF170" s="232" t="str">
        <f t="shared" si="370"/>
        <v/>
      </c>
      <c r="BG170" s="232">
        <f t="shared" si="371"/>
        <v>10</v>
      </c>
      <c r="BH170" s="232" t="str">
        <f t="shared" si="395"/>
        <v/>
      </c>
      <c r="BI170" s="371"/>
      <c r="BJ170" s="499">
        <v>80</v>
      </c>
      <c r="BK170" s="500">
        <v>10</v>
      </c>
      <c r="BL170" s="491">
        <f t="shared" si="372"/>
        <v>10</v>
      </c>
      <c r="BM170" s="371"/>
      <c r="BN170" s="232" t="str">
        <f t="shared" si="373"/>
        <v/>
      </c>
      <c r="BO170" s="232" t="str">
        <f t="shared" si="374"/>
        <v/>
      </c>
      <c r="BP170" s="232">
        <f t="shared" si="375"/>
        <v>10</v>
      </c>
      <c r="BQ170" s="232" t="str">
        <f t="shared" si="396"/>
        <v/>
      </c>
      <c r="BR170" s="371"/>
      <c r="BS170" s="499">
        <v>80</v>
      </c>
      <c r="BT170" s="500">
        <v>10</v>
      </c>
      <c r="BU170" s="491">
        <f t="shared" si="376"/>
        <v>10</v>
      </c>
      <c r="BV170" s="371"/>
      <c r="BW170" s="232" t="str">
        <f t="shared" si="377"/>
        <v/>
      </c>
      <c r="BX170" s="232" t="str">
        <f t="shared" si="378"/>
        <v/>
      </c>
      <c r="BY170" s="232">
        <f t="shared" si="379"/>
        <v>10</v>
      </c>
      <c r="BZ170" s="232" t="str">
        <f t="shared" si="397"/>
        <v/>
      </c>
      <c r="CA170" s="371"/>
      <c r="CB170" s="507">
        <f t="shared" si="380"/>
        <v>80</v>
      </c>
      <c r="CC170" s="508">
        <f t="shared" si="381"/>
        <v>10</v>
      </c>
      <c r="CD170" s="509">
        <f t="shared" si="382"/>
        <v>10</v>
      </c>
      <c r="CE170" s="371"/>
      <c r="CF170" s="232" t="str">
        <f t="shared" si="383"/>
        <v/>
      </c>
      <c r="CG170" s="232" t="str">
        <f t="shared" si="384"/>
        <v/>
      </c>
      <c r="CH170" s="232">
        <f t="shared" si="385"/>
        <v>10</v>
      </c>
      <c r="CI170" s="232" t="str">
        <f t="shared" si="398"/>
        <v/>
      </c>
      <c r="CJ170" s="232"/>
      <c r="CK170" s="499">
        <v>80</v>
      </c>
      <c r="CL170" s="500">
        <v>10</v>
      </c>
      <c r="CM170" s="491">
        <f t="shared" si="386"/>
        <v>10</v>
      </c>
      <c r="CN170" s="371"/>
      <c r="CO170" s="232" t="str">
        <f t="shared" si="387"/>
        <v/>
      </c>
      <c r="CP170" s="232" t="str">
        <f t="shared" si="388"/>
        <v/>
      </c>
      <c r="CQ170" s="232">
        <f t="shared" si="389"/>
        <v>10</v>
      </c>
      <c r="CR170" s="232" t="str">
        <f t="shared" si="399"/>
        <v/>
      </c>
      <c r="CS170" s="232"/>
      <c r="CT170" s="371"/>
      <c r="CU170" s="300"/>
      <c r="CV170" s="246"/>
      <c r="CW170" s="264"/>
    </row>
    <row r="171" spans="1:101" x14ac:dyDescent="0.2">
      <c r="A171" s="264"/>
      <c r="B171" s="264"/>
      <c r="C171" s="202"/>
      <c r="D171" s="271">
        <v>10</v>
      </c>
      <c r="E171" s="169" t="s">
        <v>143</v>
      </c>
      <c r="F171" s="471">
        <v>2</v>
      </c>
      <c r="G171" s="478" t="s">
        <v>49</v>
      </c>
      <c r="H171" s="479">
        <v>1</v>
      </c>
      <c r="I171" s="170" t="str">
        <f t="shared" si="350"/>
        <v>x</v>
      </c>
      <c r="J171" s="387" t="str">
        <f t="shared" si="351"/>
        <v/>
      </c>
      <c r="K171" s="388" t="str">
        <f t="shared" si="352"/>
        <v/>
      </c>
      <c r="L171" s="299"/>
      <c r="M171" s="375"/>
      <c r="N171" s="379"/>
      <c r="O171" s="236"/>
      <c r="P171" s="236"/>
      <c r="Q171" s="492">
        <v>50</v>
      </c>
      <c r="R171" s="493">
        <v>30</v>
      </c>
      <c r="S171" s="494">
        <f t="shared" si="390"/>
        <v>20</v>
      </c>
      <c r="T171" s="371"/>
      <c r="U171" s="232">
        <f t="shared" si="353"/>
        <v>50</v>
      </c>
      <c r="V171" s="232" t="str">
        <f t="shared" si="354"/>
        <v/>
      </c>
      <c r="W171" s="232" t="str">
        <f t="shared" si="355"/>
        <v/>
      </c>
      <c r="X171" s="232">
        <f t="shared" si="391"/>
        <v>1</v>
      </c>
      <c r="Y171" s="371"/>
      <c r="Z171" s="495">
        <v>80</v>
      </c>
      <c r="AA171" s="496">
        <v>10</v>
      </c>
      <c r="AB171" s="494">
        <f t="shared" si="356"/>
        <v>10</v>
      </c>
      <c r="AC171" s="371"/>
      <c r="AD171" s="232">
        <f t="shared" si="357"/>
        <v>80</v>
      </c>
      <c r="AE171" s="232" t="str">
        <f t="shared" si="358"/>
        <v/>
      </c>
      <c r="AF171" s="232" t="str">
        <f t="shared" si="359"/>
        <v/>
      </c>
      <c r="AG171" s="232">
        <f t="shared" si="392"/>
        <v>1</v>
      </c>
      <c r="AH171" s="371"/>
      <c r="AI171" s="495">
        <v>80</v>
      </c>
      <c r="AJ171" s="496">
        <v>10</v>
      </c>
      <c r="AK171" s="494">
        <f t="shared" si="360"/>
        <v>10</v>
      </c>
      <c r="AL171" s="371"/>
      <c r="AM171" s="232">
        <f t="shared" si="361"/>
        <v>80</v>
      </c>
      <c r="AN171" s="232" t="str">
        <f t="shared" si="362"/>
        <v/>
      </c>
      <c r="AO171" s="232" t="str">
        <f t="shared" si="363"/>
        <v/>
      </c>
      <c r="AP171" s="232">
        <f t="shared" si="393"/>
        <v>1</v>
      </c>
      <c r="AQ171" s="371"/>
      <c r="AR171" s="495">
        <v>80</v>
      </c>
      <c r="AS171" s="496">
        <v>10</v>
      </c>
      <c r="AT171" s="494">
        <f t="shared" si="364"/>
        <v>10</v>
      </c>
      <c r="AU171" s="371"/>
      <c r="AV171" s="232">
        <f t="shared" si="365"/>
        <v>80</v>
      </c>
      <c r="AW171" s="232" t="str">
        <f t="shared" si="366"/>
        <v/>
      </c>
      <c r="AX171" s="232" t="str">
        <f t="shared" si="367"/>
        <v/>
      </c>
      <c r="AY171" s="232">
        <f t="shared" si="394"/>
        <v>1</v>
      </c>
      <c r="AZ171" s="371"/>
      <c r="BA171" s="495">
        <v>80</v>
      </c>
      <c r="BB171" s="496">
        <v>10</v>
      </c>
      <c r="BC171" s="494">
        <f t="shared" si="368"/>
        <v>10</v>
      </c>
      <c r="BD171" s="371"/>
      <c r="BE171" s="232">
        <f t="shared" si="369"/>
        <v>80</v>
      </c>
      <c r="BF171" s="232" t="str">
        <f t="shared" si="370"/>
        <v/>
      </c>
      <c r="BG171" s="232" t="str">
        <f t="shared" si="371"/>
        <v/>
      </c>
      <c r="BH171" s="232">
        <f t="shared" si="395"/>
        <v>1</v>
      </c>
      <c r="BI171" s="371"/>
      <c r="BJ171" s="495">
        <v>80</v>
      </c>
      <c r="BK171" s="496">
        <v>10</v>
      </c>
      <c r="BL171" s="494">
        <f t="shared" si="372"/>
        <v>10</v>
      </c>
      <c r="BM171" s="371"/>
      <c r="BN171" s="232">
        <f t="shared" si="373"/>
        <v>80</v>
      </c>
      <c r="BO171" s="232" t="str">
        <f t="shared" si="374"/>
        <v/>
      </c>
      <c r="BP171" s="232" t="str">
        <f t="shared" si="375"/>
        <v/>
      </c>
      <c r="BQ171" s="232">
        <f t="shared" si="396"/>
        <v>1</v>
      </c>
      <c r="BR171" s="371"/>
      <c r="BS171" s="495">
        <v>50</v>
      </c>
      <c r="BT171" s="496">
        <v>30</v>
      </c>
      <c r="BU171" s="494">
        <f t="shared" si="376"/>
        <v>20</v>
      </c>
      <c r="BV171" s="371"/>
      <c r="BW171" s="232">
        <f t="shared" si="377"/>
        <v>50</v>
      </c>
      <c r="BX171" s="232" t="str">
        <f t="shared" si="378"/>
        <v/>
      </c>
      <c r="BY171" s="232" t="str">
        <f t="shared" si="379"/>
        <v/>
      </c>
      <c r="BZ171" s="232">
        <f t="shared" si="397"/>
        <v>1</v>
      </c>
      <c r="CA171" s="371"/>
      <c r="CB171" s="501">
        <f t="shared" si="380"/>
        <v>80</v>
      </c>
      <c r="CC171" s="502">
        <f t="shared" si="381"/>
        <v>10</v>
      </c>
      <c r="CD171" s="503">
        <f t="shared" si="382"/>
        <v>10</v>
      </c>
      <c r="CE171" s="371"/>
      <c r="CF171" s="232">
        <f t="shared" si="383"/>
        <v>80</v>
      </c>
      <c r="CG171" s="232" t="str">
        <f t="shared" si="384"/>
        <v/>
      </c>
      <c r="CH171" s="232" t="str">
        <f t="shared" si="385"/>
        <v/>
      </c>
      <c r="CI171" s="232">
        <f t="shared" si="398"/>
        <v>1</v>
      </c>
      <c r="CJ171" s="232"/>
      <c r="CK171" s="495">
        <v>80</v>
      </c>
      <c r="CL171" s="496">
        <v>10</v>
      </c>
      <c r="CM171" s="494">
        <f t="shared" si="386"/>
        <v>10</v>
      </c>
      <c r="CN171" s="371"/>
      <c r="CO171" s="232">
        <f t="shared" si="387"/>
        <v>80</v>
      </c>
      <c r="CP171" s="232" t="str">
        <f t="shared" si="388"/>
        <v/>
      </c>
      <c r="CQ171" s="232" t="str">
        <f t="shared" si="389"/>
        <v/>
      </c>
      <c r="CR171" s="232">
        <f t="shared" si="399"/>
        <v>1</v>
      </c>
      <c r="CS171" s="232"/>
      <c r="CT171" s="371"/>
      <c r="CU171" s="300"/>
      <c r="CV171" s="246"/>
      <c r="CW171" s="264"/>
    </row>
    <row r="172" spans="1:101" x14ac:dyDescent="0.2">
      <c r="A172" s="264"/>
      <c r="B172" s="264"/>
      <c r="C172" s="202"/>
      <c r="D172" s="271">
        <v>11</v>
      </c>
      <c r="E172" s="167" t="s">
        <v>144</v>
      </c>
      <c r="F172" s="469">
        <v>4</v>
      </c>
      <c r="G172" s="474" t="s">
        <v>49</v>
      </c>
      <c r="H172" s="475">
        <v>2</v>
      </c>
      <c r="I172" s="389" t="str">
        <f t="shared" si="350"/>
        <v>x</v>
      </c>
      <c r="J172" s="390" t="str">
        <f t="shared" si="351"/>
        <v/>
      </c>
      <c r="K172" s="391" t="str">
        <f t="shared" si="352"/>
        <v/>
      </c>
      <c r="L172" s="299"/>
      <c r="M172" s="375"/>
      <c r="N172" s="379"/>
      <c r="O172" s="236"/>
      <c r="P172" s="236"/>
      <c r="Q172" s="483">
        <v>40</v>
      </c>
      <c r="R172" s="484">
        <v>30</v>
      </c>
      <c r="S172" s="485">
        <f t="shared" si="390"/>
        <v>30</v>
      </c>
      <c r="T172" s="371"/>
      <c r="U172" s="232">
        <f t="shared" si="353"/>
        <v>40</v>
      </c>
      <c r="V172" s="232" t="str">
        <f t="shared" si="354"/>
        <v/>
      </c>
      <c r="W172" s="232" t="str">
        <f t="shared" si="355"/>
        <v/>
      </c>
      <c r="X172" s="232">
        <f t="shared" si="391"/>
        <v>1</v>
      </c>
      <c r="Y172" s="371"/>
      <c r="Z172" s="497">
        <v>80</v>
      </c>
      <c r="AA172" s="498">
        <v>10</v>
      </c>
      <c r="AB172" s="485">
        <f t="shared" si="356"/>
        <v>10</v>
      </c>
      <c r="AC172" s="371"/>
      <c r="AD172" s="232">
        <f t="shared" si="357"/>
        <v>80</v>
      </c>
      <c r="AE172" s="232" t="str">
        <f t="shared" si="358"/>
        <v/>
      </c>
      <c r="AF172" s="232" t="str">
        <f t="shared" si="359"/>
        <v/>
      </c>
      <c r="AG172" s="232">
        <f t="shared" si="392"/>
        <v>1</v>
      </c>
      <c r="AH172" s="371"/>
      <c r="AI172" s="497">
        <v>80</v>
      </c>
      <c r="AJ172" s="498">
        <v>10</v>
      </c>
      <c r="AK172" s="485">
        <f t="shared" si="360"/>
        <v>10</v>
      </c>
      <c r="AL172" s="371"/>
      <c r="AM172" s="232">
        <f t="shared" si="361"/>
        <v>80</v>
      </c>
      <c r="AN172" s="232" t="str">
        <f t="shared" si="362"/>
        <v/>
      </c>
      <c r="AO172" s="232" t="str">
        <f t="shared" si="363"/>
        <v/>
      </c>
      <c r="AP172" s="232">
        <f t="shared" si="393"/>
        <v>1</v>
      </c>
      <c r="AQ172" s="371"/>
      <c r="AR172" s="497">
        <v>60</v>
      </c>
      <c r="AS172" s="498">
        <v>30</v>
      </c>
      <c r="AT172" s="485">
        <f t="shared" si="364"/>
        <v>10</v>
      </c>
      <c r="AU172" s="371"/>
      <c r="AV172" s="232">
        <f t="shared" si="365"/>
        <v>60</v>
      </c>
      <c r="AW172" s="232" t="str">
        <f t="shared" si="366"/>
        <v/>
      </c>
      <c r="AX172" s="232" t="str">
        <f t="shared" si="367"/>
        <v/>
      </c>
      <c r="AY172" s="232">
        <f t="shared" si="394"/>
        <v>1</v>
      </c>
      <c r="AZ172" s="371"/>
      <c r="BA172" s="497">
        <v>60</v>
      </c>
      <c r="BB172" s="498">
        <v>30</v>
      </c>
      <c r="BC172" s="485">
        <f t="shared" si="368"/>
        <v>10</v>
      </c>
      <c r="BD172" s="371"/>
      <c r="BE172" s="232">
        <f t="shared" si="369"/>
        <v>60</v>
      </c>
      <c r="BF172" s="232" t="str">
        <f t="shared" si="370"/>
        <v/>
      </c>
      <c r="BG172" s="232" t="str">
        <f t="shared" si="371"/>
        <v/>
      </c>
      <c r="BH172" s="232">
        <f t="shared" si="395"/>
        <v>1</v>
      </c>
      <c r="BI172" s="371"/>
      <c r="BJ172" s="497">
        <v>30</v>
      </c>
      <c r="BK172" s="498">
        <v>40</v>
      </c>
      <c r="BL172" s="485">
        <f t="shared" si="372"/>
        <v>30</v>
      </c>
      <c r="BM172" s="371"/>
      <c r="BN172" s="232">
        <f t="shared" si="373"/>
        <v>30</v>
      </c>
      <c r="BO172" s="232" t="str">
        <f t="shared" si="374"/>
        <v/>
      </c>
      <c r="BP172" s="232" t="str">
        <f t="shared" si="375"/>
        <v/>
      </c>
      <c r="BQ172" s="232" t="str">
        <f t="shared" si="396"/>
        <v/>
      </c>
      <c r="BR172" s="371"/>
      <c r="BS172" s="497">
        <v>30</v>
      </c>
      <c r="BT172" s="498">
        <v>20</v>
      </c>
      <c r="BU172" s="485">
        <f t="shared" si="376"/>
        <v>50</v>
      </c>
      <c r="BV172" s="371"/>
      <c r="BW172" s="232">
        <f t="shared" si="377"/>
        <v>30</v>
      </c>
      <c r="BX172" s="232" t="str">
        <f t="shared" si="378"/>
        <v/>
      </c>
      <c r="BY172" s="232" t="str">
        <f t="shared" si="379"/>
        <v/>
      </c>
      <c r="BZ172" s="232" t="str">
        <f t="shared" si="397"/>
        <v/>
      </c>
      <c r="CA172" s="371"/>
      <c r="CB172" s="504">
        <f t="shared" si="380"/>
        <v>60</v>
      </c>
      <c r="CC172" s="505">
        <f t="shared" si="381"/>
        <v>20</v>
      </c>
      <c r="CD172" s="506">
        <f t="shared" si="382"/>
        <v>20</v>
      </c>
      <c r="CE172" s="371"/>
      <c r="CF172" s="232">
        <f t="shared" si="383"/>
        <v>60</v>
      </c>
      <c r="CG172" s="232" t="str">
        <f t="shared" si="384"/>
        <v/>
      </c>
      <c r="CH172" s="232" t="str">
        <f t="shared" si="385"/>
        <v/>
      </c>
      <c r="CI172" s="232">
        <f t="shared" si="398"/>
        <v>1</v>
      </c>
      <c r="CJ172" s="232"/>
      <c r="CK172" s="497">
        <v>60</v>
      </c>
      <c r="CL172" s="498">
        <v>10</v>
      </c>
      <c r="CM172" s="485">
        <f t="shared" si="386"/>
        <v>30</v>
      </c>
      <c r="CN172" s="371"/>
      <c r="CO172" s="232">
        <f t="shared" si="387"/>
        <v>60</v>
      </c>
      <c r="CP172" s="232" t="str">
        <f t="shared" si="388"/>
        <v/>
      </c>
      <c r="CQ172" s="232" t="str">
        <f t="shared" si="389"/>
        <v/>
      </c>
      <c r="CR172" s="232">
        <f t="shared" si="399"/>
        <v>1</v>
      </c>
      <c r="CS172" s="232"/>
      <c r="CT172" s="371"/>
      <c r="CU172" s="300"/>
      <c r="CV172" s="246"/>
      <c r="CW172" s="264"/>
    </row>
    <row r="173" spans="1:101" ht="13.5" thickBot="1" x14ac:dyDescent="0.25">
      <c r="A173" s="264"/>
      <c r="B173" s="264"/>
      <c r="C173" s="202"/>
      <c r="D173" s="271">
        <v>12</v>
      </c>
      <c r="E173" s="168" t="s">
        <v>145</v>
      </c>
      <c r="F173" s="470">
        <v>3</v>
      </c>
      <c r="G173" s="476" t="s">
        <v>49</v>
      </c>
      <c r="H173" s="477">
        <v>2</v>
      </c>
      <c r="I173" s="392" t="str">
        <f t="shared" si="350"/>
        <v>x</v>
      </c>
      <c r="J173" s="393" t="str">
        <f t="shared" si="351"/>
        <v/>
      </c>
      <c r="K173" s="394" t="str">
        <f t="shared" si="352"/>
        <v/>
      </c>
      <c r="L173" s="299"/>
      <c r="M173" s="375"/>
      <c r="N173" s="379"/>
      <c r="O173" s="236"/>
      <c r="P173" s="236"/>
      <c r="Q173" s="489">
        <v>20</v>
      </c>
      <c r="R173" s="490">
        <v>30</v>
      </c>
      <c r="S173" s="491">
        <f t="shared" si="390"/>
        <v>50</v>
      </c>
      <c r="T173" s="371"/>
      <c r="U173" s="232">
        <f t="shared" si="353"/>
        <v>20</v>
      </c>
      <c r="V173" s="232" t="str">
        <f t="shared" si="354"/>
        <v/>
      </c>
      <c r="W173" s="232" t="str">
        <f t="shared" si="355"/>
        <v/>
      </c>
      <c r="X173" s="232" t="str">
        <f t="shared" si="391"/>
        <v/>
      </c>
      <c r="Y173" s="371"/>
      <c r="Z173" s="499">
        <v>10</v>
      </c>
      <c r="AA173" s="500">
        <v>10</v>
      </c>
      <c r="AB173" s="491">
        <f t="shared" si="356"/>
        <v>80</v>
      </c>
      <c r="AC173" s="371"/>
      <c r="AD173" s="232">
        <f t="shared" si="357"/>
        <v>10</v>
      </c>
      <c r="AE173" s="232" t="str">
        <f t="shared" si="358"/>
        <v/>
      </c>
      <c r="AF173" s="232" t="str">
        <f t="shared" si="359"/>
        <v/>
      </c>
      <c r="AG173" s="232" t="str">
        <f t="shared" si="392"/>
        <v/>
      </c>
      <c r="AH173" s="371"/>
      <c r="AI173" s="499">
        <v>10</v>
      </c>
      <c r="AJ173" s="500">
        <v>10</v>
      </c>
      <c r="AK173" s="491">
        <f t="shared" si="360"/>
        <v>80</v>
      </c>
      <c r="AL173" s="371"/>
      <c r="AM173" s="232">
        <f t="shared" si="361"/>
        <v>10</v>
      </c>
      <c r="AN173" s="232" t="str">
        <f t="shared" si="362"/>
        <v/>
      </c>
      <c r="AO173" s="232" t="str">
        <f t="shared" si="363"/>
        <v/>
      </c>
      <c r="AP173" s="232" t="str">
        <f t="shared" si="393"/>
        <v/>
      </c>
      <c r="AQ173" s="371"/>
      <c r="AR173" s="499">
        <v>10</v>
      </c>
      <c r="AS173" s="500">
        <v>10</v>
      </c>
      <c r="AT173" s="491">
        <f t="shared" si="364"/>
        <v>80</v>
      </c>
      <c r="AU173" s="371"/>
      <c r="AV173" s="232">
        <f t="shared" si="365"/>
        <v>10</v>
      </c>
      <c r="AW173" s="232" t="str">
        <f t="shared" si="366"/>
        <v/>
      </c>
      <c r="AX173" s="232" t="str">
        <f t="shared" si="367"/>
        <v/>
      </c>
      <c r="AY173" s="232" t="str">
        <f t="shared" si="394"/>
        <v/>
      </c>
      <c r="AZ173" s="371"/>
      <c r="BA173" s="499">
        <v>10</v>
      </c>
      <c r="BB173" s="500">
        <v>10</v>
      </c>
      <c r="BC173" s="491">
        <f t="shared" si="368"/>
        <v>80</v>
      </c>
      <c r="BD173" s="371"/>
      <c r="BE173" s="232">
        <f t="shared" si="369"/>
        <v>10</v>
      </c>
      <c r="BF173" s="232" t="str">
        <f t="shared" si="370"/>
        <v/>
      </c>
      <c r="BG173" s="232" t="str">
        <f t="shared" si="371"/>
        <v/>
      </c>
      <c r="BH173" s="232" t="str">
        <f t="shared" si="395"/>
        <v/>
      </c>
      <c r="BI173" s="371"/>
      <c r="BJ173" s="499">
        <v>10</v>
      </c>
      <c r="BK173" s="500">
        <v>10</v>
      </c>
      <c r="BL173" s="491">
        <f t="shared" si="372"/>
        <v>80</v>
      </c>
      <c r="BM173" s="371"/>
      <c r="BN173" s="232">
        <f t="shared" si="373"/>
        <v>10</v>
      </c>
      <c r="BO173" s="232" t="str">
        <f t="shared" si="374"/>
        <v/>
      </c>
      <c r="BP173" s="232" t="str">
        <f t="shared" si="375"/>
        <v/>
      </c>
      <c r="BQ173" s="232" t="str">
        <f t="shared" si="396"/>
        <v/>
      </c>
      <c r="BR173" s="371"/>
      <c r="BS173" s="499">
        <v>60</v>
      </c>
      <c r="BT173" s="500">
        <v>20</v>
      </c>
      <c r="BU173" s="491">
        <f t="shared" si="376"/>
        <v>20</v>
      </c>
      <c r="BV173" s="371"/>
      <c r="BW173" s="232">
        <f t="shared" si="377"/>
        <v>60</v>
      </c>
      <c r="BX173" s="232" t="str">
        <f t="shared" si="378"/>
        <v/>
      </c>
      <c r="BY173" s="232" t="str">
        <f t="shared" si="379"/>
        <v/>
      </c>
      <c r="BZ173" s="232">
        <f t="shared" si="397"/>
        <v>1</v>
      </c>
      <c r="CA173" s="371"/>
      <c r="CB173" s="507">
        <f t="shared" si="380"/>
        <v>20</v>
      </c>
      <c r="CC173" s="508">
        <f t="shared" si="381"/>
        <v>10</v>
      </c>
      <c r="CD173" s="509">
        <f t="shared" si="382"/>
        <v>70</v>
      </c>
      <c r="CE173" s="371"/>
      <c r="CF173" s="232">
        <f t="shared" si="383"/>
        <v>20</v>
      </c>
      <c r="CG173" s="232" t="str">
        <f t="shared" si="384"/>
        <v/>
      </c>
      <c r="CH173" s="232" t="str">
        <f t="shared" si="385"/>
        <v/>
      </c>
      <c r="CI173" s="232" t="str">
        <f t="shared" si="398"/>
        <v/>
      </c>
      <c r="CJ173" s="232"/>
      <c r="CK173" s="499">
        <v>20</v>
      </c>
      <c r="CL173" s="500">
        <v>30</v>
      </c>
      <c r="CM173" s="491">
        <f t="shared" si="386"/>
        <v>50</v>
      </c>
      <c r="CN173" s="371"/>
      <c r="CO173" s="232">
        <f t="shared" si="387"/>
        <v>20</v>
      </c>
      <c r="CP173" s="232" t="str">
        <f t="shared" si="388"/>
        <v/>
      </c>
      <c r="CQ173" s="232" t="str">
        <f t="shared" si="389"/>
        <v/>
      </c>
      <c r="CR173" s="232" t="str">
        <f t="shared" si="399"/>
        <v/>
      </c>
      <c r="CS173" s="232"/>
      <c r="CT173" s="371"/>
      <c r="CU173" s="300"/>
      <c r="CV173" s="246"/>
      <c r="CW173" s="264"/>
    </row>
    <row r="174" spans="1:101" x14ac:dyDescent="0.2">
      <c r="A174" s="264"/>
      <c r="B174" s="264"/>
      <c r="C174" s="202"/>
      <c r="D174" s="272"/>
      <c r="E174" s="235"/>
      <c r="F174" s="395">
        <f>IF(SUM(F162:F173)=0,"",SUM(F162:F173))</f>
        <v>23</v>
      </c>
      <c r="G174" s="370" t="s">
        <v>49</v>
      </c>
      <c r="H174" s="396">
        <f>IF(SUM(H162:H173)=0,"",SUM(H162:H173))</f>
        <v>18</v>
      </c>
      <c r="I174" s="397">
        <f>IF(COUNTIF(I162:I173,"=x")=0,"",COUNTIF(I162:I173,"=x"))</f>
        <v>6</v>
      </c>
      <c r="J174" s="398">
        <f>IF(COUNTIF(J162:J173,"=x")=0,"",COUNTIF(J162:J173,"=x"))</f>
        <v>2</v>
      </c>
      <c r="K174" s="399">
        <f>IF(COUNTIF(K162:K173,"=x")=0,"",COUNTIF(K162:K173,"=x"))</f>
        <v>4</v>
      </c>
      <c r="L174" s="299"/>
      <c r="M174" s="375"/>
      <c r="N174" s="379"/>
      <c r="O174" s="236"/>
      <c r="P174" s="369"/>
      <c r="Q174" s="466">
        <f>SUM(U162:U173)</f>
        <v>270</v>
      </c>
      <c r="R174" s="466">
        <f>SUM(V162:V173)</f>
        <v>60</v>
      </c>
      <c r="S174" s="466">
        <f>SUM(W162:W173)</f>
        <v>110</v>
      </c>
      <c r="T174" s="368"/>
      <c r="U174" s="232"/>
      <c r="V174" s="232"/>
      <c r="W174" s="232"/>
      <c r="X174" s="232"/>
      <c r="Y174" s="367"/>
      <c r="Z174" s="466">
        <f>SUM(AD162:AD173)</f>
        <v>410</v>
      </c>
      <c r="AA174" s="466">
        <f>SUM(AE162:AE173)</f>
        <v>20</v>
      </c>
      <c r="AB174" s="466">
        <f>SUM(AF162:AF173)</f>
        <v>40</v>
      </c>
      <c r="AC174" s="368"/>
      <c r="AD174" s="232"/>
      <c r="AE174" s="232"/>
      <c r="AF174" s="232"/>
      <c r="AG174" s="232"/>
      <c r="AH174" s="367"/>
      <c r="AI174" s="466">
        <f>SUM(AM162:AM173)</f>
        <v>400</v>
      </c>
      <c r="AJ174" s="466">
        <f>SUM(AN162:AN173)</f>
        <v>50</v>
      </c>
      <c r="AK174" s="466">
        <f>SUM(AO162:AO173)</f>
        <v>120</v>
      </c>
      <c r="AL174" s="368"/>
      <c r="AM174" s="232"/>
      <c r="AN174" s="232"/>
      <c r="AO174" s="232"/>
      <c r="AP174" s="232"/>
      <c r="AQ174" s="367"/>
      <c r="AR174" s="466">
        <f>SUM(AV162:AV173)</f>
        <v>370</v>
      </c>
      <c r="AS174" s="466">
        <f>SUM(AW162:AW173)</f>
        <v>50</v>
      </c>
      <c r="AT174" s="466">
        <f>SUM(AX162:AX173)</f>
        <v>130</v>
      </c>
      <c r="AU174" s="368"/>
      <c r="AV174" s="232"/>
      <c r="AW174" s="232"/>
      <c r="AX174" s="232"/>
      <c r="AY174" s="232"/>
      <c r="AZ174" s="367"/>
      <c r="BA174" s="466">
        <f>SUM(BE162:BE173)</f>
        <v>320</v>
      </c>
      <c r="BB174" s="466">
        <f>SUM(BF162:BF173)</f>
        <v>20</v>
      </c>
      <c r="BC174" s="466">
        <f>SUM(BG162:BG173)</f>
        <v>180</v>
      </c>
      <c r="BD174" s="368"/>
      <c r="BE174" s="232"/>
      <c r="BF174" s="232"/>
      <c r="BG174" s="232"/>
      <c r="BH174" s="232"/>
      <c r="BI174" s="367"/>
      <c r="BJ174" s="466">
        <f>SUM(BN162:BN173)</f>
        <v>290</v>
      </c>
      <c r="BK174" s="466">
        <f>SUM(BO162:BO173)</f>
        <v>20</v>
      </c>
      <c r="BL174" s="466">
        <f>SUM(BP162:BP173)</f>
        <v>250</v>
      </c>
      <c r="BM174" s="368"/>
      <c r="BN174" s="232"/>
      <c r="BO174" s="232"/>
      <c r="BP174" s="232"/>
      <c r="BQ174" s="232"/>
      <c r="BR174" s="367"/>
      <c r="BS174" s="466">
        <f>SUM(BW162:BW173)</f>
        <v>310</v>
      </c>
      <c r="BT174" s="466">
        <f>SUM(BX162:BX173)</f>
        <v>30</v>
      </c>
      <c r="BU174" s="466">
        <f>SUM(BY162:BY173)</f>
        <v>140</v>
      </c>
      <c r="BV174" s="368"/>
      <c r="BW174" s="232"/>
      <c r="BX174" s="232"/>
      <c r="BY174" s="232"/>
      <c r="BZ174" s="232"/>
      <c r="CA174" s="369"/>
      <c r="CB174" s="466">
        <f>SUM(CF162:CF173)</f>
        <v>370</v>
      </c>
      <c r="CC174" s="466">
        <f>SUM(CG162:CG173)</f>
        <v>20</v>
      </c>
      <c r="CD174" s="466">
        <f>SUM(CH162:CH173)</f>
        <v>130</v>
      </c>
      <c r="CE174" s="368"/>
      <c r="CF174" s="232"/>
      <c r="CG174" s="232"/>
      <c r="CH174" s="232"/>
      <c r="CI174" s="232"/>
      <c r="CJ174" s="232"/>
      <c r="CK174" s="466">
        <f>SUM(CO162:CO173)</f>
        <v>360</v>
      </c>
      <c r="CL174" s="466">
        <f>SUM(CP162:CP173)</f>
        <v>40</v>
      </c>
      <c r="CM174" s="466">
        <f>SUM(CQ162:CQ173)</f>
        <v>100</v>
      </c>
      <c r="CN174" s="368"/>
      <c r="CO174" s="232"/>
      <c r="CP174" s="232"/>
      <c r="CQ174" s="232"/>
      <c r="CR174" s="232"/>
      <c r="CS174" s="232"/>
      <c r="CT174" s="232"/>
      <c r="CU174" s="300"/>
      <c r="CV174" s="246"/>
      <c r="CW174" s="265"/>
    </row>
    <row r="175" spans="1:101" ht="13.5" thickBot="1" x14ac:dyDescent="0.25">
      <c r="A175" s="264"/>
      <c r="B175" s="264"/>
      <c r="C175" s="202"/>
      <c r="D175" s="289"/>
      <c r="E175" s="282"/>
      <c r="F175" s="283"/>
      <c r="G175" s="282"/>
      <c r="H175" s="282"/>
      <c r="I175" s="282"/>
      <c r="J175" s="282"/>
      <c r="K175" s="282"/>
      <c r="L175" s="293"/>
      <c r="M175" s="301"/>
      <c r="N175" s="380"/>
      <c r="O175" s="376"/>
      <c r="P175" s="284"/>
      <c r="Q175" s="285"/>
      <c r="R175" s="285"/>
      <c r="S175" s="285"/>
      <c r="T175" s="286"/>
      <c r="U175" s="287"/>
      <c r="V175" s="287"/>
      <c r="W175" s="287"/>
      <c r="X175" s="287"/>
      <c r="Y175" s="284"/>
      <c r="Z175" s="285"/>
      <c r="AA175" s="285"/>
      <c r="AB175" s="285"/>
      <c r="AC175" s="286"/>
      <c r="AD175" s="287"/>
      <c r="AE175" s="287"/>
      <c r="AF175" s="287"/>
      <c r="AG175" s="288"/>
      <c r="AH175" s="284"/>
      <c r="AI175" s="285"/>
      <c r="AJ175" s="285"/>
      <c r="AK175" s="285"/>
      <c r="AL175" s="286"/>
      <c r="AM175" s="287"/>
      <c r="AN175" s="287"/>
      <c r="AO175" s="287"/>
      <c r="AP175" s="288"/>
      <c r="AQ175" s="284"/>
      <c r="AR175" s="285"/>
      <c r="AS175" s="285"/>
      <c r="AT175" s="285"/>
      <c r="AU175" s="286"/>
      <c r="AV175" s="287"/>
      <c r="AW175" s="287"/>
      <c r="AX175" s="287"/>
      <c r="AY175" s="288"/>
      <c r="AZ175" s="284"/>
      <c r="BA175" s="285"/>
      <c r="BB175" s="285"/>
      <c r="BC175" s="285"/>
      <c r="BD175" s="286"/>
      <c r="BE175" s="287"/>
      <c r="BF175" s="287"/>
      <c r="BG175" s="287"/>
      <c r="BH175" s="288"/>
      <c r="BI175" s="284"/>
      <c r="BJ175" s="284"/>
      <c r="BK175" s="284"/>
      <c r="BL175" s="284"/>
      <c r="BM175" s="284"/>
      <c r="BN175" s="284"/>
      <c r="BO175" s="284"/>
      <c r="BP175" s="284"/>
      <c r="BQ175" s="284"/>
      <c r="BR175" s="284"/>
      <c r="BS175" s="284"/>
      <c r="BT175" s="284"/>
      <c r="BU175" s="284"/>
      <c r="BV175" s="284"/>
      <c r="BW175" s="284"/>
      <c r="BX175" s="284"/>
      <c r="BY175" s="284"/>
      <c r="BZ175" s="284"/>
      <c r="CA175" s="284"/>
      <c r="CB175" s="284"/>
      <c r="CC175" s="284"/>
      <c r="CD175" s="284"/>
      <c r="CE175" s="284"/>
      <c r="CF175" s="284"/>
      <c r="CG175" s="284"/>
      <c r="CH175" s="284"/>
      <c r="CI175" s="284"/>
      <c r="CJ175" s="288"/>
      <c r="CK175" s="288"/>
      <c r="CL175" s="288"/>
      <c r="CM175" s="288"/>
      <c r="CN175" s="288"/>
      <c r="CO175" s="288"/>
      <c r="CP175" s="288"/>
      <c r="CQ175" s="288"/>
      <c r="CR175" s="288"/>
      <c r="CS175" s="288"/>
      <c r="CT175" s="282"/>
      <c r="CU175" s="294"/>
      <c r="CV175" s="246"/>
      <c r="CW175" s="265"/>
    </row>
    <row r="176" spans="1:101" ht="14.25" thickTop="1" thickBot="1" x14ac:dyDescent="0.25">
      <c r="A176" s="256"/>
      <c r="B176" s="256"/>
      <c r="C176" s="210"/>
      <c r="D176" s="211"/>
      <c r="E176" s="247"/>
      <c r="F176" s="248"/>
      <c r="G176" s="247"/>
      <c r="H176" s="247"/>
      <c r="I176" s="247"/>
      <c r="J176" s="247"/>
      <c r="K176" s="247"/>
      <c r="L176" s="249"/>
      <c r="M176" s="250"/>
      <c r="N176" s="250"/>
      <c r="O176" s="250"/>
      <c r="P176" s="250"/>
      <c r="Q176" s="247"/>
      <c r="R176" s="247"/>
      <c r="S176" s="247"/>
      <c r="T176" s="251"/>
      <c r="U176" s="252"/>
      <c r="V176" s="252"/>
      <c r="W176" s="252"/>
      <c r="X176" s="252"/>
      <c r="Y176" s="250"/>
      <c r="Z176" s="247"/>
      <c r="AA176" s="247"/>
      <c r="AB176" s="247"/>
      <c r="AC176" s="251"/>
      <c r="AD176" s="252"/>
      <c r="AE176" s="252"/>
      <c r="AF176" s="252"/>
      <c r="AG176" s="247"/>
      <c r="AH176" s="250"/>
      <c r="AI176" s="247"/>
      <c r="AJ176" s="247"/>
      <c r="AK176" s="247"/>
      <c r="AL176" s="251"/>
      <c r="AM176" s="252"/>
      <c r="AN176" s="252"/>
      <c r="AO176" s="252"/>
      <c r="AP176" s="253"/>
      <c r="AQ176" s="250"/>
      <c r="AR176" s="247"/>
      <c r="AS176" s="247"/>
      <c r="AT176" s="247"/>
      <c r="AU176" s="251"/>
      <c r="AV176" s="252"/>
      <c r="AW176" s="252"/>
      <c r="AX176" s="252"/>
      <c r="AY176" s="247"/>
      <c r="AZ176" s="250"/>
      <c r="BA176" s="247"/>
      <c r="BB176" s="247"/>
      <c r="BC176" s="247"/>
      <c r="BD176" s="251"/>
      <c r="BE176" s="252"/>
      <c r="BF176" s="252"/>
      <c r="BG176" s="252"/>
      <c r="BH176" s="247"/>
      <c r="BI176" s="250"/>
      <c r="BJ176" s="247"/>
      <c r="BK176" s="247"/>
      <c r="BL176" s="247"/>
      <c r="BM176" s="251"/>
      <c r="BN176" s="252"/>
      <c r="BO176" s="252"/>
      <c r="BP176" s="252"/>
      <c r="BQ176" s="247"/>
      <c r="BR176" s="212"/>
      <c r="BS176" s="247"/>
      <c r="BT176" s="247"/>
      <c r="BU176" s="247"/>
      <c r="BV176" s="250"/>
      <c r="BW176" s="252"/>
      <c r="BX176" s="252"/>
      <c r="BY176" s="252"/>
      <c r="BZ176" s="247"/>
      <c r="CA176" s="247"/>
      <c r="CB176" s="253"/>
      <c r="CC176" s="253"/>
      <c r="CD176" s="253"/>
      <c r="CE176" s="253"/>
      <c r="CF176" s="247"/>
      <c r="CG176" s="247"/>
      <c r="CH176" s="247"/>
      <c r="CI176" s="247"/>
      <c r="CJ176" s="247"/>
      <c r="CK176" s="247"/>
      <c r="CL176" s="247"/>
      <c r="CM176" s="247"/>
      <c r="CN176" s="247"/>
      <c r="CO176" s="247"/>
      <c r="CP176" s="247"/>
      <c r="CQ176" s="247"/>
      <c r="CR176" s="247"/>
      <c r="CS176" s="247"/>
      <c r="CT176" s="247"/>
      <c r="CU176" s="247"/>
      <c r="CV176" s="254"/>
      <c r="CW176" s="255"/>
    </row>
    <row r="177" spans="1:101" ht="14.25" thickTop="1" thickBot="1" x14ac:dyDescent="0.25">
      <c r="A177" s="255"/>
      <c r="B177" s="255"/>
      <c r="C177" s="255"/>
      <c r="D177" s="255"/>
      <c r="E177" s="255"/>
      <c r="F177" s="255"/>
      <c r="G177" s="255"/>
      <c r="H177" s="255"/>
      <c r="I177" s="255"/>
      <c r="J177" s="255"/>
      <c r="K177" s="255"/>
      <c r="L177" s="255"/>
      <c r="M177" s="255"/>
      <c r="N177" s="255"/>
      <c r="O177" s="255"/>
      <c r="P177" s="255"/>
      <c r="Q177" s="255"/>
      <c r="R177" s="255"/>
      <c r="S177" s="255"/>
      <c r="T177" s="255"/>
      <c r="U177" s="255"/>
      <c r="V177" s="255"/>
      <c r="W177" s="255"/>
      <c r="X177" s="255"/>
      <c r="Y177" s="255"/>
      <c r="Z177" s="255"/>
      <c r="AA177" s="255"/>
      <c r="AB177" s="255"/>
      <c r="AC177" s="255"/>
      <c r="AD177" s="255"/>
      <c r="AE177" s="255"/>
      <c r="AF177" s="255"/>
      <c r="AG177" s="255"/>
      <c r="AH177" s="255"/>
      <c r="AI177" s="255"/>
      <c r="AJ177" s="255"/>
      <c r="AK177" s="255"/>
      <c r="AL177" s="255"/>
      <c r="AM177" s="255"/>
      <c r="AN177" s="255"/>
      <c r="AO177" s="255"/>
      <c r="AP177" s="255"/>
      <c r="AQ177" s="255"/>
      <c r="AR177" s="255"/>
      <c r="AS177" s="255"/>
      <c r="AT177" s="255"/>
      <c r="AU177" s="255"/>
      <c r="AV177" s="255"/>
      <c r="AW177" s="255"/>
      <c r="AX177" s="255"/>
      <c r="AY177" s="255"/>
      <c r="AZ177" s="255"/>
      <c r="BA177" s="255"/>
      <c r="BB177" s="255"/>
      <c r="BC177" s="255"/>
      <c r="BD177" s="255"/>
      <c r="BE177" s="255"/>
      <c r="BF177" s="255"/>
      <c r="BG177" s="255"/>
      <c r="BH177" s="255"/>
      <c r="BI177" s="255"/>
      <c r="BJ177" s="255"/>
      <c r="BK177" s="255"/>
      <c r="BL177" s="255"/>
      <c r="BM177" s="255"/>
      <c r="BN177" s="255"/>
      <c r="BO177" s="255"/>
      <c r="BP177" s="255"/>
      <c r="BQ177" s="255"/>
      <c r="BR177" s="255"/>
      <c r="BS177" s="255"/>
      <c r="BT177" s="255"/>
      <c r="BU177" s="255"/>
      <c r="BV177" s="255"/>
      <c r="BW177" s="255"/>
      <c r="BX177" s="255"/>
      <c r="BY177" s="255"/>
      <c r="BZ177" s="255"/>
      <c r="CA177" s="255"/>
      <c r="CB177" s="436"/>
      <c r="CC177" s="436"/>
      <c r="CD177" s="436"/>
      <c r="CE177" s="436"/>
      <c r="CF177" s="255"/>
      <c r="CG177" s="255"/>
      <c r="CH177" s="255"/>
      <c r="CI177" s="255"/>
      <c r="CJ177" s="255"/>
      <c r="CK177" s="255"/>
      <c r="CL177" s="255"/>
      <c r="CM177" s="255"/>
      <c r="CN177" s="255"/>
      <c r="CO177" s="255"/>
      <c r="CP177" s="255"/>
      <c r="CQ177" s="255"/>
      <c r="CR177" s="255"/>
      <c r="CS177" s="255"/>
      <c r="CT177" s="255"/>
      <c r="CU177" s="255"/>
      <c r="CV177" s="255"/>
      <c r="CW177" s="255"/>
    </row>
    <row r="178" spans="1:101" ht="21" thickTop="1" x14ac:dyDescent="0.3">
      <c r="A178" s="256"/>
      <c r="B178" s="256"/>
      <c r="C178" s="190"/>
      <c r="D178" s="191"/>
      <c r="E178" s="865" t="str">
        <f>$E$2</f>
        <v>STPS 2026</v>
      </c>
      <c r="F178" s="267"/>
      <c r="G178" s="267"/>
      <c r="H178" s="267"/>
      <c r="I178" s="192"/>
      <c r="J178" s="192"/>
      <c r="K178" s="192"/>
      <c r="L178" s="193"/>
      <c r="M178" s="192"/>
      <c r="N178" s="192"/>
      <c r="O178" s="192"/>
      <c r="P178" s="194"/>
      <c r="Q178" s="192"/>
      <c r="R178" s="192"/>
      <c r="S178" s="192"/>
      <c r="T178" s="195"/>
      <c r="U178" s="196"/>
      <c r="V178" s="196"/>
      <c r="W178" s="196"/>
      <c r="X178" s="196"/>
      <c r="Y178" s="194"/>
      <c r="Z178" s="192"/>
      <c r="AA178" s="192"/>
      <c r="AB178" s="192"/>
      <c r="AC178" s="195"/>
      <c r="AD178" s="196"/>
      <c r="AE178" s="196"/>
      <c r="AF178" s="196"/>
      <c r="AG178" s="197"/>
      <c r="AH178" s="194"/>
      <c r="AI178" s="192"/>
      <c r="AJ178" s="237"/>
      <c r="AK178" s="237"/>
      <c r="AL178" s="198"/>
      <c r="AM178" s="238"/>
      <c r="AN178" s="238"/>
      <c r="AO178" s="238"/>
      <c r="AP178" s="197"/>
      <c r="AQ178" s="239"/>
      <c r="AR178" s="240"/>
      <c r="AS178" s="199"/>
      <c r="AT178" s="200"/>
      <c r="AU178" s="198"/>
      <c r="AV178" s="196"/>
      <c r="AW178" s="196"/>
      <c r="AX178" s="196"/>
      <c r="AY178" s="197"/>
      <c r="AZ178" s="239"/>
      <c r="BA178" s="240"/>
      <c r="BB178" s="200"/>
      <c r="BC178" s="237"/>
      <c r="BD178" s="241"/>
      <c r="BE178" s="196"/>
      <c r="BF178" s="196"/>
      <c r="BG178" s="196"/>
      <c r="BH178" s="197"/>
      <c r="BI178" s="242"/>
      <c r="BJ178" s="237"/>
      <c r="BK178" s="237"/>
      <c r="BL178" s="237"/>
      <c r="BM178" s="241"/>
      <c r="BN178" s="196"/>
      <c r="BO178" s="196"/>
      <c r="BP178" s="196"/>
      <c r="BQ178" s="197"/>
      <c r="BR178" s="201"/>
      <c r="BS178" s="237"/>
      <c r="BT178" s="237"/>
      <c r="BU178" s="237"/>
      <c r="BV178" s="242"/>
      <c r="BW178" s="237"/>
      <c r="BX178" s="237"/>
      <c r="BY178" s="237"/>
      <c r="BZ178" s="237"/>
      <c r="CA178" s="237"/>
      <c r="CB178" s="437"/>
      <c r="CC178" s="437"/>
      <c r="CD178" s="437"/>
      <c r="CE178" s="437"/>
      <c r="CF178" s="237"/>
      <c r="CG178" s="237"/>
      <c r="CH178" s="237"/>
      <c r="CI178" s="237"/>
      <c r="CJ178" s="197"/>
      <c r="CK178" s="197"/>
      <c r="CL178" s="197"/>
      <c r="CM178" s="197"/>
      <c r="CN178" s="197"/>
      <c r="CO178" s="197"/>
      <c r="CP178" s="197"/>
      <c r="CQ178" s="197"/>
      <c r="CR178" s="197"/>
      <c r="CS178" s="197"/>
      <c r="CT178" s="401"/>
      <c r="CU178" s="237"/>
      <c r="CV178" s="243"/>
      <c r="CW178" s="255"/>
    </row>
    <row r="179" spans="1:101" ht="13.5" thickBot="1" x14ac:dyDescent="0.25">
      <c r="A179" s="256"/>
      <c r="B179" s="256"/>
      <c r="C179" s="202"/>
      <c r="D179" s="188"/>
      <c r="E179" s="266" t="str">
        <f>E3</f>
        <v>Skorgen Tippelag</v>
      </c>
      <c r="F179" s="406"/>
      <c r="G179" s="406"/>
      <c r="H179" s="406"/>
      <c r="I179" s="406"/>
      <c r="J179" s="406"/>
      <c r="K179" s="406"/>
      <c r="L179" s="406"/>
      <c r="M179" s="406"/>
      <c r="N179" s="406"/>
      <c r="O179" s="406"/>
      <c r="P179" s="406"/>
      <c r="Q179" s="406"/>
      <c r="R179" s="406"/>
      <c r="S179" s="406"/>
      <c r="T179" s="406"/>
      <c r="U179" s="406"/>
      <c r="V179" s="406"/>
      <c r="W179" s="406"/>
      <c r="X179" s="406"/>
      <c r="Y179" s="406"/>
      <c r="Z179" s="406"/>
      <c r="AA179" s="406"/>
      <c r="AB179" s="406"/>
      <c r="AC179" s="406"/>
      <c r="AD179" s="406"/>
      <c r="AE179" s="406"/>
      <c r="AF179" s="406"/>
      <c r="AG179" s="406"/>
      <c r="AH179" s="406"/>
      <c r="AI179" s="406"/>
      <c r="AJ179" s="406"/>
      <c r="AK179" s="406"/>
      <c r="AL179" s="406"/>
      <c r="AM179" s="406"/>
      <c r="AN179" s="406"/>
      <c r="AO179" s="406"/>
      <c r="AP179" s="406"/>
      <c r="AQ179" s="406"/>
      <c r="AR179" s="406"/>
      <c r="AS179" s="406"/>
      <c r="AT179" s="406"/>
      <c r="AU179" s="406"/>
      <c r="AV179" s="406"/>
      <c r="AW179" s="406"/>
      <c r="AX179" s="406"/>
      <c r="AY179" s="406"/>
      <c r="AZ179" s="406"/>
      <c r="BA179" s="406"/>
      <c r="BB179" s="406"/>
      <c r="BC179" s="406"/>
      <c r="BD179" s="406"/>
      <c r="BE179" s="406"/>
      <c r="BF179" s="406"/>
      <c r="BG179" s="406"/>
      <c r="BH179" s="406"/>
      <c r="BI179" s="406"/>
      <c r="BJ179" s="406"/>
      <c r="BK179" s="406"/>
      <c r="BL179" s="406"/>
      <c r="BM179" s="406"/>
      <c r="BN179" s="406"/>
      <c r="BO179" s="406"/>
      <c r="BP179" s="406"/>
      <c r="BQ179" s="406"/>
      <c r="BR179" s="406"/>
      <c r="BS179" s="406"/>
      <c r="BT179" s="406"/>
      <c r="BU179" s="406"/>
      <c r="BV179" s="406"/>
      <c r="BW179" s="406"/>
      <c r="BX179" s="406"/>
      <c r="BY179" s="406"/>
      <c r="BZ179" s="406"/>
      <c r="CA179" s="406"/>
      <c r="CB179" s="438"/>
      <c r="CC179" s="438"/>
      <c r="CD179" s="438"/>
      <c r="CE179" s="438"/>
      <c r="CF179" s="406"/>
      <c r="CG179" s="406"/>
      <c r="CH179" s="406"/>
      <c r="CI179" s="406"/>
      <c r="CJ179" s="406"/>
      <c r="CK179" s="406"/>
      <c r="CL179" s="406"/>
      <c r="CM179" s="406"/>
      <c r="CN179" s="366"/>
      <c r="CO179" s="366"/>
      <c r="CP179" s="366"/>
      <c r="CQ179" s="366"/>
      <c r="CR179" s="366"/>
      <c r="CS179" s="366"/>
      <c r="CT179" s="187"/>
      <c r="CU179" s="310"/>
      <c r="CV179" s="246"/>
      <c r="CW179" s="255"/>
    </row>
    <row r="180" spans="1:101" ht="18.75" thickTop="1" x14ac:dyDescent="0.2">
      <c r="A180" s="256"/>
      <c r="B180" s="256"/>
      <c r="C180" s="209"/>
      <c r="D180" s="290"/>
      <c r="E180" s="273"/>
      <c r="F180" s="274"/>
      <c r="G180" s="273"/>
      <c r="H180" s="273"/>
      <c r="I180" s="803" t="s">
        <v>39</v>
      </c>
      <c r="J180" s="805"/>
      <c r="K180" s="805"/>
      <c r="L180" s="291"/>
      <c r="M180" s="302"/>
      <c r="N180" s="242"/>
      <c r="O180" s="275"/>
      <c r="P180" s="275"/>
      <c r="Q180" s="808">
        <f>IF($F184="","",SUM(Q196:S196)-S182)</f>
        <v>570</v>
      </c>
      <c r="R180" s="808"/>
      <c r="S180" s="808"/>
      <c r="T180" s="276"/>
      <c r="U180" s="277"/>
      <c r="V180" s="277"/>
      <c r="W180" s="277"/>
      <c r="X180" s="277"/>
      <c r="Y180" s="275"/>
      <c r="Z180" s="808">
        <f>IF($F184="","",SUM(Z196:AB196)-AB182)</f>
        <v>750</v>
      </c>
      <c r="AA180" s="808"/>
      <c r="AB180" s="808"/>
      <c r="AC180" s="276"/>
      <c r="AD180" s="277"/>
      <c r="AE180" s="277"/>
      <c r="AF180" s="277"/>
      <c r="AG180" s="273"/>
      <c r="AH180" s="275"/>
      <c r="AI180" s="808">
        <f>IF($F184="","",SUM(AI196:AK196)-AK182)</f>
        <v>660</v>
      </c>
      <c r="AJ180" s="808"/>
      <c r="AK180" s="808"/>
      <c r="AL180" s="276"/>
      <c r="AM180" s="277"/>
      <c r="AN180" s="277"/>
      <c r="AO180" s="277"/>
      <c r="AP180" s="273"/>
      <c r="AQ180" s="275"/>
      <c r="AR180" s="808">
        <f>IF($F184="","",SUM(AR196:AT196)-AT182)</f>
        <v>640</v>
      </c>
      <c r="AS180" s="808"/>
      <c r="AT180" s="808"/>
      <c r="AU180" s="278"/>
      <c r="AV180" s="277"/>
      <c r="AW180" s="277"/>
      <c r="AX180" s="277"/>
      <c r="AY180" s="279"/>
      <c r="AZ180" s="280"/>
      <c r="BA180" s="808">
        <f>IF($F184="","",SUM(BA196:BC196)-BC182)</f>
        <v>760</v>
      </c>
      <c r="BB180" s="808"/>
      <c r="BC180" s="808"/>
      <c r="BD180" s="278"/>
      <c r="BE180" s="277"/>
      <c r="BF180" s="277"/>
      <c r="BG180" s="277"/>
      <c r="BH180" s="279"/>
      <c r="BI180" s="280"/>
      <c r="BJ180" s="808">
        <f>IF($F184="","",SUM(BJ196:BL196)-BL182)</f>
        <v>610</v>
      </c>
      <c r="BK180" s="808"/>
      <c r="BL180" s="808"/>
      <c r="BM180" s="278"/>
      <c r="BN180" s="277"/>
      <c r="BO180" s="277"/>
      <c r="BP180" s="277"/>
      <c r="BQ180" s="279"/>
      <c r="BR180" s="281"/>
      <c r="BS180" s="808">
        <f>IF($F184="","",SUM(BS196:BU196)-BU182)</f>
        <v>490</v>
      </c>
      <c r="BT180" s="808"/>
      <c r="BU180" s="808"/>
      <c r="BV180" s="280"/>
      <c r="BW180" s="279"/>
      <c r="BX180" s="279"/>
      <c r="BY180" s="279"/>
      <c r="BZ180" s="279"/>
      <c r="CA180" s="281"/>
      <c r="CB180" s="808">
        <f>IF($F184="","",SUM(CB196:CD196)-CD182)</f>
        <v>680</v>
      </c>
      <c r="CC180" s="808"/>
      <c r="CD180" s="808"/>
      <c r="CE180" s="280"/>
      <c r="CF180" s="279"/>
      <c r="CG180" s="279"/>
      <c r="CH180" s="279"/>
      <c r="CI180" s="279"/>
      <c r="CJ180" s="273"/>
      <c r="CK180" s="808">
        <f>IF($F184="","",SUM(CK196:CM196))</f>
        <v>580</v>
      </c>
      <c r="CL180" s="808"/>
      <c r="CM180" s="808"/>
      <c r="CN180" s="280"/>
      <c r="CO180" s="279"/>
      <c r="CP180" s="279"/>
      <c r="CQ180" s="279"/>
      <c r="CR180" s="273"/>
      <c r="CS180" s="273"/>
      <c r="CT180" s="273"/>
      <c r="CU180" s="292"/>
      <c r="CV180" s="246"/>
      <c r="CW180" s="255"/>
    </row>
    <row r="181" spans="1:101" x14ac:dyDescent="0.2">
      <c r="A181" s="256"/>
      <c r="B181" s="256"/>
      <c r="C181" s="209"/>
      <c r="D181" s="916">
        <v>44</v>
      </c>
      <c r="E181" s="588">
        <f>IF(D181="","",DATE($D$4,1,1)+(D181-1)*7+(6-WEEKDAY(DATE($D$4,1,1),2)))</f>
        <v>45962</v>
      </c>
      <c r="F181" s="213"/>
      <c r="G181" s="214"/>
      <c r="H181" s="214"/>
      <c r="I181" s="804">
        <f>IF(ISERROR(AVERAGE(Q180,Z180,AI180,AR180,BA180,BJ180,BS180,CB180,CK180)),"",AVERAGE(Q180,Z180,AI180,AR180,BA180,BJ180,BS180,CB180,CK180))</f>
        <v>637.77777777777783</v>
      </c>
      <c r="J181" s="806"/>
      <c r="K181" s="806"/>
      <c r="L181" s="295"/>
      <c r="M181" s="372"/>
      <c r="N181" s="245"/>
      <c r="O181" s="215"/>
      <c r="P181" s="215"/>
      <c r="Q181" s="710">
        <f>IF(Q180="","",Q180/Data!$X$1)</f>
        <v>0.47499999999999998</v>
      </c>
      <c r="R181" s="710"/>
      <c r="S181" s="711">
        <f>IF(SUM(X184:X195)=0,"",SUM(X184:X195))</f>
        <v>8</v>
      </c>
      <c r="T181" s="216"/>
      <c r="U181" s="217"/>
      <c r="V181" s="217"/>
      <c r="W181" s="217"/>
      <c r="X181" s="217"/>
      <c r="Y181" s="215"/>
      <c r="Z181" s="710">
        <f>IF(Z180="","",Z180/Data!$X$1)</f>
        <v>0.625</v>
      </c>
      <c r="AA181" s="710"/>
      <c r="AB181" s="711">
        <f>IF(SUM(AG184:AG195)=0,"",SUM(AG184:AG195))</f>
        <v>9</v>
      </c>
      <c r="AC181" s="216"/>
      <c r="AD181" s="217"/>
      <c r="AE181" s="217"/>
      <c r="AF181" s="217"/>
      <c r="AG181" s="217"/>
      <c r="AH181" s="215"/>
      <c r="AI181" s="710">
        <f>IF(AI180="","",AI180/Data!$X$1)</f>
        <v>0.55000000000000004</v>
      </c>
      <c r="AJ181" s="710"/>
      <c r="AK181" s="711">
        <f>IF(SUM(AP184:AP195)=0,"",SUM(AP184:AP195))</f>
        <v>9</v>
      </c>
      <c r="AL181" s="216"/>
      <c r="AM181" s="217"/>
      <c r="AN181" s="217"/>
      <c r="AO181" s="217"/>
      <c r="AP181" s="217"/>
      <c r="AQ181" s="215"/>
      <c r="AR181" s="710">
        <f>IF(AR180="","",AR180/Data!$X$1)</f>
        <v>0.53333333333333333</v>
      </c>
      <c r="AS181" s="710"/>
      <c r="AT181" s="711">
        <f>IF(SUM(AY184:AY195)=0,"",SUM(AY184:AY195))</f>
        <v>8</v>
      </c>
      <c r="AU181" s="218"/>
      <c r="AV181" s="217"/>
      <c r="AW181" s="217"/>
      <c r="AX181" s="217"/>
      <c r="AY181" s="217"/>
      <c r="AZ181" s="219"/>
      <c r="BA181" s="710">
        <f>IF(BA180="","",BA180/Data!$X$1)</f>
        <v>0.6333333333333333</v>
      </c>
      <c r="BB181" s="710"/>
      <c r="BC181" s="711">
        <f>IF(SUM(BH184:BH195)=0,"",SUM(BH184:BH195))</f>
        <v>10</v>
      </c>
      <c r="BD181" s="218"/>
      <c r="BE181" s="217"/>
      <c r="BF181" s="217"/>
      <c r="BG181" s="217"/>
      <c r="BH181" s="217"/>
      <c r="BI181" s="219"/>
      <c r="BJ181" s="710">
        <f>IF(BJ180="","",BJ180/Data!$X$1)</f>
        <v>0.5083333333333333</v>
      </c>
      <c r="BK181" s="710"/>
      <c r="BL181" s="711">
        <f>IF(SUM(BQ184:BQ195)=0,"",SUM(BQ184:BQ195))</f>
        <v>7</v>
      </c>
      <c r="BM181" s="218"/>
      <c r="BN181" s="217"/>
      <c r="BO181" s="217"/>
      <c r="BP181" s="217"/>
      <c r="BQ181" s="217"/>
      <c r="BR181" s="220"/>
      <c r="BS181" s="710">
        <f>IF(BS180="","",BS180/Data!$X$1)</f>
        <v>0.40833333333333333</v>
      </c>
      <c r="BT181" s="710"/>
      <c r="BU181" s="711">
        <f>IF(SUM(BZ184:BZ195)=0,"",SUM(BZ184:BZ195))</f>
        <v>5</v>
      </c>
      <c r="BV181" s="219"/>
      <c r="BW181" s="217"/>
      <c r="BX181" s="217"/>
      <c r="BY181" s="217"/>
      <c r="BZ181" s="217"/>
      <c r="CA181" s="220"/>
      <c r="CB181" s="710">
        <f>IF(CB180="","",CB180/Data!$X$1)</f>
        <v>0.56666666666666665</v>
      </c>
      <c r="CC181" s="710"/>
      <c r="CD181" s="711">
        <f>IF(SUM(CI184:CI195)=0,"",SUM(CI184:CI195))</f>
        <v>9</v>
      </c>
      <c r="CE181" s="219"/>
      <c r="CF181" s="217"/>
      <c r="CG181" s="217"/>
      <c r="CH181" s="217"/>
      <c r="CI181" s="217"/>
      <c r="CJ181" s="217"/>
      <c r="CK181" s="710">
        <f>IF(CK180="","",CK180/Data!$X$1)</f>
        <v>0.48333333333333334</v>
      </c>
      <c r="CL181" s="710"/>
      <c r="CM181" s="711">
        <f>IF(SUM(CR184:CR195)=0,"",SUM(CR184:CR195))</f>
        <v>8</v>
      </c>
      <c r="CN181" s="219"/>
      <c r="CO181" s="217"/>
      <c r="CP181" s="217"/>
      <c r="CQ181" s="217"/>
      <c r="CR181" s="217"/>
      <c r="CS181" s="217"/>
      <c r="CT181" s="217"/>
      <c r="CU181" s="296"/>
      <c r="CV181" s="246"/>
      <c r="CW181" s="255"/>
    </row>
    <row r="182" spans="1:101" ht="13.5" thickBot="1" x14ac:dyDescent="0.25">
      <c r="A182" s="256"/>
      <c r="B182" s="256"/>
      <c r="C182" s="209"/>
      <c r="D182" s="269">
        <f>D160+1</f>
        <v>9</v>
      </c>
      <c r="E182" s="402" t="s">
        <v>61</v>
      </c>
      <c r="F182" s="221"/>
      <c r="G182" s="222"/>
      <c r="H182" s="222"/>
      <c r="I182" s="802"/>
      <c r="J182" s="807"/>
      <c r="K182" s="807"/>
      <c r="L182" s="297"/>
      <c r="M182" s="373"/>
      <c r="N182" s="377"/>
      <c r="O182" s="222"/>
      <c r="P182" s="222"/>
      <c r="Q182" s="385" t="str">
        <f>Data!$E$11</f>
        <v>AHH</v>
      </c>
      <c r="R182" s="386">
        <f>IF($F195="","",RANK(Q180,$Q180:$CL180))</f>
        <v>8</v>
      </c>
      <c r="S182" s="510"/>
      <c r="T182" s="216">
        <v>0</v>
      </c>
      <c r="U182" s="217"/>
      <c r="V182" s="217"/>
      <c r="W182" s="217"/>
      <c r="X182" s="217"/>
      <c r="Y182" s="215"/>
      <c r="Z182" s="385" t="str">
        <f>Data!$E$12</f>
        <v>RB</v>
      </c>
      <c r="AA182" s="386">
        <f>IF($F195="","",RANK(Z180,$Q180:$CL180))</f>
        <v>2</v>
      </c>
      <c r="AB182" s="510"/>
      <c r="AC182" s="216"/>
      <c r="AD182" s="217"/>
      <c r="AE182" s="217"/>
      <c r="AF182" s="217"/>
      <c r="AG182" s="217"/>
      <c r="AH182" s="215"/>
      <c r="AI182" s="385" t="str">
        <f>Data!$E$13</f>
        <v>EB</v>
      </c>
      <c r="AJ182" s="386">
        <f>IF($F195="","",RANK(AI180,$Q180:$CL180))</f>
        <v>4</v>
      </c>
      <c r="AK182" s="510"/>
      <c r="AL182" s="216"/>
      <c r="AM182" s="217"/>
      <c r="AN182" s="217"/>
      <c r="AO182" s="217"/>
      <c r="AP182" s="217"/>
      <c r="AQ182" s="215"/>
      <c r="AR182" s="346" t="str">
        <f>Data!$E$14</f>
        <v>KAF</v>
      </c>
      <c r="AS182" s="386">
        <f>IF($F195="","",RANK(AR180,$Q180:$CL180))</f>
        <v>5</v>
      </c>
      <c r="AT182" s="510"/>
      <c r="AU182" s="216"/>
      <c r="AV182" s="217"/>
      <c r="AW182" s="217"/>
      <c r="AX182" s="217"/>
      <c r="AY182" s="217"/>
      <c r="AZ182" s="215"/>
      <c r="BA182" s="346" t="str">
        <f>Data!$E$15</f>
        <v>ØG</v>
      </c>
      <c r="BB182" s="386">
        <f>IF($F195="","",RANK(BA180,$Q180:$CL180))</f>
        <v>1</v>
      </c>
      <c r="BC182" s="510"/>
      <c r="BD182" s="216"/>
      <c r="BE182" s="217"/>
      <c r="BF182" s="217"/>
      <c r="BG182" s="217"/>
      <c r="BH182" s="217"/>
      <c r="BI182" s="215"/>
      <c r="BJ182" s="346" t="str">
        <f>Data!$E$16</f>
        <v>JH</v>
      </c>
      <c r="BK182" s="386">
        <f>IF($F195="","",RANK(BJ180,$Q180:$CL180))</f>
        <v>6</v>
      </c>
      <c r="BL182" s="510"/>
      <c r="BM182" s="216"/>
      <c r="BN182" s="217"/>
      <c r="BO182" s="217"/>
      <c r="BP182" s="217"/>
      <c r="BQ182" s="217"/>
      <c r="BR182" s="223"/>
      <c r="BS182" s="346" t="str">
        <f>Data!$E$17</f>
        <v>TOH</v>
      </c>
      <c r="BT182" s="386">
        <f>IF($F195="","",RANK(BS180,$Q180:$CL180))</f>
        <v>9</v>
      </c>
      <c r="BU182" s="510"/>
      <c r="BV182" s="215"/>
      <c r="BW182" s="217"/>
      <c r="BX182" s="217"/>
      <c r="BY182" s="217"/>
      <c r="BZ182" s="217"/>
      <c r="CA182" s="223"/>
      <c r="CB182" s="346" t="s">
        <v>26</v>
      </c>
      <c r="CC182" s="386">
        <f>IF($F195="","",RANK(CB180,$Q180:$CM180))</f>
        <v>3</v>
      </c>
      <c r="CD182" s="511"/>
      <c r="CE182" s="215"/>
      <c r="CF182" s="217"/>
      <c r="CG182" s="217"/>
      <c r="CH182" s="217"/>
      <c r="CI182" s="217"/>
      <c r="CJ182" s="217"/>
      <c r="CK182" s="346" t="s">
        <v>27</v>
      </c>
      <c r="CL182" s="386">
        <f>IF($F195="","",RANK(CK180,$Q180:$CM180))</f>
        <v>7</v>
      </c>
      <c r="CM182" s="798"/>
      <c r="CN182" s="215"/>
      <c r="CO182" s="217"/>
      <c r="CP182" s="217"/>
      <c r="CQ182" s="217"/>
      <c r="CR182" s="217"/>
      <c r="CS182" s="217"/>
      <c r="CT182" s="217"/>
      <c r="CU182" s="296"/>
      <c r="CV182" s="246"/>
      <c r="CW182" s="255"/>
    </row>
    <row r="183" spans="1:101" ht="13.5" thickBot="1" x14ac:dyDescent="0.25">
      <c r="A183" s="264"/>
      <c r="B183" s="264"/>
      <c r="C183" s="202"/>
      <c r="D183" s="270"/>
      <c r="E183" s="224"/>
      <c r="F183" s="225"/>
      <c r="G183" s="226"/>
      <c r="H183" s="226"/>
      <c r="I183" s="227" t="s">
        <v>45</v>
      </c>
      <c r="J183" s="228" t="s">
        <v>46</v>
      </c>
      <c r="K183" s="229" t="s">
        <v>47</v>
      </c>
      <c r="L183" s="298"/>
      <c r="M183" s="374"/>
      <c r="N183" s="378"/>
      <c r="O183" s="230"/>
      <c r="P183" s="230"/>
      <c r="Q183" s="227" t="s">
        <v>45</v>
      </c>
      <c r="R183" s="228" t="s">
        <v>46</v>
      </c>
      <c r="S183" s="229" t="s">
        <v>47</v>
      </c>
      <c r="T183" s="231"/>
      <c r="U183" s="232"/>
      <c r="V183" s="232"/>
      <c r="W183" s="232"/>
      <c r="X183" s="232"/>
      <c r="Y183" s="230"/>
      <c r="Z183" s="227" t="s">
        <v>45</v>
      </c>
      <c r="AA183" s="228" t="s">
        <v>46</v>
      </c>
      <c r="AB183" s="229" t="s">
        <v>47</v>
      </c>
      <c r="AC183" s="231"/>
      <c r="AD183" s="232"/>
      <c r="AE183" s="232"/>
      <c r="AF183" s="232"/>
      <c r="AG183" s="232"/>
      <c r="AH183" s="230"/>
      <c r="AI183" s="227" t="s">
        <v>45</v>
      </c>
      <c r="AJ183" s="228" t="s">
        <v>46</v>
      </c>
      <c r="AK183" s="229" t="s">
        <v>47</v>
      </c>
      <c r="AL183" s="231"/>
      <c r="AM183" s="232"/>
      <c r="AN183" s="232"/>
      <c r="AO183" s="232"/>
      <c r="AP183" s="232"/>
      <c r="AQ183" s="230"/>
      <c r="AR183" s="227" t="s">
        <v>45</v>
      </c>
      <c r="AS183" s="228" t="s">
        <v>46</v>
      </c>
      <c r="AT183" s="229" t="s">
        <v>47</v>
      </c>
      <c r="AU183" s="231"/>
      <c r="AV183" s="232"/>
      <c r="AW183" s="232"/>
      <c r="AX183" s="232"/>
      <c r="AY183" s="232"/>
      <c r="AZ183" s="230"/>
      <c r="BA183" s="227" t="s">
        <v>45</v>
      </c>
      <c r="BB183" s="228" t="s">
        <v>46</v>
      </c>
      <c r="BC183" s="229" t="s">
        <v>47</v>
      </c>
      <c r="BD183" s="231"/>
      <c r="BE183" s="232"/>
      <c r="BF183" s="232"/>
      <c r="BG183" s="232"/>
      <c r="BH183" s="232"/>
      <c r="BI183" s="230"/>
      <c r="BJ183" s="227" t="s">
        <v>45</v>
      </c>
      <c r="BK183" s="228" t="s">
        <v>46</v>
      </c>
      <c r="BL183" s="229" t="s">
        <v>47</v>
      </c>
      <c r="BM183" s="231"/>
      <c r="BN183" s="232"/>
      <c r="BO183" s="232"/>
      <c r="BP183" s="232"/>
      <c r="BQ183" s="232"/>
      <c r="BR183" s="230"/>
      <c r="BS183" s="227" t="s">
        <v>45</v>
      </c>
      <c r="BT183" s="228" t="s">
        <v>46</v>
      </c>
      <c r="BU183" s="229" t="s">
        <v>47</v>
      </c>
      <c r="BV183" s="231"/>
      <c r="BW183" s="232"/>
      <c r="BX183" s="232"/>
      <c r="BY183" s="232"/>
      <c r="BZ183" s="233"/>
      <c r="CA183" s="230"/>
      <c r="CB183" s="227" t="s">
        <v>45</v>
      </c>
      <c r="CC183" s="228" t="s">
        <v>46</v>
      </c>
      <c r="CD183" s="229" t="s">
        <v>47</v>
      </c>
      <c r="CE183" s="231"/>
      <c r="CF183" s="232"/>
      <c r="CG183" s="232"/>
      <c r="CH183" s="232"/>
      <c r="CI183" s="232"/>
      <c r="CJ183" s="232"/>
      <c r="CK183" s="227" t="s">
        <v>45</v>
      </c>
      <c r="CL183" s="228" t="s">
        <v>46</v>
      </c>
      <c r="CM183" s="229" t="s">
        <v>47</v>
      </c>
      <c r="CN183" s="231"/>
      <c r="CO183" s="232"/>
      <c r="CP183" s="232"/>
      <c r="CQ183" s="232"/>
      <c r="CR183" s="232"/>
      <c r="CS183" s="232"/>
      <c r="CT183" s="234"/>
      <c r="CU183" s="296"/>
      <c r="CV183" s="246"/>
      <c r="CW183" s="265"/>
    </row>
    <row r="184" spans="1:101" x14ac:dyDescent="0.2">
      <c r="A184" s="264"/>
      <c r="B184" s="264"/>
      <c r="C184" s="202"/>
      <c r="D184" s="271">
        <v>1</v>
      </c>
      <c r="E184" s="166" t="s">
        <v>146</v>
      </c>
      <c r="F184" s="468">
        <v>4</v>
      </c>
      <c r="G184" s="472" t="s">
        <v>49</v>
      </c>
      <c r="H184" s="473">
        <v>2</v>
      </c>
      <c r="I184" s="170" t="str">
        <f t="shared" ref="I184:I195" si="400">IF($F184&gt;$H184,"x","")</f>
        <v>x</v>
      </c>
      <c r="J184" s="387" t="str">
        <f t="shared" ref="J184:J195" si="401">IF(F184&lt;&gt;"",IF(H184&lt;&gt;"",IF(F184=H184,"x",""),""),"")</f>
        <v/>
      </c>
      <c r="K184" s="388" t="str">
        <f t="shared" ref="K184:K195" si="402">IF($F184&lt;$H184,"x","")</f>
        <v/>
      </c>
      <c r="L184" s="299"/>
      <c r="M184" s="375"/>
      <c r="N184" s="379"/>
      <c r="O184" s="236"/>
      <c r="P184" s="236"/>
      <c r="Q184" s="480">
        <v>40</v>
      </c>
      <c r="R184" s="481">
        <v>30</v>
      </c>
      <c r="S184" s="482">
        <f>IF(Q184="","",100-SUM(Q184:R184))</f>
        <v>30</v>
      </c>
      <c r="T184" s="371"/>
      <c r="U184" s="232">
        <f t="shared" ref="U184:U195" si="403">IF($I184="x",Q184,"")</f>
        <v>40</v>
      </c>
      <c r="V184" s="232" t="str">
        <f t="shared" ref="V184:V195" si="404">IF($J184="x",R184,"")</f>
        <v/>
      </c>
      <c r="W184" s="232" t="str">
        <f t="shared" ref="W184:W195" si="405">IF($K184="x",S184,"")</f>
        <v/>
      </c>
      <c r="X184" s="232">
        <f>IF((MAX(U184,V184,W184))=0,"",IF((MAX(U184,V184,W184))=(MAX(Q184,R184,S184)),1,""))</f>
        <v>1</v>
      </c>
      <c r="Y184" s="371"/>
      <c r="Z184" s="495">
        <v>80</v>
      </c>
      <c r="AA184" s="496">
        <v>10</v>
      </c>
      <c r="AB184" s="482">
        <f t="shared" ref="AB184:AB195" si="406">IF(Z184="","",100-SUM(Z184:AA184))</f>
        <v>10</v>
      </c>
      <c r="AC184" s="371"/>
      <c r="AD184" s="232">
        <f t="shared" ref="AD184:AD195" si="407">IF($I184="x",Z184,"")</f>
        <v>80</v>
      </c>
      <c r="AE184" s="232" t="str">
        <f t="shared" ref="AE184:AE195" si="408">IF($J184="x",AA184,"")</f>
        <v/>
      </c>
      <c r="AF184" s="232" t="str">
        <f t="shared" ref="AF184:AF195" si="409">IF($K184="x",AB184,"")</f>
        <v/>
      </c>
      <c r="AG184" s="232">
        <f>IF((MAX(AD184,AE184,AF184))=0,"",IF((MAX(AD184,AE184,AF184))=(MAX(Z184,AA184,AB184)),1,""))</f>
        <v>1</v>
      </c>
      <c r="AH184" s="371"/>
      <c r="AI184" s="495">
        <v>80</v>
      </c>
      <c r="AJ184" s="496">
        <v>10</v>
      </c>
      <c r="AK184" s="482">
        <f t="shared" ref="AK184:AK195" si="410">IF(AI184="","",100-SUM(AI184:AJ184))</f>
        <v>10</v>
      </c>
      <c r="AL184" s="371"/>
      <c r="AM184" s="232">
        <f t="shared" ref="AM184:AM195" si="411">IF($I184="x",AI184,"")</f>
        <v>80</v>
      </c>
      <c r="AN184" s="232" t="str">
        <f t="shared" ref="AN184:AN195" si="412">IF($J184="x",AJ184,"")</f>
        <v/>
      </c>
      <c r="AO184" s="232" t="str">
        <f t="shared" ref="AO184:AO195" si="413">IF($K184="x",AK184,"")</f>
        <v/>
      </c>
      <c r="AP184" s="232">
        <f>IF((MAX(AM184,AN184,AO184))=0,"",IF((MAX(AM184,AN184,AO184))=(MAX(AI184,AJ184,AK184)),1,""))</f>
        <v>1</v>
      </c>
      <c r="AQ184" s="371"/>
      <c r="AR184" s="495">
        <v>50</v>
      </c>
      <c r="AS184" s="496">
        <v>40</v>
      </c>
      <c r="AT184" s="482">
        <f t="shared" ref="AT184:AT195" si="414">IF(AR184="","",100-SUM(AR184:AS184))</f>
        <v>10</v>
      </c>
      <c r="AU184" s="371"/>
      <c r="AV184" s="232">
        <f t="shared" ref="AV184:AV195" si="415">IF($I184="x",AR184,"")</f>
        <v>50</v>
      </c>
      <c r="AW184" s="232" t="str">
        <f t="shared" ref="AW184:AW195" si="416">IF($J184="x",AS184,"")</f>
        <v/>
      </c>
      <c r="AX184" s="232" t="str">
        <f t="shared" ref="AX184:AX195" si="417">IF($K184="x",AT184,"")</f>
        <v/>
      </c>
      <c r="AY184" s="232">
        <f>IF((MAX(AV184,AW184,AX184))=0,"",IF((MAX(AV184,AW184,AX184))=(MAX(AR184,AS184,AT184)),1,""))</f>
        <v>1</v>
      </c>
      <c r="AZ184" s="371"/>
      <c r="BA184" s="495">
        <v>80</v>
      </c>
      <c r="BB184" s="496">
        <v>10</v>
      </c>
      <c r="BC184" s="482">
        <f t="shared" ref="BC184:BC195" si="418">IF(BA184="","",100-SUM(BA184:BB184))</f>
        <v>10</v>
      </c>
      <c r="BD184" s="371"/>
      <c r="BE184" s="232">
        <f t="shared" ref="BE184:BE195" si="419">IF($I184="x",BA184,"")</f>
        <v>80</v>
      </c>
      <c r="BF184" s="232" t="str">
        <f t="shared" ref="BF184:BF195" si="420">IF($J184="x",BB184,"")</f>
        <v/>
      </c>
      <c r="BG184" s="232" t="str">
        <f t="shared" ref="BG184:BG195" si="421">IF($K184="x",BC184,"")</f>
        <v/>
      </c>
      <c r="BH184" s="232">
        <f>IF((MAX(BE184,BF184,BG184))=0,"",IF((MAX(BE184,BF184,BG184))=(MAX(BA184,BB184,BC184)),1,""))</f>
        <v>1</v>
      </c>
      <c r="BI184" s="371"/>
      <c r="BJ184" s="495">
        <v>10</v>
      </c>
      <c r="BK184" s="496">
        <v>10</v>
      </c>
      <c r="BL184" s="482">
        <f t="shared" ref="BL184:BL195" si="422">IF(BJ184="","",100-SUM(BJ184:BK184))</f>
        <v>80</v>
      </c>
      <c r="BM184" s="371"/>
      <c r="BN184" s="232">
        <f t="shared" ref="BN184:BN195" si="423">IF($I184="x",BJ184,"")</f>
        <v>10</v>
      </c>
      <c r="BO184" s="232" t="str">
        <f t="shared" ref="BO184:BO195" si="424">IF($J184="x",BK184,"")</f>
        <v/>
      </c>
      <c r="BP184" s="232" t="str">
        <f t="shared" ref="BP184:BP195" si="425">IF($K184="x",BL184,"")</f>
        <v/>
      </c>
      <c r="BQ184" s="232" t="str">
        <f>IF((MAX(BN184,BO184,BP184))=0,"",IF((MAX(BN184,BO184,BP184))=(MAX(BJ184,BK184,BL184)),1,""))</f>
        <v/>
      </c>
      <c r="BR184" s="371"/>
      <c r="BS184" s="495">
        <v>20</v>
      </c>
      <c r="BT184" s="496">
        <v>20</v>
      </c>
      <c r="BU184" s="482">
        <f t="shared" ref="BU184:BU195" si="426">IF(BS184="","",100-SUM(BS184:BT184))</f>
        <v>60</v>
      </c>
      <c r="BV184" s="371"/>
      <c r="BW184" s="232">
        <f t="shared" ref="BW184:BW195" si="427">IF($I184="x",BS184,"")</f>
        <v>20</v>
      </c>
      <c r="BX184" s="232" t="str">
        <f t="shared" ref="BX184:BX195" si="428">IF($J184="x",BT184,"")</f>
        <v/>
      </c>
      <c r="BY184" s="232" t="str">
        <f t="shared" ref="BY184:BY195" si="429">IF($K184="x",BU184,"")</f>
        <v/>
      </c>
      <c r="BZ184" s="232" t="str">
        <f>IF((MAX(BW184,BX184,BY184))=0,"",IF((MAX(BW184,BX184,BY184))=(MAX(BS184,BT184,BU184)),1,""))</f>
        <v/>
      </c>
      <c r="CA184" s="371"/>
      <c r="CB184" s="501">
        <f t="shared" ref="CB184:CB195" si="430">IFERROR(ROUNDUP((SUM(Q184,Z184,AI184,AR184,BA184,BJ184,BS184)/SUM($Q184:$S184,$Z184:$AB184,$AI184:$AK184,$AR184:$AT184,$BA184:$BC184,$BJ184:$BL184,$BS184:$BU184))*100,-1),"")</f>
        <v>60</v>
      </c>
      <c r="CC184" s="502">
        <f t="shared" ref="CC184:CC195" si="431">IFERROR(ROUNDDOWN((SUM(R184,AA184,AJ184,AS184,BB184,BK184,BT184)/SUM($Q184:$S184,$Z184:$AB184,$AI184:$AK184,$AR184:$AT184,$BA184:$BC184,$BJ184:$BL184,$BS184:$BU184))*100,-1),"")</f>
        <v>10</v>
      </c>
      <c r="CD184" s="503">
        <f t="shared" ref="CD184:CD195" si="432">IF(CB184="","",100-SUM(CB184:CC184))</f>
        <v>30</v>
      </c>
      <c r="CE184" s="371"/>
      <c r="CF184" s="232">
        <f t="shared" ref="CF184:CF195" si="433">IF($I184="x",CB184,"")</f>
        <v>60</v>
      </c>
      <c r="CG184" s="232" t="str">
        <f t="shared" ref="CG184:CG195" si="434">IF($J184="x",CC184,"")</f>
        <v/>
      </c>
      <c r="CH184" s="232" t="str">
        <f t="shared" ref="CH184:CH195" si="435">IF($K184="x",CD184,"")</f>
        <v/>
      </c>
      <c r="CI184" s="232">
        <f>IF((MAX(CF184,CG184,CH184))=0,"",IF((MAX(CF184,CG184,CH184))=(MAX(CB184,CC184,CD184)),1,""))</f>
        <v>1</v>
      </c>
      <c r="CJ184" s="232"/>
      <c r="CK184" s="495">
        <v>50</v>
      </c>
      <c r="CL184" s="496">
        <v>10</v>
      </c>
      <c r="CM184" s="482">
        <f t="shared" ref="CM184:CM195" si="436">IF(CK184="","",100-SUM(CK184:CL184))</f>
        <v>40</v>
      </c>
      <c r="CN184" s="371"/>
      <c r="CO184" s="232">
        <f t="shared" ref="CO184:CO195" si="437">IF($I184="x",CK184,"")</f>
        <v>50</v>
      </c>
      <c r="CP184" s="232" t="str">
        <f t="shared" ref="CP184:CP195" si="438">IF($J184="x",CL184,"")</f>
        <v/>
      </c>
      <c r="CQ184" s="232" t="str">
        <f t="shared" ref="CQ184:CQ195" si="439">IF($K184="x",CM184,"")</f>
        <v/>
      </c>
      <c r="CR184" s="232">
        <f>IF((MAX(CO184,CP184,CQ184))=0,"",IF((MAX(CO184,CP184,CQ184))=(MAX(CK184,CL184,CM184)),1,""))</f>
        <v>1</v>
      </c>
      <c r="CS184" s="232"/>
      <c r="CT184" s="371"/>
      <c r="CU184" s="296"/>
      <c r="CV184" s="246"/>
      <c r="CW184" s="264"/>
    </row>
    <row r="185" spans="1:101" x14ac:dyDescent="0.2">
      <c r="A185" s="264"/>
      <c r="B185" s="264"/>
      <c r="C185" s="202"/>
      <c r="D185" s="271">
        <v>2</v>
      </c>
      <c r="E185" s="167" t="s">
        <v>147</v>
      </c>
      <c r="F185" s="469">
        <v>3</v>
      </c>
      <c r="G185" s="474" t="s">
        <v>49</v>
      </c>
      <c r="H185" s="475">
        <v>1</v>
      </c>
      <c r="I185" s="389" t="str">
        <f t="shared" si="400"/>
        <v>x</v>
      </c>
      <c r="J185" s="390" t="str">
        <f t="shared" si="401"/>
        <v/>
      </c>
      <c r="K185" s="391" t="str">
        <f t="shared" si="402"/>
        <v/>
      </c>
      <c r="L185" s="299"/>
      <c r="M185" s="375"/>
      <c r="N185" s="379"/>
      <c r="O185" s="236"/>
      <c r="P185" s="236"/>
      <c r="Q185" s="483">
        <v>10</v>
      </c>
      <c r="R185" s="484">
        <v>20</v>
      </c>
      <c r="S185" s="485">
        <f t="shared" ref="S185:S195" si="440">IF(Q185="","",100-SUM(Q185:R185))</f>
        <v>70</v>
      </c>
      <c r="T185" s="371"/>
      <c r="U185" s="232">
        <f t="shared" si="403"/>
        <v>10</v>
      </c>
      <c r="V185" s="232" t="str">
        <f t="shared" si="404"/>
        <v/>
      </c>
      <c r="W185" s="232" t="str">
        <f t="shared" si="405"/>
        <v/>
      </c>
      <c r="X185" s="232" t="str">
        <f t="shared" ref="X185:X195" si="441">IF((MAX(U185,V185,W185))=0,"",IF((MAX(U185,V185,W185))=(MAX(Q185,R185,S185)),1,""))</f>
        <v/>
      </c>
      <c r="Y185" s="371"/>
      <c r="Z185" s="497">
        <v>10</v>
      </c>
      <c r="AA185" s="498">
        <v>10</v>
      </c>
      <c r="AB185" s="485">
        <f t="shared" si="406"/>
        <v>80</v>
      </c>
      <c r="AC185" s="371"/>
      <c r="AD185" s="232">
        <f t="shared" si="407"/>
        <v>10</v>
      </c>
      <c r="AE185" s="232" t="str">
        <f t="shared" si="408"/>
        <v/>
      </c>
      <c r="AF185" s="232" t="str">
        <f t="shared" si="409"/>
        <v/>
      </c>
      <c r="AG185" s="232" t="str">
        <f t="shared" ref="AG185:AG195" si="442">IF((MAX(AD185,AE185,AF185))=0,"",IF((MAX(AD185,AE185,AF185))=(MAX(Z185,AA185,AB185)),1,""))</f>
        <v/>
      </c>
      <c r="AH185" s="371"/>
      <c r="AI185" s="497">
        <v>20</v>
      </c>
      <c r="AJ185" s="498">
        <v>20</v>
      </c>
      <c r="AK185" s="485">
        <f t="shared" si="410"/>
        <v>60</v>
      </c>
      <c r="AL185" s="371"/>
      <c r="AM185" s="232">
        <f t="shared" si="411"/>
        <v>20</v>
      </c>
      <c r="AN185" s="232" t="str">
        <f t="shared" si="412"/>
        <v/>
      </c>
      <c r="AO185" s="232" t="str">
        <f t="shared" si="413"/>
        <v/>
      </c>
      <c r="AP185" s="232" t="str">
        <f t="shared" ref="AP185:AP195" si="443">IF((MAX(AM185,AN185,AO185))=0,"",IF((MAX(AM185,AN185,AO185))=(MAX(AI185,AJ185,AK185)),1,""))</f>
        <v/>
      </c>
      <c r="AQ185" s="371"/>
      <c r="AR185" s="497">
        <v>10</v>
      </c>
      <c r="AS185" s="498">
        <v>10</v>
      </c>
      <c r="AT185" s="485">
        <f t="shared" si="414"/>
        <v>80</v>
      </c>
      <c r="AU185" s="371"/>
      <c r="AV185" s="232">
        <f t="shared" si="415"/>
        <v>10</v>
      </c>
      <c r="AW185" s="232" t="str">
        <f t="shared" si="416"/>
        <v/>
      </c>
      <c r="AX185" s="232" t="str">
        <f t="shared" si="417"/>
        <v/>
      </c>
      <c r="AY185" s="232" t="str">
        <f t="shared" ref="AY185:AY195" si="444">IF((MAX(AV185,AW185,AX185))=0,"",IF((MAX(AV185,AW185,AX185))=(MAX(AR185,AS185,AT185)),1,""))</f>
        <v/>
      </c>
      <c r="AZ185" s="371"/>
      <c r="BA185" s="497">
        <v>10</v>
      </c>
      <c r="BB185" s="498">
        <v>10</v>
      </c>
      <c r="BC185" s="485">
        <f t="shared" si="418"/>
        <v>80</v>
      </c>
      <c r="BD185" s="371"/>
      <c r="BE185" s="232">
        <f t="shared" si="419"/>
        <v>10</v>
      </c>
      <c r="BF185" s="232" t="str">
        <f t="shared" si="420"/>
        <v/>
      </c>
      <c r="BG185" s="232" t="str">
        <f t="shared" si="421"/>
        <v/>
      </c>
      <c r="BH185" s="232" t="str">
        <f t="shared" ref="BH185:BH195" si="445">IF((MAX(BE185,BF185,BG185))=0,"",IF((MAX(BE185,BF185,BG185))=(MAX(BA185,BB185,BC185)),1,""))</f>
        <v/>
      </c>
      <c r="BI185" s="371"/>
      <c r="BJ185" s="497">
        <v>10</v>
      </c>
      <c r="BK185" s="498">
        <v>10</v>
      </c>
      <c r="BL185" s="485">
        <f t="shared" si="422"/>
        <v>80</v>
      </c>
      <c r="BM185" s="371"/>
      <c r="BN185" s="232">
        <f t="shared" si="423"/>
        <v>10</v>
      </c>
      <c r="BO185" s="232" t="str">
        <f t="shared" si="424"/>
        <v/>
      </c>
      <c r="BP185" s="232" t="str">
        <f t="shared" si="425"/>
        <v/>
      </c>
      <c r="BQ185" s="232" t="str">
        <f t="shared" ref="BQ185:BQ195" si="446">IF((MAX(BN185,BO185,BP185))=0,"",IF((MAX(BN185,BO185,BP185))=(MAX(BJ185,BK185,BL185)),1,""))</f>
        <v/>
      </c>
      <c r="BR185" s="371"/>
      <c r="BS185" s="497">
        <v>10</v>
      </c>
      <c r="BT185" s="498">
        <v>10</v>
      </c>
      <c r="BU185" s="485">
        <f t="shared" si="426"/>
        <v>80</v>
      </c>
      <c r="BV185" s="371"/>
      <c r="BW185" s="232">
        <f t="shared" si="427"/>
        <v>10</v>
      </c>
      <c r="BX185" s="232" t="str">
        <f t="shared" si="428"/>
        <v/>
      </c>
      <c r="BY185" s="232" t="str">
        <f t="shared" si="429"/>
        <v/>
      </c>
      <c r="BZ185" s="232" t="str">
        <f t="shared" ref="BZ185:BZ195" si="447">IF((MAX(BW185,BX185,BY185))=0,"",IF((MAX(BW185,BX185,BY185))=(MAX(BS185,BT185,BU185)),1,""))</f>
        <v/>
      </c>
      <c r="CA185" s="371"/>
      <c r="CB185" s="504">
        <f t="shared" si="430"/>
        <v>20</v>
      </c>
      <c r="CC185" s="505">
        <f t="shared" si="431"/>
        <v>10</v>
      </c>
      <c r="CD185" s="506">
        <f t="shared" si="432"/>
        <v>70</v>
      </c>
      <c r="CE185" s="371"/>
      <c r="CF185" s="232">
        <f t="shared" si="433"/>
        <v>20</v>
      </c>
      <c r="CG185" s="232" t="str">
        <f t="shared" si="434"/>
        <v/>
      </c>
      <c r="CH185" s="232" t="str">
        <f t="shared" si="435"/>
        <v/>
      </c>
      <c r="CI185" s="232" t="str">
        <f t="shared" ref="CI185:CI195" si="448">IF((MAX(CF185,CG185,CH185))=0,"",IF((MAX(CF185,CG185,CH185))=(MAX(CB185,CC185,CD185)),1,""))</f>
        <v/>
      </c>
      <c r="CJ185" s="232"/>
      <c r="CK185" s="497">
        <v>10</v>
      </c>
      <c r="CL185" s="498">
        <v>10</v>
      </c>
      <c r="CM185" s="485">
        <f t="shared" si="436"/>
        <v>80</v>
      </c>
      <c r="CN185" s="371"/>
      <c r="CO185" s="232">
        <f t="shared" si="437"/>
        <v>10</v>
      </c>
      <c r="CP185" s="232" t="str">
        <f t="shared" si="438"/>
        <v/>
      </c>
      <c r="CQ185" s="232" t="str">
        <f t="shared" si="439"/>
        <v/>
      </c>
      <c r="CR185" s="232" t="str">
        <f t="shared" ref="CR185:CR195" si="449">IF((MAX(CO185,CP185,CQ185))=0,"",IF((MAX(CO185,CP185,CQ185))=(MAX(CK185,CL185,CM185)),1,""))</f>
        <v/>
      </c>
      <c r="CS185" s="232"/>
      <c r="CT185" s="371"/>
      <c r="CU185" s="296"/>
      <c r="CV185" s="246"/>
      <c r="CW185" s="264"/>
    </row>
    <row r="186" spans="1:101" ht="13.5" thickBot="1" x14ac:dyDescent="0.25">
      <c r="A186" s="264"/>
      <c r="B186" s="264"/>
      <c r="C186" s="202"/>
      <c r="D186" s="271">
        <v>3</v>
      </c>
      <c r="E186" s="168" t="s">
        <v>148</v>
      </c>
      <c r="F186" s="470">
        <v>0</v>
      </c>
      <c r="G186" s="476" t="s">
        <v>49</v>
      </c>
      <c r="H186" s="477">
        <v>2</v>
      </c>
      <c r="I186" s="392" t="str">
        <f t="shared" si="400"/>
        <v/>
      </c>
      <c r="J186" s="393" t="str">
        <f t="shared" si="401"/>
        <v/>
      </c>
      <c r="K186" s="394" t="str">
        <f t="shared" si="402"/>
        <v>x</v>
      </c>
      <c r="L186" s="299"/>
      <c r="M186" s="375"/>
      <c r="N186" s="379"/>
      <c r="O186" s="236"/>
      <c r="P186" s="236"/>
      <c r="Q186" s="486">
        <v>60</v>
      </c>
      <c r="R186" s="487">
        <v>20</v>
      </c>
      <c r="S186" s="488">
        <f t="shared" si="440"/>
        <v>20</v>
      </c>
      <c r="T186" s="371"/>
      <c r="U186" s="232" t="str">
        <f t="shared" si="403"/>
        <v/>
      </c>
      <c r="V186" s="232" t="str">
        <f t="shared" si="404"/>
        <v/>
      </c>
      <c r="W186" s="232">
        <f t="shared" si="405"/>
        <v>20</v>
      </c>
      <c r="X186" s="232" t="str">
        <f t="shared" si="441"/>
        <v/>
      </c>
      <c r="Y186" s="371"/>
      <c r="Z186" s="499">
        <v>10</v>
      </c>
      <c r="AA186" s="500">
        <v>10</v>
      </c>
      <c r="AB186" s="488">
        <f t="shared" si="406"/>
        <v>80</v>
      </c>
      <c r="AC186" s="371"/>
      <c r="AD186" s="232" t="str">
        <f t="shared" si="407"/>
        <v/>
      </c>
      <c r="AE186" s="232" t="str">
        <f t="shared" si="408"/>
        <v/>
      </c>
      <c r="AF186" s="232">
        <f t="shared" si="409"/>
        <v>80</v>
      </c>
      <c r="AG186" s="232">
        <f t="shared" si="442"/>
        <v>1</v>
      </c>
      <c r="AH186" s="371"/>
      <c r="AI186" s="499">
        <v>70</v>
      </c>
      <c r="AJ186" s="500">
        <v>20</v>
      </c>
      <c r="AK186" s="488">
        <f t="shared" si="410"/>
        <v>10</v>
      </c>
      <c r="AL186" s="371"/>
      <c r="AM186" s="232" t="str">
        <f t="shared" si="411"/>
        <v/>
      </c>
      <c r="AN186" s="232" t="str">
        <f t="shared" si="412"/>
        <v/>
      </c>
      <c r="AO186" s="232">
        <f t="shared" si="413"/>
        <v>10</v>
      </c>
      <c r="AP186" s="232" t="str">
        <f t="shared" si="443"/>
        <v/>
      </c>
      <c r="AQ186" s="371"/>
      <c r="AR186" s="499">
        <v>10</v>
      </c>
      <c r="AS186" s="500">
        <v>30</v>
      </c>
      <c r="AT186" s="488">
        <f t="shared" si="414"/>
        <v>60</v>
      </c>
      <c r="AU186" s="371"/>
      <c r="AV186" s="232" t="str">
        <f t="shared" si="415"/>
        <v/>
      </c>
      <c r="AW186" s="232" t="str">
        <f t="shared" si="416"/>
        <v/>
      </c>
      <c r="AX186" s="232">
        <f t="shared" si="417"/>
        <v>60</v>
      </c>
      <c r="AY186" s="232">
        <f t="shared" si="444"/>
        <v>1</v>
      </c>
      <c r="AZ186" s="371"/>
      <c r="BA186" s="499">
        <v>10</v>
      </c>
      <c r="BB186" s="500">
        <v>30</v>
      </c>
      <c r="BC186" s="488">
        <f t="shared" si="418"/>
        <v>60</v>
      </c>
      <c r="BD186" s="371"/>
      <c r="BE186" s="232" t="str">
        <f t="shared" si="419"/>
        <v/>
      </c>
      <c r="BF186" s="232" t="str">
        <f t="shared" si="420"/>
        <v/>
      </c>
      <c r="BG186" s="232">
        <f t="shared" si="421"/>
        <v>60</v>
      </c>
      <c r="BH186" s="232">
        <f t="shared" si="445"/>
        <v>1</v>
      </c>
      <c r="BI186" s="371"/>
      <c r="BJ186" s="499">
        <v>10</v>
      </c>
      <c r="BK186" s="500">
        <v>10</v>
      </c>
      <c r="BL186" s="488">
        <f t="shared" si="422"/>
        <v>80</v>
      </c>
      <c r="BM186" s="371"/>
      <c r="BN186" s="232" t="str">
        <f t="shared" si="423"/>
        <v/>
      </c>
      <c r="BO186" s="232" t="str">
        <f t="shared" si="424"/>
        <v/>
      </c>
      <c r="BP186" s="232">
        <f t="shared" si="425"/>
        <v>80</v>
      </c>
      <c r="BQ186" s="232">
        <f t="shared" si="446"/>
        <v>1</v>
      </c>
      <c r="BR186" s="371"/>
      <c r="BS186" s="499">
        <v>20</v>
      </c>
      <c r="BT186" s="500">
        <v>10</v>
      </c>
      <c r="BU186" s="488">
        <f t="shared" si="426"/>
        <v>70</v>
      </c>
      <c r="BV186" s="371"/>
      <c r="BW186" s="232" t="str">
        <f t="shared" si="427"/>
        <v/>
      </c>
      <c r="BX186" s="232" t="str">
        <f t="shared" si="428"/>
        <v/>
      </c>
      <c r="BY186" s="232">
        <f t="shared" si="429"/>
        <v>70</v>
      </c>
      <c r="BZ186" s="232">
        <f t="shared" si="447"/>
        <v>1</v>
      </c>
      <c r="CA186" s="371"/>
      <c r="CB186" s="507">
        <f t="shared" si="430"/>
        <v>30</v>
      </c>
      <c r="CC186" s="508">
        <f t="shared" si="431"/>
        <v>10</v>
      </c>
      <c r="CD186" s="509">
        <f t="shared" si="432"/>
        <v>60</v>
      </c>
      <c r="CE186" s="371"/>
      <c r="CF186" s="232" t="str">
        <f t="shared" si="433"/>
        <v/>
      </c>
      <c r="CG186" s="232" t="str">
        <f t="shared" si="434"/>
        <v/>
      </c>
      <c r="CH186" s="232">
        <f t="shared" si="435"/>
        <v>60</v>
      </c>
      <c r="CI186" s="232">
        <f t="shared" si="448"/>
        <v>1</v>
      </c>
      <c r="CJ186" s="232"/>
      <c r="CK186" s="499">
        <v>10</v>
      </c>
      <c r="CL186" s="500">
        <v>30</v>
      </c>
      <c r="CM186" s="488">
        <f t="shared" si="436"/>
        <v>60</v>
      </c>
      <c r="CN186" s="371"/>
      <c r="CO186" s="232" t="str">
        <f t="shared" si="437"/>
        <v/>
      </c>
      <c r="CP186" s="232" t="str">
        <f t="shared" si="438"/>
        <v/>
      </c>
      <c r="CQ186" s="232">
        <f t="shared" si="439"/>
        <v>60</v>
      </c>
      <c r="CR186" s="232">
        <f t="shared" si="449"/>
        <v>1</v>
      </c>
      <c r="CS186" s="232"/>
      <c r="CT186" s="371"/>
      <c r="CU186" s="296"/>
      <c r="CV186" s="246"/>
      <c r="CW186" s="264"/>
    </row>
    <row r="187" spans="1:101" x14ac:dyDescent="0.2">
      <c r="A187" s="264"/>
      <c r="B187" s="264"/>
      <c r="C187" s="202"/>
      <c r="D187" s="271">
        <v>4</v>
      </c>
      <c r="E187" s="166" t="s">
        <v>149</v>
      </c>
      <c r="F187" s="468">
        <v>2</v>
      </c>
      <c r="G187" s="472" t="s">
        <v>49</v>
      </c>
      <c r="H187" s="473">
        <v>1</v>
      </c>
      <c r="I187" s="170" t="str">
        <f t="shared" si="400"/>
        <v>x</v>
      </c>
      <c r="J187" s="387" t="str">
        <f t="shared" si="401"/>
        <v/>
      </c>
      <c r="K187" s="388" t="str">
        <f t="shared" si="402"/>
        <v/>
      </c>
      <c r="L187" s="299"/>
      <c r="M187" s="375"/>
      <c r="N187" s="379"/>
      <c r="O187" s="236"/>
      <c r="P187" s="236"/>
      <c r="Q187" s="480">
        <v>70</v>
      </c>
      <c r="R187" s="481">
        <v>20</v>
      </c>
      <c r="S187" s="482">
        <f t="shared" si="440"/>
        <v>10</v>
      </c>
      <c r="T187" s="371"/>
      <c r="U187" s="232">
        <f t="shared" si="403"/>
        <v>70</v>
      </c>
      <c r="V187" s="232" t="str">
        <f t="shared" si="404"/>
        <v/>
      </c>
      <c r="W187" s="232" t="str">
        <f t="shared" si="405"/>
        <v/>
      </c>
      <c r="X187" s="232">
        <f t="shared" si="441"/>
        <v>1</v>
      </c>
      <c r="Y187" s="371"/>
      <c r="Z187" s="495">
        <v>80</v>
      </c>
      <c r="AA187" s="496">
        <v>10</v>
      </c>
      <c r="AB187" s="482">
        <f t="shared" si="406"/>
        <v>10</v>
      </c>
      <c r="AC187" s="371"/>
      <c r="AD187" s="232">
        <f t="shared" si="407"/>
        <v>80</v>
      </c>
      <c r="AE187" s="232" t="str">
        <f t="shared" si="408"/>
        <v/>
      </c>
      <c r="AF187" s="232" t="str">
        <f t="shared" si="409"/>
        <v/>
      </c>
      <c r="AG187" s="232">
        <f t="shared" si="442"/>
        <v>1</v>
      </c>
      <c r="AH187" s="371"/>
      <c r="AI187" s="495">
        <v>80</v>
      </c>
      <c r="AJ187" s="496">
        <v>10</v>
      </c>
      <c r="AK187" s="482">
        <f t="shared" si="410"/>
        <v>10</v>
      </c>
      <c r="AL187" s="371"/>
      <c r="AM187" s="232">
        <f t="shared" si="411"/>
        <v>80</v>
      </c>
      <c r="AN187" s="232" t="str">
        <f t="shared" si="412"/>
        <v/>
      </c>
      <c r="AO187" s="232" t="str">
        <f t="shared" si="413"/>
        <v/>
      </c>
      <c r="AP187" s="232">
        <f t="shared" si="443"/>
        <v>1</v>
      </c>
      <c r="AQ187" s="371"/>
      <c r="AR187" s="495">
        <v>80</v>
      </c>
      <c r="AS187" s="496">
        <v>10</v>
      </c>
      <c r="AT187" s="482">
        <f t="shared" si="414"/>
        <v>10</v>
      </c>
      <c r="AU187" s="371"/>
      <c r="AV187" s="232">
        <f t="shared" si="415"/>
        <v>80</v>
      </c>
      <c r="AW187" s="232" t="str">
        <f t="shared" si="416"/>
        <v/>
      </c>
      <c r="AX187" s="232" t="str">
        <f t="shared" si="417"/>
        <v/>
      </c>
      <c r="AY187" s="232">
        <f t="shared" si="444"/>
        <v>1</v>
      </c>
      <c r="AZ187" s="371"/>
      <c r="BA187" s="495">
        <v>80</v>
      </c>
      <c r="BB187" s="496">
        <v>10</v>
      </c>
      <c r="BC187" s="482">
        <f t="shared" si="418"/>
        <v>10</v>
      </c>
      <c r="BD187" s="371"/>
      <c r="BE187" s="232">
        <f t="shared" si="419"/>
        <v>80</v>
      </c>
      <c r="BF187" s="232" t="str">
        <f t="shared" si="420"/>
        <v/>
      </c>
      <c r="BG187" s="232" t="str">
        <f t="shared" si="421"/>
        <v/>
      </c>
      <c r="BH187" s="232">
        <f t="shared" si="445"/>
        <v>1</v>
      </c>
      <c r="BI187" s="371"/>
      <c r="BJ187" s="495">
        <v>80</v>
      </c>
      <c r="BK187" s="496">
        <v>10</v>
      </c>
      <c r="BL187" s="482">
        <f t="shared" si="422"/>
        <v>10</v>
      </c>
      <c r="BM187" s="371"/>
      <c r="BN187" s="232">
        <f t="shared" si="423"/>
        <v>80</v>
      </c>
      <c r="BO187" s="232" t="str">
        <f t="shared" si="424"/>
        <v/>
      </c>
      <c r="BP187" s="232" t="str">
        <f t="shared" si="425"/>
        <v/>
      </c>
      <c r="BQ187" s="232">
        <f t="shared" si="446"/>
        <v>1</v>
      </c>
      <c r="BR187" s="371"/>
      <c r="BS187" s="495">
        <v>70</v>
      </c>
      <c r="BT187" s="496">
        <v>20</v>
      </c>
      <c r="BU187" s="482">
        <f t="shared" si="426"/>
        <v>10</v>
      </c>
      <c r="BV187" s="371"/>
      <c r="BW187" s="232">
        <f t="shared" si="427"/>
        <v>70</v>
      </c>
      <c r="BX187" s="232" t="str">
        <f t="shared" si="428"/>
        <v/>
      </c>
      <c r="BY187" s="232" t="str">
        <f t="shared" si="429"/>
        <v/>
      </c>
      <c r="BZ187" s="232">
        <f t="shared" si="447"/>
        <v>1</v>
      </c>
      <c r="CA187" s="371"/>
      <c r="CB187" s="501">
        <f t="shared" si="430"/>
        <v>80</v>
      </c>
      <c r="CC187" s="502">
        <f t="shared" si="431"/>
        <v>10</v>
      </c>
      <c r="CD187" s="503">
        <f t="shared" si="432"/>
        <v>10</v>
      </c>
      <c r="CE187" s="371"/>
      <c r="CF187" s="232">
        <f t="shared" si="433"/>
        <v>80</v>
      </c>
      <c r="CG187" s="232" t="str">
        <f t="shared" si="434"/>
        <v/>
      </c>
      <c r="CH187" s="232" t="str">
        <f t="shared" si="435"/>
        <v/>
      </c>
      <c r="CI187" s="232">
        <f t="shared" si="448"/>
        <v>1</v>
      </c>
      <c r="CJ187" s="232"/>
      <c r="CK187" s="495">
        <v>80</v>
      </c>
      <c r="CL187" s="496">
        <v>10</v>
      </c>
      <c r="CM187" s="482">
        <f t="shared" si="436"/>
        <v>10</v>
      </c>
      <c r="CN187" s="371"/>
      <c r="CO187" s="232">
        <f t="shared" si="437"/>
        <v>80</v>
      </c>
      <c r="CP187" s="232" t="str">
        <f t="shared" si="438"/>
        <v/>
      </c>
      <c r="CQ187" s="232" t="str">
        <f t="shared" si="439"/>
        <v/>
      </c>
      <c r="CR187" s="232">
        <f t="shared" si="449"/>
        <v>1</v>
      </c>
      <c r="CS187" s="232"/>
      <c r="CT187" s="371"/>
      <c r="CU187" s="296"/>
      <c r="CV187" s="246"/>
      <c r="CW187" s="264"/>
    </row>
    <row r="188" spans="1:101" x14ac:dyDescent="0.2">
      <c r="A188" s="264"/>
      <c r="B188" s="264"/>
      <c r="C188" s="202"/>
      <c r="D188" s="271">
        <v>5</v>
      </c>
      <c r="E188" s="167" t="s">
        <v>150</v>
      </c>
      <c r="F188" s="469">
        <v>3</v>
      </c>
      <c r="G188" s="474" t="s">
        <v>49</v>
      </c>
      <c r="H188" s="475">
        <v>0</v>
      </c>
      <c r="I188" s="389" t="str">
        <f t="shared" si="400"/>
        <v>x</v>
      </c>
      <c r="J188" s="390" t="str">
        <f t="shared" si="401"/>
        <v/>
      </c>
      <c r="K188" s="391" t="str">
        <f t="shared" si="402"/>
        <v/>
      </c>
      <c r="L188" s="299"/>
      <c r="M188" s="375"/>
      <c r="N188" s="379"/>
      <c r="O188" s="236"/>
      <c r="P188" s="236"/>
      <c r="Q188" s="483">
        <v>70</v>
      </c>
      <c r="R188" s="484">
        <v>20</v>
      </c>
      <c r="S188" s="485">
        <f t="shared" si="440"/>
        <v>10</v>
      </c>
      <c r="T188" s="371"/>
      <c r="U188" s="232">
        <f t="shared" si="403"/>
        <v>70</v>
      </c>
      <c r="V188" s="232" t="str">
        <f t="shared" si="404"/>
        <v/>
      </c>
      <c r="W188" s="232" t="str">
        <f t="shared" si="405"/>
        <v/>
      </c>
      <c r="X188" s="232">
        <f t="shared" si="441"/>
        <v>1</v>
      </c>
      <c r="Y188" s="371"/>
      <c r="Z188" s="497">
        <v>80</v>
      </c>
      <c r="AA188" s="498">
        <v>10</v>
      </c>
      <c r="AB188" s="485">
        <f t="shared" si="406"/>
        <v>10</v>
      </c>
      <c r="AC188" s="371"/>
      <c r="AD188" s="232">
        <f t="shared" si="407"/>
        <v>80</v>
      </c>
      <c r="AE188" s="232" t="str">
        <f t="shared" si="408"/>
        <v/>
      </c>
      <c r="AF188" s="232" t="str">
        <f t="shared" si="409"/>
        <v/>
      </c>
      <c r="AG188" s="232">
        <f t="shared" si="442"/>
        <v>1</v>
      </c>
      <c r="AH188" s="371"/>
      <c r="AI188" s="497">
        <v>70</v>
      </c>
      <c r="AJ188" s="498">
        <v>10</v>
      </c>
      <c r="AK188" s="485">
        <f t="shared" si="410"/>
        <v>20</v>
      </c>
      <c r="AL188" s="371"/>
      <c r="AM188" s="232">
        <f t="shared" si="411"/>
        <v>70</v>
      </c>
      <c r="AN188" s="232" t="str">
        <f t="shared" si="412"/>
        <v/>
      </c>
      <c r="AO188" s="232" t="str">
        <f t="shared" si="413"/>
        <v/>
      </c>
      <c r="AP188" s="232">
        <f t="shared" si="443"/>
        <v>1</v>
      </c>
      <c r="AQ188" s="371"/>
      <c r="AR188" s="497">
        <v>80</v>
      </c>
      <c r="AS188" s="498">
        <v>10</v>
      </c>
      <c r="AT188" s="485">
        <f t="shared" si="414"/>
        <v>10</v>
      </c>
      <c r="AU188" s="371"/>
      <c r="AV188" s="232">
        <f t="shared" si="415"/>
        <v>80</v>
      </c>
      <c r="AW188" s="232" t="str">
        <f t="shared" si="416"/>
        <v/>
      </c>
      <c r="AX188" s="232" t="str">
        <f t="shared" si="417"/>
        <v/>
      </c>
      <c r="AY188" s="232">
        <f t="shared" si="444"/>
        <v>1</v>
      </c>
      <c r="AZ188" s="371"/>
      <c r="BA188" s="497">
        <v>80</v>
      </c>
      <c r="BB188" s="498">
        <v>10</v>
      </c>
      <c r="BC188" s="485">
        <f t="shared" si="418"/>
        <v>10</v>
      </c>
      <c r="BD188" s="371"/>
      <c r="BE188" s="232">
        <f t="shared" si="419"/>
        <v>80</v>
      </c>
      <c r="BF188" s="232" t="str">
        <f t="shared" si="420"/>
        <v/>
      </c>
      <c r="BG188" s="232" t="str">
        <f t="shared" si="421"/>
        <v/>
      </c>
      <c r="BH188" s="232">
        <f t="shared" si="445"/>
        <v>1</v>
      </c>
      <c r="BI188" s="371"/>
      <c r="BJ188" s="497">
        <v>80</v>
      </c>
      <c r="BK188" s="498">
        <v>10</v>
      </c>
      <c r="BL188" s="485">
        <f t="shared" si="422"/>
        <v>10</v>
      </c>
      <c r="BM188" s="371"/>
      <c r="BN188" s="232">
        <f t="shared" si="423"/>
        <v>80</v>
      </c>
      <c r="BO188" s="232" t="str">
        <f t="shared" si="424"/>
        <v/>
      </c>
      <c r="BP188" s="232" t="str">
        <f t="shared" si="425"/>
        <v/>
      </c>
      <c r="BQ188" s="232">
        <f t="shared" si="446"/>
        <v>1</v>
      </c>
      <c r="BR188" s="371"/>
      <c r="BS188" s="497">
        <v>50</v>
      </c>
      <c r="BT188" s="498">
        <v>20</v>
      </c>
      <c r="BU188" s="485">
        <f t="shared" si="426"/>
        <v>30</v>
      </c>
      <c r="BV188" s="371"/>
      <c r="BW188" s="232">
        <f t="shared" si="427"/>
        <v>50</v>
      </c>
      <c r="BX188" s="232" t="str">
        <f t="shared" si="428"/>
        <v/>
      </c>
      <c r="BY188" s="232" t="str">
        <f t="shared" si="429"/>
        <v/>
      </c>
      <c r="BZ188" s="232">
        <f t="shared" si="447"/>
        <v>1</v>
      </c>
      <c r="CA188" s="371"/>
      <c r="CB188" s="504">
        <f t="shared" si="430"/>
        <v>80</v>
      </c>
      <c r="CC188" s="505">
        <f t="shared" si="431"/>
        <v>10</v>
      </c>
      <c r="CD188" s="506">
        <f t="shared" si="432"/>
        <v>10</v>
      </c>
      <c r="CE188" s="371"/>
      <c r="CF188" s="232">
        <f t="shared" si="433"/>
        <v>80</v>
      </c>
      <c r="CG188" s="232" t="str">
        <f t="shared" si="434"/>
        <v/>
      </c>
      <c r="CH188" s="232" t="str">
        <f t="shared" si="435"/>
        <v/>
      </c>
      <c r="CI188" s="232">
        <f t="shared" si="448"/>
        <v>1</v>
      </c>
      <c r="CJ188" s="232"/>
      <c r="CK188" s="497">
        <v>50</v>
      </c>
      <c r="CL188" s="498">
        <v>10</v>
      </c>
      <c r="CM188" s="485">
        <f t="shared" si="436"/>
        <v>40</v>
      </c>
      <c r="CN188" s="371"/>
      <c r="CO188" s="232">
        <f t="shared" si="437"/>
        <v>50</v>
      </c>
      <c r="CP188" s="232" t="str">
        <f t="shared" si="438"/>
        <v/>
      </c>
      <c r="CQ188" s="232" t="str">
        <f t="shared" si="439"/>
        <v/>
      </c>
      <c r="CR188" s="232">
        <f t="shared" si="449"/>
        <v>1</v>
      </c>
      <c r="CS188" s="232"/>
      <c r="CT188" s="371"/>
      <c r="CU188" s="296"/>
      <c r="CV188" s="246"/>
      <c r="CW188" s="264"/>
    </row>
    <row r="189" spans="1:101" ht="13.5" thickBot="1" x14ac:dyDescent="0.25">
      <c r="A189" s="264"/>
      <c r="B189" s="264"/>
      <c r="C189" s="202"/>
      <c r="D189" s="271">
        <v>6</v>
      </c>
      <c r="E189" s="168" t="s">
        <v>151</v>
      </c>
      <c r="F189" s="470">
        <v>0</v>
      </c>
      <c r="G189" s="476" t="s">
        <v>49</v>
      </c>
      <c r="H189" s="477">
        <v>2</v>
      </c>
      <c r="I189" s="392" t="str">
        <f t="shared" si="400"/>
        <v/>
      </c>
      <c r="J189" s="393" t="str">
        <f t="shared" si="401"/>
        <v/>
      </c>
      <c r="K189" s="394" t="str">
        <f t="shared" si="402"/>
        <v>x</v>
      </c>
      <c r="L189" s="299"/>
      <c r="M189" s="375"/>
      <c r="N189" s="379"/>
      <c r="O189" s="236"/>
      <c r="P189" s="236"/>
      <c r="Q189" s="489">
        <v>10</v>
      </c>
      <c r="R189" s="490">
        <v>70</v>
      </c>
      <c r="S189" s="491">
        <f t="shared" si="440"/>
        <v>20</v>
      </c>
      <c r="T189" s="371"/>
      <c r="U189" s="232" t="str">
        <f t="shared" si="403"/>
        <v/>
      </c>
      <c r="V189" s="232" t="str">
        <f t="shared" si="404"/>
        <v/>
      </c>
      <c r="W189" s="232">
        <f t="shared" si="405"/>
        <v>20</v>
      </c>
      <c r="X189" s="232" t="str">
        <f t="shared" si="441"/>
        <v/>
      </c>
      <c r="Y189" s="371"/>
      <c r="Z189" s="499">
        <v>10</v>
      </c>
      <c r="AA189" s="500">
        <v>10</v>
      </c>
      <c r="AB189" s="491">
        <f t="shared" si="406"/>
        <v>80</v>
      </c>
      <c r="AC189" s="371"/>
      <c r="AD189" s="232" t="str">
        <f t="shared" si="407"/>
        <v/>
      </c>
      <c r="AE189" s="232" t="str">
        <f t="shared" si="408"/>
        <v/>
      </c>
      <c r="AF189" s="232">
        <f t="shared" si="409"/>
        <v>80</v>
      </c>
      <c r="AG189" s="232">
        <f t="shared" si="442"/>
        <v>1</v>
      </c>
      <c r="AH189" s="371"/>
      <c r="AI189" s="499">
        <v>10</v>
      </c>
      <c r="AJ189" s="500">
        <v>10</v>
      </c>
      <c r="AK189" s="491">
        <f t="shared" si="410"/>
        <v>80</v>
      </c>
      <c r="AL189" s="371"/>
      <c r="AM189" s="232" t="str">
        <f t="shared" si="411"/>
        <v/>
      </c>
      <c r="AN189" s="232" t="str">
        <f t="shared" si="412"/>
        <v/>
      </c>
      <c r="AO189" s="232">
        <f t="shared" si="413"/>
        <v>80</v>
      </c>
      <c r="AP189" s="232">
        <f t="shared" si="443"/>
        <v>1</v>
      </c>
      <c r="AQ189" s="371"/>
      <c r="AR189" s="499">
        <v>10</v>
      </c>
      <c r="AS189" s="500">
        <v>10</v>
      </c>
      <c r="AT189" s="491">
        <f t="shared" si="414"/>
        <v>80</v>
      </c>
      <c r="AU189" s="371"/>
      <c r="AV189" s="232" t="str">
        <f t="shared" si="415"/>
        <v/>
      </c>
      <c r="AW189" s="232" t="str">
        <f t="shared" si="416"/>
        <v/>
      </c>
      <c r="AX189" s="232">
        <f t="shared" si="417"/>
        <v>80</v>
      </c>
      <c r="AY189" s="232">
        <f t="shared" si="444"/>
        <v>1</v>
      </c>
      <c r="AZ189" s="371"/>
      <c r="BA189" s="499">
        <v>10</v>
      </c>
      <c r="BB189" s="500">
        <v>10</v>
      </c>
      <c r="BC189" s="491">
        <f t="shared" si="418"/>
        <v>80</v>
      </c>
      <c r="BD189" s="371"/>
      <c r="BE189" s="232" t="str">
        <f t="shared" si="419"/>
        <v/>
      </c>
      <c r="BF189" s="232" t="str">
        <f t="shared" si="420"/>
        <v/>
      </c>
      <c r="BG189" s="232">
        <f t="shared" si="421"/>
        <v>80</v>
      </c>
      <c r="BH189" s="232">
        <f t="shared" si="445"/>
        <v>1</v>
      </c>
      <c r="BI189" s="371"/>
      <c r="BJ189" s="499">
        <v>20</v>
      </c>
      <c r="BK189" s="500">
        <v>20</v>
      </c>
      <c r="BL189" s="491">
        <f t="shared" si="422"/>
        <v>60</v>
      </c>
      <c r="BM189" s="371"/>
      <c r="BN189" s="232" t="str">
        <f t="shared" si="423"/>
        <v/>
      </c>
      <c r="BO189" s="232" t="str">
        <f t="shared" si="424"/>
        <v/>
      </c>
      <c r="BP189" s="232">
        <f t="shared" si="425"/>
        <v>60</v>
      </c>
      <c r="BQ189" s="232">
        <f t="shared" si="446"/>
        <v>1</v>
      </c>
      <c r="BR189" s="371"/>
      <c r="BS189" s="499">
        <v>20</v>
      </c>
      <c r="BT189" s="500">
        <v>20</v>
      </c>
      <c r="BU189" s="491">
        <f t="shared" si="426"/>
        <v>60</v>
      </c>
      <c r="BV189" s="371"/>
      <c r="BW189" s="232" t="str">
        <f t="shared" si="427"/>
        <v/>
      </c>
      <c r="BX189" s="232" t="str">
        <f t="shared" si="428"/>
        <v/>
      </c>
      <c r="BY189" s="232">
        <f t="shared" si="429"/>
        <v>60</v>
      </c>
      <c r="BZ189" s="232">
        <f t="shared" si="447"/>
        <v>1</v>
      </c>
      <c r="CA189" s="371"/>
      <c r="CB189" s="507">
        <f t="shared" si="430"/>
        <v>20</v>
      </c>
      <c r="CC189" s="508">
        <f t="shared" si="431"/>
        <v>20</v>
      </c>
      <c r="CD189" s="509">
        <f t="shared" si="432"/>
        <v>60</v>
      </c>
      <c r="CE189" s="371"/>
      <c r="CF189" s="232" t="str">
        <f t="shared" si="433"/>
        <v/>
      </c>
      <c r="CG189" s="232" t="str">
        <f t="shared" si="434"/>
        <v/>
      </c>
      <c r="CH189" s="232">
        <f t="shared" si="435"/>
        <v>60</v>
      </c>
      <c r="CI189" s="232">
        <f t="shared" si="448"/>
        <v>1</v>
      </c>
      <c r="CJ189" s="232"/>
      <c r="CK189" s="499">
        <v>10</v>
      </c>
      <c r="CL189" s="500">
        <v>10</v>
      </c>
      <c r="CM189" s="491">
        <f t="shared" si="436"/>
        <v>80</v>
      </c>
      <c r="CN189" s="371"/>
      <c r="CO189" s="232" t="str">
        <f t="shared" si="437"/>
        <v/>
      </c>
      <c r="CP189" s="232" t="str">
        <f t="shared" si="438"/>
        <v/>
      </c>
      <c r="CQ189" s="232">
        <f t="shared" si="439"/>
        <v>80</v>
      </c>
      <c r="CR189" s="232">
        <f t="shared" si="449"/>
        <v>1</v>
      </c>
      <c r="CS189" s="232"/>
      <c r="CT189" s="371"/>
      <c r="CU189" s="296"/>
      <c r="CV189" s="246"/>
      <c r="CW189" s="264"/>
    </row>
    <row r="190" spans="1:101" x14ac:dyDescent="0.2">
      <c r="A190" s="264"/>
      <c r="B190" s="264"/>
      <c r="C190" s="202"/>
      <c r="D190" s="271">
        <v>7</v>
      </c>
      <c r="E190" s="166" t="s">
        <v>152</v>
      </c>
      <c r="F190" s="468">
        <v>3</v>
      </c>
      <c r="G190" s="472" t="s">
        <v>49</v>
      </c>
      <c r="H190" s="473">
        <v>0</v>
      </c>
      <c r="I190" s="170" t="str">
        <f t="shared" si="400"/>
        <v>x</v>
      </c>
      <c r="J190" s="387" t="str">
        <f t="shared" si="401"/>
        <v/>
      </c>
      <c r="K190" s="388" t="str">
        <f t="shared" si="402"/>
        <v/>
      </c>
      <c r="L190" s="299"/>
      <c r="M190" s="375"/>
      <c r="N190" s="379"/>
      <c r="O190" s="236"/>
      <c r="P190" s="236"/>
      <c r="Q190" s="480">
        <v>60</v>
      </c>
      <c r="R190" s="481">
        <v>20</v>
      </c>
      <c r="S190" s="482">
        <f t="shared" si="440"/>
        <v>20</v>
      </c>
      <c r="T190" s="371"/>
      <c r="U190" s="232">
        <f t="shared" si="403"/>
        <v>60</v>
      </c>
      <c r="V190" s="232" t="str">
        <f t="shared" si="404"/>
        <v/>
      </c>
      <c r="W190" s="232" t="str">
        <f t="shared" si="405"/>
        <v/>
      </c>
      <c r="X190" s="232">
        <f t="shared" si="441"/>
        <v>1</v>
      </c>
      <c r="Y190" s="371"/>
      <c r="Z190" s="495">
        <v>80</v>
      </c>
      <c r="AA190" s="496">
        <v>10</v>
      </c>
      <c r="AB190" s="482">
        <f t="shared" si="406"/>
        <v>10</v>
      </c>
      <c r="AC190" s="371"/>
      <c r="AD190" s="232">
        <f t="shared" si="407"/>
        <v>80</v>
      </c>
      <c r="AE190" s="232" t="str">
        <f t="shared" si="408"/>
        <v/>
      </c>
      <c r="AF190" s="232" t="str">
        <f t="shared" si="409"/>
        <v/>
      </c>
      <c r="AG190" s="232">
        <f t="shared" si="442"/>
        <v>1</v>
      </c>
      <c r="AH190" s="371"/>
      <c r="AI190" s="495">
        <v>40</v>
      </c>
      <c r="AJ190" s="496">
        <v>20</v>
      </c>
      <c r="AK190" s="482">
        <f t="shared" si="410"/>
        <v>40</v>
      </c>
      <c r="AL190" s="371"/>
      <c r="AM190" s="232">
        <f t="shared" si="411"/>
        <v>40</v>
      </c>
      <c r="AN190" s="232" t="str">
        <f t="shared" si="412"/>
        <v/>
      </c>
      <c r="AO190" s="232" t="str">
        <f t="shared" si="413"/>
        <v/>
      </c>
      <c r="AP190" s="232">
        <f t="shared" si="443"/>
        <v>1</v>
      </c>
      <c r="AQ190" s="371"/>
      <c r="AR190" s="495">
        <v>60</v>
      </c>
      <c r="AS190" s="496">
        <v>30</v>
      </c>
      <c r="AT190" s="482">
        <f t="shared" si="414"/>
        <v>10</v>
      </c>
      <c r="AU190" s="371"/>
      <c r="AV190" s="232">
        <f t="shared" si="415"/>
        <v>60</v>
      </c>
      <c r="AW190" s="232" t="str">
        <f t="shared" si="416"/>
        <v/>
      </c>
      <c r="AX190" s="232" t="str">
        <f t="shared" si="417"/>
        <v/>
      </c>
      <c r="AY190" s="232">
        <f t="shared" si="444"/>
        <v>1</v>
      </c>
      <c r="AZ190" s="371"/>
      <c r="BA190" s="495">
        <v>80</v>
      </c>
      <c r="BB190" s="496">
        <v>10</v>
      </c>
      <c r="BC190" s="482">
        <f t="shared" si="418"/>
        <v>10</v>
      </c>
      <c r="BD190" s="371"/>
      <c r="BE190" s="232">
        <f t="shared" si="419"/>
        <v>80</v>
      </c>
      <c r="BF190" s="232" t="str">
        <f t="shared" si="420"/>
        <v/>
      </c>
      <c r="BG190" s="232" t="str">
        <f t="shared" si="421"/>
        <v/>
      </c>
      <c r="BH190" s="232">
        <f t="shared" si="445"/>
        <v>1</v>
      </c>
      <c r="BI190" s="371"/>
      <c r="BJ190" s="495">
        <v>80</v>
      </c>
      <c r="BK190" s="496">
        <v>10</v>
      </c>
      <c r="BL190" s="482">
        <f t="shared" si="422"/>
        <v>10</v>
      </c>
      <c r="BM190" s="371"/>
      <c r="BN190" s="232">
        <f t="shared" si="423"/>
        <v>80</v>
      </c>
      <c r="BO190" s="232" t="str">
        <f t="shared" si="424"/>
        <v/>
      </c>
      <c r="BP190" s="232" t="str">
        <f t="shared" si="425"/>
        <v/>
      </c>
      <c r="BQ190" s="232">
        <f t="shared" si="446"/>
        <v>1</v>
      </c>
      <c r="BR190" s="371"/>
      <c r="BS190" s="495">
        <v>30</v>
      </c>
      <c r="BT190" s="496">
        <v>40</v>
      </c>
      <c r="BU190" s="482">
        <f t="shared" si="426"/>
        <v>30</v>
      </c>
      <c r="BV190" s="371"/>
      <c r="BW190" s="232">
        <f t="shared" si="427"/>
        <v>30</v>
      </c>
      <c r="BX190" s="232" t="str">
        <f t="shared" si="428"/>
        <v/>
      </c>
      <c r="BY190" s="232" t="str">
        <f t="shared" si="429"/>
        <v/>
      </c>
      <c r="BZ190" s="232" t="str">
        <f t="shared" si="447"/>
        <v/>
      </c>
      <c r="CA190" s="371"/>
      <c r="CB190" s="501">
        <f t="shared" si="430"/>
        <v>70</v>
      </c>
      <c r="CC190" s="502">
        <f t="shared" si="431"/>
        <v>20</v>
      </c>
      <c r="CD190" s="503">
        <f t="shared" si="432"/>
        <v>10</v>
      </c>
      <c r="CE190" s="371"/>
      <c r="CF190" s="232">
        <f t="shared" si="433"/>
        <v>70</v>
      </c>
      <c r="CG190" s="232" t="str">
        <f t="shared" si="434"/>
        <v/>
      </c>
      <c r="CH190" s="232" t="str">
        <f t="shared" si="435"/>
        <v/>
      </c>
      <c r="CI190" s="232">
        <f t="shared" si="448"/>
        <v>1</v>
      </c>
      <c r="CJ190" s="232"/>
      <c r="CK190" s="495">
        <v>60</v>
      </c>
      <c r="CL190" s="496">
        <v>30</v>
      </c>
      <c r="CM190" s="482">
        <f t="shared" si="436"/>
        <v>10</v>
      </c>
      <c r="CN190" s="371"/>
      <c r="CO190" s="232">
        <f t="shared" si="437"/>
        <v>60</v>
      </c>
      <c r="CP190" s="232" t="str">
        <f t="shared" si="438"/>
        <v/>
      </c>
      <c r="CQ190" s="232" t="str">
        <f t="shared" si="439"/>
        <v/>
      </c>
      <c r="CR190" s="232">
        <f t="shared" si="449"/>
        <v>1</v>
      </c>
      <c r="CS190" s="232"/>
      <c r="CT190" s="371"/>
      <c r="CU190" s="300"/>
      <c r="CV190" s="246"/>
      <c r="CW190" s="264"/>
    </row>
    <row r="191" spans="1:101" x14ac:dyDescent="0.2">
      <c r="A191" s="264"/>
      <c r="B191" s="264"/>
      <c r="C191" s="202"/>
      <c r="D191" s="271">
        <v>8</v>
      </c>
      <c r="E191" s="167" t="s">
        <v>153</v>
      </c>
      <c r="F191" s="469">
        <v>2</v>
      </c>
      <c r="G191" s="474" t="s">
        <v>49</v>
      </c>
      <c r="H191" s="475">
        <v>2</v>
      </c>
      <c r="I191" s="389" t="str">
        <f t="shared" si="400"/>
        <v/>
      </c>
      <c r="J191" s="390" t="str">
        <f t="shared" si="401"/>
        <v>x</v>
      </c>
      <c r="K191" s="391" t="str">
        <f t="shared" si="402"/>
        <v/>
      </c>
      <c r="L191" s="299"/>
      <c r="M191" s="375"/>
      <c r="N191" s="379"/>
      <c r="O191" s="236"/>
      <c r="P191" s="236"/>
      <c r="Q191" s="483">
        <v>30</v>
      </c>
      <c r="R191" s="484">
        <v>60</v>
      </c>
      <c r="S191" s="485">
        <f t="shared" si="440"/>
        <v>10</v>
      </c>
      <c r="T191" s="371"/>
      <c r="U191" s="232" t="str">
        <f t="shared" si="403"/>
        <v/>
      </c>
      <c r="V191" s="232">
        <f t="shared" si="404"/>
        <v>60</v>
      </c>
      <c r="W191" s="232" t="str">
        <f t="shared" si="405"/>
        <v/>
      </c>
      <c r="X191" s="232">
        <f t="shared" si="441"/>
        <v>1</v>
      </c>
      <c r="Y191" s="371"/>
      <c r="Z191" s="497">
        <v>10</v>
      </c>
      <c r="AA191" s="498">
        <v>10</v>
      </c>
      <c r="AB191" s="485">
        <f t="shared" si="406"/>
        <v>80</v>
      </c>
      <c r="AC191" s="371"/>
      <c r="AD191" s="232" t="str">
        <f t="shared" si="407"/>
        <v/>
      </c>
      <c r="AE191" s="232">
        <f t="shared" si="408"/>
        <v>10</v>
      </c>
      <c r="AF191" s="232" t="str">
        <f t="shared" si="409"/>
        <v/>
      </c>
      <c r="AG191" s="232" t="str">
        <f t="shared" si="442"/>
        <v/>
      </c>
      <c r="AH191" s="371"/>
      <c r="AI191" s="497">
        <v>30</v>
      </c>
      <c r="AJ191" s="498">
        <v>20</v>
      </c>
      <c r="AK191" s="485">
        <f t="shared" si="410"/>
        <v>50</v>
      </c>
      <c r="AL191" s="371"/>
      <c r="AM191" s="232" t="str">
        <f t="shared" si="411"/>
        <v/>
      </c>
      <c r="AN191" s="232">
        <f t="shared" si="412"/>
        <v>20</v>
      </c>
      <c r="AO191" s="232" t="str">
        <f t="shared" si="413"/>
        <v/>
      </c>
      <c r="AP191" s="232" t="str">
        <f t="shared" si="443"/>
        <v/>
      </c>
      <c r="AQ191" s="371"/>
      <c r="AR191" s="497">
        <v>10</v>
      </c>
      <c r="AS191" s="498">
        <v>30</v>
      </c>
      <c r="AT191" s="485">
        <f t="shared" si="414"/>
        <v>60</v>
      </c>
      <c r="AU191" s="371"/>
      <c r="AV191" s="232" t="str">
        <f t="shared" si="415"/>
        <v/>
      </c>
      <c r="AW191" s="232">
        <f t="shared" si="416"/>
        <v>30</v>
      </c>
      <c r="AX191" s="232" t="str">
        <f t="shared" si="417"/>
        <v/>
      </c>
      <c r="AY191" s="232" t="str">
        <f t="shared" si="444"/>
        <v/>
      </c>
      <c r="AZ191" s="371"/>
      <c r="BA191" s="497">
        <v>10</v>
      </c>
      <c r="BB191" s="498">
        <v>10</v>
      </c>
      <c r="BC191" s="485">
        <f t="shared" si="418"/>
        <v>80</v>
      </c>
      <c r="BD191" s="371"/>
      <c r="BE191" s="232" t="str">
        <f t="shared" si="419"/>
        <v/>
      </c>
      <c r="BF191" s="232">
        <f t="shared" si="420"/>
        <v>10</v>
      </c>
      <c r="BG191" s="232" t="str">
        <f t="shared" si="421"/>
        <v/>
      </c>
      <c r="BH191" s="232" t="str">
        <f t="shared" si="445"/>
        <v/>
      </c>
      <c r="BI191" s="371"/>
      <c r="BJ191" s="497">
        <v>10</v>
      </c>
      <c r="BK191" s="498">
        <v>20</v>
      </c>
      <c r="BL191" s="485">
        <f t="shared" si="422"/>
        <v>70</v>
      </c>
      <c r="BM191" s="371"/>
      <c r="BN191" s="232" t="str">
        <f t="shared" si="423"/>
        <v/>
      </c>
      <c r="BO191" s="232">
        <f t="shared" si="424"/>
        <v>20</v>
      </c>
      <c r="BP191" s="232" t="str">
        <f t="shared" si="425"/>
        <v/>
      </c>
      <c r="BQ191" s="232" t="str">
        <f t="shared" si="446"/>
        <v/>
      </c>
      <c r="BR191" s="371"/>
      <c r="BS191" s="497">
        <v>30</v>
      </c>
      <c r="BT191" s="498">
        <v>10</v>
      </c>
      <c r="BU191" s="485">
        <f t="shared" si="426"/>
        <v>60</v>
      </c>
      <c r="BV191" s="371"/>
      <c r="BW191" s="232" t="str">
        <f t="shared" si="427"/>
        <v/>
      </c>
      <c r="BX191" s="232">
        <f t="shared" si="428"/>
        <v>10</v>
      </c>
      <c r="BY191" s="232" t="str">
        <f t="shared" si="429"/>
        <v/>
      </c>
      <c r="BZ191" s="232" t="str">
        <f t="shared" si="447"/>
        <v/>
      </c>
      <c r="CA191" s="371"/>
      <c r="CB191" s="504">
        <f t="shared" si="430"/>
        <v>20</v>
      </c>
      <c r="CC191" s="505">
        <f t="shared" si="431"/>
        <v>20</v>
      </c>
      <c r="CD191" s="506">
        <f t="shared" si="432"/>
        <v>60</v>
      </c>
      <c r="CE191" s="371"/>
      <c r="CF191" s="232" t="str">
        <f t="shared" si="433"/>
        <v/>
      </c>
      <c r="CG191" s="232">
        <f t="shared" si="434"/>
        <v>20</v>
      </c>
      <c r="CH191" s="232" t="str">
        <f t="shared" si="435"/>
        <v/>
      </c>
      <c r="CI191" s="232" t="str">
        <f t="shared" si="448"/>
        <v/>
      </c>
      <c r="CJ191" s="232"/>
      <c r="CK191" s="497">
        <v>30</v>
      </c>
      <c r="CL191" s="498">
        <v>10</v>
      </c>
      <c r="CM191" s="485">
        <f t="shared" si="436"/>
        <v>60</v>
      </c>
      <c r="CN191" s="371"/>
      <c r="CO191" s="232" t="str">
        <f t="shared" si="437"/>
        <v/>
      </c>
      <c r="CP191" s="232">
        <f t="shared" si="438"/>
        <v>10</v>
      </c>
      <c r="CQ191" s="232" t="str">
        <f t="shared" si="439"/>
        <v/>
      </c>
      <c r="CR191" s="232" t="str">
        <f t="shared" si="449"/>
        <v/>
      </c>
      <c r="CS191" s="232"/>
      <c r="CT191" s="371"/>
      <c r="CU191" s="300"/>
      <c r="CV191" s="246"/>
      <c r="CW191" s="264"/>
    </row>
    <row r="192" spans="1:101" ht="13.5" thickBot="1" x14ac:dyDescent="0.25">
      <c r="A192" s="264"/>
      <c r="B192" s="264"/>
      <c r="C192" s="202"/>
      <c r="D192" s="271">
        <v>9</v>
      </c>
      <c r="E192" s="168" t="s">
        <v>154</v>
      </c>
      <c r="F192" s="470">
        <v>2</v>
      </c>
      <c r="G192" s="476" t="s">
        <v>49</v>
      </c>
      <c r="H192" s="477">
        <v>0</v>
      </c>
      <c r="I192" s="392" t="str">
        <f t="shared" si="400"/>
        <v>x</v>
      </c>
      <c r="J192" s="393" t="str">
        <f t="shared" si="401"/>
        <v/>
      </c>
      <c r="K192" s="394" t="str">
        <f t="shared" si="402"/>
        <v/>
      </c>
      <c r="L192" s="299"/>
      <c r="M192" s="375"/>
      <c r="N192" s="379"/>
      <c r="O192" s="236"/>
      <c r="P192" s="236"/>
      <c r="Q192" s="489">
        <v>60</v>
      </c>
      <c r="R192" s="490">
        <v>20</v>
      </c>
      <c r="S192" s="491">
        <f t="shared" si="440"/>
        <v>20</v>
      </c>
      <c r="T192" s="371"/>
      <c r="U192" s="232">
        <f t="shared" si="403"/>
        <v>60</v>
      </c>
      <c r="V192" s="232" t="str">
        <f t="shared" si="404"/>
        <v/>
      </c>
      <c r="W192" s="232" t="str">
        <f t="shared" si="405"/>
        <v/>
      </c>
      <c r="X192" s="232">
        <f t="shared" si="441"/>
        <v>1</v>
      </c>
      <c r="Y192" s="371"/>
      <c r="Z192" s="499">
        <v>80</v>
      </c>
      <c r="AA192" s="500">
        <v>10</v>
      </c>
      <c r="AB192" s="491">
        <f t="shared" si="406"/>
        <v>10</v>
      </c>
      <c r="AC192" s="371"/>
      <c r="AD192" s="232">
        <f t="shared" si="407"/>
        <v>80</v>
      </c>
      <c r="AE192" s="232" t="str">
        <f t="shared" si="408"/>
        <v/>
      </c>
      <c r="AF192" s="232" t="str">
        <f t="shared" si="409"/>
        <v/>
      </c>
      <c r="AG192" s="232">
        <f t="shared" si="442"/>
        <v>1</v>
      </c>
      <c r="AH192" s="371"/>
      <c r="AI192" s="499">
        <v>50</v>
      </c>
      <c r="AJ192" s="500">
        <v>30</v>
      </c>
      <c r="AK192" s="491">
        <f t="shared" si="410"/>
        <v>20</v>
      </c>
      <c r="AL192" s="371"/>
      <c r="AM192" s="232">
        <f t="shared" si="411"/>
        <v>50</v>
      </c>
      <c r="AN192" s="232" t="str">
        <f t="shared" si="412"/>
        <v/>
      </c>
      <c r="AO192" s="232" t="str">
        <f t="shared" si="413"/>
        <v/>
      </c>
      <c r="AP192" s="232">
        <f t="shared" si="443"/>
        <v>1</v>
      </c>
      <c r="AQ192" s="371"/>
      <c r="AR192" s="499">
        <v>60</v>
      </c>
      <c r="AS192" s="500">
        <v>30</v>
      </c>
      <c r="AT192" s="491">
        <f t="shared" si="414"/>
        <v>10</v>
      </c>
      <c r="AU192" s="371"/>
      <c r="AV192" s="232">
        <f t="shared" si="415"/>
        <v>60</v>
      </c>
      <c r="AW192" s="232" t="str">
        <f t="shared" si="416"/>
        <v/>
      </c>
      <c r="AX192" s="232" t="str">
        <f t="shared" si="417"/>
        <v/>
      </c>
      <c r="AY192" s="232">
        <f t="shared" si="444"/>
        <v>1</v>
      </c>
      <c r="AZ192" s="371"/>
      <c r="BA192" s="499">
        <v>60</v>
      </c>
      <c r="BB192" s="500">
        <v>30</v>
      </c>
      <c r="BC192" s="491">
        <f t="shared" si="418"/>
        <v>10</v>
      </c>
      <c r="BD192" s="371"/>
      <c r="BE192" s="232">
        <f t="shared" si="419"/>
        <v>60</v>
      </c>
      <c r="BF192" s="232" t="str">
        <f t="shared" si="420"/>
        <v/>
      </c>
      <c r="BG192" s="232" t="str">
        <f t="shared" si="421"/>
        <v/>
      </c>
      <c r="BH192" s="232">
        <f t="shared" si="445"/>
        <v>1</v>
      </c>
      <c r="BI192" s="371"/>
      <c r="BJ192" s="499">
        <v>60</v>
      </c>
      <c r="BK192" s="500">
        <v>10</v>
      </c>
      <c r="BL192" s="491">
        <f t="shared" si="422"/>
        <v>30</v>
      </c>
      <c r="BM192" s="371"/>
      <c r="BN192" s="232">
        <f t="shared" si="423"/>
        <v>60</v>
      </c>
      <c r="BO192" s="232" t="str">
        <f t="shared" si="424"/>
        <v/>
      </c>
      <c r="BP192" s="232" t="str">
        <f t="shared" si="425"/>
        <v/>
      </c>
      <c r="BQ192" s="232">
        <f t="shared" si="446"/>
        <v>1</v>
      </c>
      <c r="BR192" s="371"/>
      <c r="BS192" s="499">
        <v>30</v>
      </c>
      <c r="BT192" s="500">
        <v>40</v>
      </c>
      <c r="BU192" s="491">
        <f t="shared" si="426"/>
        <v>30</v>
      </c>
      <c r="BV192" s="371"/>
      <c r="BW192" s="232">
        <f t="shared" si="427"/>
        <v>30</v>
      </c>
      <c r="BX192" s="232" t="str">
        <f t="shared" si="428"/>
        <v/>
      </c>
      <c r="BY192" s="232" t="str">
        <f t="shared" si="429"/>
        <v/>
      </c>
      <c r="BZ192" s="232" t="str">
        <f t="shared" si="447"/>
        <v/>
      </c>
      <c r="CA192" s="371"/>
      <c r="CB192" s="507">
        <f t="shared" si="430"/>
        <v>60</v>
      </c>
      <c r="CC192" s="508">
        <f t="shared" si="431"/>
        <v>20</v>
      </c>
      <c r="CD192" s="509">
        <f t="shared" si="432"/>
        <v>20</v>
      </c>
      <c r="CE192" s="371"/>
      <c r="CF192" s="232">
        <f t="shared" si="433"/>
        <v>60</v>
      </c>
      <c r="CG192" s="232" t="str">
        <f t="shared" si="434"/>
        <v/>
      </c>
      <c r="CH192" s="232" t="str">
        <f t="shared" si="435"/>
        <v/>
      </c>
      <c r="CI192" s="232">
        <f t="shared" si="448"/>
        <v>1</v>
      </c>
      <c r="CJ192" s="232"/>
      <c r="CK192" s="499">
        <v>60</v>
      </c>
      <c r="CL192" s="500">
        <v>30</v>
      </c>
      <c r="CM192" s="491">
        <f t="shared" si="436"/>
        <v>10</v>
      </c>
      <c r="CN192" s="371"/>
      <c r="CO192" s="232">
        <f t="shared" si="437"/>
        <v>60</v>
      </c>
      <c r="CP192" s="232" t="str">
        <f t="shared" si="438"/>
        <v/>
      </c>
      <c r="CQ192" s="232" t="str">
        <f t="shared" si="439"/>
        <v/>
      </c>
      <c r="CR192" s="232">
        <f t="shared" si="449"/>
        <v>1</v>
      </c>
      <c r="CS192" s="232"/>
      <c r="CT192" s="371"/>
      <c r="CU192" s="300"/>
      <c r="CV192" s="246"/>
      <c r="CW192" s="264"/>
    </row>
    <row r="193" spans="1:101" x14ac:dyDescent="0.2">
      <c r="A193" s="264"/>
      <c r="B193" s="264"/>
      <c r="C193" s="202"/>
      <c r="D193" s="271">
        <v>10</v>
      </c>
      <c r="E193" s="169" t="s">
        <v>155</v>
      </c>
      <c r="F193" s="471">
        <v>3</v>
      </c>
      <c r="G193" s="478" t="s">
        <v>49</v>
      </c>
      <c r="H193" s="479">
        <v>0</v>
      </c>
      <c r="I193" s="170" t="str">
        <f t="shared" si="400"/>
        <v>x</v>
      </c>
      <c r="J193" s="387" t="str">
        <f t="shared" si="401"/>
        <v/>
      </c>
      <c r="K193" s="388" t="str">
        <f t="shared" si="402"/>
        <v/>
      </c>
      <c r="L193" s="299"/>
      <c r="M193" s="375"/>
      <c r="N193" s="379"/>
      <c r="O193" s="236"/>
      <c r="P193" s="236"/>
      <c r="Q193" s="492">
        <v>60</v>
      </c>
      <c r="R193" s="493">
        <v>20</v>
      </c>
      <c r="S193" s="494">
        <f t="shared" si="440"/>
        <v>20</v>
      </c>
      <c r="T193" s="371"/>
      <c r="U193" s="232">
        <f t="shared" si="403"/>
        <v>60</v>
      </c>
      <c r="V193" s="232" t="str">
        <f t="shared" si="404"/>
        <v/>
      </c>
      <c r="W193" s="232" t="str">
        <f t="shared" si="405"/>
        <v/>
      </c>
      <c r="X193" s="232">
        <f t="shared" si="441"/>
        <v>1</v>
      </c>
      <c r="Y193" s="371"/>
      <c r="Z193" s="495">
        <v>80</v>
      </c>
      <c r="AA193" s="496">
        <v>10</v>
      </c>
      <c r="AB193" s="494">
        <f t="shared" si="406"/>
        <v>10</v>
      </c>
      <c r="AC193" s="371"/>
      <c r="AD193" s="232">
        <f t="shared" si="407"/>
        <v>80</v>
      </c>
      <c r="AE193" s="232" t="str">
        <f t="shared" si="408"/>
        <v/>
      </c>
      <c r="AF193" s="232" t="str">
        <f t="shared" si="409"/>
        <v/>
      </c>
      <c r="AG193" s="232">
        <f t="shared" si="442"/>
        <v>1</v>
      </c>
      <c r="AH193" s="371"/>
      <c r="AI193" s="495">
        <v>80</v>
      </c>
      <c r="AJ193" s="496">
        <v>10</v>
      </c>
      <c r="AK193" s="494">
        <f t="shared" si="410"/>
        <v>10</v>
      </c>
      <c r="AL193" s="371"/>
      <c r="AM193" s="232">
        <f t="shared" si="411"/>
        <v>80</v>
      </c>
      <c r="AN193" s="232" t="str">
        <f t="shared" si="412"/>
        <v/>
      </c>
      <c r="AO193" s="232" t="str">
        <f t="shared" si="413"/>
        <v/>
      </c>
      <c r="AP193" s="232">
        <f t="shared" si="443"/>
        <v>1</v>
      </c>
      <c r="AQ193" s="371"/>
      <c r="AR193" s="495">
        <v>80</v>
      </c>
      <c r="AS193" s="496">
        <v>10</v>
      </c>
      <c r="AT193" s="494">
        <f t="shared" si="414"/>
        <v>10</v>
      </c>
      <c r="AU193" s="371"/>
      <c r="AV193" s="232">
        <f t="shared" si="415"/>
        <v>80</v>
      </c>
      <c r="AW193" s="232" t="str">
        <f t="shared" si="416"/>
        <v/>
      </c>
      <c r="AX193" s="232" t="str">
        <f t="shared" si="417"/>
        <v/>
      </c>
      <c r="AY193" s="232">
        <f t="shared" si="444"/>
        <v>1</v>
      </c>
      <c r="AZ193" s="371"/>
      <c r="BA193" s="495">
        <v>80</v>
      </c>
      <c r="BB193" s="496">
        <v>10</v>
      </c>
      <c r="BC193" s="494">
        <f t="shared" si="418"/>
        <v>10</v>
      </c>
      <c r="BD193" s="371"/>
      <c r="BE193" s="232">
        <f t="shared" si="419"/>
        <v>80</v>
      </c>
      <c r="BF193" s="232" t="str">
        <f t="shared" si="420"/>
        <v/>
      </c>
      <c r="BG193" s="232" t="str">
        <f t="shared" si="421"/>
        <v/>
      </c>
      <c r="BH193" s="232">
        <f t="shared" si="445"/>
        <v>1</v>
      </c>
      <c r="BI193" s="371"/>
      <c r="BJ193" s="495">
        <v>80</v>
      </c>
      <c r="BK193" s="496">
        <v>10</v>
      </c>
      <c r="BL193" s="494">
        <f t="shared" si="422"/>
        <v>10</v>
      </c>
      <c r="BM193" s="371"/>
      <c r="BN193" s="232">
        <f t="shared" si="423"/>
        <v>80</v>
      </c>
      <c r="BO193" s="232" t="str">
        <f t="shared" si="424"/>
        <v/>
      </c>
      <c r="BP193" s="232" t="str">
        <f t="shared" si="425"/>
        <v/>
      </c>
      <c r="BQ193" s="232">
        <f t="shared" si="446"/>
        <v>1</v>
      </c>
      <c r="BR193" s="371"/>
      <c r="BS193" s="495">
        <v>80</v>
      </c>
      <c r="BT193" s="496">
        <v>10</v>
      </c>
      <c r="BU193" s="494">
        <f t="shared" si="426"/>
        <v>10</v>
      </c>
      <c r="BV193" s="371"/>
      <c r="BW193" s="232">
        <f t="shared" si="427"/>
        <v>80</v>
      </c>
      <c r="BX193" s="232" t="str">
        <f t="shared" si="428"/>
        <v/>
      </c>
      <c r="BY193" s="232" t="str">
        <f t="shared" si="429"/>
        <v/>
      </c>
      <c r="BZ193" s="232">
        <f t="shared" si="447"/>
        <v>1</v>
      </c>
      <c r="CA193" s="371"/>
      <c r="CB193" s="501">
        <f t="shared" si="430"/>
        <v>80</v>
      </c>
      <c r="CC193" s="502">
        <f t="shared" si="431"/>
        <v>10</v>
      </c>
      <c r="CD193" s="503">
        <f t="shared" si="432"/>
        <v>10</v>
      </c>
      <c r="CE193" s="371"/>
      <c r="CF193" s="232">
        <f t="shared" si="433"/>
        <v>80</v>
      </c>
      <c r="CG193" s="232" t="str">
        <f t="shared" si="434"/>
        <v/>
      </c>
      <c r="CH193" s="232" t="str">
        <f t="shared" si="435"/>
        <v/>
      </c>
      <c r="CI193" s="232">
        <f t="shared" si="448"/>
        <v>1</v>
      </c>
      <c r="CJ193" s="232"/>
      <c r="CK193" s="495">
        <v>80</v>
      </c>
      <c r="CL193" s="496">
        <v>10</v>
      </c>
      <c r="CM193" s="494">
        <f t="shared" si="436"/>
        <v>10</v>
      </c>
      <c r="CN193" s="371"/>
      <c r="CO193" s="232">
        <f t="shared" si="437"/>
        <v>80</v>
      </c>
      <c r="CP193" s="232" t="str">
        <f t="shared" si="438"/>
        <v/>
      </c>
      <c r="CQ193" s="232" t="str">
        <f t="shared" si="439"/>
        <v/>
      </c>
      <c r="CR193" s="232">
        <f t="shared" si="449"/>
        <v>1</v>
      </c>
      <c r="CS193" s="232"/>
      <c r="CT193" s="371"/>
      <c r="CU193" s="300"/>
      <c r="CV193" s="246"/>
      <c r="CW193" s="264"/>
    </row>
    <row r="194" spans="1:101" x14ac:dyDescent="0.2">
      <c r="A194" s="264"/>
      <c r="B194" s="264"/>
      <c r="C194" s="202"/>
      <c r="D194" s="271">
        <v>11</v>
      </c>
      <c r="E194" s="167" t="s">
        <v>156</v>
      </c>
      <c r="F194" s="469">
        <v>0</v>
      </c>
      <c r="G194" s="474" t="s">
        <v>49</v>
      </c>
      <c r="H194" s="475">
        <v>1</v>
      </c>
      <c r="I194" s="389" t="str">
        <f t="shared" si="400"/>
        <v/>
      </c>
      <c r="J194" s="390" t="str">
        <f t="shared" si="401"/>
        <v/>
      </c>
      <c r="K194" s="391" t="str">
        <f t="shared" si="402"/>
        <v>x</v>
      </c>
      <c r="L194" s="299"/>
      <c r="M194" s="375"/>
      <c r="N194" s="379"/>
      <c r="O194" s="236"/>
      <c r="P194" s="236"/>
      <c r="Q194" s="483">
        <v>30</v>
      </c>
      <c r="R194" s="484">
        <v>40</v>
      </c>
      <c r="S194" s="485">
        <f t="shared" si="440"/>
        <v>30</v>
      </c>
      <c r="T194" s="371"/>
      <c r="U194" s="232" t="str">
        <f t="shared" si="403"/>
        <v/>
      </c>
      <c r="V194" s="232" t="str">
        <f t="shared" si="404"/>
        <v/>
      </c>
      <c r="W194" s="232">
        <f t="shared" si="405"/>
        <v>30</v>
      </c>
      <c r="X194" s="232" t="str">
        <f t="shared" si="441"/>
        <v/>
      </c>
      <c r="Y194" s="371"/>
      <c r="Z194" s="497">
        <v>10</v>
      </c>
      <c r="AA194" s="498">
        <v>80</v>
      </c>
      <c r="AB194" s="485">
        <f t="shared" si="406"/>
        <v>10</v>
      </c>
      <c r="AC194" s="371"/>
      <c r="AD194" s="232" t="str">
        <f t="shared" si="407"/>
        <v/>
      </c>
      <c r="AE194" s="232" t="str">
        <f t="shared" si="408"/>
        <v/>
      </c>
      <c r="AF194" s="232">
        <f t="shared" si="409"/>
        <v>10</v>
      </c>
      <c r="AG194" s="232" t="str">
        <f t="shared" si="442"/>
        <v/>
      </c>
      <c r="AH194" s="371"/>
      <c r="AI194" s="497">
        <v>20</v>
      </c>
      <c r="AJ194" s="498">
        <v>30</v>
      </c>
      <c r="AK194" s="485">
        <f t="shared" si="410"/>
        <v>50</v>
      </c>
      <c r="AL194" s="371"/>
      <c r="AM194" s="232" t="str">
        <f t="shared" si="411"/>
        <v/>
      </c>
      <c r="AN194" s="232" t="str">
        <f t="shared" si="412"/>
        <v/>
      </c>
      <c r="AO194" s="232">
        <f t="shared" si="413"/>
        <v>50</v>
      </c>
      <c r="AP194" s="232">
        <f t="shared" si="443"/>
        <v>1</v>
      </c>
      <c r="AQ194" s="371"/>
      <c r="AR194" s="497">
        <v>50</v>
      </c>
      <c r="AS194" s="498">
        <v>30</v>
      </c>
      <c r="AT194" s="485">
        <f t="shared" si="414"/>
        <v>20</v>
      </c>
      <c r="AU194" s="371"/>
      <c r="AV194" s="232" t="str">
        <f t="shared" si="415"/>
        <v/>
      </c>
      <c r="AW194" s="232" t="str">
        <f t="shared" si="416"/>
        <v/>
      </c>
      <c r="AX194" s="232">
        <f t="shared" si="417"/>
        <v>20</v>
      </c>
      <c r="AY194" s="232" t="str">
        <f t="shared" si="444"/>
        <v/>
      </c>
      <c r="AZ194" s="371"/>
      <c r="BA194" s="497">
        <v>10</v>
      </c>
      <c r="BB194" s="498">
        <v>30</v>
      </c>
      <c r="BC194" s="485">
        <f t="shared" si="418"/>
        <v>60</v>
      </c>
      <c r="BD194" s="371"/>
      <c r="BE194" s="232" t="str">
        <f t="shared" si="419"/>
        <v/>
      </c>
      <c r="BF194" s="232" t="str">
        <f t="shared" si="420"/>
        <v/>
      </c>
      <c r="BG194" s="232">
        <f t="shared" si="421"/>
        <v>60</v>
      </c>
      <c r="BH194" s="232">
        <f t="shared" si="445"/>
        <v>1</v>
      </c>
      <c r="BI194" s="371"/>
      <c r="BJ194" s="497">
        <v>60</v>
      </c>
      <c r="BK194" s="498">
        <v>20</v>
      </c>
      <c r="BL194" s="485">
        <f t="shared" si="422"/>
        <v>20</v>
      </c>
      <c r="BM194" s="371"/>
      <c r="BN194" s="232" t="str">
        <f t="shared" si="423"/>
        <v/>
      </c>
      <c r="BO194" s="232" t="str">
        <f t="shared" si="424"/>
        <v/>
      </c>
      <c r="BP194" s="232">
        <f t="shared" si="425"/>
        <v>20</v>
      </c>
      <c r="BQ194" s="232" t="str">
        <f t="shared" si="446"/>
        <v/>
      </c>
      <c r="BR194" s="371"/>
      <c r="BS194" s="497">
        <v>50</v>
      </c>
      <c r="BT194" s="498">
        <v>10</v>
      </c>
      <c r="BU194" s="485">
        <f t="shared" si="426"/>
        <v>40</v>
      </c>
      <c r="BV194" s="371"/>
      <c r="BW194" s="232" t="str">
        <f t="shared" si="427"/>
        <v/>
      </c>
      <c r="BX194" s="232" t="str">
        <f t="shared" si="428"/>
        <v/>
      </c>
      <c r="BY194" s="232">
        <f t="shared" si="429"/>
        <v>40</v>
      </c>
      <c r="BZ194" s="232" t="str">
        <f t="shared" si="447"/>
        <v/>
      </c>
      <c r="CA194" s="371"/>
      <c r="CB194" s="504">
        <f t="shared" si="430"/>
        <v>40</v>
      </c>
      <c r="CC194" s="505">
        <f t="shared" si="431"/>
        <v>30</v>
      </c>
      <c r="CD194" s="506">
        <f t="shared" si="432"/>
        <v>30</v>
      </c>
      <c r="CE194" s="371"/>
      <c r="CF194" s="232" t="str">
        <f t="shared" si="433"/>
        <v/>
      </c>
      <c r="CG194" s="232" t="str">
        <f t="shared" si="434"/>
        <v/>
      </c>
      <c r="CH194" s="232">
        <f t="shared" si="435"/>
        <v>30</v>
      </c>
      <c r="CI194" s="232" t="str">
        <f t="shared" si="448"/>
        <v/>
      </c>
      <c r="CJ194" s="232"/>
      <c r="CK194" s="497">
        <v>80</v>
      </c>
      <c r="CL194" s="498">
        <v>10</v>
      </c>
      <c r="CM194" s="485">
        <f t="shared" si="436"/>
        <v>10</v>
      </c>
      <c r="CN194" s="371"/>
      <c r="CO194" s="232" t="str">
        <f t="shared" si="437"/>
        <v/>
      </c>
      <c r="CP194" s="232" t="str">
        <f t="shared" si="438"/>
        <v/>
      </c>
      <c r="CQ194" s="232">
        <f t="shared" si="439"/>
        <v>10</v>
      </c>
      <c r="CR194" s="232" t="str">
        <f t="shared" si="449"/>
        <v/>
      </c>
      <c r="CS194" s="232"/>
      <c r="CT194" s="371"/>
      <c r="CU194" s="300"/>
      <c r="CV194" s="246"/>
      <c r="CW194" s="264"/>
    </row>
    <row r="195" spans="1:101" ht="13.5" thickBot="1" x14ac:dyDescent="0.25">
      <c r="A195" s="264"/>
      <c r="B195" s="264"/>
      <c r="C195" s="202"/>
      <c r="D195" s="271">
        <v>12</v>
      </c>
      <c r="E195" s="168" t="s">
        <v>157</v>
      </c>
      <c r="F195" s="470">
        <v>1</v>
      </c>
      <c r="G195" s="476" t="s">
        <v>49</v>
      </c>
      <c r="H195" s="477">
        <v>0</v>
      </c>
      <c r="I195" s="392" t="str">
        <f t="shared" si="400"/>
        <v>x</v>
      </c>
      <c r="J195" s="393" t="str">
        <f t="shared" si="401"/>
        <v/>
      </c>
      <c r="K195" s="394" t="str">
        <f t="shared" si="402"/>
        <v/>
      </c>
      <c r="L195" s="299"/>
      <c r="M195" s="375"/>
      <c r="N195" s="379"/>
      <c r="O195" s="236"/>
      <c r="P195" s="236"/>
      <c r="Q195" s="489">
        <v>70</v>
      </c>
      <c r="R195" s="490">
        <v>20</v>
      </c>
      <c r="S195" s="491">
        <f t="shared" si="440"/>
        <v>10</v>
      </c>
      <c r="T195" s="371"/>
      <c r="U195" s="232">
        <f t="shared" si="403"/>
        <v>70</v>
      </c>
      <c r="V195" s="232" t="str">
        <f t="shared" si="404"/>
        <v/>
      </c>
      <c r="W195" s="232" t="str">
        <f t="shared" si="405"/>
        <v/>
      </c>
      <c r="X195" s="232">
        <f t="shared" si="441"/>
        <v>1</v>
      </c>
      <c r="Y195" s="371"/>
      <c r="Z195" s="499">
        <v>80</v>
      </c>
      <c r="AA195" s="500">
        <v>10</v>
      </c>
      <c r="AB195" s="491">
        <f t="shared" si="406"/>
        <v>10</v>
      </c>
      <c r="AC195" s="371"/>
      <c r="AD195" s="232">
        <f t="shared" si="407"/>
        <v>80</v>
      </c>
      <c r="AE195" s="232" t="str">
        <f t="shared" si="408"/>
        <v/>
      </c>
      <c r="AF195" s="232" t="str">
        <f t="shared" si="409"/>
        <v/>
      </c>
      <c r="AG195" s="232">
        <f t="shared" si="442"/>
        <v>1</v>
      </c>
      <c r="AH195" s="371"/>
      <c r="AI195" s="499">
        <v>80</v>
      </c>
      <c r="AJ195" s="500">
        <v>10</v>
      </c>
      <c r="AK195" s="491">
        <f t="shared" si="410"/>
        <v>10</v>
      </c>
      <c r="AL195" s="371"/>
      <c r="AM195" s="232">
        <f t="shared" si="411"/>
        <v>80</v>
      </c>
      <c r="AN195" s="232" t="str">
        <f t="shared" si="412"/>
        <v/>
      </c>
      <c r="AO195" s="232" t="str">
        <f t="shared" si="413"/>
        <v/>
      </c>
      <c r="AP195" s="232">
        <f t="shared" si="443"/>
        <v>1</v>
      </c>
      <c r="AQ195" s="371"/>
      <c r="AR195" s="499">
        <v>30</v>
      </c>
      <c r="AS195" s="500">
        <v>30</v>
      </c>
      <c r="AT195" s="491">
        <f t="shared" si="414"/>
        <v>40</v>
      </c>
      <c r="AU195" s="371"/>
      <c r="AV195" s="232">
        <f t="shared" si="415"/>
        <v>30</v>
      </c>
      <c r="AW195" s="232" t="str">
        <f t="shared" si="416"/>
        <v/>
      </c>
      <c r="AX195" s="232" t="str">
        <f t="shared" si="417"/>
        <v/>
      </c>
      <c r="AY195" s="232" t="str">
        <f t="shared" si="444"/>
        <v/>
      </c>
      <c r="AZ195" s="371"/>
      <c r="BA195" s="499">
        <v>80</v>
      </c>
      <c r="BB195" s="500">
        <v>10</v>
      </c>
      <c r="BC195" s="491">
        <f t="shared" si="418"/>
        <v>10</v>
      </c>
      <c r="BD195" s="371"/>
      <c r="BE195" s="232">
        <f t="shared" si="419"/>
        <v>80</v>
      </c>
      <c r="BF195" s="232" t="str">
        <f t="shared" si="420"/>
        <v/>
      </c>
      <c r="BG195" s="232" t="str">
        <f t="shared" si="421"/>
        <v/>
      </c>
      <c r="BH195" s="232">
        <f t="shared" si="445"/>
        <v>1</v>
      </c>
      <c r="BI195" s="371"/>
      <c r="BJ195" s="499">
        <v>30</v>
      </c>
      <c r="BK195" s="500">
        <v>40</v>
      </c>
      <c r="BL195" s="491">
        <f t="shared" si="422"/>
        <v>30</v>
      </c>
      <c r="BM195" s="371"/>
      <c r="BN195" s="232">
        <f t="shared" si="423"/>
        <v>30</v>
      </c>
      <c r="BO195" s="232" t="str">
        <f t="shared" si="424"/>
        <v/>
      </c>
      <c r="BP195" s="232" t="str">
        <f t="shared" si="425"/>
        <v/>
      </c>
      <c r="BQ195" s="232" t="str">
        <f t="shared" si="446"/>
        <v/>
      </c>
      <c r="BR195" s="371"/>
      <c r="BS195" s="499">
        <v>20</v>
      </c>
      <c r="BT195" s="500">
        <v>30</v>
      </c>
      <c r="BU195" s="491">
        <f t="shared" si="426"/>
        <v>50</v>
      </c>
      <c r="BV195" s="371"/>
      <c r="BW195" s="232">
        <f t="shared" si="427"/>
        <v>20</v>
      </c>
      <c r="BX195" s="232" t="str">
        <f t="shared" si="428"/>
        <v/>
      </c>
      <c r="BY195" s="232" t="str">
        <f t="shared" si="429"/>
        <v/>
      </c>
      <c r="BZ195" s="232" t="str">
        <f t="shared" si="447"/>
        <v/>
      </c>
      <c r="CA195" s="371"/>
      <c r="CB195" s="507">
        <f t="shared" si="430"/>
        <v>60</v>
      </c>
      <c r="CC195" s="508">
        <f t="shared" si="431"/>
        <v>20</v>
      </c>
      <c r="CD195" s="509">
        <f t="shared" si="432"/>
        <v>20</v>
      </c>
      <c r="CE195" s="371"/>
      <c r="CF195" s="232">
        <f t="shared" si="433"/>
        <v>60</v>
      </c>
      <c r="CG195" s="232" t="str">
        <f t="shared" si="434"/>
        <v/>
      </c>
      <c r="CH195" s="232" t="str">
        <f t="shared" si="435"/>
        <v/>
      </c>
      <c r="CI195" s="232">
        <f t="shared" si="448"/>
        <v>1</v>
      </c>
      <c r="CJ195" s="232"/>
      <c r="CK195" s="499">
        <v>30</v>
      </c>
      <c r="CL195" s="500">
        <v>20</v>
      </c>
      <c r="CM195" s="491">
        <f t="shared" si="436"/>
        <v>50</v>
      </c>
      <c r="CN195" s="371"/>
      <c r="CO195" s="232">
        <f t="shared" si="437"/>
        <v>30</v>
      </c>
      <c r="CP195" s="232" t="str">
        <f t="shared" si="438"/>
        <v/>
      </c>
      <c r="CQ195" s="232" t="str">
        <f t="shared" si="439"/>
        <v/>
      </c>
      <c r="CR195" s="232" t="str">
        <f t="shared" si="449"/>
        <v/>
      </c>
      <c r="CS195" s="232"/>
      <c r="CT195" s="371"/>
      <c r="CU195" s="300"/>
      <c r="CV195" s="246"/>
      <c r="CW195" s="264"/>
    </row>
    <row r="196" spans="1:101" x14ac:dyDescent="0.2">
      <c r="A196" s="264"/>
      <c r="B196" s="264"/>
      <c r="C196" s="202"/>
      <c r="D196" s="272"/>
      <c r="E196" s="235"/>
      <c r="F196" s="395">
        <f>IF(SUM(F184:F195)=0,"",SUM(F184:F195))</f>
        <v>23</v>
      </c>
      <c r="G196" s="370" t="s">
        <v>49</v>
      </c>
      <c r="H196" s="396">
        <f>IF(SUM(H184:H195)=0,"",SUM(H184:H195))</f>
        <v>11</v>
      </c>
      <c r="I196" s="397">
        <f>IF(COUNTIF(I184:I195,"=x")=0,"",COUNTIF(I184:I195,"=x"))</f>
        <v>8</v>
      </c>
      <c r="J196" s="398">
        <f>IF(COUNTIF(J184:J195,"=x")=0,"",COUNTIF(J184:J195,"=x"))</f>
        <v>1</v>
      </c>
      <c r="K196" s="399">
        <f>IF(COUNTIF(K184:K195,"=x")=0,"",COUNTIF(K184:K195,"=x"))</f>
        <v>3</v>
      </c>
      <c r="L196" s="299"/>
      <c r="M196" s="375"/>
      <c r="N196" s="379"/>
      <c r="O196" s="236"/>
      <c r="P196" s="369"/>
      <c r="Q196" s="466">
        <f>SUM(U184:U195)</f>
        <v>440</v>
      </c>
      <c r="R196" s="466">
        <f>SUM(V184:V195)</f>
        <v>60</v>
      </c>
      <c r="S196" s="466">
        <f>SUM(W184:W195)</f>
        <v>70</v>
      </c>
      <c r="T196" s="368"/>
      <c r="U196" s="232"/>
      <c r="V196" s="232"/>
      <c r="W196" s="232"/>
      <c r="X196" s="232"/>
      <c r="Y196" s="367"/>
      <c r="Z196" s="466">
        <f>SUM(AD184:AD195)</f>
        <v>570</v>
      </c>
      <c r="AA196" s="466">
        <f>SUM(AE184:AE195)</f>
        <v>10</v>
      </c>
      <c r="AB196" s="466">
        <f>SUM(AF184:AF195)</f>
        <v>170</v>
      </c>
      <c r="AC196" s="368"/>
      <c r="AD196" s="232"/>
      <c r="AE196" s="232"/>
      <c r="AF196" s="232"/>
      <c r="AG196" s="232"/>
      <c r="AH196" s="367"/>
      <c r="AI196" s="466">
        <f>SUM(AM184:AM195)</f>
        <v>500</v>
      </c>
      <c r="AJ196" s="466">
        <f>SUM(AN184:AN195)</f>
        <v>20</v>
      </c>
      <c r="AK196" s="466">
        <f>SUM(AO184:AO195)</f>
        <v>140</v>
      </c>
      <c r="AL196" s="368"/>
      <c r="AM196" s="232"/>
      <c r="AN196" s="232"/>
      <c r="AO196" s="232"/>
      <c r="AP196" s="232"/>
      <c r="AQ196" s="367"/>
      <c r="AR196" s="466">
        <f>SUM(AV184:AV195)</f>
        <v>450</v>
      </c>
      <c r="AS196" s="466">
        <f>SUM(AW184:AW195)</f>
        <v>30</v>
      </c>
      <c r="AT196" s="466">
        <f>SUM(AX184:AX195)</f>
        <v>160</v>
      </c>
      <c r="AU196" s="368"/>
      <c r="AV196" s="232"/>
      <c r="AW196" s="232"/>
      <c r="AX196" s="232"/>
      <c r="AY196" s="232"/>
      <c r="AZ196" s="367"/>
      <c r="BA196" s="466">
        <f>SUM(BE184:BE195)</f>
        <v>550</v>
      </c>
      <c r="BB196" s="466">
        <f>SUM(BF184:BF195)</f>
        <v>10</v>
      </c>
      <c r="BC196" s="466">
        <f>SUM(BG184:BG195)</f>
        <v>200</v>
      </c>
      <c r="BD196" s="368"/>
      <c r="BE196" s="232"/>
      <c r="BF196" s="232"/>
      <c r="BG196" s="232"/>
      <c r="BH196" s="232"/>
      <c r="BI196" s="367"/>
      <c r="BJ196" s="466">
        <f>SUM(BN184:BN195)</f>
        <v>430</v>
      </c>
      <c r="BK196" s="466">
        <f>SUM(BO184:BO195)</f>
        <v>20</v>
      </c>
      <c r="BL196" s="466">
        <f>SUM(BP184:BP195)</f>
        <v>160</v>
      </c>
      <c r="BM196" s="368"/>
      <c r="BN196" s="232"/>
      <c r="BO196" s="232"/>
      <c r="BP196" s="232"/>
      <c r="BQ196" s="232"/>
      <c r="BR196" s="367"/>
      <c r="BS196" s="466">
        <f>SUM(BW184:BW195)</f>
        <v>310</v>
      </c>
      <c r="BT196" s="466">
        <f>SUM(BX184:BX195)</f>
        <v>10</v>
      </c>
      <c r="BU196" s="466">
        <f>SUM(BY184:BY195)</f>
        <v>170</v>
      </c>
      <c r="BV196" s="368"/>
      <c r="BW196" s="232"/>
      <c r="BX196" s="232"/>
      <c r="BY196" s="232"/>
      <c r="BZ196" s="232"/>
      <c r="CA196" s="369"/>
      <c r="CB196" s="466">
        <f>SUM(CF184:CF195)</f>
        <v>510</v>
      </c>
      <c r="CC196" s="466">
        <f>SUM(CG184:CG195)</f>
        <v>20</v>
      </c>
      <c r="CD196" s="466">
        <f>SUM(CH184:CH195)</f>
        <v>150</v>
      </c>
      <c r="CE196" s="368"/>
      <c r="CF196" s="232"/>
      <c r="CG196" s="232"/>
      <c r="CH196" s="232"/>
      <c r="CI196" s="232"/>
      <c r="CJ196" s="232"/>
      <c r="CK196" s="466">
        <f>SUM(CO184:CO195)</f>
        <v>420</v>
      </c>
      <c r="CL196" s="466">
        <f>SUM(CP184:CP195)</f>
        <v>10</v>
      </c>
      <c r="CM196" s="466">
        <f>SUM(CQ184:CQ195)</f>
        <v>150</v>
      </c>
      <c r="CN196" s="368"/>
      <c r="CO196" s="232"/>
      <c r="CP196" s="232"/>
      <c r="CQ196" s="232"/>
      <c r="CR196" s="232"/>
      <c r="CS196" s="232"/>
      <c r="CT196" s="232"/>
      <c r="CU196" s="300"/>
      <c r="CV196" s="246"/>
      <c r="CW196" s="265"/>
    </row>
    <row r="197" spans="1:101" ht="13.5" thickBot="1" x14ac:dyDescent="0.25">
      <c r="A197" s="264"/>
      <c r="B197" s="264"/>
      <c r="C197" s="202"/>
      <c r="D197" s="289"/>
      <c r="E197" s="282"/>
      <c r="F197" s="283"/>
      <c r="G197" s="282"/>
      <c r="H197" s="282"/>
      <c r="I197" s="282"/>
      <c r="J197" s="282"/>
      <c r="K197" s="282"/>
      <c r="L197" s="293"/>
      <c r="M197" s="301"/>
      <c r="N197" s="380"/>
      <c r="O197" s="376"/>
      <c r="P197" s="284"/>
      <c r="Q197" s="285"/>
      <c r="R197" s="285"/>
      <c r="S197" s="285"/>
      <c r="T197" s="286"/>
      <c r="U197" s="287"/>
      <c r="V197" s="287"/>
      <c r="W197" s="287"/>
      <c r="X197" s="287"/>
      <c r="Y197" s="284"/>
      <c r="Z197" s="285"/>
      <c r="AA197" s="285"/>
      <c r="AB197" s="285"/>
      <c r="AC197" s="286"/>
      <c r="AD197" s="287"/>
      <c r="AE197" s="287"/>
      <c r="AF197" s="287"/>
      <c r="AG197" s="288"/>
      <c r="AH197" s="284"/>
      <c r="AI197" s="285"/>
      <c r="AJ197" s="285"/>
      <c r="AK197" s="285"/>
      <c r="AL197" s="286"/>
      <c r="AM197" s="287"/>
      <c r="AN197" s="287"/>
      <c r="AO197" s="287"/>
      <c r="AP197" s="288"/>
      <c r="AQ197" s="284"/>
      <c r="AR197" s="285"/>
      <c r="AS197" s="285"/>
      <c r="AT197" s="285"/>
      <c r="AU197" s="286"/>
      <c r="AV197" s="287"/>
      <c r="AW197" s="287"/>
      <c r="AX197" s="287"/>
      <c r="AY197" s="288"/>
      <c r="AZ197" s="284"/>
      <c r="BA197" s="285"/>
      <c r="BB197" s="285"/>
      <c r="BC197" s="285"/>
      <c r="BD197" s="286"/>
      <c r="BE197" s="287"/>
      <c r="BF197" s="287"/>
      <c r="BG197" s="287"/>
      <c r="BH197" s="288"/>
      <c r="BI197" s="284"/>
      <c r="BJ197" s="284"/>
      <c r="BK197" s="284"/>
      <c r="BL197" s="284"/>
      <c r="BM197" s="284"/>
      <c r="BN197" s="284"/>
      <c r="BO197" s="284"/>
      <c r="BP197" s="284"/>
      <c r="BQ197" s="284"/>
      <c r="BR197" s="284"/>
      <c r="BS197" s="284"/>
      <c r="BT197" s="284"/>
      <c r="BU197" s="284"/>
      <c r="BV197" s="284"/>
      <c r="BW197" s="284"/>
      <c r="BX197" s="284"/>
      <c r="BY197" s="284"/>
      <c r="BZ197" s="284"/>
      <c r="CA197" s="284"/>
      <c r="CB197" s="284"/>
      <c r="CC197" s="284"/>
      <c r="CD197" s="284"/>
      <c r="CE197" s="284"/>
      <c r="CF197" s="284"/>
      <c r="CG197" s="284"/>
      <c r="CH197" s="284"/>
      <c r="CI197" s="284"/>
      <c r="CJ197" s="288"/>
      <c r="CK197" s="288"/>
      <c r="CL197" s="288"/>
      <c r="CM197" s="288"/>
      <c r="CN197" s="288"/>
      <c r="CO197" s="288"/>
      <c r="CP197" s="288"/>
      <c r="CQ197" s="288"/>
      <c r="CR197" s="288"/>
      <c r="CS197" s="288"/>
      <c r="CT197" s="282"/>
      <c r="CU197" s="294"/>
      <c r="CV197" s="246"/>
      <c r="CW197" s="265"/>
    </row>
    <row r="198" spans="1:101" ht="14.25" thickTop="1" thickBot="1" x14ac:dyDescent="0.25">
      <c r="A198" s="256"/>
      <c r="B198" s="256"/>
      <c r="C198" s="210"/>
      <c r="D198" s="211"/>
      <c r="E198" s="247"/>
      <c r="F198" s="248"/>
      <c r="G198" s="247"/>
      <c r="H198" s="247"/>
      <c r="I198" s="247"/>
      <c r="J198" s="247"/>
      <c r="K198" s="247"/>
      <c r="L198" s="249"/>
      <c r="M198" s="250"/>
      <c r="N198" s="250"/>
      <c r="O198" s="250"/>
      <c r="P198" s="250"/>
      <c r="Q198" s="247"/>
      <c r="R198" s="247"/>
      <c r="S198" s="247"/>
      <c r="T198" s="251"/>
      <c r="U198" s="252"/>
      <c r="V198" s="252"/>
      <c r="W198" s="252"/>
      <c r="X198" s="252"/>
      <c r="Y198" s="250"/>
      <c r="Z198" s="247"/>
      <c r="AA198" s="247"/>
      <c r="AB198" s="247"/>
      <c r="AC198" s="251"/>
      <c r="AD198" s="252"/>
      <c r="AE198" s="252"/>
      <c r="AF198" s="252"/>
      <c r="AG198" s="247"/>
      <c r="AH198" s="250"/>
      <c r="AI198" s="247"/>
      <c r="AJ198" s="247"/>
      <c r="AK198" s="247"/>
      <c r="AL198" s="251"/>
      <c r="AM198" s="252"/>
      <c r="AN198" s="252"/>
      <c r="AO198" s="252"/>
      <c r="AP198" s="253"/>
      <c r="AQ198" s="250"/>
      <c r="AR198" s="247"/>
      <c r="AS198" s="247"/>
      <c r="AT198" s="247"/>
      <c r="AU198" s="251"/>
      <c r="AV198" s="252"/>
      <c r="AW198" s="252"/>
      <c r="AX198" s="252"/>
      <c r="AY198" s="247"/>
      <c r="AZ198" s="250"/>
      <c r="BA198" s="247"/>
      <c r="BB198" s="247"/>
      <c r="BC198" s="247"/>
      <c r="BD198" s="251"/>
      <c r="BE198" s="252"/>
      <c r="BF198" s="252"/>
      <c r="BG198" s="252"/>
      <c r="BH198" s="247"/>
      <c r="BI198" s="250"/>
      <c r="BJ198" s="247"/>
      <c r="BK198" s="247"/>
      <c r="BL198" s="247"/>
      <c r="BM198" s="251"/>
      <c r="BN198" s="252"/>
      <c r="BO198" s="252"/>
      <c r="BP198" s="252"/>
      <c r="BQ198" s="247"/>
      <c r="BR198" s="212"/>
      <c r="BS198" s="247"/>
      <c r="BT198" s="247"/>
      <c r="BU198" s="247"/>
      <c r="BV198" s="250"/>
      <c r="BW198" s="252"/>
      <c r="BX198" s="252"/>
      <c r="BY198" s="252"/>
      <c r="BZ198" s="247"/>
      <c r="CA198" s="247"/>
      <c r="CB198" s="253"/>
      <c r="CC198" s="253"/>
      <c r="CD198" s="253"/>
      <c r="CE198" s="253"/>
      <c r="CF198" s="247"/>
      <c r="CG198" s="247"/>
      <c r="CH198" s="247"/>
      <c r="CI198" s="247"/>
      <c r="CJ198" s="247"/>
      <c r="CK198" s="247"/>
      <c r="CL198" s="247"/>
      <c r="CM198" s="247"/>
      <c r="CN198" s="247"/>
      <c r="CO198" s="247"/>
      <c r="CP198" s="247"/>
      <c r="CQ198" s="247"/>
      <c r="CR198" s="247"/>
      <c r="CS198" s="247"/>
      <c r="CT198" s="247"/>
      <c r="CU198" s="247"/>
      <c r="CV198" s="254"/>
      <c r="CW198" s="255"/>
    </row>
    <row r="199" spans="1:101" ht="14.25" thickTop="1" thickBot="1" x14ac:dyDescent="0.25">
      <c r="A199" s="255"/>
      <c r="B199" s="255"/>
      <c r="C199" s="255"/>
      <c r="D199" s="255"/>
      <c r="E199" s="255"/>
      <c r="F199" s="255"/>
      <c r="G199" s="255"/>
      <c r="H199" s="255"/>
      <c r="I199" s="255"/>
      <c r="J199" s="255"/>
      <c r="K199" s="255"/>
      <c r="L199" s="255"/>
      <c r="M199" s="255"/>
      <c r="N199" s="255"/>
      <c r="O199" s="255"/>
      <c r="P199" s="255"/>
      <c r="Q199" s="255"/>
      <c r="R199" s="255"/>
      <c r="S199" s="255"/>
      <c r="T199" s="255"/>
      <c r="U199" s="255"/>
      <c r="V199" s="255"/>
      <c r="W199" s="255"/>
      <c r="X199" s="255"/>
      <c r="Y199" s="255"/>
      <c r="Z199" s="255"/>
      <c r="AA199" s="255"/>
      <c r="AB199" s="255"/>
      <c r="AC199" s="255"/>
      <c r="AD199" s="255"/>
      <c r="AE199" s="255"/>
      <c r="AF199" s="255"/>
      <c r="AG199" s="255"/>
      <c r="AH199" s="255"/>
      <c r="AI199" s="255"/>
      <c r="AJ199" s="255"/>
      <c r="AK199" s="255"/>
      <c r="AL199" s="255"/>
      <c r="AM199" s="255"/>
      <c r="AN199" s="255"/>
      <c r="AO199" s="255"/>
      <c r="AP199" s="255"/>
      <c r="AQ199" s="255"/>
      <c r="AR199" s="255"/>
      <c r="AS199" s="255"/>
      <c r="AT199" s="255"/>
      <c r="AU199" s="255"/>
      <c r="AV199" s="255"/>
      <c r="AW199" s="255"/>
      <c r="AX199" s="255"/>
      <c r="AY199" s="255"/>
      <c r="AZ199" s="255"/>
      <c r="BA199" s="255"/>
      <c r="BB199" s="255"/>
      <c r="BC199" s="255"/>
      <c r="BD199" s="255"/>
      <c r="BE199" s="255"/>
      <c r="BF199" s="255"/>
      <c r="BG199" s="255"/>
      <c r="BH199" s="255"/>
      <c r="BI199" s="255"/>
      <c r="BJ199" s="255"/>
      <c r="BK199" s="255"/>
      <c r="BL199" s="255"/>
      <c r="BM199" s="255"/>
      <c r="BN199" s="255"/>
      <c r="BO199" s="255"/>
      <c r="BP199" s="255"/>
      <c r="BQ199" s="255"/>
      <c r="BR199" s="255"/>
      <c r="BS199" s="255"/>
      <c r="BT199" s="255"/>
      <c r="BU199" s="255"/>
      <c r="BV199" s="255"/>
      <c r="BW199" s="255"/>
      <c r="BX199" s="255"/>
      <c r="BY199" s="255"/>
      <c r="BZ199" s="255"/>
      <c r="CA199" s="255"/>
      <c r="CB199" s="436"/>
      <c r="CC199" s="436"/>
      <c r="CD199" s="436"/>
      <c r="CE199" s="436"/>
      <c r="CF199" s="255"/>
      <c r="CG199" s="255"/>
      <c r="CH199" s="255"/>
      <c r="CI199" s="255"/>
      <c r="CJ199" s="255"/>
      <c r="CK199" s="255"/>
      <c r="CL199" s="255"/>
      <c r="CM199" s="255"/>
      <c r="CN199" s="255"/>
      <c r="CO199" s="255"/>
      <c r="CP199" s="255"/>
      <c r="CQ199" s="255"/>
      <c r="CR199" s="255"/>
      <c r="CS199" s="255"/>
      <c r="CT199" s="255"/>
      <c r="CU199" s="255"/>
      <c r="CV199" s="255"/>
      <c r="CW199" s="255"/>
    </row>
    <row r="200" spans="1:101" ht="21" thickTop="1" x14ac:dyDescent="0.3">
      <c r="A200" s="256"/>
      <c r="B200" s="256"/>
      <c r="C200" s="190"/>
      <c r="D200" s="191"/>
      <c r="E200" s="865" t="str">
        <f>$E$2</f>
        <v>STPS 2026</v>
      </c>
      <c r="F200" s="267"/>
      <c r="G200" s="267"/>
      <c r="H200" s="267"/>
      <c r="I200" s="192"/>
      <c r="J200" s="192"/>
      <c r="K200" s="192"/>
      <c r="L200" s="193"/>
      <c r="M200" s="192"/>
      <c r="N200" s="192"/>
      <c r="O200" s="192"/>
      <c r="P200" s="194"/>
      <c r="Q200" s="192"/>
      <c r="R200" s="192"/>
      <c r="S200" s="192"/>
      <c r="T200" s="195"/>
      <c r="U200" s="196"/>
      <c r="V200" s="196"/>
      <c r="W200" s="196"/>
      <c r="X200" s="196"/>
      <c r="Y200" s="194"/>
      <c r="Z200" s="192"/>
      <c r="AA200" s="192"/>
      <c r="AB200" s="192"/>
      <c r="AC200" s="195"/>
      <c r="AD200" s="196"/>
      <c r="AE200" s="196"/>
      <c r="AF200" s="196"/>
      <c r="AG200" s="197"/>
      <c r="AH200" s="194"/>
      <c r="AI200" s="192"/>
      <c r="AJ200" s="237"/>
      <c r="AK200" s="237"/>
      <c r="AL200" s="198"/>
      <c r="AM200" s="238"/>
      <c r="AN200" s="238"/>
      <c r="AO200" s="238"/>
      <c r="AP200" s="197"/>
      <c r="AQ200" s="239"/>
      <c r="AR200" s="240"/>
      <c r="AS200" s="199"/>
      <c r="AT200" s="200"/>
      <c r="AU200" s="198"/>
      <c r="AV200" s="196"/>
      <c r="AW200" s="196"/>
      <c r="AX200" s="196"/>
      <c r="AY200" s="197"/>
      <c r="AZ200" s="239"/>
      <c r="BA200" s="240"/>
      <c r="BB200" s="200"/>
      <c r="BC200" s="237"/>
      <c r="BD200" s="241"/>
      <c r="BE200" s="196"/>
      <c r="BF200" s="196"/>
      <c r="BG200" s="196"/>
      <c r="BH200" s="197"/>
      <c r="BI200" s="242"/>
      <c r="BJ200" s="237"/>
      <c r="BK200" s="237"/>
      <c r="BL200" s="237"/>
      <c r="BM200" s="241"/>
      <c r="BN200" s="196"/>
      <c r="BO200" s="196"/>
      <c r="BP200" s="196"/>
      <c r="BQ200" s="197"/>
      <c r="BR200" s="201"/>
      <c r="BS200" s="237"/>
      <c r="BT200" s="237"/>
      <c r="BU200" s="237"/>
      <c r="BV200" s="242"/>
      <c r="BW200" s="237"/>
      <c r="BX200" s="237"/>
      <c r="BY200" s="237"/>
      <c r="BZ200" s="237"/>
      <c r="CA200" s="237"/>
      <c r="CB200" s="437"/>
      <c r="CC200" s="437"/>
      <c r="CD200" s="437"/>
      <c r="CE200" s="437"/>
      <c r="CF200" s="237"/>
      <c r="CG200" s="237"/>
      <c r="CH200" s="237"/>
      <c r="CI200" s="237"/>
      <c r="CJ200" s="197"/>
      <c r="CK200" s="197"/>
      <c r="CL200" s="197"/>
      <c r="CM200" s="197"/>
      <c r="CN200" s="197"/>
      <c r="CO200" s="197"/>
      <c r="CP200" s="197"/>
      <c r="CQ200" s="197"/>
      <c r="CR200" s="197"/>
      <c r="CS200" s="197"/>
      <c r="CT200" s="401"/>
      <c r="CU200" s="237"/>
      <c r="CV200" s="243"/>
      <c r="CW200" s="255"/>
    </row>
    <row r="201" spans="1:101" ht="13.5" thickBot="1" x14ac:dyDescent="0.25">
      <c r="A201" s="256"/>
      <c r="B201" s="256"/>
      <c r="C201" s="202"/>
      <c r="D201" s="188"/>
      <c r="E201" s="266" t="str">
        <f>E3</f>
        <v>Skorgen Tippelag</v>
      </c>
      <c r="F201" s="406"/>
      <c r="G201" s="406"/>
      <c r="H201" s="406"/>
      <c r="I201" s="406"/>
      <c r="J201" s="406"/>
      <c r="K201" s="406"/>
      <c r="L201" s="406"/>
      <c r="M201" s="406"/>
      <c r="N201" s="406"/>
      <c r="O201" s="406"/>
      <c r="P201" s="406"/>
      <c r="Q201" s="406"/>
      <c r="R201" s="406"/>
      <c r="S201" s="406"/>
      <c r="T201" s="406"/>
      <c r="U201" s="406"/>
      <c r="V201" s="406"/>
      <c r="W201" s="406"/>
      <c r="X201" s="406"/>
      <c r="Y201" s="406"/>
      <c r="Z201" s="406"/>
      <c r="AA201" s="406"/>
      <c r="AB201" s="406"/>
      <c r="AC201" s="406"/>
      <c r="AD201" s="406"/>
      <c r="AE201" s="406"/>
      <c r="AF201" s="406"/>
      <c r="AG201" s="406"/>
      <c r="AH201" s="406"/>
      <c r="AI201" s="406"/>
      <c r="AJ201" s="406"/>
      <c r="AK201" s="406"/>
      <c r="AL201" s="406"/>
      <c r="AM201" s="406"/>
      <c r="AN201" s="406"/>
      <c r="AO201" s="406"/>
      <c r="AP201" s="406"/>
      <c r="AQ201" s="406"/>
      <c r="AR201" s="406"/>
      <c r="AS201" s="406"/>
      <c r="AT201" s="406"/>
      <c r="AU201" s="406"/>
      <c r="AV201" s="406"/>
      <c r="AW201" s="406"/>
      <c r="AX201" s="406"/>
      <c r="AY201" s="406"/>
      <c r="AZ201" s="406"/>
      <c r="BA201" s="406"/>
      <c r="BB201" s="406"/>
      <c r="BC201" s="406"/>
      <c r="BD201" s="406"/>
      <c r="BE201" s="406"/>
      <c r="BF201" s="406"/>
      <c r="BG201" s="406"/>
      <c r="BH201" s="406"/>
      <c r="BI201" s="406"/>
      <c r="BJ201" s="406"/>
      <c r="BK201" s="406"/>
      <c r="BL201" s="406"/>
      <c r="BM201" s="406"/>
      <c r="BN201" s="406"/>
      <c r="BO201" s="406"/>
      <c r="BP201" s="406"/>
      <c r="BQ201" s="406"/>
      <c r="BR201" s="406"/>
      <c r="BS201" s="406"/>
      <c r="BT201" s="406"/>
      <c r="BU201" s="406"/>
      <c r="BV201" s="406"/>
      <c r="BW201" s="406"/>
      <c r="BX201" s="406"/>
      <c r="BY201" s="406"/>
      <c r="BZ201" s="406"/>
      <c r="CA201" s="406"/>
      <c r="CB201" s="438"/>
      <c r="CC201" s="438"/>
      <c r="CD201" s="438"/>
      <c r="CE201" s="438"/>
      <c r="CF201" s="406"/>
      <c r="CG201" s="406"/>
      <c r="CH201" s="406"/>
      <c r="CI201" s="406"/>
      <c r="CJ201" s="406"/>
      <c r="CK201" s="406"/>
      <c r="CL201" s="406"/>
      <c r="CM201" s="406"/>
      <c r="CN201" s="366"/>
      <c r="CO201" s="366"/>
      <c r="CP201" s="366"/>
      <c r="CQ201" s="366"/>
      <c r="CR201" s="366"/>
      <c r="CS201" s="366"/>
      <c r="CT201" s="187"/>
      <c r="CU201" s="310"/>
      <c r="CV201" s="246"/>
      <c r="CW201" s="255"/>
    </row>
    <row r="202" spans="1:101" ht="18.75" thickTop="1" x14ac:dyDescent="0.2">
      <c r="A202" s="256"/>
      <c r="B202" s="256"/>
      <c r="C202" s="209"/>
      <c r="D202" s="290"/>
      <c r="E202" s="273"/>
      <c r="F202" s="274"/>
      <c r="G202" s="273"/>
      <c r="H202" s="273"/>
      <c r="I202" s="803" t="s">
        <v>39</v>
      </c>
      <c r="J202" s="805"/>
      <c r="K202" s="805"/>
      <c r="L202" s="291"/>
      <c r="M202" s="302"/>
      <c r="N202" s="242"/>
      <c r="O202" s="275"/>
      <c r="P202" s="275"/>
      <c r="Q202" s="808">
        <f>IF($F206="","",SUM(Q218:S218)-S204)</f>
        <v>550</v>
      </c>
      <c r="R202" s="808"/>
      <c r="S202" s="808"/>
      <c r="T202" s="276"/>
      <c r="U202" s="277"/>
      <c r="V202" s="277"/>
      <c r="W202" s="277"/>
      <c r="X202" s="277"/>
      <c r="Y202" s="275"/>
      <c r="Z202" s="808">
        <f>IF($F206="","",SUM(Z218:AB218)-AB204)</f>
        <v>610</v>
      </c>
      <c r="AA202" s="808"/>
      <c r="AB202" s="808"/>
      <c r="AC202" s="275"/>
      <c r="AD202" s="277"/>
      <c r="AE202" s="273"/>
      <c r="AF202" s="273"/>
      <c r="AG202" s="273"/>
      <c r="AH202" s="275"/>
      <c r="AI202" s="808">
        <f>IF($F206="","",SUM(AI218:AK218)-AK204)</f>
        <v>550</v>
      </c>
      <c r="AJ202" s="808"/>
      <c r="AK202" s="808"/>
      <c r="AL202" s="276"/>
      <c r="AM202" s="277"/>
      <c r="AN202" s="277"/>
      <c r="AO202" s="277"/>
      <c r="AP202" s="273"/>
      <c r="AQ202" s="275"/>
      <c r="AR202" s="808">
        <f>IF($F206="","",SUM(AR218:AT218)-AT204)</f>
        <v>610</v>
      </c>
      <c r="AS202" s="808"/>
      <c r="AT202" s="808"/>
      <c r="AU202" s="278"/>
      <c r="AV202" s="277"/>
      <c r="AW202" s="277"/>
      <c r="AX202" s="277"/>
      <c r="AY202" s="279"/>
      <c r="AZ202" s="280"/>
      <c r="BA202" s="808">
        <f>IF($F206="","",SUM(BA218:BC218)-BC204)</f>
        <v>610</v>
      </c>
      <c r="BB202" s="808"/>
      <c r="BC202" s="808"/>
      <c r="BD202" s="278"/>
      <c r="BE202" s="277"/>
      <c r="BF202" s="277"/>
      <c r="BG202" s="277"/>
      <c r="BH202" s="279"/>
      <c r="BI202" s="280"/>
      <c r="BJ202" s="808">
        <f>IF($F206="","",SUM(BJ218:BL218)-BL204)</f>
        <v>700</v>
      </c>
      <c r="BK202" s="808"/>
      <c r="BL202" s="808"/>
      <c r="BM202" s="278"/>
      <c r="BN202" s="277"/>
      <c r="BO202" s="277"/>
      <c r="BP202" s="277"/>
      <c r="BQ202" s="279"/>
      <c r="BR202" s="281"/>
      <c r="BS202" s="808">
        <f>IF($F206="","",SUM(BS218:BU218)-BU204)</f>
        <v>540</v>
      </c>
      <c r="BT202" s="808"/>
      <c r="BU202" s="808"/>
      <c r="BV202" s="280"/>
      <c r="BW202" s="279"/>
      <c r="BX202" s="279"/>
      <c r="BY202" s="279"/>
      <c r="BZ202" s="279"/>
      <c r="CA202" s="281"/>
      <c r="CB202" s="808">
        <f>IF($F206="","",SUM(CB218:CD218)-CD204)</f>
        <v>590</v>
      </c>
      <c r="CC202" s="808"/>
      <c r="CD202" s="808"/>
      <c r="CE202" s="280"/>
      <c r="CF202" s="279"/>
      <c r="CG202" s="279"/>
      <c r="CH202" s="279"/>
      <c r="CI202" s="279"/>
      <c r="CJ202" s="273"/>
      <c r="CK202" s="808">
        <f>IF($F206="","",SUM(CK218:CM218))</f>
        <v>590</v>
      </c>
      <c r="CL202" s="808"/>
      <c r="CM202" s="808"/>
      <c r="CN202" s="280"/>
      <c r="CO202" s="279"/>
      <c r="CP202" s="279"/>
      <c r="CQ202" s="279"/>
      <c r="CR202" s="273"/>
      <c r="CS202" s="273"/>
      <c r="CT202" s="273"/>
      <c r="CU202" s="292"/>
      <c r="CV202" s="246"/>
      <c r="CW202" s="255"/>
    </row>
    <row r="203" spans="1:101" x14ac:dyDescent="0.2">
      <c r="A203" s="256"/>
      <c r="B203" s="256"/>
      <c r="C203" s="209"/>
      <c r="D203" s="916">
        <v>45</v>
      </c>
      <c r="E203" s="588">
        <f>IF(D203="","",DATE($D$4,1,1)+(D203-1)*7+(6-WEEKDAY(DATE($D$4,1,1),2)))</f>
        <v>45969</v>
      </c>
      <c r="F203" s="213"/>
      <c r="G203" s="214"/>
      <c r="H203" s="214"/>
      <c r="I203" s="804">
        <f>IF(ISERROR(AVERAGE(Q202,Z202,AI202,AR202,BA202,BJ202,BS202,CB202,CK202)),"",AVERAGE(Q202,Z202,AI202,AR202,BA202,BJ202,BS202,CB202,CK202))</f>
        <v>594.44444444444446</v>
      </c>
      <c r="J203" s="806"/>
      <c r="K203" s="806"/>
      <c r="L203" s="295"/>
      <c r="M203" s="372"/>
      <c r="N203" s="245"/>
      <c r="O203" s="215"/>
      <c r="P203" s="215"/>
      <c r="Q203" s="710">
        <f>IF(Q202="","",Q202/Data!$X$1)</f>
        <v>0.45833333333333331</v>
      </c>
      <c r="R203" s="710"/>
      <c r="S203" s="711">
        <f>IF(SUM(X206:X217)=0,"",SUM(X206:X217))</f>
        <v>7</v>
      </c>
      <c r="T203" s="216"/>
      <c r="U203" s="217"/>
      <c r="V203" s="217"/>
      <c r="W203" s="217"/>
      <c r="X203" s="217"/>
      <c r="Y203" s="215"/>
      <c r="Z203" s="710">
        <f>IF(Z202="","",Z202/Data!$X$1)</f>
        <v>0.5083333333333333</v>
      </c>
      <c r="AA203" s="710"/>
      <c r="AB203" s="711">
        <f>IF(SUM(AG206:AG217)=0,"",SUM(AG206:AG217))</f>
        <v>7</v>
      </c>
      <c r="AC203" s="216"/>
      <c r="AD203" s="217"/>
      <c r="AE203" s="217"/>
      <c r="AF203" s="217"/>
      <c r="AG203" s="217"/>
      <c r="AH203" s="215"/>
      <c r="AI203" s="710">
        <f>IF(AI202="","",AI202/Data!$X$1)</f>
        <v>0.45833333333333331</v>
      </c>
      <c r="AJ203" s="710"/>
      <c r="AK203" s="711">
        <f>IF(SUM(AP206:AP217)=0,"",SUM(AP206:AP217))</f>
        <v>8</v>
      </c>
      <c r="AL203" s="216"/>
      <c r="AM203" s="217"/>
      <c r="AN203" s="217"/>
      <c r="AO203" s="217"/>
      <c r="AP203" s="217"/>
      <c r="AQ203" s="215"/>
      <c r="AR203" s="710">
        <f>IF(AR202="","",AR202/Data!$X$1)</f>
        <v>0.5083333333333333</v>
      </c>
      <c r="AS203" s="710"/>
      <c r="AT203" s="711">
        <f>IF(SUM(AY206:AY217)=0,"",SUM(AY206:AY217))</f>
        <v>8</v>
      </c>
      <c r="AU203" s="218"/>
      <c r="AV203" s="217"/>
      <c r="AW203" s="217"/>
      <c r="AX203" s="217"/>
      <c r="AY203" s="217"/>
      <c r="AZ203" s="219"/>
      <c r="BA203" s="710">
        <f>IF(BA202="","",BA202/Data!$X$1)</f>
        <v>0.5083333333333333</v>
      </c>
      <c r="BB203" s="710"/>
      <c r="BC203" s="711">
        <f>IF(SUM(BH206:BH217)=0,"",SUM(BH206:BH217))</f>
        <v>7</v>
      </c>
      <c r="BD203" s="218"/>
      <c r="BE203" s="217"/>
      <c r="BF203" s="217"/>
      <c r="BG203" s="217"/>
      <c r="BH203" s="217"/>
      <c r="BI203" s="219"/>
      <c r="BJ203" s="710">
        <f>IF(BJ202="","",BJ202/Data!$X$1)</f>
        <v>0.58333333333333337</v>
      </c>
      <c r="BK203" s="710"/>
      <c r="BL203" s="711">
        <f>IF(SUM(BQ206:BQ217)=0,"",SUM(BQ206:BQ217))</f>
        <v>8</v>
      </c>
      <c r="BM203" s="218"/>
      <c r="BN203" s="217"/>
      <c r="BO203" s="217"/>
      <c r="BP203" s="217"/>
      <c r="BQ203" s="217"/>
      <c r="BR203" s="220"/>
      <c r="BS203" s="710">
        <f>IF(BS202="","",BS202/Data!$X$1)</f>
        <v>0.45</v>
      </c>
      <c r="BT203" s="710"/>
      <c r="BU203" s="711">
        <f>IF(SUM(BZ206:BZ217)=0,"",SUM(BZ206:BZ217))</f>
        <v>8</v>
      </c>
      <c r="BV203" s="219"/>
      <c r="BW203" s="217"/>
      <c r="BX203" s="217"/>
      <c r="BY203" s="217"/>
      <c r="BZ203" s="217"/>
      <c r="CA203" s="220"/>
      <c r="CB203" s="710">
        <f>IF(CB202="","",CB202/Data!$X$1)</f>
        <v>0.49166666666666664</v>
      </c>
      <c r="CC203" s="710"/>
      <c r="CD203" s="711">
        <f>IF(SUM(CI206:CI217)=0,"",SUM(CI206:CI217))</f>
        <v>8</v>
      </c>
      <c r="CE203" s="219"/>
      <c r="CF203" s="217"/>
      <c r="CG203" s="217"/>
      <c r="CH203" s="217"/>
      <c r="CI203" s="217"/>
      <c r="CJ203" s="217"/>
      <c r="CK203" s="710">
        <f>IF(CK202="","",CK202/Data!$X$1)</f>
        <v>0.49166666666666664</v>
      </c>
      <c r="CL203" s="710"/>
      <c r="CM203" s="711">
        <f>IF(SUM(CR206:CR217)=0,"",SUM(CR206:CR217))</f>
        <v>7</v>
      </c>
      <c r="CN203" s="219"/>
      <c r="CO203" s="217"/>
      <c r="CP203" s="217"/>
      <c r="CQ203" s="217"/>
      <c r="CR203" s="217"/>
      <c r="CS203" s="217"/>
      <c r="CT203" s="217"/>
      <c r="CU203" s="296"/>
      <c r="CV203" s="246"/>
      <c r="CW203" s="255"/>
    </row>
    <row r="204" spans="1:101" ht="13.5" thickBot="1" x14ac:dyDescent="0.25">
      <c r="A204" s="256"/>
      <c r="B204" s="256"/>
      <c r="C204" s="209"/>
      <c r="D204" s="269">
        <f>D182+1</f>
        <v>10</v>
      </c>
      <c r="E204" s="402" t="s">
        <v>61</v>
      </c>
      <c r="F204" s="221"/>
      <c r="G204" s="222"/>
      <c r="H204" s="222"/>
      <c r="I204" s="802"/>
      <c r="J204" s="807"/>
      <c r="K204" s="807"/>
      <c r="L204" s="297"/>
      <c r="M204" s="373"/>
      <c r="N204" s="377"/>
      <c r="O204" s="222"/>
      <c r="P204" s="222"/>
      <c r="Q204" s="385" t="str">
        <f>Data!$E$11</f>
        <v>AHH</v>
      </c>
      <c r="R204" s="386">
        <f>IF($F217="","",RANK(Q202,$Q202:$CL202))</f>
        <v>7</v>
      </c>
      <c r="S204" s="510"/>
      <c r="T204" s="216">
        <v>0</v>
      </c>
      <c r="U204" s="217"/>
      <c r="V204" s="217"/>
      <c r="W204" s="217"/>
      <c r="X204" s="217"/>
      <c r="Y204" s="215"/>
      <c r="Z204" s="385" t="str">
        <f>Data!$E$12</f>
        <v>RB</v>
      </c>
      <c r="AA204" s="386">
        <f>IF($F217="","",RANK(Z202,$Q202:$CL202))</f>
        <v>2</v>
      </c>
      <c r="AB204" s="510"/>
      <c r="AC204" s="216"/>
      <c r="AD204" s="217"/>
      <c r="AE204" s="217"/>
      <c r="AF204" s="217"/>
      <c r="AG204" s="217"/>
      <c r="AH204" s="215"/>
      <c r="AI204" s="385" t="str">
        <f>Data!$E$13</f>
        <v>EB</v>
      </c>
      <c r="AJ204" s="386">
        <f>IF($F217="","",RANK(AI202,$Q202:$CL202))</f>
        <v>7</v>
      </c>
      <c r="AK204" s="510"/>
      <c r="AL204" s="216"/>
      <c r="AM204" s="217"/>
      <c r="AN204" s="217"/>
      <c r="AO204" s="217"/>
      <c r="AP204" s="217"/>
      <c r="AQ204" s="215"/>
      <c r="AR204" s="346" t="str">
        <f>Data!$E$14</f>
        <v>KAF</v>
      </c>
      <c r="AS204" s="386">
        <f>IF($F217="","",RANK(AR202,$Q202:$CL202))</f>
        <v>2</v>
      </c>
      <c r="AT204" s="510"/>
      <c r="AU204" s="216"/>
      <c r="AV204" s="217"/>
      <c r="AW204" s="217"/>
      <c r="AX204" s="217"/>
      <c r="AY204" s="217"/>
      <c r="AZ204" s="215"/>
      <c r="BA204" s="346" t="str">
        <f>Data!$E$15</f>
        <v>ØG</v>
      </c>
      <c r="BB204" s="386">
        <f>IF($F217="","",RANK(BA202,$Q202:$CL202))</f>
        <v>2</v>
      </c>
      <c r="BC204" s="510"/>
      <c r="BD204" s="216"/>
      <c r="BE204" s="217"/>
      <c r="BF204" s="217"/>
      <c r="BG204" s="217"/>
      <c r="BH204" s="217"/>
      <c r="BI204" s="215"/>
      <c r="BJ204" s="346" t="str">
        <f>Data!$E$16</f>
        <v>JH</v>
      </c>
      <c r="BK204" s="386">
        <f>IF($F217="","",RANK(BJ202,$Q202:$CL202))</f>
        <v>1</v>
      </c>
      <c r="BL204" s="510"/>
      <c r="BM204" s="216"/>
      <c r="BN204" s="217"/>
      <c r="BO204" s="217"/>
      <c r="BP204" s="217"/>
      <c r="BQ204" s="217"/>
      <c r="BR204" s="223"/>
      <c r="BS204" s="346" t="str">
        <f>Data!$E$17</f>
        <v>TOH</v>
      </c>
      <c r="BT204" s="386">
        <f>IF($F217="","",RANK(BS202,$Q202:$CL202))</f>
        <v>9</v>
      </c>
      <c r="BU204" s="510"/>
      <c r="BV204" s="215"/>
      <c r="BW204" s="217"/>
      <c r="BX204" s="217"/>
      <c r="BY204" s="217"/>
      <c r="BZ204" s="217"/>
      <c r="CA204" s="223"/>
      <c r="CB204" s="346" t="s">
        <v>26</v>
      </c>
      <c r="CC204" s="386">
        <f>IF($F217="","",RANK(CB202,$Q202:$CM202))</f>
        <v>5</v>
      </c>
      <c r="CD204" s="511"/>
      <c r="CE204" s="215"/>
      <c r="CF204" s="217"/>
      <c r="CG204" s="217"/>
      <c r="CH204" s="217"/>
      <c r="CI204" s="217"/>
      <c r="CJ204" s="217"/>
      <c r="CK204" s="346" t="s">
        <v>27</v>
      </c>
      <c r="CL204" s="386">
        <f>IF($F217="","",RANK(CK202,$Q202:$CM202))</f>
        <v>5</v>
      </c>
      <c r="CM204" s="798"/>
      <c r="CN204" s="215"/>
      <c r="CO204" s="217"/>
      <c r="CP204" s="217"/>
      <c r="CQ204" s="217"/>
      <c r="CR204" s="217"/>
      <c r="CS204" s="217"/>
      <c r="CT204" s="217"/>
      <c r="CU204" s="296"/>
      <c r="CV204" s="246"/>
      <c r="CW204" s="255"/>
    </row>
    <row r="205" spans="1:101" ht="13.5" thickBot="1" x14ac:dyDescent="0.25">
      <c r="A205" s="264"/>
      <c r="B205" s="264"/>
      <c r="C205" s="202"/>
      <c r="D205" s="270"/>
      <c r="E205" s="224"/>
      <c r="F205" s="225"/>
      <c r="G205" s="226"/>
      <c r="H205" s="226"/>
      <c r="I205" s="227" t="s">
        <v>45</v>
      </c>
      <c r="J205" s="228" t="s">
        <v>46</v>
      </c>
      <c r="K205" s="229" t="s">
        <v>47</v>
      </c>
      <c r="L205" s="298"/>
      <c r="M205" s="374"/>
      <c r="N205" s="378"/>
      <c r="O205" s="230"/>
      <c r="P205" s="230"/>
      <c r="Q205" s="227" t="s">
        <v>45</v>
      </c>
      <c r="R205" s="228" t="s">
        <v>46</v>
      </c>
      <c r="S205" s="229" t="s">
        <v>47</v>
      </c>
      <c r="T205" s="231"/>
      <c r="U205" s="232"/>
      <c r="V205" s="232"/>
      <c r="W205" s="232"/>
      <c r="X205" s="232"/>
      <c r="Y205" s="230"/>
      <c r="Z205" s="227" t="s">
        <v>45</v>
      </c>
      <c r="AA205" s="228" t="s">
        <v>46</v>
      </c>
      <c r="AB205" s="229" t="s">
        <v>47</v>
      </c>
      <c r="AC205" s="231"/>
      <c r="AD205" s="232"/>
      <c r="AE205" s="232"/>
      <c r="AF205" s="232"/>
      <c r="AG205" s="232"/>
      <c r="AH205" s="230"/>
      <c r="AI205" s="227" t="s">
        <v>45</v>
      </c>
      <c r="AJ205" s="228" t="s">
        <v>46</v>
      </c>
      <c r="AK205" s="229" t="s">
        <v>47</v>
      </c>
      <c r="AL205" s="231"/>
      <c r="AM205" s="232"/>
      <c r="AN205" s="232"/>
      <c r="AO205" s="232"/>
      <c r="AP205" s="232"/>
      <c r="AQ205" s="230"/>
      <c r="AR205" s="227" t="s">
        <v>45</v>
      </c>
      <c r="AS205" s="228" t="s">
        <v>46</v>
      </c>
      <c r="AT205" s="229" t="s">
        <v>47</v>
      </c>
      <c r="AU205" s="231"/>
      <c r="AV205" s="232"/>
      <c r="AW205" s="232"/>
      <c r="AX205" s="232"/>
      <c r="AY205" s="232"/>
      <c r="AZ205" s="230"/>
      <c r="BA205" s="227" t="s">
        <v>45</v>
      </c>
      <c r="BB205" s="228" t="s">
        <v>46</v>
      </c>
      <c r="BC205" s="229" t="s">
        <v>47</v>
      </c>
      <c r="BD205" s="231"/>
      <c r="BE205" s="232"/>
      <c r="BF205" s="232"/>
      <c r="BG205" s="232"/>
      <c r="BH205" s="232"/>
      <c r="BI205" s="230"/>
      <c r="BJ205" s="227" t="s">
        <v>45</v>
      </c>
      <c r="BK205" s="228" t="s">
        <v>46</v>
      </c>
      <c r="BL205" s="229" t="s">
        <v>47</v>
      </c>
      <c r="BM205" s="231"/>
      <c r="BN205" s="232"/>
      <c r="BO205" s="232"/>
      <c r="BP205" s="232"/>
      <c r="BQ205" s="232"/>
      <c r="BR205" s="230"/>
      <c r="BS205" s="227" t="s">
        <v>45</v>
      </c>
      <c r="BT205" s="228" t="s">
        <v>46</v>
      </c>
      <c r="BU205" s="229" t="s">
        <v>47</v>
      </c>
      <c r="BV205" s="231"/>
      <c r="BW205" s="232"/>
      <c r="BX205" s="232"/>
      <c r="BY205" s="232"/>
      <c r="BZ205" s="233"/>
      <c r="CA205" s="230"/>
      <c r="CB205" s="227" t="s">
        <v>45</v>
      </c>
      <c r="CC205" s="228" t="s">
        <v>46</v>
      </c>
      <c r="CD205" s="229" t="s">
        <v>47</v>
      </c>
      <c r="CE205" s="231"/>
      <c r="CF205" s="232"/>
      <c r="CG205" s="232"/>
      <c r="CH205" s="232"/>
      <c r="CI205" s="232"/>
      <c r="CJ205" s="232"/>
      <c r="CK205" s="227" t="s">
        <v>45</v>
      </c>
      <c r="CL205" s="228" t="s">
        <v>46</v>
      </c>
      <c r="CM205" s="229" t="s">
        <v>47</v>
      </c>
      <c r="CN205" s="231"/>
      <c r="CO205" s="232"/>
      <c r="CP205" s="232"/>
      <c r="CQ205" s="232"/>
      <c r="CR205" s="232"/>
      <c r="CS205" s="232"/>
      <c r="CT205" s="234"/>
      <c r="CU205" s="296"/>
      <c r="CV205" s="246"/>
      <c r="CW205" s="265"/>
    </row>
    <row r="206" spans="1:101" x14ac:dyDescent="0.2">
      <c r="A206" s="264"/>
      <c r="B206" s="264"/>
      <c r="C206" s="202"/>
      <c r="D206" s="271">
        <v>1</v>
      </c>
      <c r="E206" s="166" t="s">
        <v>158</v>
      </c>
      <c r="F206" s="468">
        <v>3</v>
      </c>
      <c r="G206" s="472"/>
      <c r="H206" s="473">
        <v>0</v>
      </c>
      <c r="I206" s="170" t="str">
        <f t="shared" ref="I206:I217" si="450">IF($F206&gt;$H206,"x","")</f>
        <v>x</v>
      </c>
      <c r="J206" s="387" t="str">
        <f t="shared" ref="J206:J217" si="451">IF(F206&lt;&gt;"",IF(H206&lt;&gt;"",IF(F206=H206,"x",""),""),"")</f>
        <v/>
      </c>
      <c r="K206" s="388" t="str">
        <f t="shared" ref="K206:K217" si="452">IF($F206&lt;$H206,"x","")</f>
        <v/>
      </c>
      <c r="L206" s="299"/>
      <c r="M206" s="375"/>
      <c r="N206" s="379"/>
      <c r="O206" s="236"/>
      <c r="P206" s="236"/>
      <c r="Q206" s="480">
        <v>70</v>
      </c>
      <c r="R206" s="481">
        <v>20</v>
      </c>
      <c r="S206" s="482">
        <f>IF(Q206="","",100-SUM(Q206:R206))</f>
        <v>10</v>
      </c>
      <c r="T206" s="371"/>
      <c r="U206" s="232">
        <f t="shared" ref="U206:U217" si="453">IF($I206="x",Q206,"")</f>
        <v>70</v>
      </c>
      <c r="V206" s="232" t="str">
        <f t="shared" ref="V206:V217" si="454">IF($J206="x",R206,"")</f>
        <v/>
      </c>
      <c r="W206" s="232" t="str">
        <f t="shared" ref="W206:W217" si="455">IF($K206="x",S206,"")</f>
        <v/>
      </c>
      <c r="X206" s="232">
        <f>IF((MAX(U206,V206,W206))=0,"",IF((MAX(U206,V206,W206))=(MAX(Q206,R206,S206)),1,""))</f>
        <v>1</v>
      </c>
      <c r="Y206" s="371"/>
      <c r="Z206" s="495">
        <v>80</v>
      </c>
      <c r="AA206" s="496">
        <v>10</v>
      </c>
      <c r="AB206" s="482">
        <f t="shared" ref="AB206:AB217" si="456">IF(Z206="","",100-SUM(Z206:AA206))</f>
        <v>10</v>
      </c>
      <c r="AC206" s="371"/>
      <c r="AD206" s="232">
        <f t="shared" ref="AD206:AD217" si="457">IF($I206="x",Z206,"")</f>
        <v>80</v>
      </c>
      <c r="AE206" s="232" t="str">
        <f t="shared" ref="AE206:AE217" si="458">IF($J206="x",AA206,"")</f>
        <v/>
      </c>
      <c r="AF206" s="232" t="str">
        <f t="shared" ref="AF206:AF217" si="459">IF($K206="x",AB206,"")</f>
        <v/>
      </c>
      <c r="AG206" s="232">
        <f>IF((MAX(AD206,AE206,AF206))=0,"",IF((MAX(AD206,AE206,AF206))=(MAX(Z206,AA206,AB206)),1,""))</f>
        <v>1</v>
      </c>
      <c r="AH206" s="371"/>
      <c r="AI206" s="495">
        <v>80</v>
      </c>
      <c r="AJ206" s="496">
        <v>10</v>
      </c>
      <c r="AK206" s="482">
        <f t="shared" ref="AK206:AK217" si="460">IF(AI206="","",100-SUM(AI206:AJ206))</f>
        <v>10</v>
      </c>
      <c r="AL206" s="371"/>
      <c r="AM206" s="232">
        <f t="shared" ref="AM206:AM217" si="461">IF($I206="x",AI206,"")</f>
        <v>80</v>
      </c>
      <c r="AN206" s="232" t="str">
        <f t="shared" ref="AN206:AN217" si="462">IF($J206="x",AJ206,"")</f>
        <v/>
      </c>
      <c r="AO206" s="232" t="str">
        <f t="shared" ref="AO206:AO217" si="463">IF($K206="x",AK206,"")</f>
        <v/>
      </c>
      <c r="AP206" s="232">
        <f>IF((MAX(AM206,AN206,AO206))=0,"",IF((MAX(AM206,AN206,AO206))=(MAX(AI206,AJ206,AK206)),1,""))</f>
        <v>1</v>
      </c>
      <c r="AQ206" s="371"/>
      <c r="AR206" s="495">
        <v>80</v>
      </c>
      <c r="AS206" s="496">
        <v>10</v>
      </c>
      <c r="AT206" s="482">
        <f t="shared" ref="AT206:AT217" si="464">IF(AR206="","",100-SUM(AR206:AS206))</f>
        <v>10</v>
      </c>
      <c r="AU206" s="371"/>
      <c r="AV206" s="232">
        <f t="shared" ref="AV206:AV217" si="465">IF($I206="x",AR206,"")</f>
        <v>80</v>
      </c>
      <c r="AW206" s="232" t="str">
        <f t="shared" ref="AW206:AW217" si="466">IF($J206="x",AS206,"")</f>
        <v/>
      </c>
      <c r="AX206" s="232" t="str">
        <f t="shared" ref="AX206:AX217" si="467">IF($K206="x",AT206,"")</f>
        <v/>
      </c>
      <c r="AY206" s="232">
        <f>IF((MAX(AV206,AW206,AX206))=0,"",IF((MAX(AV206,AW206,AX206))=(MAX(AR206,AS206,AT206)),1,""))</f>
        <v>1</v>
      </c>
      <c r="AZ206" s="371"/>
      <c r="BA206" s="495">
        <v>80</v>
      </c>
      <c r="BB206" s="496">
        <v>10</v>
      </c>
      <c r="BC206" s="482">
        <f t="shared" ref="BC206:BC217" si="468">IF(BA206="","",100-SUM(BA206:BB206))</f>
        <v>10</v>
      </c>
      <c r="BD206" s="371"/>
      <c r="BE206" s="232">
        <f t="shared" ref="BE206:BE217" si="469">IF($I206="x",BA206,"")</f>
        <v>80</v>
      </c>
      <c r="BF206" s="232" t="str">
        <f t="shared" ref="BF206:BF217" si="470">IF($J206="x",BB206,"")</f>
        <v/>
      </c>
      <c r="BG206" s="232" t="str">
        <f t="shared" ref="BG206:BG217" si="471">IF($K206="x",BC206,"")</f>
        <v/>
      </c>
      <c r="BH206" s="232">
        <f>IF((MAX(BE206,BF206,BG206))=0,"",IF((MAX(BE206,BF206,BG206))=(MAX(BA206,BB206,BC206)),1,""))</f>
        <v>1</v>
      </c>
      <c r="BI206" s="371"/>
      <c r="BJ206" s="495">
        <v>80</v>
      </c>
      <c r="BK206" s="496">
        <v>10</v>
      </c>
      <c r="BL206" s="482">
        <f t="shared" ref="BL206:BL217" si="472">IF(BJ206="","",100-SUM(BJ206:BK206))</f>
        <v>10</v>
      </c>
      <c r="BM206" s="371"/>
      <c r="BN206" s="232">
        <f t="shared" ref="BN206:BN217" si="473">IF($I206="x",BJ206,"")</f>
        <v>80</v>
      </c>
      <c r="BO206" s="232" t="str">
        <f t="shared" ref="BO206:BO217" si="474">IF($J206="x",BK206,"")</f>
        <v/>
      </c>
      <c r="BP206" s="232" t="str">
        <f t="shared" ref="BP206:BP217" si="475">IF($K206="x",BL206,"")</f>
        <v/>
      </c>
      <c r="BQ206" s="232">
        <f>IF((MAX(BN206,BO206,BP206))=0,"",IF((MAX(BN206,BO206,BP206))=(MAX(BJ206,BK206,BL206)),1,""))</f>
        <v>1</v>
      </c>
      <c r="BR206" s="371"/>
      <c r="BS206" s="495">
        <v>70</v>
      </c>
      <c r="BT206" s="496">
        <v>20</v>
      </c>
      <c r="BU206" s="482">
        <f t="shared" ref="BU206:BU217" si="476">IF(BS206="","",100-SUM(BS206:BT206))</f>
        <v>10</v>
      </c>
      <c r="BV206" s="371"/>
      <c r="BW206" s="232">
        <f t="shared" ref="BW206:BW217" si="477">IF($I206="x",BS206,"")</f>
        <v>70</v>
      </c>
      <c r="BX206" s="232" t="str">
        <f t="shared" ref="BX206:BX217" si="478">IF($J206="x",BT206,"")</f>
        <v/>
      </c>
      <c r="BY206" s="232" t="str">
        <f t="shared" ref="BY206:BY217" si="479">IF($K206="x",BU206,"")</f>
        <v/>
      </c>
      <c r="BZ206" s="232">
        <f>IF((MAX(BW206,BX206,BY206))=0,"",IF((MAX(BW206,BX206,BY206))=(MAX(BS206,BT206,BU206)),1,""))</f>
        <v>1</v>
      </c>
      <c r="CA206" s="371"/>
      <c r="CB206" s="501">
        <f t="shared" ref="CB206:CB217" si="480">IFERROR(ROUNDUP((SUM(Q206,Z206,AI206,AR206,BA206,BJ206,BS206)/SUM($Q206:$S206,$Z206:$AB206,$AI206:$AK206,$AR206:$AT206,$BA206:$BC206,$BJ206:$BL206,$BS206:$BU206))*100,-1),"")</f>
        <v>80</v>
      </c>
      <c r="CC206" s="502">
        <f t="shared" ref="CC206:CC217" si="481">IFERROR(ROUNDDOWN((SUM(R206,AA206,AJ206,AS206,BB206,BK206,BT206)/SUM($Q206:$S206,$Z206:$AB206,$AI206:$AK206,$AR206:$AT206,$BA206:$BC206,$BJ206:$BL206,$BS206:$BU206))*100,-1),"")</f>
        <v>10</v>
      </c>
      <c r="CD206" s="503">
        <f t="shared" ref="CD206:CD217" si="482">IF(CB206="","",100-SUM(CB206:CC206))</f>
        <v>10</v>
      </c>
      <c r="CE206" s="371"/>
      <c r="CF206" s="232">
        <f t="shared" ref="CF206:CF217" si="483">IF($I206="x",CB206,"")</f>
        <v>80</v>
      </c>
      <c r="CG206" s="232" t="str">
        <f t="shared" ref="CG206:CG217" si="484">IF($J206="x",CC206,"")</f>
        <v/>
      </c>
      <c r="CH206" s="232" t="str">
        <f t="shared" ref="CH206:CH217" si="485">IF($K206="x",CD206,"")</f>
        <v/>
      </c>
      <c r="CI206" s="232">
        <f>IF((MAX(CF206,CG206,CH206))=0,"",IF((MAX(CF206,CG206,CH206))=(MAX(CB206,CC206,CD206)),1,""))</f>
        <v>1</v>
      </c>
      <c r="CJ206" s="232"/>
      <c r="CK206" s="495">
        <v>80</v>
      </c>
      <c r="CL206" s="496">
        <v>10</v>
      </c>
      <c r="CM206" s="482">
        <f t="shared" ref="CM206:CM217" si="486">IF(CK206="","",100-SUM(CK206:CL206))</f>
        <v>10</v>
      </c>
      <c r="CN206" s="371"/>
      <c r="CO206" s="232">
        <f t="shared" ref="CO206:CO217" si="487">IF($I206="x",CK206,"")</f>
        <v>80</v>
      </c>
      <c r="CP206" s="232" t="str">
        <f t="shared" ref="CP206:CP217" si="488">IF($J206="x",CL206,"")</f>
        <v/>
      </c>
      <c r="CQ206" s="232" t="str">
        <f t="shared" ref="CQ206:CQ217" si="489">IF($K206="x",CM206,"")</f>
        <v/>
      </c>
      <c r="CR206" s="232">
        <f>IF((MAX(CO206,CP206,CQ206))=0,"",IF((MAX(CO206,CP206,CQ206))=(MAX(CK206,CL206,CM206)),1,""))</f>
        <v>1</v>
      </c>
      <c r="CS206" s="232"/>
      <c r="CT206" s="371"/>
      <c r="CU206" s="296"/>
      <c r="CV206" s="246"/>
      <c r="CW206" s="264"/>
    </row>
    <row r="207" spans="1:101" x14ac:dyDescent="0.2">
      <c r="A207" s="264"/>
      <c r="B207" s="264"/>
      <c r="C207" s="202"/>
      <c r="D207" s="271">
        <v>2</v>
      </c>
      <c r="E207" s="167" t="s">
        <v>159</v>
      </c>
      <c r="F207" s="469">
        <v>0</v>
      </c>
      <c r="G207" s="474"/>
      <c r="H207" s="475">
        <v>0</v>
      </c>
      <c r="I207" s="389" t="str">
        <f t="shared" si="450"/>
        <v/>
      </c>
      <c r="J207" s="390" t="str">
        <f t="shared" si="451"/>
        <v>x</v>
      </c>
      <c r="K207" s="391" t="str">
        <f t="shared" si="452"/>
        <v/>
      </c>
      <c r="L207" s="299"/>
      <c r="M207" s="375"/>
      <c r="N207" s="379"/>
      <c r="O207" s="236"/>
      <c r="P207" s="236"/>
      <c r="Q207" s="483">
        <v>20</v>
      </c>
      <c r="R207" s="484">
        <v>20</v>
      </c>
      <c r="S207" s="485">
        <f t="shared" ref="S207:S217" si="490">IF(Q207="","",100-SUM(Q207:R207))</f>
        <v>60</v>
      </c>
      <c r="T207" s="371"/>
      <c r="U207" s="232" t="str">
        <f t="shared" si="453"/>
        <v/>
      </c>
      <c r="V207" s="232">
        <f t="shared" si="454"/>
        <v>20</v>
      </c>
      <c r="W207" s="232" t="str">
        <f t="shared" si="455"/>
        <v/>
      </c>
      <c r="X207" s="232" t="str">
        <f t="shared" ref="X207:X217" si="491">IF((MAX(U207,V207,W207))=0,"",IF((MAX(U207,V207,W207))=(MAX(Q207,R207,S207)),1,""))</f>
        <v/>
      </c>
      <c r="Y207" s="371"/>
      <c r="Z207" s="497">
        <v>10</v>
      </c>
      <c r="AA207" s="498">
        <v>10</v>
      </c>
      <c r="AB207" s="485">
        <f t="shared" si="456"/>
        <v>80</v>
      </c>
      <c r="AC207" s="371"/>
      <c r="AD207" s="232" t="str">
        <f t="shared" si="457"/>
        <v/>
      </c>
      <c r="AE207" s="232">
        <f t="shared" si="458"/>
        <v>10</v>
      </c>
      <c r="AF207" s="232" t="str">
        <f t="shared" si="459"/>
        <v/>
      </c>
      <c r="AG207" s="232" t="str">
        <f t="shared" ref="AG207:AG217" si="492">IF((MAX(AD207,AE207,AF207))=0,"",IF((MAX(AD207,AE207,AF207))=(MAX(Z207,AA207,AB207)),1,""))</f>
        <v/>
      </c>
      <c r="AH207" s="371"/>
      <c r="AI207" s="497">
        <v>50</v>
      </c>
      <c r="AJ207" s="498">
        <v>20</v>
      </c>
      <c r="AK207" s="485">
        <f t="shared" si="460"/>
        <v>30</v>
      </c>
      <c r="AL207" s="371"/>
      <c r="AM207" s="232" t="str">
        <f t="shared" si="461"/>
        <v/>
      </c>
      <c r="AN207" s="232">
        <f t="shared" si="462"/>
        <v>20</v>
      </c>
      <c r="AO207" s="232" t="str">
        <f t="shared" si="463"/>
        <v/>
      </c>
      <c r="AP207" s="232" t="str">
        <f t="shared" ref="AP207:AP217" si="493">IF((MAX(AM207,AN207,AO207))=0,"",IF((MAX(AM207,AN207,AO207))=(MAX(AI207,AJ207,AK207)),1,""))</f>
        <v/>
      </c>
      <c r="AQ207" s="371"/>
      <c r="AR207" s="497">
        <v>10</v>
      </c>
      <c r="AS207" s="498">
        <v>10</v>
      </c>
      <c r="AT207" s="485">
        <f t="shared" si="464"/>
        <v>80</v>
      </c>
      <c r="AU207" s="371"/>
      <c r="AV207" s="232" t="str">
        <f t="shared" si="465"/>
        <v/>
      </c>
      <c r="AW207" s="232">
        <f t="shared" si="466"/>
        <v>10</v>
      </c>
      <c r="AX207" s="232" t="str">
        <f t="shared" si="467"/>
        <v/>
      </c>
      <c r="AY207" s="232" t="str">
        <f t="shared" ref="AY207:AY217" si="494">IF((MAX(AV207,AW207,AX207))=0,"",IF((MAX(AV207,AW207,AX207))=(MAX(AR207,AS207,AT207)),1,""))</f>
        <v/>
      </c>
      <c r="AZ207" s="371"/>
      <c r="BA207" s="497">
        <v>10</v>
      </c>
      <c r="BB207" s="498">
        <v>10</v>
      </c>
      <c r="BC207" s="485">
        <f t="shared" si="468"/>
        <v>80</v>
      </c>
      <c r="BD207" s="371"/>
      <c r="BE207" s="232" t="str">
        <f t="shared" si="469"/>
        <v/>
      </c>
      <c r="BF207" s="232">
        <f t="shared" si="470"/>
        <v>10</v>
      </c>
      <c r="BG207" s="232" t="str">
        <f t="shared" si="471"/>
        <v/>
      </c>
      <c r="BH207" s="232" t="str">
        <f t="shared" ref="BH207:BH217" si="495">IF((MAX(BE207,BF207,BG207))=0,"",IF((MAX(BE207,BF207,BG207))=(MAX(BA207,BB207,BC207)),1,""))</f>
        <v/>
      </c>
      <c r="BI207" s="371"/>
      <c r="BJ207" s="497">
        <v>10</v>
      </c>
      <c r="BK207" s="498">
        <v>10</v>
      </c>
      <c r="BL207" s="485">
        <f t="shared" si="472"/>
        <v>80</v>
      </c>
      <c r="BM207" s="371"/>
      <c r="BN207" s="232" t="str">
        <f t="shared" si="473"/>
        <v/>
      </c>
      <c r="BO207" s="232">
        <f t="shared" si="474"/>
        <v>10</v>
      </c>
      <c r="BP207" s="232" t="str">
        <f t="shared" si="475"/>
        <v/>
      </c>
      <c r="BQ207" s="232" t="str">
        <f t="shared" ref="BQ207:BQ217" si="496">IF((MAX(BN207,BO207,BP207))=0,"",IF((MAX(BN207,BO207,BP207))=(MAX(BJ207,BK207,BL207)),1,""))</f>
        <v/>
      </c>
      <c r="BR207" s="371"/>
      <c r="BS207" s="497">
        <v>20</v>
      </c>
      <c r="BT207" s="498">
        <v>30</v>
      </c>
      <c r="BU207" s="485">
        <f t="shared" si="476"/>
        <v>50</v>
      </c>
      <c r="BV207" s="371"/>
      <c r="BW207" s="232" t="str">
        <f t="shared" si="477"/>
        <v/>
      </c>
      <c r="BX207" s="232">
        <f t="shared" si="478"/>
        <v>30</v>
      </c>
      <c r="BY207" s="232" t="str">
        <f t="shared" si="479"/>
        <v/>
      </c>
      <c r="BZ207" s="232" t="str">
        <f t="shared" ref="BZ207:BZ217" si="497">IF((MAX(BW207,BX207,BY207))=0,"",IF((MAX(BW207,BX207,BY207))=(MAX(BS207,BT207,BU207)),1,""))</f>
        <v/>
      </c>
      <c r="CA207" s="371"/>
      <c r="CB207" s="504">
        <f t="shared" si="480"/>
        <v>20</v>
      </c>
      <c r="CC207" s="505">
        <f t="shared" si="481"/>
        <v>10</v>
      </c>
      <c r="CD207" s="506">
        <f t="shared" si="482"/>
        <v>70</v>
      </c>
      <c r="CE207" s="371"/>
      <c r="CF207" s="232" t="str">
        <f t="shared" si="483"/>
        <v/>
      </c>
      <c r="CG207" s="232">
        <f t="shared" si="484"/>
        <v>10</v>
      </c>
      <c r="CH207" s="232" t="str">
        <f t="shared" si="485"/>
        <v/>
      </c>
      <c r="CI207" s="232" t="str">
        <f t="shared" ref="CI207:CI217" si="498">IF((MAX(CF207,CG207,CH207))=0,"",IF((MAX(CF207,CG207,CH207))=(MAX(CB207,CC207,CD207)),1,""))</f>
        <v/>
      </c>
      <c r="CJ207" s="232"/>
      <c r="CK207" s="497">
        <v>10</v>
      </c>
      <c r="CL207" s="498">
        <v>10</v>
      </c>
      <c r="CM207" s="485">
        <f t="shared" si="486"/>
        <v>80</v>
      </c>
      <c r="CN207" s="371"/>
      <c r="CO207" s="232" t="str">
        <f t="shared" si="487"/>
        <v/>
      </c>
      <c r="CP207" s="232">
        <f t="shared" si="488"/>
        <v>10</v>
      </c>
      <c r="CQ207" s="232" t="str">
        <f t="shared" si="489"/>
        <v/>
      </c>
      <c r="CR207" s="232" t="str">
        <f t="shared" ref="CR207:CR217" si="499">IF((MAX(CO207,CP207,CQ207))=0,"",IF((MAX(CO207,CP207,CQ207))=(MAX(CK207,CL207,CM207)),1,""))</f>
        <v/>
      </c>
      <c r="CS207" s="232"/>
      <c r="CT207" s="371"/>
      <c r="CU207" s="296"/>
      <c r="CV207" s="246"/>
      <c r="CW207" s="264"/>
    </row>
    <row r="208" spans="1:101" ht="13.5" thickBot="1" x14ac:dyDescent="0.25">
      <c r="A208" s="264"/>
      <c r="B208" s="264"/>
      <c r="C208" s="202"/>
      <c r="D208" s="271">
        <v>3</v>
      </c>
      <c r="E208" s="168" t="s">
        <v>160</v>
      </c>
      <c r="F208" s="470">
        <v>3</v>
      </c>
      <c r="G208" s="476"/>
      <c r="H208" s="477">
        <v>0</v>
      </c>
      <c r="I208" s="392" t="str">
        <f t="shared" si="450"/>
        <v>x</v>
      </c>
      <c r="J208" s="393" t="str">
        <f t="shared" si="451"/>
        <v/>
      </c>
      <c r="K208" s="394" t="str">
        <f t="shared" si="452"/>
        <v/>
      </c>
      <c r="L208" s="299"/>
      <c r="M208" s="375"/>
      <c r="N208" s="379"/>
      <c r="O208" s="236"/>
      <c r="P208" s="236"/>
      <c r="Q208" s="486">
        <v>70</v>
      </c>
      <c r="R208" s="487">
        <v>20</v>
      </c>
      <c r="S208" s="488">
        <f t="shared" si="490"/>
        <v>10</v>
      </c>
      <c r="T208" s="371"/>
      <c r="U208" s="232">
        <f t="shared" si="453"/>
        <v>70</v>
      </c>
      <c r="V208" s="232" t="str">
        <f t="shared" si="454"/>
        <v/>
      </c>
      <c r="W208" s="232" t="str">
        <f t="shared" si="455"/>
        <v/>
      </c>
      <c r="X208" s="232">
        <f t="shared" si="491"/>
        <v>1</v>
      </c>
      <c r="Y208" s="371"/>
      <c r="Z208" s="499">
        <v>80</v>
      </c>
      <c r="AA208" s="500">
        <v>10</v>
      </c>
      <c r="AB208" s="488">
        <f t="shared" si="456"/>
        <v>10</v>
      </c>
      <c r="AC208" s="371"/>
      <c r="AD208" s="232">
        <f t="shared" si="457"/>
        <v>80</v>
      </c>
      <c r="AE208" s="232" t="str">
        <f t="shared" si="458"/>
        <v/>
      </c>
      <c r="AF208" s="232" t="str">
        <f t="shared" si="459"/>
        <v/>
      </c>
      <c r="AG208" s="232">
        <f t="shared" si="492"/>
        <v>1</v>
      </c>
      <c r="AH208" s="371"/>
      <c r="AI208" s="499">
        <v>70</v>
      </c>
      <c r="AJ208" s="500">
        <v>20</v>
      </c>
      <c r="AK208" s="488">
        <f t="shared" si="460"/>
        <v>10</v>
      </c>
      <c r="AL208" s="371"/>
      <c r="AM208" s="232">
        <f t="shared" si="461"/>
        <v>70</v>
      </c>
      <c r="AN208" s="232" t="str">
        <f t="shared" si="462"/>
        <v/>
      </c>
      <c r="AO208" s="232" t="str">
        <f t="shared" si="463"/>
        <v/>
      </c>
      <c r="AP208" s="232">
        <f t="shared" si="493"/>
        <v>1</v>
      </c>
      <c r="AQ208" s="371"/>
      <c r="AR208" s="499">
        <v>80</v>
      </c>
      <c r="AS208" s="500">
        <v>10</v>
      </c>
      <c r="AT208" s="488">
        <f t="shared" si="464"/>
        <v>10</v>
      </c>
      <c r="AU208" s="371"/>
      <c r="AV208" s="232">
        <f t="shared" si="465"/>
        <v>80</v>
      </c>
      <c r="AW208" s="232" t="str">
        <f t="shared" si="466"/>
        <v/>
      </c>
      <c r="AX208" s="232" t="str">
        <f t="shared" si="467"/>
        <v/>
      </c>
      <c r="AY208" s="232">
        <f t="shared" si="494"/>
        <v>1</v>
      </c>
      <c r="AZ208" s="371"/>
      <c r="BA208" s="499">
        <v>80</v>
      </c>
      <c r="BB208" s="500">
        <v>10</v>
      </c>
      <c r="BC208" s="488">
        <f t="shared" si="468"/>
        <v>10</v>
      </c>
      <c r="BD208" s="371"/>
      <c r="BE208" s="232">
        <f t="shared" si="469"/>
        <v>80</v>
      </c>
      <c r="BF208" s="232" t="str">
        <f t="shared" si="470"/>
        <v/>
      </c>
      <c r="BG208" s="232" t="str">
        <f t="shared" si="471"/>
        <v/>
      </c>
      <c r="BH208" s="232">
        <f t="shared" si="495"/>
        <v>1</v>
      </c>
      <c r="BI208" s="371"/>
      <c r="BJ208" s="499">
        <v>80</v>
      </c>
      <c r="BK208" s="500">
        <v>10</v>
      </c>
      <c r="BL208" s="488">
        <f t="shared" si="472"/>
        <v>10</v>
      </c>
      <c r="BM208" s="371"/>
      <c r="BN208" s="232">
        <f t="shared" si="473"/>
        <v>80</v>
      </c>
      <c r="BO208" s="232" t="str">
        <f t="shared" si="474"/>
        <v/>
      </c>
      <c r="BP208" s="232" t="str">
        <f t="shared" si="475"/>
        <v/>
      </c>
      <c r="BQ208" s="232">
        <f t="shared" si="496"/>
        <v>1</v>
      </c>
      <c r="BR208" s="371"/>
      <c r="BS208" s="499">
        <v>80</v>
      </c>
      <c r="BT208" s="500">
        <v>10</v>
      </c>
      <c r="BU208" s="488">
        <f t="shared" si="476"/>
        <v>10</v>
      </c>
      <c r="BV208" s="371"/>
      <c r="BW208" s="232">
        <f t="shared" si="477"/>
        <v>80</v>
      </c>
      <c r="BX208" s="232" t="str">
        <f t="shared" si="478"/>
        <v/>
      </c>
      <c r="BY208" s="232" t="str">
        <f t="shared" si="479"/>
        <v/>
      </c>
      <c r="BZ208" s="232">
        <f t="shared" si="497"/>
        <v>1</v>
      </c>
      <c r="CA208" s="371"/>
      <c r="CB208" s="507">
        <f t="shared" si="480"/>
        <v>80</v>
      </c>
      <c r="CC208" s="508">
        <f t="shared" si="481"/>
        <v>10</v>
      </c>
      <c r="CD208" s="509">
        <f t="shared" si="482"/>
        <v>10</v>
      </c>
      <c r="CE208" s="371"/>
      <c r="CF208" s="232">
        <f t="shared" si="483"/>
        <v>80</v>
      </c>
      <c r="CG208" s="232" t="str">
        <f t="shared" si="484"/>
        <v/>
      </c>
      <c r="CH208" s="232" t="str">
        <f t="shared" si="485"/>
        <v/>
      </c>
      <c r="CI208" s="232">
        <f t="shared" si="498"/>
        <v>1</v>
      </c>
      <c r="CJ208" s="232"/>
      <c r="CK208" s="499">
        <v>80</v>
      </c>
      <c r="CL208" s="500">
        <v>10</v>
      </c>
      <c r="CM208" s="488">
        <f t="shared" si="486"/>
        <v>10</v>
      </c>
      <c r="CN208" s="371"/>
      <c r="CO208" s="232">
        <f t="shared" si="487"/>
        <v>80</v>
      </c>
      <c r="CP208" s="232" t="str">
        <f t="shared" si="488"/>
        <v/>
      </c>
      <c r="CQ208" s="232" t="str">
        <f t="shared" si="489"/>
        <v/>
      </c>
      <c r="CR208" s="232">
        <f t="shared" si="499"/>
        <v>1</v>
      </c>
      <c r="CS208" s="232"/>
      <c r="CT208" s="371"/>
      <c r="CU208" s="296"/>
      <c r="CV208" s="246"/>
      <c r="CW208" s="264"/>
    </row>
    <row r="209" spans="1:101" x14ac:dyDescent="0.2">
      <c r="A209" s="264"/>
      <c r="B209" s="264"/>
      <c r="C209" s="202"/>
      <c r="D209" s="271">
        <v>4</v>
      </c>
      <c r="E209" s="166" t="s">
        <v>161</v>
      </c>
      <c r="F209" s="468">
        <v>0</v>
      </c>
      <c r="G209" s="472"/>
      <c r="H209" s="473">
        <v>3</v>
      </c>
      <c r="I209" s="170" t="str">
        <f t="shared" si="450"/>
        <v/>
      </c>
      <c r="J209" s="387" t="str">
        <f t="shared" si="451"/>
        <v/>
      </c>
      <c r="K209" s="388" t="str">
        <f t="shared" si="452"/>
        <v>x</v>
      </c>
      <c r="L209" s="299"/>
      <c r="M209" s="375"/>
      <c r="N209" s="379"/>
      <c r="O209" s="236"/>
      <c r="P209" s="236"/>
      <c r="Q209" s="480">
        <v>40</v>
      </c>
      <c r="R209" s="481">
        <v>30</v>
      </c>
      <c r="S209" s="482">
        <f t="shared" si="490"/>
        <v>30</v>
      </c>
      <c r="T209" s="371"/>
      <c r="U209" s="232" t="str">
        <f t="shared" si="453"/>
        <v/>
      </c>
      <c r="V209" s="232" t="str">
        <f t="shared" si="454"/>
        <v/>
      </c>
      <c r="W209" s="232">
        <f t="shared" si="455"/>
        <v>30</v>
      </c>
      <c r="X209" s="232" t="str">
        <f t="shared" si="491"/>
        <v/>
      </c>
      <c r="Y209" s="371"/>
      <c r="Z209" s="495">
        <v>10</v>
      </c>
      <c r="AA209" s="496">
        <v>80</v>
      </c>
      <c r="AB209" s="482">
        <f t="shared" si="456"/>
        <v>10</v>
      </c>
      <c r="AC209" s="371"/>
      <c r="AD209" s="232" t="str">
        <f t="shared" si="457"/>
        <v/>
      </c>
      <c r="AE209" s="232" t="str">
        <f t="shared" si="458"/>
        <v/>
      </c>
      <c r="AF209" s="232">
        <f t="shared" si="459"/>
        <v>10</v>
      </c>
      <c r="AG209" s="232" t="str">
        <f t="shared" si="492"/>
        <v/>
      </c>
      <c r="AH209" s="371"/>
      <c r="AI209" s="495">
        <v>40</v>
      </c>
      <c r="AJ209" s="496">
        <v>20</v>
      </c>
      <c r="AK209" s="482">
        <f t="shared" si="460"/>
        <v>40</v>
      </c>
      <c r="AL209" s="371"/>
      <c r="AM209" s="232" t="str">
        <f t="shared" si="461"/>
        <v/>
      </c>
      <c r="AN209" s="232" t="str">
        <f t="shared" si="462"/>
        <v/>
      </c>
      <c r="AO209" s="232">
        <f t="shared" si="463"/>
        <v>40</v>
      </c>
      <c r="AP209" s="232">
        <f t="shared" si="493"/>
        <v>1</v>
      </c>
      <c r="AQ209" s="371"/>
      <c r="AR209" s="495">
        <v>30</v>
      </c>
      <c r="AS209" s="496">
        <v>30</v>
      </c>
      <c r="AT209" s="482">
        <f t="shared" si="464"/>
        <v>40</v>
      </c>
      <c r="AU209" s="371"/>
      <c r="AV209" s="232" t="str">
        <f t="shared" si="465"/>
        <v/>
      </c>
      <c r="AW209" s="232" t="str">
        <f t="shared" si="466"/>
        <v/>
      </c>
      <c r="AX209" s="232">
        <f t="shared" si="467"/>
        <v>40</v>
      </c>
      <c r="AY209" s="232">
        <f t="shared" si="494"/>
        <v>1</v>
      </c>
      <c r="AZ209" s="371"/>
      <c r="BA209" s="495">
        <v>10</v>
      </c>
      <c r="BB209" s="496">
        <v>10</v>
      </c>
      <c r="BC209" s="482">
        <f t="shared" si="468"/>
        <v>80</v>
      </c>
      <c r="BD209" s="371"/>
      <c r="BE209" s="232" t="str">
        <f t="shared" si="469"/>
        <v/>
      </c>
      <c r="BF209" s="232" t="str">
        <f t="shared" si="470"/>
        <v/>
      </c>
      <c r="BG209" s="232">
        <f t="shared" si="471"/>
        <v>80</v>
      </c>
      <c r="BH209" s="232">
        <f t="shared" si="495"/>
        <v>1</v>
      </c>
      <c r="BI209" s="371"/>
      <c r="BJ209" s="495">
        <v>10</v>
      </c>
      <c r="BK209" s="496">
        <v>10</v>
      </c>
      <c r="BL209" s="482">
        <f t="shared" si="472"/>
        <v>80</v>
      </c>
      <c r="BM209" s="371"/>
      <c r="BN209" s="232" t="str">
        <f t="shared" si="473"/>
        <v/>
      </c>
      <c r="BO209" s="232" t="str">
        <f t="shared" si="474"/>
        <v/>
      </c>
      <c r="BP209" s="232">
        <f t="shared" si="475"/>
        <v>80</v>
      </c>
      <c r="BQ209" s="232">
        <f t="shared" si="496"/>
        <v>1</v>
      </c>
      <c r="BR209" s="371"/>
      <c r="BS209" s="495">
        <v>50</v>
      </c>
      <c r="BT209" s="496">
        <v>40</v>
      </c>
      <c r="BU209" s="482">
        <f t="shared" si="476"/>
        <v>10</v>
      </c>
      <c r="BV209" s="371"/>
      <c r="BW209" s="232" t="str">
        <f t="shared" si="477"/>
        <v/>
      </c>
      <c r="BX209" s="232" t="str">
        <f t="shared" si="478"/>
        <v/>
      </c>
      <c r="BY209" s="232">
        <f t="shared" si="479"/>
        <v>10</v>
      </c>
      <c r="BZ209" s="232" t="str">
        <f t="shared" si="497"/>
        <v/>
      </c>
      <c r="CA209" s="371"/>
      <c r="CB209" s="501">
        <f t="shared" si="480"/>
        <v>30</v>
      </c>
      <c r="CC209" s="502">
        <f t="shared" si="481"/>
        <v>30</v>
      </c>
      <c r="CD209" s="503">
        <f t="shared" si="482"/>
        <v>40</v>
      </c>
      <c r="CE209" s="371"/>
      <c r="CF209" s="232" t="str">
        <f t="shared" si="483"/>
        <v/>
      </c>
      <c r="CG209" s="232" t="str">
        <f t="shared" si="484"/>
        <v/>
      </c>
      <c r="CH209" s="232">
        <f t="shared" si="485"/>
        <v>40</v>
      </c>
      <c r="CI209" s="232">
        <f t="shared" si="498"/>
        <v>1</v>
      </c>
      <c r="CJ209" s="232"/>
      <c r="CK209" s="495">
        <v>30</v>
      </c>
      <c r="CL209" s="496">
        <v>40</v>
      </c>
      <c r="CM209" s="482">
        <f t="shared" si="486"/>
        <v>30</v>
      </c>
      <c r="CN209" s="371"/>
      <c r="CO209" s="232" t="str">
        <f t="shared" si="487"/>
        <v/>
      </c>
      <c r="CP209" s="232" t="str">
        <f t="shared" si="488"/>
        <v/>
      </c>
      <c r="CQ209" s="232">
        <f t="shared" si="489"/>
        <v>30</v>
      </c>
      <c r="CR209" s="232" t="str">
        <f t="shared" si="499"/>
        <v/>
      </c>
      <c r="CS209" s="232"/>
      <c r="CT209" s="371"/>
      <c r="CU209" s="296"/>
      <c r="CV209" s="246"/>
      <c r="CW209" s="264"/>
    </row>
    <row r="210" spans="1:101" x14ac:dyDescent="0.2">
      <c r="A210" s="264"/>
      <c r="B210" s="264"/>
      <c r="C210" s="202"/>
      <c r="D210" s="271">
        <v>5</v>
      </c>
      <c r="E210" s="167" t="s">
        <v>162</v>
      </c>
      <c r="F210" s="469">
        <v>1</v>
      </c>
      <c r="G210" s="474"/>
      <c r="H210" s="475">
        <v>1</v>
      </c>
      <c r="I210" s="389" t="str">
        <f t="shared" si="450"/>
        <v/>
      </c>
      <c r="J210" s="390" t="str">
        <f t="shared" si="451"/>
        <v>x</v>
      </c>
      <c r="K210" s="391" t="str">
        <f t="shared" si="452"/>
        <v/>
      </c>
      <c r="L210" s="299"/>
      <c r="M210" s="375"/>
      <c r="N210" s="379"/>
      <c r="O210" s="236"/>
      <c r="P210" s="236"/>
      <c r="Q210" s="483">
        <v>60</v>
      </c>
      <c r="R210" s="484">
        <v>20</v>
      </c>
      <c r="S210" s="485">
        <f t="shared" si="490"/>
        <v>20</v>
      </c>
      <c r="T210" s="371"/>
      <c r="U210" s="232" t="str">
        <f t="shared" si="453"/>
        <v/>
      </c>
      <c r="V210" s="232">
        <f t="shared" si="454"/>
        <v>20</v>
      </c>
      <c r="W210" s="232" t="str">
        <f t="shared" si="455"/>
        <v/>
      </c>
      <c r="X210" s="232" t="str">
        <f t="shared" si="491"/>
        <v/>
      </c>
      <c r="Y210" s="371"/>
      <c r="Z210" s="497">
        <v>80</v>
      </c>
      <c r="AA210" s="498">
        <v>10</v>
      </c>
      <c r="AB210" s="485">
        <f t="shared" si="456"/>
        <v>10</v>
      </c>
      <c r="AC210" s="371"/>
      <c r="AD210" s="232" t="str">
        <f t="shared" si="457"/>
        <v/>
      </c>
      <c r="AE210" s="232">
        <f t="shared" si="458"/>
        <v>10</v>
      </c>
      <c r="AF210" s="232" t="str">
        <f t="shared" si="459"/>
        <v/>
      </c>
      <c r="AG210" s="232" t="str">
        <f t="shared" si="492"/>
        <v/>
      </c>
      <c r="AH210" s="371"/>
      <c r="AI210" s="497">
        <v>70</v>
      </c>
      <c r="AJ210" s="498">
        <v>20</v>
      </c>
      <c r="AK210" s="485">
        <f t="shared" si="460"/>
        <v>10</v>
      </c>
      <c r="AL210" s="371"/>
      <c r="AM210" s="232" t="str">
        <f t="shared" si="461"/>
        <v/>
      </c>
      <c r="AN210" s="232">
        <f t="shared" si="462"/>
        <v>20</v>
      </c>
      <c r="AO210" s="232" t="str">
        <f t="shared" si="463"/>
        <v/>
      </c>
      <c r="AP210" s="232" t="str">
        <f t="shared" si="493"/>
        <v/>
      </c>
      <c r="AQ210" s="371"/>
      <c r="AR210" s="497">
        <v>60</v>
      </c>
      <c r="AS210" s="498">
        <v>30</v>
      </c>
      <c r="AT210" s="485">
        <f t="shared" si="464"/>
        <v>10</v>
      </c>
      <c r="AU210" s="371"/>
      <c r="AV210" s="232" t="str">
        <f t="shared" si="465"/>
        <v/>
      </c>
      <c r="AW210" s="232">
        <f t="shared" si="466"/>
        <v>30</v>
      </c>
      <c r="AX210" s="232" t="str">
        <f t="shared" si="467"/>
        <v/>
      </c>
      <c r="AY210" s="232" t="str">
        <f t="shared" si="494"/>
        <v/>
      </c>
      <c r="AZ210" s="371"/>
      <c r="BA210" s="497">
        <v>80</v>
      </c>
      <c r="BB210" s="498">
        <v>10</v>
      </c>
      <c r="BC210" s="485">
        <f t="shared" si="468"/>
        <v>10</v>
      </c>
      <c r="BD210" s="371"/>
      <c r="BE210" s="232" t="str">
        <f t="shared" si="469"/>
        <v/>
      </c>
      <c r="BF210" s="232">
        <f t="shared" si="470"/>
        <v>10</v>
      </c>
      <c r="BG210" s="232" t="str">
        <f t="shared" si="471"/>
        <v/>
      </c>
      <c r="BH210" s="232" t="str">
        <f t="shared" si="495"/>
        <v/>
      </c>
      <c r="BI210" s="371"/>
      <c r="BJ210" s="497">
        <v>10</v>
      </c>
      <c r="BK210" s="498">
        <v>30</v>
      </c>
      <c r="BL210" s="485">
        <f t="shared" si="472"/>
        <v>60</v>
      </c>
      <c r="BM210" s="371"/>
      <c r="BN210" s="232" t="str">
        <f t="shared" si="473"/>
        <v/>
      </c>
      <c r="BO210" s="232">
        <f t="shared" si="474"/>
        <v>30</v>
      </c>
      <c r="BP210" s="232" t="str">
        <f t="shared" si="475"/>
        <v/>
      </c>
      <c r="BQ210" s="232" t="str">
        <f t="shared" si="496"/>
        <v/>
      </c>
      <c r="BR210" s="371"/>
      <c r="BS210" s="497">
        <v>30</v>
      </c>
      <c r="BT210" s="498">
        <v>40</v>
      </c>
      <c r="BU210" s="485">
        <f t="shared" si="476"/>
        <v>30</v>
      </c>
      <c r="BV210" s="371"/>
      <c r="BW210" s="232" t="str">
        <f t="shared" si="477"/>
        <v/>
      </c>
      <c r="BX210" s="232">
        <f t="shared" si="478"/>
        <v>40</v>
      </c>
      <c r="BY210" s="232" t="str">
        <f t="shared" si="479"/>
        <v/>
      </c>
      <c r="BZ210" s="232">
        <f t="shared" si="497"/>
        <v>1</v>
      </c>
      <c r="CA210" s="371"/>
      <c r="CB210" s="504">
        <f t="shared" si="480"/>
        <v>60</v>
      </c>
      <c r="CC210" s="505">
        <f t="shared" si="481"/>
        <v>20</v>
      </c>
      <c r="CD210" s="506">
        <f t="shared" si="482"/>
        <v>20</v>
      </c>
      <c r="CE210" s="371"/>
      <c r="CF210" s="232" t="str">
        <f t="shared" si="483"/>
        <v/>
      </c>
      <c r="CG210" s="232">
        <f t="shared" si="484"/>
        <v>20</v>
      </c>
      <c r="CH210" s="232" t="str">
        <f t="shared" si="485"/>
        <v/>
      </c>
      <c r="CI210" s="232" t="str">
        <f t="shared" si="498"/>
        <v/>
      </c>
      <c r="CJ210" s="232"/>
      <c r="CK210" s="497">
        <v>60</v>
      </c>
      <c r="CL210" s="498">
        <v>20</v>
      </c>
      <c r="CM210" s="485">
        <f t="shared" si="486"/>
        <v>20</v>
      </c>
      <c r="CN210" s="371"/>
      <c r="CO210" s="232" t="str">
        <f t="shared" si="487"/>
        <v/>
      </c>
      <c r="CP210" s="232">
        <f t="shared" si="488"/>
        <v>20</v>
      </c>
      <c r="CQ210" s="232" t="str">
        <f t="shared" si="489"/>
        <v/>
      </c>
      <c r="CR210" s="232" t="str">
        <f t="shared" si="499"/>
        <v/>
      </c>
      <c r="CS210" s="232"/>
      <c r="CT210" s="371"/>
      <c r="CU210" s="296"/>
      <c r="CV210" s="246"/>
      <c r="CW210" s="264"/>
    </row>
    <row r="211" spans="1:101" ht="13.5" thickBot="1" x14ac:dyDescent="0.25">
      <c r="A211" s="264"/>
      <c r="B211" s="264"/>
      <c r="C211" s="202"/>
      <c r="D211" s="271">
        <v>6</v>
      </c>
      <c r="E211" s="168" t="s">
        <v>163</v>
      </c>
      <c r="F211" s="470">
        <v>0</v>
      </c>
      <c r="G211" s="476"/>
      <c r="H211" s="477">
        <v>3</v>
      </c>
      <c r="I211" s="392" t="str">
        <f t="shared" si="450"/>
        <v/>
      </c>
      <c r="J211" s="393" t="str">
        <f t="shared" si="451"/>
        <v/>
      </c>
      <c r="K211" s="394" t="str">
        <f t="shared" si="452"/>
        <v>x</v>
      </c>
      <c r="L211" s="299"/>
      <c r="M211" s="375"/>
      <c r="N211" s="379"/>
      <c r="O211" s="236"/>
      <c r="P211" s="236"/>
      <c r="Q211" s="489">
        <v>40</v>
      </c>
      <c r="R211" s="490">
        <v>30</v>
      </c>
      <c r="S211" s="491">
        <f t="shared" si="490"/>
        <v>30</v>
      </c>
      <c r="T211" s="371"/>
      <c r="U211" s="232" t="str">
        <f t="shared" si="453"/>
        <v/>
      </c>
      <c r="V211" s="232" t="str">
        <f t="shared" si="454"/>
        <v/>
      </c>
      <c r="W211" s="232">
        <f t="shared" si="455"/>
        <v>30</v>
      </c>
      <c r="X211" s="232" t="str">
        <f t="shared" si="491"/>
        <v/>
      </c>
      <c r="Y211" s="371"/>
      <c r="Z211" s="499">
        <v>80</v>
      </c>
      <c r="AA211" s="500">
        <v>10</v>
      </c>
      <c r="AB211" s="491">
        <f t="shared" si="456"/>
        <v>10</v>
      </c>
      <c r="AC211" s="371"/>
      <c r="AD211" s="232" t="str">
        <f t="shared" si="457"/>
        <v/>
      </c>
      <c r="AE211" s="232" t="str">
        <f t="shared" si="458"/>
        <v/>
      </c>
      <c r="AF211" s="232">
        <f t="shared" si="459"/>
        <v>10</v>
      </c>
      <c r="AG211" s="232" t="str">
        <f t="shared" si="492"/>
        <v/>
      </c>
      <c r="AH211" s="371"/>
      <c r="AI211" s="499">
        <v>60</v>
      </c>
      <c r="AJ211" s="500">
        <v>20</v>
      </c>
      <c r="AK211" s="491">
        <f t="shared" si="460"/>
        <v>20</v>
      </c>
      <c r="AL211" s="371"/>
      <c r="AM211" s="232" t="str">
        <f t="shared" si="461"/>
        <v/>
      </c>
      <c r="AN211" s="232" t="str">
        <f t="shared" si="462"/>
        <v/>
      </c>
      <c r="AO211" s="232">
        <f t="shared" si="463"/>
        <v>20</v>
      </c>
      <c r="AP211" s="232" t="str">
        <f t="shared" si="493"/>
        <v/>
      </c>
      <c r="AQ211" s="371"/>
      <c r="AR211" s="499">
        <v>50</v>
      </c>
      <c r="AS211" s="500">
        <v>30</v>
      </c>
      <c r="AT211" s="491">
        <f t="shared" si="464"/>
        <v>20</v>
      </c>
      <c r="AU211" s="371"/>
      <c r="AV211" s="232" t="str">
        <f t="shared" si="465"/>
        <v/>
      </c>
      <c r="AW211" s="232" t="str">
        <f t="shared" si="466"/>
        <v/>
      </c>
      <c r="AX211" s="232">
        <f t="shared" si="467"/>
        <v>20</v>
      </c>
      <c r="AY211" s="232" t="str">
        <f t="shared" si="494"/>
        <v/>
      </c>
      <c r="AZ211" s="371"/>
      <c r="BA211" s="499">
        <v>80</v>
      </c>
      <c r="BB211" s="500">
        <v>10</v>
      </c>
      <c r="BC211" s="491">
        <f t="shared" si="468"/>
        <v>10</v>
      </c>
      <c r="BD211" s="371"/>
      <c r="BE211" s="232" t="str">
        <f t="shared" si="469"/>
        <v/>
      </c>
      <c r="BF211" s="232" t="str">
        <f t="shared" si="470"/>
        <v/>
      </c>
      <c r="BG211" s="232">
        <f t="shared" si="471"/>
        <v>10</v>
      </c>
      <c r="BH211" s="232" t="str">
        <f t="shared" si="495"/>
        <v/>
      </c>
      <c r="BI211" s="371"/>
      <c r="BJ211" s="499">
        <v>10</v>
      </c>
      <c r="BK211" s="500">
        <v>10</v>
      </c>
      <c r="BL211" s="491">
        <f t="shared" si="472"/>
        <v>80</v>
      </c>
      <c r="BM211" s="371"/>
      <c r="BN211" s="232" t="str">
        <f t="shared" si="473"/>
        <v/>
      </c>
      <c r="BO211" s="232" t="str">
        <f t="shared" si="474"/>
        <v/>
      </c>
      <c r="BP211" s="232">
        <f t="shared" si="475"/>
        <v>80</v>
      </c>
      <c r="BQ211" s="232">
        <f t="shared" si="496"/>
        <v>1</v>
      </c>
      <c r="BR211" s="371"/>
      <c r="BS211" s="499">
        <v>40</v>
      </c>
      <c r="BT211" s="500">
        <v>50</v>
      </c>
      <c r="BU211" s="491">
        <f t="shared" si="476"/>
        <v>10</v>
      </c>
      <c r="BV211" s="371"/>
      <c r="BW211" s="232" t="str">
        <f t="shared" si="477"/>
        <v/>
      </c>
      <c r="BX211" s="232" t="str">
        <f t="shared" si="478"/>
        <v/>
      </c>
      <c r="BY211" s="232">
        <f t="shared" si="479"/>
        <v>10</v>
      </c>
      <c r="BZ211" s="232" t="str">
        <f t="shared" si="497"/>
        <v/>
      </c>
      <c r="CA211" s="371"/>
      <c r="CB211" s="507">
        <f t="shared" si="480"/>
        <v>60</v>
      </c>
      <c r="CC211" s="508">
        <f t="shared" si="481"/>
        <v>20</v>
      </c>
      <c r="CD211" s="509">
        <f t="shared" si="482"/>
        <v>20</v>
      </c>
      <c r="CE211" s="371"/>
      <c r="CF211" s="232" t="str">
        <f t="shared" si="483"/>
        <v/>
      </c>
      <c r="CG211" s="232" t="str">
        <f t="shared" si="484"/>
        <v/>
      </c>
      <c r="CH211" s="232">
        <f t="shared" si="485"/>
        <v>20</v>
      </c>
      <c r="CI211" s="232" t="str">
        <f t="shared" si="498"/>
        <v/>
      </c>
      <c r="CJ211" s="232"/>
      <c r="CK211" s="499">
        <v>50</v>
      </c>
      <c r="CL211" s="500">
        <v>30</v>
      </c>
      <c r="CM211" s="491">
        <f t="shared" si="486"/>
        <v>20</v>
      </c>
      <c r="CN211" s="371"/>
      <c r="CO211" s="232" t="str">
        <f t="shared" si="487"/>
        <v/>
      </c>
      <c r="CP211" s="232" t="str">
        <f t="shared" si="488"/>
        <v/>
      </c>
      <c r="CQ211" s="232">
        <f t="shared" si="489"/>
        <v>20</v>
      </c>
      <c r="CR211" s="232" t="str">
        <f t="shared" si="499"/>
        <v/>
      </c>
      <c r="CS211" s="232"/>
      <c r="CT211" s="371"/>
      <c r="CU211" s="296"/>
      <c r="CV211" s="246"/>
      <c r="CW211" s="264"/>
    </row>
    <row r="212" spans="1:101" x14ac:dyDescent="0.2">
      <c r="A212" s="264"/>
      <c r="B212" s="264"/>
      <c r="C212" s="202"/>
      <c r="D212" s="271">
        <v>7</v>
      </c>
      <c r="E212" s="166" t="s">
        <v>164</v>
      </c>
      <c r="F212" s="468">
        <v>0</v>
      </c>
      <c r="G212" s="472"/>
      <c r="H212" s="473">
        <v>0</v>
      </c>
      <c r="I212" s="170" t="str">
        <f t="shared" si="450"/>
        <v/>
      </c>
      <c r="J212" s="387" t="str">
        <f t="shared" si="451"/>
        <v>x</v>
      </c>
      <c r="K212" s="388" t="str">
        <f t="shared" si="452"/>
        <v/>
      </c>
      <c r="L212" s="299"/>
      <c r="M212" s="375"/>
      <c r="N212" s="379"/>
      <c r="O212" s="236"/>
      <c r="P212" s="236"/>
      <c r="Q212" s="480">
        <v>20</v>
      </c>
      <c r="R212" s="481">
        <v>20</v>
      </c>
      <c r="S212" s="482">
        <f t="shared" si="490"/>
        <v>60</v>
      </c>
      <c r="T212" s="371"/>
      <c r="U212" s="232" t="str">
        <f t="shared" si="453"/>
        <v/>
      </c>
      <c r="V212" s="232">
        <f t="shared" si="454"/>
        <v>20</v>
      </c>
      <c r="W212" s="232" t="str">
        <f t="shared" si="455"/>
        <v/>
      </c>
      <c r="X212" s="232" t="str">
        <f t="shared" si="491"/>
        <v/>
      </c>
      <c r="Y212" s="371"/>
      <c r="Z212" s="495">
        <v>10</v>
      </c>
      <c r="AA212" s="496">
        <v>10</v>
      </c>
      <c r="AB212" s="482">
        <f t="shared" si="456"/>
        <v>80</v>
      </c>
      <c r="AC212" s="371"/>
      <c r="AD212" s="232" t="str">
        <f t="shared" si="457"/>
        <v/>
      </c>
      <c r="AE212" s="232">
        <f t="shared" si="458"/>
        <v>10</v>
      </c>
      <c r="AF212" s="232" t="str">
        <f t="shared" si="459"/>
        <v/>
      </c>
      <c r="AG212" s="232" t="str">
        <f t="shared" si="492"/>
        <v/>
      </c>
      <c r="AH212" s="371"/>
      <c r="AI212" s="495">
        <v>30</v>
      </c>
      <c r="AJ212" s="496">
        <v>20</v>
      </c>
      <c r="AK212" s="482">
        <f t="shared" si="460"/>
        <v>50</v>
      </c>
      <c r="AL212" s="371"/>
      <c r="AM212" s="232" t="str">
        <f t="shared" si="461"/>
        <v/>
      </c>
      <c r="AN212" s="232">
        <f t="shared" si="462"/>
        <v>20</v>
      </c>
      <c r="AO212" s="232" t="str">
        <f t="shared" si="463"/>
        <v/>
      </c>
      <c r="AP212" s="232" t="str">
        <f t="shared" si="493"/>
        <v/>
      </c>
      <c r="AQ212" s="371"/>
      <c r="AR212" s="495">
        <v>10</v>
      </c>
      <c r="AS212" s="496">
        <v>30</v>
      </c>
      <c r="AT212" s="482">
        <f t="shared" si="464"/>
        <v>60</v>
      </c>
      <c r="AU212" s="371"/>
      <c r="AV212" s="232" t="str">
        <f t="shared" si="465"/>
        <v/>
      </c>
      <c r="AW212" s="232">
        <f t="shared" si="466"/>
        <v>30</v>
      </c>
      <c r="AX212" s="232" t="str">
        <f t="shared" si="467"/>
        <v/>
      </c>
      <c r="AY212" s="232" t="str">
        <f t="shared" si="494"/>
        <v/>
      </c>
      <c r="AZ212" s="371"/>
      <c r="BA212" s="495">
        <v>10</v>
      </c>
      <c r="BB212" s="496">
        <v>10</v>
      </c>
      <c r="BC212" s="482">
        <f t="shared" si="468"/>
        <v>80</v>
      </c>
      <c r="BD212" s="371"/>
      <c r="BE212" s="232" t="str">
        <f t="shared" si="469"/>
        <v/>
      </c>
      <c r="BF212" s="232">
        <f t="shared" si="470"/>
        <v>10</v>
      </c>
      <c r="BG212" s="232" t="str">
        <f t="shared" si="471"/>
        <v/>
      </c>
      <c r="BH212" s="232" t="str">
        <f t="shared" si="495"/>
        <v/>
      </c>
      <c r="BI212" s="371"/>
      <c r="BJ212" s="495">
        <v>10</v>
      </c>
      <c r="BK212" s="496">
        <v>10</v>
      </c>
      <c r="BL212" s="482">
        <f t="shared" si="472"/>
        <v>80</v>
      </c>
      <c r="BM212" s="371"/>
      <c r="BN212" s="232" t="str">
        <f t="shared" si="473"/>
        <v/>
      </c>
      <c r="BO212" s="232">
        <f t="shared" si="474"/>
        <v>10</v>
      </c>
      <c r="BP212" s="232" t="str">
        <f t="shared" si="475"/>
        <v/>
      </c>
      <c r="BQ212" s="232" t="str">
        <f t="shared" si="496"/>
        <v/>
      </c>
      <c r="BR212" s="371"/>
      <c r="BS212" s="495">
        <v>10</v>
      </c>
      <c r="BT212" s="496">
        <v>10</v>
      </c>
      <c r="BU212" s="482">
        <f t="shared" si="476"/>
        <v>80</v>
      </c>
      <c r="BV212" s="371"/>
      <c r="BW212" s="232" t="str">
        <f t="shared" si="477"/>
        <v/>
      </c>
      <c r="BX212" s="232">
        <f t="shared" si="478"/>
        <v>10</v>
      </c>
      <c r="BY212" s="232" t="str">
        <f t="shared" si="479"/>
        <v/>
      </c>
      <c r="BZ212" s="232" t="str">
        <f t="shared" si="497"/>
        <v/>
      </c>
      <c r="CA212" s="371"/>
      <c r="CB212" s="501">
        <f t="shared" si="480"/>
        <v>20</v>
      </c>
      <c r="CC212" s="502">
        <f t="shared" si="481"/>
        <v>10</v>
      </c>
      <c r="CD212" s="503">
        <f t="shared" si="482"/>
        <v>70</v>
      </c>
      <c r="CE212" s="371"/>
      <c r="CF212" s="232" t="str">
        <f t="shared" si="483"/>
        <v/>
      </c>
      <c r="CG212" s="232">
        <f t="shared" si="484"/>
        <v>10</v>
      </c>
      <c r="CH212" s="232" t="str">
        <f t="shared" si="485"/>
        <v/>
      </c>
      <c r="CI212" s="232" t="str">
        <f t="shared" si="498"/>
        <v/>
      </c>
      <c r="CJ212" s="232"/>
      <c r="CK212" s="495">
        <v>20</v>
      </c>
      <c r="CL212" s="496">
        <v>10</v>
      </c>
      <c r="CM212" s="482">
        <f t="shared" si="486"/>
        <v>70</v>
      </c>
      <c r="CN212" s="371"/>
      <c r="CO212" s="232" t="str">
        <f t="shared" si="487"/>
        <v/>
      </c>
      <c r="CP212" s="232">
        <f t="shared" si="488"/>
        <v>10</v>
      </c>
      <c r="CQ212" s="232" t="str">
        <f t="shared" si="489"/>
        <v/>
      </c>
      <c r="CR212" s="232" t="str">
        <f t="shared" si="499"/>
        <v/>
      </c>
      <c r="CS212" s="232"/>
      <c r="CT212" s="371"/>
      <c r="CU212" s="300"/>
      <c r="CV212" s="246"/>
      <c r="CW212" s="264"/>
    </row>
    <row r="213" spans="1:101" x14ac:dyDescent="0.2">
      <c r="A213" s="264"/>
      <c r="B213" s="264"/>
      <c r="C213" s="202"/>
      <c r="D213" s="271">
        <v>8</v>
      </c>
      <c r="E213" s="167" t="s">
        <v>165</v>
      </c>
      <c r="F213" s="469">
        <v>1</v>
      </c>
      <c r="G213" s="474"/>
      <c r="H213" s="475">
        <v>2</v>
      </c>
      <c r="I213" s="389" t="str">
        <f t="shared" si="450"/>
        <v/>
      </c>
      <c r="J213" s="390" t="str">
        <f t="shared" si="451"/>
        <v/>
      </c>
      <c r="K213" s="391" t="str">
        <f t="shared" si="452"/>
        <v>x</v>
      </c>
      <c r="L213" s="299"/>
      <c r="M213" s="375"/>
      <c r="N213" s="379"/>
      <c r="O213" s="236"/>
      <c r="P213" s="236"/>
      <c r="Q213" s="483">
        <v>20</v>
      </c>
      <c r="R213" s="484">
        <v>20</v>
      </c>
      <c r="S213" s="485">
        <f t="shared" si="490"/>
        <v>60</v>
      </c>
      <c r="T213" s="371"/>
      <c r="U213" s="232" t="str">
        <f t="shared" si="453"/>
        <v/>
      </c>
      <c r="V213" s="232" t="str">
        <f t="shared" si="454"/>
        <v/>
      </c>
      <c r="W213" s="232">
        <f t="shared" si="455"/>
        <v>60</v>
      </c>
      <c r="X213" s="232">
        <f t="shared" si="491"/>
        <v>1</v>
      </c>
      <c r="Y213" s="371"/>
      <c r="Z213" s="497">
        <v>10</v>
      </c>
      <c r="AA213" s="498">
        <v>10</v>
      </c>
      <c r="AB213" s="485">
        <f t="shared" si="456"/>
        <v>80</v>
      </c>
      <c r="AC213" s="371"/>
      <c r="AD213" s="232" t="str">
        <f t="shared" si="457"/>
        <v/>
      </c>
      <c r="AE213" s="232" t="str">
        <f t="shared" si="458"/>
        <v/>
      </c>
      <c r="AF213" s="232">
        <f t="shared" si="459"/>
        <v>80</v>
      </c>
      <c r="AG213" s="232">
        <f t="shared" si="492"/>
        <v>1</v>
      </c>
      <c r="AH213" s="371"/>
      <c r="AI213" s="497">
        <v>20</v>
      </c>
      <c r="AJ213" s="498">
        <v>40</v>
      </c>
      <c r="AK213" s="485">
        <f t="shared" si="460"/>
        <v>40</v>
      </c>
      <c r="AL213" s="371"/>
      <c r="AM213" s="232" t="str">
        <f t="shared" si="461"/>
        <v/>
      </c>
      <c r="AN213" s="232" t="str">
        <f t="shared" si="462"/>
        <v/>
      </c>
      <c r="AO213" s="232">
        <f t="shared" si="463"/>
        <v>40</v>
      </c>
      <c r="AP213" s="232">
        <f t="shared" si="493"/>
        <v>1</v>
      </c>
      <c r="AQ213" s="371"/>
      <c r="AR213" s="497">
        <v>10</v>
      </c>
      <c r="AS213" s="498">
        <v>30</v>
      </c>
      <c r="AT213" s="485">
        <f t="shared" si="464"/>
        <v>60</v>
      </c>
      <c r="AU213" s="371"/>
      <c r="AV213" s="232" t="str">
        <f t="shared" si="465"/>
        <v/>
      </c>
      <c r="AW213" s="232" t="str">
        <f t="shared" si="466"/>
        <v/>
      </c>
      <c r="AX213" s="232">
        <f t="shared" si="467"/>
        <v>60</v>
      </c>
      <c r="AY213" s="232">
        <f t="shared" si="494"/>
        <v>1</v>
      </c>
      <c r="AZ213" s="371"/>
      <c r="BA213" s="497">
        <v>10</v>
      </c>
      <c r="BB213" s="498">
        <v>10</v>
      </c>
      <c r="BC213" s="485">
        <f t="shared" si="468"/>
        <v>80</v>
      </c>
      <c r="BD213" s="371"/>
      <c r="BE213" s="232" t="str">
        <f t="shared" si="469"/>
        <v/>
      </c>
      <c r="BF213" s="232" t="str">
        <f t="shared" si="470"/>
        <v/>
      </c>
      <c r="BG213" s="232">
        <f t="shared" si="471"/>
        <v>80</v>
      </c>
      <c r="BH213" s="232">
        <f t="shared" si="495"/>
        <v>1</v>
      </c>
      <c r="BI213" s="371"/>
      <c r="BJ213" s="497">
        <v>30</v>
      </c>
      <c r="BK213" s="498">
        <v>40</v>
      </c>
      <c r="BL213" s="485">
        <f t="shared" si="472"/>
        <v>30</v>
      </c>
      <c r="BM213" s="371"/>
      <c r="BN213" s="232" t="str">
        <f t="shared" si="473"/>
        <v/>
      </c>
      <c r="BO213" s="232" t="str">
        <f t="shared" si="474"/>
        <v/>
      </c>
      <c r="BP213" s="232">
        <f t="shared" si="475"/>
        <v>30</v>
      </c>
      <c r="BQ213" s="232" t="str">
        <f t="shared" si="496"/>
        <v/>
      </c>
      <c r="BR213" s="371"/>
      <c r="BS213" s="497">
        <v>10</v>
      </c>
      <c r="BT213" s="498">
        <v>10</v>
      </c>
      <c r="BU213" s="485">
        <f t="shared" si="476"/>
        <v>80</v>
      </c>
      <c r="BV213" s="371"/>
      <c r="BW213" s="232" t="str">
        <f t="shared" si="477"/>
        <v/>
      </c>
      <c r="BX213" s="232" t="str">
        <f t="shared" si="478"/>
        <v/>
      </c>
      <c r="BY213" s="232">
        <f t="shared" si="479"/>
        <v>80</v>
      </c>
      <c r="BZ213" s="232">
        <f t="shared" si="497"/>
        <v>1</v>
      </c>
      <c r="CA213" s="371"/>
      <c r="CB213" s="504">
        <f t="shared" si="480"/>
        <v>20</v>
      </c>
      <c r="CC213" s="505">
        <f t="shared" si="481"/>
        <v>20</v>
      </c>
      <c r="CD213" s="506">
        <f t="shared" si="482"/>
        <v>60</v>
      </c>
      <c r="CE213" s="371"/>
      <c r="CF213" s="232" t="str">
        <f t="shared" si="483"/>
        <v/>
      </c>
      <c r="CG213" s="232" t="str">
        <f t="shared" si="484"/>
        <v/>
      </c>
      <c r="CH213" s="232">
        <f t="shared" si="485"/>
        <v>60</v>
      </c>
      <c r="CI213" s="232">
        <f t="shared" si="498"/>
        <v>1</v>
      </c>
      <c r="CJ213" s="232"/>
      <c r="CK213" s="497">
        <v>20</v>
      </c>
      <c r="CL213" s="498">
        <v>20</v>
      </c>
      <c r="CM213" s="485">
        <f t="shared" si="486"/>
        <v>60</v>
      </c>
      <c r="CN213" s="371"/>
      <c r="CO213" s="232" t="str">
        <f t="shared" si="487"/>
        <v/>
      </c>
      <c r="CP213" s="232" t="str">
        <f t="shared" si="488"/>
        <v/>
      </c>
      <c r="CQ213" s="232">
        <f t="shared" si="489"/>
        <v>60</v>
      </c>
      <c r="CR213" s="232">
        <f t="shared" si="499"/>
        <v>1</v>
      </c>
      <c r="CS213" s="232"/>
      <c r="CT213" s="371"/>
      <c r="CU213" s="300"/>
      <c r="CV213" s="246"/>
      <c r="CW213" s="264"/>
    </row>
    <row r="214" spans="1:101" ht="13.5" thickBot="1" x14ac:dyDescent="0.25">
      <c r="A214" s="264"/>
      <c r="B214" s="264"/>
      <c r="C214" s="202"/>
      <c r="D214" s="271">
        <v>9</v>
      </c>
      <c r="E214" s="168" t="s">
        <v>166</v>
      </c>
      <c r="F214" s="470">
        <v>2</v>
      </c>
      <c r="G214" s="476"/>
      <c r="H214" s="477">
        <v>0</v>
      </c>
      <c r="I214" s="392" t="str">
        <f t="shared" si="450"/>
        <v>x</v>
      </c>
      <c r="J214" s="393" t="str">
        <f t="shared" si="451"/>
        <v/>
      </c>
      <c r="K214" s="394" t="str">
        <f t="shared" si="452"/>
        <v/>
      </c>
      <c r="L214" s="299"/>
      <c r="M214" s="375"/>
      <c r="N214" s="379"/>
      <c r="O214" s="236"/>
      <c r="P214" s="236"/>
      <c r="Q214" s="489">
        <v>50</v>
      </c>
      <c r="R214" s="490">
        <v>30</v>
      </c>
      <c r="S214" s="491">
        <f t="shared" si="490"/>
        <v>20</v>
      </c>
      <c r="T214" s="371"/>
      <c r="U214" s="232">
        <f t="shared" si="453"/>
        <v>50</v>
      </c>
      <c r="V214" s="232" t="str">
        <f t="shared" si="454"/>
        <v/>
      </c>
      <c r="W214" s="232" t="str">
        <f t="shared" si="455"/>
        <v/>
      </c>
      <c r="X214" s="232">
        <f t="shared" si="491"/>
        <v>1</v>
      </c>
      <c r="Y214" s="371"/>
      <c r="Z214" s="499">
        <v>80</v>
      </c>
      <c r="AA214" s="500">
        <v>10</v>
      </c>
      <c r="AB214" s="491">
        <f t="shared" si="456"/>
        <v>10</v>
      </c>
      <c r="AC214" s="371"/>
      <c r="AD214" s="232">
        <f t="shared" si="457"/>
        <v>80</v>
      </c>
      <c r="AE214" s="232" t="str">
        <f t="shared" si="458"/>
        <v/>
      </c>
      <c r="AF214" s="232" t="str">
        <f t="shared" si="459"/>
        <v/>
      </c>
      <c r="AG214" s="232">
        <f t="shared" si="492"/>
        <v>1</v>
      </c>
      <c r="AH214" s="371"/>
      <c r="AI214" s="499">
        <v>50</v>
      </c>
      <c r="AJ214" s="500">
        <v>30</v>
      </c>
      <c r="AK214" s="491">
        <f t="shared" si="460"/>
        <v>20</v>
      </c>
      <c r="AL214" s="371"/>
      <c r="AM214" s="232">
        <f t="shared" si="461"/>
        <v>50</v>
      </c>
      <c r="AN214" s="232" t="str">
        <f t="shared" si="462"/>
        <v/>
      </c>
      <c r="AO214" s="232" t="str">
        <f t="shared" si="463"/>
        <v/>
      </c>
      <c r="AP214" s="232">
        <f t="shared" si="493"/>
        <v>1</v>
      </c>
      <c r="AQ214" s="371"/>
      <c r="AR214" s="499">
        <v>60</v>
      </c>
      <c r="AS214" s="500">
        <v>30</v>
      </c>
      <c r="AT214" s="491">
        <f t="shared" si="464"/>
        <v>10</v>
      </c>
      <c r="AU214" s="371"/>
      <c r="AV214" s="232">
        <f t="shared" si="465"/>
        <v>60</v>
      </c>
      <c r="AW214" s="232" t="str">
        <f t="shared" si="466"/>
        <v/>
      </c>
      <c r="AX214" s="232" t="str">
        <f t="shared" si="467"/>
        <v/>
      </c>
      <c r="AY214" s="232">
        <f t="shared" si="494"/>
        <v>1</v>
      </c>
      <c r="AZ214" s="371"/>
      <c r="BA214" s="499">
        <v>80</v>
      </c>
      <c r="BB214" s="500">
        <v>10</v>
      </c>
      <c r="BC214" s="491">
        <f t="shared" si="468"/>
        <v>10</v>
      </c>
      <c r="BD214" s="371"/>
      <c r="BE214" s="232">
        <f t="shared" si="469"/>
        <v>80</v>
      </c>
      <c r="BF214" s="232" t="str">
        <f t="shared" si="470"/>
        <v/>
      </c>
      <c r="BG214" s="232" t="str">
        <f t="shared" si="471"/>
        <v/>
      </c>
      <c r="BH214" s="232">
        <f t="shared" si="495"/>
        <v>1</v>
      </c>
      <c r="BI214" s="371"/>
      <c r="BJ214" s="499">
        <v>80</v>
      </c>
      <c r="BK214" s="500">
        <v>10</v>
      </c>
      <c r="BL214" s="491">
        <f t="shared" si="472"/>
        <v>10</v>
      </c>
      <c r="BM214" s="371"/>
      <c r="BN214" s="232">
        <f t="shared" si="473"/>
        <v>80</v>
      </c>
      <c r="BO214" s="232" t="str">
        <f t="shared" si="474"/>
        <v/>
      </c>
      <c r="BP214" s="232" t="str">
        <f t="shared" si="475"/>
        <v/>
      </c>
      <c r="BQ214" s="232">
        <f t="shared" si="496"/>
        <v>1</v>
      </c>
      <c r="BR214" s="371"/>
      <c r="BS214" s="499">
        <v>40</v>
      </c>
      <c r="BT214" s="500">
        <v>20</v>
      </c>
      <c r="BU214" s="491">
        <f t="shared" si="476"/>
        <v>40</v>
      </c>
      <c r="BV214" s="371"/>
      <c r="BW214" s="232">
        <f t="shared" si="477"/>
        <v>40</v>
      </c>
      <c r="BX214" s="232" t="str">
        <f t="shared" si="478"/>
        <v/>
      </c>
      <c r="BY214" s="232" t="str">
        <f t="shared" si="479"/>
        <v/>
      </c>
      <c r="BZ214" s="232">
        <f t="shared" si="497"/>
        <v>1</v>
      </c>
      <c r="CA214" s="371"/>
      <c r="CB214" s="507">
        <f t="shared" si="480"/>
        <v>70</v>
      </c>
      <c r="CC214" s="508">
        <f t="shared" si="481"/>
        <v>20</v>
      </c>
      <c r="CD214" s="509">
        <f t="shared" si="482"/>
        <v>10</v>
      </c>
      <c r="CE214" s="371"/>
      <c r="CF214" s="232">
        <f t="shared" si="483"/>
        <v>70</v>
      </c>
      <c r="CG214" s="232" t="str">
        <f t="shared" si="484"/>
        <v/>
      </c>
      <c r="CH214" s="232" t="str">
        <f t="shared" si="485"/>
        <v/>
      </c>
      <c r="CI214" s="232">
        <f t="shared" si="498"/>
        <v>1</v>
      </c>
      <c r="CJ214" s="232"/>
      <c r="CK214" s="499">
        <v>80</v>
      </c>
      <c r="CL214" s="500">
        <v>10</v>
      </c>
      <c r="CM214" s="491">
        <f t="shared" si="486"/>
        <v>10</v>
      </c>
      <c r="CN214" s="371"/>
      <c r="CO214" s="232">
        <f t="shared" si="487"/>
        <v>80</v>
      </c>
      <c r="CP214" s="232" t="str">
        <f t="shared" si="488"/>
        <v/>
      </c>
      <c r="CQ214" s="232" t="str">
        <f t="shared" si="489"/>
        <v/>
      </c>
      <c r="CR214" s="232">
        <f t="shared" si="499"/>
        <v>1</v>
      </c>
      <c r="CS214" s="232"/>
      <c r="CT214" s="371"/>
      <c r="CU214" s="300"/>
      <c r="CV214" s="246"/>
      <c r="CW214" s="264"/>
    </row>
    <row r="215" spans="1:101" x14ac:dyDescent="0.2">
      <c r="A215" s="264"/>
      <c r="B215" s="264"/>
      <c r="C215" s="202"/>
      <c r="D215" s="271">
        <v>10</v>
      </c>
      <c r="E215" s="169" t="s">
        <v>167</v>
      </c>
      <c r="F215" s="471">
        <v>3</v>
      </c>
      <c r="G215" s="478"/>
      <c r="H215" s="479">
        <v>2</v>
      </c>
      <c r="I215" s="170" t="str">
        <f t="shared" si="450"/>
        <v>x</v>
      </c>
      <c r="J215" s="387" t="str">
        <f t="shared" si="451"/>
        <v/>
      </c>
      <c r="K215" s="388" t="str">
        <f t="shared" si="452"/>
        <v/>
      </c>
      <c r="L215" s="299"/>
      <c r="M215" s="375"/>
      <c r="N215" s="379"/>
      <c r="O215" s="236"/>
      <c r="P215" s="236"/>
      <c r="Q215" s="492">
        <v>50</v>
      </c>
      <c r="R215" s="493">
        <v>30</v>
      </c>
      <c r="S215" s="494">
        <f t="shared" si="490"/>
        <v>20</v>
      </c>
      <c r="T215" s="371"/>
      <c r="U215" s="232">
        <f t="shared" si="453"/>
        <v>50</v>
      </c>
      <c r="V215" s="232" t="str">
        <f t="shared" si="454"/>
        <v/>
      </c>
      <c r="W215" s="232" t="str">
        <f t="shared" si="455"/>
        <v/>
      </c>
      <c r="X215" s="232">
        <f t="shared" si="491"/>
        <v>1</v>
      </c>
      <c r="Y215" s="371"/>
      <c r="Z215" s="495">
        <v>80</v>
      </c>
      <c r="AA215" s="496">
        <v>10</v>
      </c>
      <c r="AB215" s="494">
        <f t="shared" si="456"/>
        <v>10</v>
      </c>
      <c r="AC215" s="371"/>
      <c r="AD215" s="232">
        <f t="shared" si="457"/>
        <v>80</v>
      </c>
      <c r="AE215" s="232" t="str">
        <f t="shared" si="458"/>
        <v/>
      </c>
      <c r="AF215" s="232" t="str">
        <f t="shared" si="459"/>
        <v/>
      </c>
      <c r="AG215" s="232">
        <f t="shared" si="492"/>
        <v>1</v>
      </c>
      <c r="AH215" s="371"/>
      <c r="AI215" s="495">
        <v>60</v>
      </c>
      <c r="AJ215" s="496">
        <v>20</v>
      </c>
      <c r="AK215" s="494">
        <f t="shared" si="460"/>
        <v>20</v>
      </c>
      <c r="AL215" s="371"/>
      <c r="AM215" s="232">
        <f t="shared" si="461"/>
        <v>60</v>
      </c>
      <c r="AN215" s="232" t="str">
        <f t="shared" si="462"/>
        <v/>
      </c>
      <c r="AO215" s="232" t="str">
        <f t="shared" si="463"/>
        <v/>
      </c>
      <c r="AP215" s="232">
        <f t="shared" si="493"/>
        <v>1</v>
      </c>
      <c r="AQ215" s="371"/>
      <c r="AR215" s="495">
        <v>40</v>
      </c>
      <c r="AS215" s="496">
        <v>40</v>
      </c>
      <c r="AT215" s="494">
        <f t="shared" si="464"/>
        <v>20</v>
      </c>
      <c r="AU215" s="371"/>
      <c r="AV215" s="232">
        <f t="shared" si="465"/>
        <v>40</v>
      </c>
      <c r="AW215" s="232" t="str">
        <f t="shared" si="466"/>
        <v/>
      </c>
      <c r="AX215" s="232" t="str">
        <f t="shared" si="467"/>
        <v/>
      </c>
      <c r="AY215" s="232">
        <f t="shared" si="494"/>
        <v>1</v>
      </c>
      <c r="AZ215" s="371"/>
      <c r="BA215" s="495">
        <v>10</v>
      </c>
      <c r="BB215" s="496">
        <v>10</v>
      </c>
      <c r="BC215" s="494">
        <f t="shared" si="468"/>
        <v>80</v>
      </c>
      <c r="BD215" s="371"/>
      <c r="BE215" s="232">
        <f t="shared" si="469"/>
        <v>10</v>
      </c>
      <c r="BF215" s="232" t="str">
        <f t="shared" si="470"/>
        <v/>
      </c>
      <c r="BG215" s="232" t="str">
        <f t="shared" si="471"/>
        <v/>
      </c>
      <c r="BH215" s="232" t="str">
        <f t="shared" si="495"/>
        <v/>
      </c>
      <c r="BI215" s="371"/>
      <c r="BJ215" s="495">
        <v>60</v>
      </c>
      <c r="BK215" s="496">
        <v>20</v>
      </c>
      <c r="BL215" s="494">
        <f t="shared" si="472"/>
        <v>20</v>
      </c>
      <c r="BM215" s="371"/>
      <c r="BN215" s="232">
        <f t="shared" si="473"/>
        <v>60</v>
      </c>
      <c r="BO215" s="232" t="str">
        <f t="shared" si="474"/>
        <v/>
      </c>
      <c r="BP215" s="232" t="str">
        <f t="shared" si="475"/>
        <v/>
      </c>
      <c r="BQ215" s="232">
        <f t="shared" si="496"/>
        <v>1</v>
      </c>
      <c r="BR215" s="371"/>
      <c r="BS215" s="495">
        <v>50</v>
      </c>
      <c r="BT215" s="496">
        <v>30</v>
      </c>
      <c r="BU215" s="494">
        <f t="shared" si="476"/>
        <v>20</v>
      </c>
      <c r="BV215" s="371"/>
      <c r="BW215" s="232">
        <f t="shared" si="477"/>
        <v>50</v>
      </c>
      <c r="BX215" s="232" t="str">
        <f t="shared" si="478"/>
        <v/>
      </c>
      <c r="BY215" s="232" t="str">
        <f t="shared" si="479"/>
        <v/>
      </c>
      <c r="BZ215" s="232">
        <f t="shared" si="497"/>
        <v>1</v>
      </c>
      <c r="CA215" s="371"/>
      <c r="CB215" s="501">
        <f t="shared" si="480"/>
        <v>50</v>
      </c>
      <c r="CC215" s="502">
        <f t="shared" si="481"/>
        <v>20</v>
      </c>
      <c r="CD215" s="503">
        <f t="shared" si="482"/>
        <v>30</v>
      </c>
      <c r="CE215" s="371"/>
      <c r="CF215" s="232">
        <f t="shared" si="483"/>
        <v>50</v>
      </c>
      <c r="CG215" s="232" t="str">
        <f t="shared" si="484"/>
        <v/>
      </c>
      <c r="CH215" s="232" t="str">
        <f t="shared" si="485"/>
        <v/>
      </c>
      <c r="CI215" s="232">
        <f t="shared" si="498"/>
        <v>1</v>
      </c>
      <c r="CJ215" s="232"/>
      <c r="CK215" s="495">
        <v>40</v>
      </c>
      <c r="CL215" s="496">
        <v>30</v>
      </c>
      <c r="CM215" s="494">
        <f t="shared" si="486"/>
        <v>30</v>
      </c>
      <c r="CN215" s="371"/>
      <c r="CO215" s="232">
        <f t="shared" si="487"/>
        <v>40</v>
      </c>
      <c r="CP215" s="232" t="str">
        <f t="shared" si="488"/>
        <v/>
      </c>
      <c r="CQ215" s="232" t="str">
        <f t="shared" si="489"/>
        <v/>
      </c>
      <c r="CR215" s="232">
        <f t="shared" si="499"/>
        <v>1</v>
      </c>
      <c r="CS215" s="232"/>
      <c r="CT215" s="371"/>
      <c r="CU215" s="300"/>
      <c r="CV215" s="246"/>
      <c r="CW215" s="264"/>
    </row>
    <row r="216" spans="1:101" x14ac:dyDescent="0.2">
      <c r="A216" s="264"/>
      <c r="B216" s="264"/>
      <c r="C216" s="202"/>
      <c r="D216" s="271">
        <v>11</v>
      </c>
      <c r="E216" s="167" t="s">
        <v>168</v>
      </c>
      <c r="F216" s="469">
        <v>1</v>
      </c>
      <c r="G216" s="474"/>
      <c r="H216" s="475">
        <v>2</v>
      </c>
      <c r="I216" s="389" t="str">
        <f t="shared" si="450"/>
        <v/>
      </c>
      <c r="J216" s="390" t="str">
        <f t="shared" si="451"/>
        <v/>
      </c>
      <c r="K216" s="391" t="str">
        <f t="shared" si="452"/>
        <v>x</v>
      </c>
      <c r="L216" s="299"/>
      <c r="M216" s="375"/>
      <c r="N216" s="379"/>
      <c r="O216" s="236"/>
      <c r="P216" s="236"/>
      <c r="Q216" s="483">
        <v>20</v>
      </c>
      <c r="R216" s="484">
        <v>20</v>
      </c>
      <c r="S216" s="485">
        <f t="shared" si="490"/>
        <v>60</v>
      </c>
      <c r="T216" s="371"/>
      <c r="U216" s="232" t="str">
        <f t="shared" si="453"/>
        <v/>
      </c>
      <c r="V216" s="232" t="str">
        <f t="shared" si="454"/>
        <v/>
      </c>
      <c r="W216" s="232">
        <f t="shared" si="455"/>
        <v>60</v>
      </c>
      <c r="X216" s="232">
        <f t="shared" si="491"/>
        <v>1</v>
      </c>
      <c r="Y216" s="371"/>
      <c r="Z216" s="497">
        <v>10</v>
      </c>
      <c r="AA216" s="498">
        <v>10</v>
      </c>
      <c r="AB216" s="485">
        <f t="shared" si="456"/>
        <v>80</v>
      </c>
      <c r="AC216" s="371"/>
      <c r="AD216" s="232" t="str">
        <f t="shared" si="457"/>
        <v/>
      </c>
      <c r="AE216" s="232" t="str">
        <f t="shared" si="458"/>
        <v/>
      </c>
      <c r="AF216" s="232">
        <f t="shared" si="459"/>
        <v>80</v>
      </c>
      <c r="AG216" s="232">
        <f t="shared" si="492"/>
        <v>1</v>
      </c>
      <c r="AH216" s="371"/>
      <c r="AI216" s="497">
        <v>20</v>
      </c>
      <c r="AJ216" s="498">
        <v>30</v>
      </c>
      <c r="AK216" s="485">
        <f t="shared" si="460"/>
        <v>50</v>
      </c>
      <c r="AL216" s="371"/>
      <c r="AM216" s="232" t="str">
        <f t="shared" si="461"/>
        <v/>
      </c>
      <c r="AN216" s="232" t="str">
        <f t="shared" si="462"/>
        <v/>
      </c>
      <c r="AO216" s="232">
        <f t="shared" si="463"/>
        <v>50</v>
      </c>
      <c r="AP216" s="232">
        <f t="shared" si="493"/>
        <v>1</v>
      </c>
      <c r="AQ216" s="371"/>
      <c r="AR216" s="497">
        <v>10</v>
      </c>
      <c r="AS216" s="498">
        <v>10</v>
      </c>
      <c r="AT216" s="485">
        <f t="shared" si="464"/>
        <v>80</v>
      </c>
      <c r="AU216" s="371"/>
      <c r="AV216" s="232" t="str">
        <f t="shared" si="465"/>
        <v/>
      </c>
      <c r="AW216" s="232" t="str">
        <f t="shared" si="466"/>
        <v/>
      </c>
      <c r="AX216" s="232">
        <f t="shared" si="467"/>
        <v>80</v>
      </c>
      <c r="AY216" s="232">
        <f t="shared" si="494"/>
        <v>1</v>
      </c>
      <c r="AZ216" s="371"/>
      <c r="BA216" s="497">
        <v>10</v>
      </c>
      <c r="BB216" s="498">
        <v>10</v>
      </c>
      <c r="BC216" s="485">
        <f t="shared" si="468"/>
        <v>80</v>
      </c>
      <c r="BD216" s="371"/>
      <c r="BE216" s="232" t="str">
        <f t="shared" si="469"/>
        <v/>
      </c>
      <c r="BF216" s="232" t="str">
        <f t="shared" si="470"/>
        <v/>
      </c>
      <c r="BG216" s="232">
        <f t="shared" si="471"/>
        <v>80</v>
      </c>
      <c r="BH216" s="232">
        <f t="shared" si="495"/>
        <v>1</v>
      </c>
      <c r="BI216" s="371"/>
      <c r="BJ216" s="497">
        <v>10</v>
      </c>
      <c r="BK216" s="498">
        <v>10</v>
      </c>
      <c r="BL216" s="485">
        <f t="shared" si="472"/>
        <v>80</v>
      </c>
      <c r="BM216" s="371"/>
      <c r="BN216" s="232" t="str">
        <f t="shared" si="473"/>
        <v/>
      </c>
      <c r="BO216" s="232" t="str">
        <f t="shared" si="474"/>
        <v/>
      </c>
      <c r="BP216" s="232">
        <f t="shared" si="475"/>
        <v>80</v>
      </c>
      <c r="BQ216" s="232">
        <f t="shared" si="496"/>
        <v>1</v>
      </c>
      <c r="BR216" s="371"/>
      <c r="BS216" s="497">
        <v>30</v>
      </c>
      <c r="BT216" s="498">
        <v>20</v>
      </c>
      <c r="BU216" s="485">
        <f t="shared" si="476"/>
        <v>50</v>
      </c>
      <c r="BV216" s="371"/>
      <c r="BW216" s="232" t="str">
        <f t="shared" si="477"/>
        <v/>
      </c>
      <c r="BX216" s="232" t="str">
        <f t="shared" si="478"/>
        <v/>
      </c>
      <c r="BY216" s="232">
        <f t="shared" si="479"/>
        <v>50</v>
      </c>
      <c r="BZ216" s="232">
        <f t="shared" si="497"/>
        <v>1</v>
      </c>
      <c r="CA216" s="371"/>
      <c r="CB216" s="504">
        <f t="shared" si="480"/>
        <v>20</v>
      </c>
      <c r="CC216" s="505">
        <f t="shared" si="481"/>
        <v>10</v>
      </c>
      <c r="CD216" s="506">
        <f t="shared" si="482"/>
        <v>70</v>
      </c>
      <c r="CE216" s="371"/>
      <c r="CF216" s="232" t="str">
        <f t="shared" si="483"/>
        <v/>
      </c>
      <c r="CG216" s="232" t="str">
        <f t="shared" si="484"/>
        <v/>
      </c>
      <c r="CH216" s="232">
        <f t="shared" si="485"/>
        <v>70</v>
      </c>
      <c r="CI216" s="232">
        <f t="shared" si="498"/>
        <v>1</v>
      </c>
      <c r="CJ216" s="232"/>
      <c r="CK216" s="497">
        <v>10</v>
      </c>
      <c r="CL216" s="498">
        <v>10</v>
      </c>
      <c r="CM216" s="485">
        <f t="shared" si="486"/>
        <v>80</v>
      </c>
      <c r="CN216" s="371"/>
      <c r="CO216" s="232" t="str">
        <f t="shared" si="487"/>
        <v/>
      </c>
      <c r="CP216" s="232" t="str">
        <f t="shared" si="488"/>
        <v/>
      </c>
      <c r="CQ216" s="232">
        <f t="shared" si="489"/>
        <v>80</v>
      </c>
      <c r="CR216" s="232">
        <f t="shared" si="499"/>
        <v>1</v>
      </c>
      <c r="CS216" s="232"/>
      <c r="CT216" s="371"/>
      <c r="CU216" s="300"/>
      <c r="CV216" s="246"/>
      <c r="CW216" s="264"/>
    </row>
    <row r="217" spans="1:101" ht="13.5" thickBot="1" x14ac:dyDescent="0.25">
      <c r="A217" s="264"/>
      <c r="B217" s="264"/>
      <c r="C217" s="202"/>
      <c r="D217" s="271">
        <v>12</v>
      </c>
      <c r="E217" s="168" t="s">
        <v>169</v>
      </c>
      <c r="F217" s="470">
        <v>3</v>
      </c>
      <c r="G217" s="476"/>
      <c r="H217" s="477">
        <v>0</v>
      </c>
      <c r="I217" s="392" t="str">
        <f t="shared" si="450"/>
        <v>x</v>
      </c>
      <c r="J217" s="393" t="str">
        <f t="shared" si="451"/>
        <v/>
      </c>
      <c r="K217" s="394" t="str">
        <f t="shared" si="452"/>
        <v/>
      </c>
      <c r="L217" s="299"/>
      <c r="M217" s="375"/>
      <c r="N217" s="379"/>
      <c r="O217" s="236"/>
      <c r="P217" s="236"/>
      <c r="Q217" s="489">
        <v>70</v>
      </c>
      <c r="R217" s="490">
        <v>20</v>
      </c>
      <c r="S217" s="491">
        <f t="shared" si="490"/>
        <v>10</v>
      </c>
      <c r="T217" s="371"/>
      <c r="U217" s="232">
        <f t="shared" si="453"/>
        <v>70</v>
      </c>
      <c r="V217" s="232" t="str">
        <f t="shared" si="454"/>
        <v/>
      </c>
      <c r="W217" s="232" t="str">
        <f t="shared" si="455"/>
        <v/>
      </c>
      <c r="X217" s="232">
        <f t="shared" si="491"/>
        <v>1</v>
      </c>
      <c r="Y217" s="371"/>
      <c r="Z217" s="499">
        <v>80</v>
      </c>
      <c r="AA217" s="500">
        <v>10</v>
      </c>
      <c r="AB217" s="491">
        <f t="shared" si="456"/>
        <v>10</v>
      </c>
      <c r="AC217" s="371"/>
      <c r="AD217" s="232">
        <f t="shared" si="457"/>
        <v>80</v>
      </c>
      <c r="AE217" s="232" t="str">
        <f t="shared" si="458"/>
        <v/>
      </c>
      <c r="AF217" s="232" t="str">
        <f t="shared" si="459"/>
        <v/>
      </c>
      <c r="AG217" s="232">
        <f t="shared" si="492"/>
        <v>1</v>
      </c>
      <c r="AH217" s="371"/>
      <c r="AI217" s="499">
        <v>80</v>
      </c>
      <c r="AJ217" s="500">
        <v>10</v>
      </c>
      <c r="AK217" s="491">
        <f t="shared" si="460"/>
        <v>10</v>
      </c>
      <c r="AL217" s="371"/>
      <c r="AM217" s="232">
        <f t="shared" si="461"/>
        <v>80</v>
      </c>
      <c r="AN217" s="232" t="str">
        <f t="shared" si="462"/>
        <v/>
      </c>
      <c r="AO217" s="232" t="str">
        <f t="shared" si="463"/>
        <v/>
      </c>
      <c r="AP217" s="232">
        <f t="shared" si="493"/>
        <v>1</v>
      </c>
      <c r="AQ217" s="371"/>
      <c r="AR217" s="499">
        <v>80</v>
      </c>
      <c r="AS217" s="500">
        <v>10</v>
      </c>
      <c r="AT217" s="491">
        <f t="shared" si="464"/>
        <v>10</v>
      </c>
      <c r="AU217" s="371"/>
      <c r="AV217" s="232">
        <f t="shared" si="465"/>
        <v>80</v>
      </c>
      <c r="AW217" s="232" t="str">
        <f t="shared" si="466"/>
        <v/>
      </c>
      <c r="AX217" s="232" t="str">
        <f t="shared" si="467"/>
        <v/>
      </c>
      <c r="AY217" s="232">
        <f t="shared" si="494"/>
        <v>1</v>
      </c>
      <c r="AZ217" s="371"/>
      <c r="BA217" s="499">
        <v>80</v>
      </c>
      <c r="BB217" s="500">
        <v>10</v>
      </c>
      <c r="BC217" s="491">
        <f t="shared" si="468"/>
        <v>10</v>
      </c>
      <c r="BD217" s="371"/>
      <c r="BE217" s="232">
        <f t="shared" si="469"/>
        <v>80</v>
      </c>
      <c r="BF217" s="232" t="str">
        <f t="shared" si="470"/>
        <v/>
      </c>
      <c r="BG217" s="232" t="str">
        <f t="shared" si="471"/>
        <v/>
      </c>
      <c r="BH217" s="232">
        <f t="shared" si="495"/>
        <v>1</v>
      </c>
      <c r="BI217" s="371"/>
      <c r="BJ217" s="499">
        <v>80</v>
      </c>
      <c r="BK217" s="500">
        <v>10</v>
      </c>
      <c r="BL217" s="491">
        <f t="shared" si="472"/>
        <v>10</v>
      </c>
      <c r="BM217" s="371"/>
      <c r="BN217" s="232">
        <f t="shared" si="473"/>
        <v>80</v>
      </c>
      <c r="BO217" s="232" t="str">
        <f t="shared" si="474"/>
        <v/>
      </c>
      <c r="BP217" s="232" t="str">
        <f t="shared" si="475"/>
        <v/>
      </c>
      <c r="BQ217" s="232">
        <f t="shared" si="496"/>
        <v>1</v>
      </c>
      <c r="BR217" s="371"/>
      <c r="BS217" s="499">
        <v>70</v>
      </c>
      <c r="BT217" s="500">
        <v>20</v>
      </c>
      <c r="BU217" s="491">
        <f t="shared" si="476"/>
        <v>10</v>
      </c>
      <c r="BV217" s="371"/>
      <c r="BW217" s="232">
        <f t="shared" si="477"/>
        <v>70</v>
      </c>
      <c r="BX217" s="232" t="str">
        <f t="shared" si="478"/>
        <v/>
      </c>
      <c r="BY217" s="232" t="str">
        <f t="shared" si="479"/>
        <v/>
      </c>
      <c r="BZ217" s="232">
        <f t="shared" si="497"/>
        <v>1</v>
      </c>
      <c r="CA217" s="371"/>
      <c r="CB217" s="507">
        <f t="shared" si="480"/>
        <v>80</v>
      </c>
      <c r="CC217" s="508">
        <f t="shared" si="481"/>
        <v>10</v>
      </c>
      <c r="CD217" s="509">
        <f t="shared" si="482"/>
        <v>10</v>
      </c>
      <c r="CE217" s="371"/>
      <c r="CF217" s="232">
        <f t="shared" si="483"/>
        <v>80</v>
      </c>
      <c r="CG217" s="232" t="str">
        <f t="shared" si="484"/>
        <v/>
      </c>
      <c r="CH217" s="232" t="str">
        <f t="shared" si="485"/>
        <v/>
      </c>
      <c r="CI217" s="232">
        <f t="shared" si="498"/>
        <v>1</v>
      </c>
      <c r="CJ217" s="232"/>
      <c r="CK217" s="499">
        <v>80</v>
      </c>
      <c r="CL217" s="500">
        <v>10</v>
      </c>
      <c r="CM217" s="491">
        <f t="shared" si="486"/>
        <v>10</v>
      </c>
      <c r="CN217" s="371"/>
      <c r="CO217" s="232">
        <f t="shared" si="487"/>
        <v>80</v>
      </c>
      <c r="CP217" s="232" t="str">
        <f t="shared" si="488"/>
        <v/>
      </c>
      <c r="CQ217" s="232" t="str">
        <f t="shared" si="489"/>
        <v/>
      </c>
      <c r="CR217" s="232">
        <f t="shared" si="499"/>
        <v>1</v>
      </c>
      <c r="CS217" s="232"/>
      <c r="CT217" s="371"/>
      <c r="CU217" s="300"/>
      <c r="CV217" s="246"/>
      <c r="CW217" s="264"/>
    </row>
    <row r="218" spans="1:101" x14ac:dyDescent="0.2">
      <c r="A218" s="264"/>
      <c r="B218" s="264"/>
      <c r="C218" s="202"/>
      <c r="D218" s="272"/>
      <c r="E218" s="235"/>
      <c r="F218" s="395">
        <f>IF(SUM(F206:F217)=0,"",SUM(F206:F217))</f>
        <v>17</v>
      </c>
      <c r="G218" s="370" t="s">
        <v>49</v>
      </c>
      <c r="H218" s="396">
        <f>IF(SUM(H206:H217)=0,"",SUM(H206:H217))</f>
        <v>13</v>
      </c>
      <c r="I218" s="397">
        <f>IF(COUNTIF(I206:I217,"=x")=0,"",COUNTIF(I206:I217,"=x"))</f>
        <v>5</v>
      </c>
      <c r="J218" s="398">
        <f>IF(COUNTIF(J206:J217,"=x")=0,"",COUNTIF(J206:J217,"=x"))</f>
        <v>3</v>
      </c>
      <c r="K218" s="399">
        <f>IF(COUNTIF(K206:K217,"=x")=0,"",COUNTIF(K206:K217,"=x"))</f>
        <v>4</v>
      </c>
      <c r="L218" s="299"/>
      <c r="M218" s="375"/>
      <c r="N218" s="379"/>
      <c r="O218" s="236"/>
      <c r="P218" s="369"/>
      <c r="Q218" s="466">
        <f>SUM(U206:U217)</f>
        <v>310</v>
      </c>
      <c r="R218" s="466">
        <f>SUM(V206:V217)</f>
        <v>60</v>
      </c>
      <c r="S218" s="466">
        <f>SUM(W206:W217)</f>
        <v>180</v>
      </c>
      <c r="T218" s="368"/>
      <c r="U218" s="232"/>
      <c r="V218" s="232"/>
      <c r="W218" s="232"/>
      <c r="X218" s="232"/>
      <c r="Y218" s="367"/>
      <c r="Z218" s="466">
        <f>SUM(AD206:AD217)</f>
        <v>400</v>
      </c>
      <c r="AA218" s="466">
        <f>SUM(AE206:AE217)</f>
        <v>30</v>
      </c>
      <c r="AB218" s="466">
        <f>SUM(AF206:AF217)</f>
        <v>180</v>
      </c>
      <c r="AC218" s="368"/>
      <c r="AD218" s="232"/>
      <c r="AE218" s="232"/>
      <c r="AF218" s="232"/>
      <c r="AG218" s="232"/>
      <c r="AH218" s="367"/>
      <c r="AI218" s="466">
        <f>SUM(AM206:AM217)</f>
        <v>340</v>
      </c>
      <c r="AJ218" s="466">
        <f>SUM(AN206:AN217)</f>
        <v>60</v>
      </c>
      <c r="AK218" s="466">
        <f>SUM(AO206:AO217)</f>
        <v>150</v>
      </c>
      <c r="AL218" s="368"/>
      <c r="AM218" s="232"/>
      <c r="AN218" s="232"/>
      <c r="AO218" s="232"/>
      <c r="AP218" s="232"/>
      <c r="AQ218" s="367"/>
      <c r="AR218" s="466">
        <f>SUM(AV206:AV217)</f>
        <v>340</v>
      </c>
      <c r="AS218" s="466">
        <f>SUM(AW206:AW217)</f>
        <v>70</v>
      </c>
      <c r="AT218" s="466">
        <f>SUM(AX206:AX217)</f>
        <v>200</v>
      </c>
      <c r="AU218" s="368"/>
      <c r="AV218" s="232"/>
      <c r="AW218" s="232"/>
      <c r="AX218" s="232"/>
      <c r="AY218" s="232"/>
      <c r="AZ218" s="367"/>
      <c r="BA218" s="466">
        <f>SUM(BE206:BE217)</f>
        <v>330</v>
      </c>
      <c r="BB218" s="466">
        <f>SUM(BF206:BF217)</f>
        <v>30</v>
      </c>
      <c r="BC218" s="466">
        <f>SUM(BG206:BG217)</f>
        <v>250</v>
      </c>
      <c r="BD218" s="368"/>
      <c r="BE218" s="232"/>
      <c r="BF218" s="232"/>
      <c r="BG218" s="232"/>
      <c r="BH218" s="232"/>
      <c r="BI218" s="367"/>
      <c r="BJ218" s="466">
        <f>SUM(BN206:BN217)</f>
        <v>380</v>
      </c>
      <c r="BK218" s="466">
        <f>SUM(BO206:BO217)</f>
        <v>50</v>
      </c>
      <c r="BL218" s="466">
        <f>SUM(BP206:BP217)</f>
        <v>270</v>
      </c>
      <c r="BM218" s="368"/>
      <c r="BN218" s="232"/>
      <c r="BO218" s="232"/>
      <c r="BP218" s="232"/>
      <c r="BQ218" s="232"/>
      <c r="BR218" s="367"/>
      <c r="BS218" s="466">
        <f>SUM(BW206:BW217)</f>
        <v>310</v>
      </c>
      <c r="BT218" s="466">
        <f>SUM(BX206:BX217)</f>
        <v>80</v>
      </c>
      <c r="BU218" s="466">
        <f>SUM(BY206:BY217)</f>
        <v>150</v>
      </c>
      <c r="BV218" s="368"/>
      <c r="BW218" s="232"/>
      <c r="BX218" s="232"/>
      <c r="BY218" s="232"/>
      <c r="BZ218" s="232"/>
      <c r="CA218" s="369"/>
      <c r="CB218" s="466">
        <f>SUM(CF206:CF217)</f>
        <v>360</v>
      </c>
      <c r="CC218" s="466">
        <f>SUM(CG206:CG217)</f>
        <v>40</v>
      </c>
      <c r="CD218" s="466">
        <f>SUM(CH206:CH217)</f>
        <v>190</v>
      </c>
      <c r="CE218" s="368"/>
      <c r="CF218" s="232"/>
      <c r="CG218" s="232"/>
      <c r="CH218" s="232"/>
      <c r="CI218" s="232"/>
      <c r="CJ218" s="232"/>
      <c r="CK218" s="466">
        <f>SUM(CO206:CO217)</f>
        <v>360</v>
      </c>
      <c r="CL218" s="466">
        <f>SUM(CP206:CP217)</f>
        <v>40</v>
      </c>
      <c r="CM218" s="466">
        <f>SUM(CQ206:CQ217)</f>
        <v>190</v>
      </c>
      <c r="CN218" s="368"/>
      <c r="CO218" s="232"/>
      <c r="CP218" s="232"/>
      <c r="CQ218" s="232"/>
      <c r="CR218" s="232"/>
      <c r="CS218" s="232"/>
      <c r="CT218" s="232"/>
      <c r="CU218" s="300"/>
      <c r="CV218" s="246"/>
      <c r="CW218" s="265"/>
    </row>
    <row r="219" spans="1:101" ht="13.5" thickBot="1" x14ac:dyDescent="0.25">
      <c r="A219" s="264"/>
      <c r="B219" s="264"/>
      <c r="C219" s="202"/>
      <c r="D219" s="289"/>
      <c r="E219" s="282"/>
      <c r="F219" s="283"/>
      <c r="G219" s="282"/>
      <c r="H219" s="282"/>
      <c r="I219" s="282"/>
      <c r="J219" s="282"/>
      <c r="K219" s="282"/>
      <c r="L219" s="293"/>
      <c r="M219" s="301"/>
      <c r="N219" s="380"/>
      <c r="O219" s="376"/>
      <c r="P219" s="284"/>
      <c r="Q219" s="285"/>
      <c r="R219" s="285"/>
      <c r="S219" s="285"/>
      <c r="T219" s="286"/>
      <c r="U219" s="287"/>
      <c r="V219" s="287"/>
      <c r="W219" s="287"/>
      <c r="X219" s="287"/>
      <c r="Y219" s="284"/>
      <c r="Z219" s="285"/>
      <c r="AA219" s="285"/>
      <c r="AB219" s="285"/>
      <c r="AC219" s="286"/>
      <c r="AD219" s="287"/>
      <c r="AE219" s="287"/>
      <c r="AF219" s="287"/>
      <c r="AG219" s="288"/>
      <c r="AH219" s="284"/>
      <c r="AI219" s="285"/>
      <c r="AJ219" s="285"/>
      <c r="AK219" s="285"/>
      <c r="AL219" s="286"/>
      <c r="AM219" s="287"/>
      <c r="AN219" s="287"/>
      <c r="AO219" s="287"/>
      <c r="AP219" s="288"/>
      <c r="AQ219" s="284"/>
      <c r="AR219" s="285"/>
      <c r="AS219" s="285"/>
      <c r="AT219" s="285"/>
      <c r="AU219" s="286"/>
      <c r="AV219" s="287"/>
      <c r="AW219" s="287"/>
      <c r="AX219" s="287"/>
      <c r="AY219" s="288"/>
      <c r="AZ219" s="284"/>
      <c r="BA219" s="285"/>
      <c r="BB219" s="285"/>
      <c r="BC219" s="285"/>
      <c r="BD219" s="286"/>
      <c r="BE219" s="287"/>
      <c r="BF219" s="287"/>
      <c r="BG219" s="287"/>
      <c r="BH219" s="288"/>
      <c r="BI219" s="284"/>
      <c r="BJ219" s="284"/>
      <c r="BK219" s="284"/>
      <c r="BL219" s="284"/>
      <c r="BM219" s="284"/>
      <c r="BN219" s="284"/>
      <c r="BO219" s="284"/>
      <c r="BP219" s="284"/>
      <c r="BQ219" s="284"/>
      <c r="BR219" s="284"/>
      <c r="BS219" s="284"/>
      <c r="BT219" s="284"/>
      <c r="BU219" s="284"/>
      <c r="BV219" s="284"/>
      <c r="BW219" s="284"/>
      <c r="BX219" s="284"/>
      <c r="BY219" s="284"/>
      <c r="BZ219" s="284"/>
      <c r="CA219" s="284"/>
      <c r="CB219" s="284"/>
      <c r="CC219" s="284"/>
      <c r="CD219" s="284"/>
      <c r="CE219" s="284"/>
      <c r="CF219" s="284"/>
      <c r="CG219" s="284"/>
      <c r="CH219" s="284"/>
      <c r="CI219" s="284"/>
      <c r="CJ219" s="288"/>
      <c r="CK219" s="288"/>
      <c r="CL219" s="288"/>
      <c r="CM219" s="288"/>
      <c r="CN219" s="288"/>
      <c r="CO219" s="288"/>
      <c r="CP219" s="288"/>
      <c r="CQ219" s="288"/>
      <c r="CR219" s="288"/>
      <c r="CS219" s="288"/>
      <c r="CT219" s="282"/>
      <c r="CU219" s="294"/>
      <c r="CV219" s="246"/>
      <c r="CW219" s="265"/>
    </row>
    <row r="220" spans="1:101" ht="14.25" thickTop="1" thickBot="1" x14ac:dyDescent="0.25">
      <c r="A220" s="256"/>
      <c r="B220" s="256"/>
      <c r="C220" s="210"/>
      <c r="D220" s="211"/>
      <c r="E220" s="247"/>
      <c r="F220" s="248"/>
      <c r="G220" s="247"/>
      <c r="H220" s="247"/>
      <c r="I220" s="247"/>
      <c r="J220" s="247"/>
      <c r="K220" s="247"/>
      <c r="L220" s="249"/>
      <c r="M220" s="250"/>
      <c r="N220" s="250"/>
      <c r="O220" s="250"/>
      <c r="P220" s="250"/>
      <c r="Q220" s="247"/>
      <c r="R220" s="247"/>
      <c r="S220" s="247"/>
      <c r="T220" s="251"/>
      <c r="U220" s="252"/>
      <c r="V220" s="252"/>
      <c r="W220" s="252"/>
      <c r="X220" s="252"/>
      <c r="Y220" s="250"/>
      <c r="Z220" s="247"/>
      <c r="AA220" s="247"/>
      <c r="AB220" s="247"/>
      <c r="AC220" s="251"/>
      <c r="AD220" s="252"/>
      <c r="AE220" s="252"/>
      <c r="AF220" s="252"/>
      <c r="AG220" s="247"/>
      <c r="AH220" s="250"/>
      <c r="AI220" s="247"/>
      <c r="AJ220" s="247"/>
      <c r="AK220" s="247"/>
      <c r="AL220" s="251"/>
      <c r="AM220" s="252"/>
      <c r="AN220" s="252"/>
      <c r="AO220" s="252"/>
      <c r="AP220" s="253"/>
      <c r="AQ220" s="250"/>
      <c r="AR220" s="247"/>
      <c r="AS220" s="247"/>
      <c r="AT220" s="247"/>
      <c r="AU220" s="251"/>
      <c r="AV220" s="252"/>
      <c r="AW220" s="252"/>
      <c r="AX220" s="252"/>
      <c r="AY220" s="247"/>
      <c r="AZ220" s="250"/>
      <c r="BA220" s="247"/>
      <c r="BB220" s="247"/>
      <c r="BC220" s="247"/>
      <c r="BD220" s="251"/>
      <c r="BE220" s="252"/>
      <c r="BF220" s="252"/>
      <c r="BG220" s="252"/>
      <c r="BH220" s="247"/>
      <c r="BI220" s="250"/>
      <c r="BJ220" s="247"/>
      <c r="BK220" s="247"/>
      <c r="BL220" s="247"/>
      <c r="BM220" s="251"/>
      <c r="BN220" s="252"/>
      <c r="BO220" s="252"/>
      <c r="BP220" s="252"/>
      <c r="BQ220" s="247"/>
      <c r="BR220" s="212"/>
      <c r="BS220" s="247"/>
      <c r="BT220" s="247"/>
      <c r="BU220" s="247"/>
      <c r="BV220" s="250"/>
      <c r="BW220" s="252"/>
      <c r="BX220" s="252"/>
      <c r="BY220" s="252"/>
      <c r="BZ220" s="247"/>
      <c r="CA220" s="247"/>
      <c r="CB220" s="253"/>
      <c r="CC220" s="253"/>
      <c r="CD220" s="253"/>
      <c r="CE220" s="253"/>
      <c r="CF220" s="247"/>
      <c r="CG220" s="247"/>
      <c r="CH220" s="247"/>
      <c r="CI220" s="247"/>
      <c r="CJ220" s="247"/>
      <c r="CK220" s="247"/>
      <c r="CL220" s="247"/>
      <c r="CM220" s="247"/>
      <c r="CN220" s="247"/>
      <c r="CO220" s="247"/>
      <c r="CP220" s="247"/>
      <c r="CQ220" s="247"/>
      <c r="CR220" s="247"/>
      <c r="CS220" s="247"/>
      <c r="CT220" s="247"/>
      <c r="CU220" s="247"/>
      <c r="CV220" s="254"/>
      <c r="CW220" s="255"/>
    </row>
    <row r="221" spans="1:101" ht="14.25" thickTop="1" thickBot="1" x14ac:dyDescent="0.25">
      <c r="A221" s="255"/>
      <c r="B221" s="255"/>
      <c r="C221" s="255"/>
      <c r="D221" s="255"/>
      <c r="E221" s="255"/>
      <c r="F221" s="255"/>
      <c r="G221" s="255"/>
      <c r="H221" s="255"/>
      <c r="I221" s="255"/>
      <c r="J221" s="255"/>
      <c r="K221" s="255"/>
      <c r="L221" s="255"/>
      <c r="M221" s="255"/>
      <c r="N221" s="255"/>
      <c r="O221" s="255"/>
      <c r="P221" s="255"/>
      <c r="Q221" s="255"/>
      <c r="R221" s="255"/>
      <c r="S221" s="255"/>
      <c r="T221" s="255"/>
      <c r="U221" s="255"/>
      <c r="V221" s="255"/>
      <c r="W221" s="255"/>
      <c r="X221" s="255"/>
      <c r="Y221" s="255"/>
      <c r="Z221" s="255"/>
      <c r="AA221" s="255"/>
      <c r="AB221" s="255"/>
      <c r="AC221" s="255"/>
      <c r="AD221" s="255"/>
      <c r="AE221" s="255"/>
      <c r="AF221" s="255"/>
      <c r="AG221" s="255"/>
      <c r="AH221" s="255"/>
      <c r="AI221" s="255"/>
      <c r="AJ221" s="255"/>
      <c r="AK221" s="255"/>
      <c r="AL221" s="255"/>
      <c r="AM221" s="255"/>
      <c r="AN221" s="255"/>
      <c r="AO221" s="255"/>
      <c r="AP221" s="255"/>
      <c r="AQ221" s="255"/>
      <c r="AR221" s="255"/>
      <c r="AS221" s="255"/>
      <c r="AT221" s="255"/>
      <c r="AU221" s="255"/>
      <c r="AV221" s="255"/>
      <c r="AW221" s="255"/>
      <c r="AX221" s="255"/>
      <c r="AY221" s="255"/>
      <c r="AZ221" s="255"/>
      <c r="BA221" s="255"/>
      <c r="BB221" s="255"/>
      <c r="BC221" s="255"/>
      <c r="BD221" s="255"/>
      <c r="BE221" s="255"/>
      <c r="BF221" s="255"/>
      <c r="BG221" s="255"/>
      <c r="BH221" s="255"/>
      <c r="BI221" s="255"/>
      <c r="BJ221" s="255"/>
      <c r="BK221" s="255"/>
      <c r="BL221" s="255"/>
      <c r="BM221" s="255"/>
      <c r="BN221" s="255"/>
      <c r="BO221" s="255"/>
      <c r="BP221" s="255"/>
      <c r="BQ221" s="255"/>
      <c r="BR221" s="255"/>
      <c r="BS221" s="255"/>
      <c r="BT221" s="255"/>
      <c r="BU221" s="255"/>
      <c r="BV221" s="255"/>
      <c r="BW221" s="255"/>
      <c r="BX221" s="255"/>
      <c r="BY221" s="255"/>
      <c r="BZ221" s="255"/>
      <c r="CA221" s="255"/>
      <c r="CB221" s="436"/>
      <c r="CC221" s="436"/>
      <c r="CD221" s="436"/>
      <c r="CE221" s="436"/>
      <c r="CF221" s="255"/>
      <c r="CG221" s="255"/>
      <c r="CH221" s="255"/>
      <c r="CI221" s="255"/>
      <c r="CJ221" s="255"/>
      <c r="CK221" s="255"/>
      <c r="CL221" s="255"/>
      <c r="CM221" s="255"/>
      <c r="CN221" s="255"/>
      <c r="CO221" s="255"/>
      <c r="CP221" s="255"/>
      <c r="CQ221" s="255"/>
      <c r="CR221" s="255"/>
      <c r="CS221" s="255"/>
      <c r="CT221" s="255"/>
      <c r="CU221" s="255"/>
      <c r="CV221" s="255"/>
      <c r="CW221" s="255"/>
    </row>
    <row r="222" spans="1:101" ht="21" thickTop="1" x14ac:dyDescent="0.3">
      <c r="A222" s="256"/>
      <c r="B222" s="256"/>
      <c r="C222" s="190"/>
      <c r="D222" s="191"/>
      <c r="E222" s="865" t="str">
        <f>$E$2</f>
        <v>STPS 2026</v>
      </c>
      <c r="F222" s="267"/>
      <c r="G222" s="267"/>
      <c r="H222" s="267"/>
      <c r="I222" s="192"/>
      <c r="J222" s="192"/>
      <c r="K222" s="192"/>
      <c r="L222" s="193"/>
      <c r="M222" s="192"/>
      <c r="N222" s="192"/>
      <c r="O222" s="192"/>
      <c r="P222" s="194"/>
      <c r="Q222" s="192"/>
      <c r="R222" s="192"/>
      <c r="S222" s="192"/>
      <c r="T222" s="195"/>
      <c r="U222" s="196"/>
      <c r="V222" s="196"/>
      <c r="W222" s="196"/>
      <c r="X222" s="196"/>
      <c r="Y222" s="194"/>
      <c r="Z222" s="192"/>
      <c r="AA222" s="192"/>
      <c r="AB222" s="192"/>
      <c r="AC222" s="195"/>
      <c r="AD222" s="196"/>
      <c r="AE222" s="196"/>
      <c r="AF222" s="196"/>
      <c r="AG222" s="197"/>
      <c r="AH222" s="194"/>
      <c r="AI222" s="192"/>
      <c r="AJ222" s="237"/>
      <c r="AK222" s="237"/>
      <c r="AL222" s="198"/>
      <c r="AM222" s="238"/>
      <c r="AN222" s="238"/>
      <c r="AO222" s="238"/>
      <c r="AP222" s="197"/>
      <c r="AQ222" s="239"/>
      <c r="AR222" s="240"/>
      <c r="AS222" s="199"/>
      <c r="AT222" s="200"/>
      <c r="AU222" s="198"/>
      <c r="AV222" s="196"/>
      <c r="AW222" s="196"/>
      <c r="AX222" s="196"/>
      <c r="AY222" s="197"/>
      <c r="AZ222" s="239"/>
      <c r="BA222" s="240"/>
      <c r="BB222" s="200"/>
      <c r="BC222" s="237"/>
      <c r="BD222" s="241"/>
      <c r="BE222" s="196"/>
      <c r="BF222" s="196"/>
      <c r="BG222" s="196"/>
      <c r="BH222" s="197"/>
      <c r="BI222" s="242"/>
      <c r="BJ222" s="237"/>
      <c r="BK222" s="237"/>
      <c r="BL222" s="237"/>
      <c r="BM222" s="241"/>
      <c r="BN222" s="196"/>
      <c r="BO222" s="196"/>
      <c r="BP222" s="196"/>
      <c r="BQ222" s="197"/>
      <c r="BR222" s="201"/>
      <c r="BS222" s="237"/>
      <c r="BT222" s="237"/>
      <c r="BU222" s="237"/>
      <c r="BV222" s="242"/>
      <c r="BW222" s="237"/>
      <c r="BX222" s="237"/>
      <c r="BY222" s="237"/>
      <c r="BZ222" s="237"/>
      <c r="CA222" s="237"/>
      <c r="CB222" s="437"/>
      <c r="CC222" s="437"/>
      <c r="CD222" s="437"/>
      <c r="CE222" s="437"/>
      <c r="CF222" s="237"/>
      <c r="CG222" s="237"/>
      <c r="CH222" s="237"/>
      <c r="CI222" s="237"/>
      <c r="CJ222" s="197"/>
      <c r="CK222" s="197"/>
      <c r="CL222" s="197"/>
      <c r="CM222" s="197"/>
      <c r="CN222" s="197"/>
      <c r="CO222" s="197"/>
      <c r="CP222" s="197"/>
      <c r="CQ222" s="197"/>
      <c r="CR222" s="197"/>
      <c r="CS222" s="197"/>
      <c r="CT222" s="401"/>
      <c r="CU222" s="237"/>
      <c r="CV222" s="243"/>
      <c r="CW222" s="255"/>
    </row>
    <row r="223" spans="1:101" ht="13.5" thickBot="1" x14ac:dyDescent="0.25">
      <c r="A223" s="256"/>
      <c r="B223" s="256"/>
      <c r="C223" s="202"/>
      <c r="D223" s="188"/>
      <c r="E223" s="266" t="str">
        <f>E3</f>
        <v>Skorgen Tippelag</v>
      </c>
      <c r="F223" s="406"/>
      <c r="G223" s="406"/>
      <c r="H223" s="406"/>
      <c r="I223" s="406"/>
      <c r="J223" s="406"/>
      <c r="K223" s="406"/>
      <c r="L223" s="406"/>
      <c r="M223" s="406"/>
      <c r="N223" s="406"/>
      <c r="O223" s="406"/>
      <c r="P223" s="406"/>
      <c r="Q223" s="406"/>
      <c r="R223" s="406"/>
      <c r="S223" s="406"/>
      <c r="T223" s="406"/>
      <c r="U223" s="406"/>
      <c r="V223" s="406"/>
      <c r="W223" s="406"/>
      <c r="X223" s="406"/>
      <c r="Y223" s="406"/>
      <c r="Z223" s="406"/>
      <c r="AA223" s="406"/>
      <c r="AB223" s="406"/>
      <c r="AC223" s="406"/>
      <c r="AD223" s="406"/>
      <c r="AE223" s="406"/>
      <c r="AF223" s="406"/>
      <c r="AG223" s="406"/>
      <c r="AH223" s="406"/>
      <c r="AI223" s="406"/>
      <c r="AJ223" s="406"/>
      <c r="AK223" s="406"/>
      <c r="AL223" s="406"/>
      <c r="AM223" s="406"/>
      <c r="AN223" s="406"/>
      <c r="AO223" s="406"/>
      <c r="AP223" s="406"/>
      <c r="AQ223" s="406"/>
      <c r="AR223" s="406"/>
      <c r="AS223" s="406"/>
      <c r="AT223" s="406"/>
      <c r="AU223" s="406"/>
      <c r="AV223" s="406"/>
      <c r="AW223" s="406"/>
      <c r="AX223" s="406"/>
      <c r="AY223" s="406"/>
      <c r="AZ223" s="406"/>
      <c r="BA223" s="406"/>
      <c r="BB223" s="406"/>
      <c r="BC223" s="406"/>
      <c r="BD223" s="406"/>
      <c r="BE223" s="406"/>
      <c r="BF223" s="406"/>
      <c r="BG223" s="406"/>
      <c r="BH223" s="406"/>
      <c r="BI223" s="406"/>
      <c r="BJ223" s="406"/>
      <c r="BK223" s="406"/>
      <c r="BL223" s="406"/>
      <c r="BM223" s="406"/>
      <c r="BN223" s="406"/>
      <c r="BO223" s="406"/>
      <c r="BP223" s="406"/>
      <c r="BQ223" s="406"/>
      <c r="BR223" s="406"/>
      <c r="BS223" s="406"/>
      <c r="BT223" s="406"/>
      <c r="BU223" s="406"/>
      <c r="BV223" s="406"/>
      <c r="BW223" s="406"/>
      <c r="BX223" s="406"/>
      <c r="BY223" s="406"/>
      <c r="BZ223" s="406"/>
      <c r="CA223" s="406"/>
      <c r="CB223" s="438"/>
      <c r="CC223" s="438"/>
      <c r="CD223" s="438"/>
      <c r="CE223" s="438"/>
      <c r="CF223" s="406"/>
      <c r="CG223" s="406"/>
      <c r="CH223" s="406"/>
      <c r="CI223" s="406"/>
      <c r="CJ223" s="406"/>
      <c r="CK223" s="406"/>
      <c r="CL223" s="406"/>
      <c r="CM223" s="406"/>
      <c r="CN223" s="366"/>
      <c r="CO223" s="366"/>
      <c r="CP223" s="366"/>
      <c r="CQ223" s="366"/>
      <c r="CR223" s="366"/>
      <c r="CS223" s="366"/>
      <c r="CT223" s="187"/>
      <c r="CU223" s="310"/>
      <c r="CV223" s="246"/>
      <c r="CW223" s="255"/>
    </row>
    <row r="224" spans="1:101" ht="18.75" thickTop="1" x14ac:dyDescent="0.2">
      <c r="A224" s="256"/>
      <c r="B224" s="256"/>
      <c r="C224" s="209"/>
      <c r="D224" s="290"/>
      <c r="E224" s="273"/>
      <c r="F224" s="274"/>
      <c r="G224" s="273"/>
      <c r="H224" s="273"/>
      <c r="I224" s="803" t="s">
        <v>39</v>
      </c>
      <c r="J224" s="805"/>
      <c r="K224" s="805"/>
      <c r="L224" s="291"/>
      <c r="M224" s="302"/>
      <c r="N224" s="242"/>
      <c r="O224" s="275"/>
      <c r="P224" s="275"/>
      <c r="Q224" s="808">
        <f>IF($F228="","",SUM(Q240:S240)-S226)</f>
        <v>550</v>
      </c>
      <c r="R224" s="808"/>
      <c r="S224" s="808"/>
      <c r="T224" s="276"/>
      <c r="U224" s="277"/>
      <c r="V224" s="277"/>
      <c r="W224" s="277"/>
      <c r="X224" s="277"/>
      <c r="Y224" s="275"/>
      <c r="Z224" s="808">
        <f>IF($F228="","",SUM(Z240:AB240)-AB226)</f>
        <v>540</v>
      </c>
      <c r="AA224" s="808"/>
      <c r="AB224" s="808"/>
      <c r="AC224" s="276"/>
      <c r="AD224" s="277"/>
      <c r="AE224" s="277"/>
      <c r="AF224" s="277"/>
      <c r="AG224" s="273"/>
      <c r="AH224" s="275"/>
      <c r="AI224" s="808">
        <f>IF($F228="","",SUM(AI240:AK240)-AK226)</f>
        <v>510</v>
      </c>
      <c r="AJ224" s="808"/>
      <c r="AK224" s="808"/>
      <c r="AL224" s="276"/>
      <c r="AM224" s="277"/>
      <c r="AN224" s="277"/>
      <c r="AO224" s="277"/>
      <c r="AP224" s="273"/>
      <c r="AQ224" s="275"/>
      <c r="AR224" s="808">
        <f>IF($F228="","",SUM(AR240:AT240)-AT226)</f>
        <v>580</v>
      </c>
      <c r="AS224" s="808"/>
      <c r="AT224" s="808"/>
      <c r="AU224" s="278"/>
      <c r="AV224" s="277"/>
      <c r="AW224" s="277"/>
      <c r="AX224" s="277"/>
      <c r="AY224" s="279"/>
      <c r="AZ224" s="280"/>
      <c r="BA224" s="808">
        <f>IF($F228="","",SUM(BA240:BC240)-BC226)</f>
        <v>610</v>
      </c>
      <c r="BB224" s="808"/>
      <c r="BC224" s="808"/>
      <c r="BD224" s="278"/>
      <c r="BE224" s="277"/>
      <c r="BF224" s="277"/>
      <c r="BG224" s="277"/>
      <c r="BH224" s="279"/>
      <c r="BI224" s="280"/>
      <c r="BJ224" s="808">
        <f>IF($F228="","",SUM(BJ240:BL240)-BL226)</f>
        <v>520</v>
      </c>
      <c r="BK224" s="808"/>
      <c r="BL224" s="808"/>
      <c r="BM224" s="278"/>
      <c r="BN224" s="277"/>
      <c r="BO224" s="277"/>
      <c r="BP224" s="277"/>
      <c r="BQ224" s="279"/>
      <c r="BR224" s="281"/>
      <c r="BS224" s="808">
        <f>IF($F228="","",SUM(BS240:BU240)-BU226)</f>
        <v>510</v>
      </c>
      <c r="BT224" s="808"/>
      <c r="BU224" s="808"/>
      <c r="BV224" s="280"/>
      <c r="BW224" s="279"/>
      <c r="BX224" s="279"/>
      <c r="BY224" s="279"/>
      <c r="BZ224" s="279"/>
      <c r="CA224" s="281"/>
      <c r="CB224" s="808">
        <f>IF($F228="","",SUM(CB240:CD240)-CD226)</f>
        <v>570</v>
      </c>
      <c r="CC224" s="808"/>
      <c r="CD224" s="808"/>
      <c r="CE224" s="280"/>
      <c r="CF224" s="279"/>
      <c r="CG224" s="279"/>
      <c r="CH224" s="279"/>
      <c r="CI224" s="279"/>
      <c r="CJ224" s="273"/>
      <c r="CK224" s="808">
        <f>IF($F228="","",SUM(CK240:CM240))</f>
        <v>610</v>
      </c>
      <c r="CL224" s="808"/>
      <c r="CM224" s="808"/>
      <c r="CN224" s="280"/>
      <c r="CO224" s="279"/>
      <c r="CP224" s="279"/>
      <c r="CQ224" s="279"/>
      <c r="CR224" s="273"/>
      <c r="CS224" s="273"/>
      <c r="CT224" s="273"/>
      <c r="CU224" s="292"/>
      <c r="CV224" s="246"/>
      <c r="CW224" s="255"/>
    </row>
    <row r="225" spans="1:101" x14ac:dyDescent="0.2">
      <c r="A225" s="256"/>
      <c r="B225" s="256"/>
      <c r="C225" s="209"/>
      <c r="D225" s="916">
        <v>46</v>
      </c>
      <c r="E225" s="588">
        <f>IF(D225="","",DATE($D$4,1,1)+(D225-1)*7+(6-WEEKDAY(DATE($D$4,1,1),2)))</f>
        <v>45976</v>
      </c>
      <c r="F225" s="213"/>
      <c r="G225" s="214"/>
      <c r="H225" s="214"/>
      <c r="I225" s="804">
        <f>IF(ISERROR(AVERAGE(Q224,Z224,AI224,AR224,BA224,BJ224,BS224,CB224,CK224)),"",AVERAGE(Q224,Z224,AI224,AR224,BA224,BJ224,BS224,CB224,CK224))</f>
        <v>555.55555555555554</v>
      </c>
      <c r="J225" s="806"/>
      <c r="K225" s="806"/>
      <c r="L225" s="295"/>
      <c r="M225" s="372"/>
      <c r="N225" s="245"/>
      <c r="O225" s="215"/>
      <c r="P225" s="215"/>
      <c r="Q225" s="710">
        <f>IF(Q224="","",Q224/Data!$X$1)</f>
        <v>0.45833333333333331</v>
      </c>
      <c r="R225" s="710"/>
      <c r="S225" s="711">
        <f>IF(SUM(X228:X239)=0,"",SUM(X228:X239))</f>
        <v>6</v>
      </c>
      <c r="T225" s="216"/>
      <c r="U225" s="217"/>
      <c r="V225" s="217"/>
      <c r="W225" s="217"/>
      <c r="X225" s="217"/>
      <c r="Y225" s="215"/>
      <c r="Z225" s="710">
        <f>IF(Z224="","",Z224/Data!$X$1)</f>
        <v>0.45</v>
      </c>
      <c r="AA225" s="710"/>
      <c r="AB225" s="711">
        <f>IF(SUM(AG228:AG239)=0,"",SUM(AG228:AG239))</f>
        <v>6</v>
      </c>
      <c r="AC225" s="216"/>
      <c r="AD225" s="217"/>
      <c r="AE225" s="217"/>
      <c r="AF225" s="217"/>
      <c r="AG225" s="217"/>
      <c r="AH225" s="215"/>
      <c r="AI225" s="710">
        <f>IF(AI224="","",AI224/Data!$X$1)</f>
        <v>0.42499999999999999</v>
      </c>
      <c r="AJ225" s="710"/>
      <c r="AK225" s="711">
        <f>IF(SUM(AP228:AP239)=0,"",SUM(AP228:AP239))</f>
        <v>8</v>
      </c>
      <c r="AL225" s="216"/>
      <c r="AM225" s="217"/>
      <c r="AN225" s="217"/>
      <c r="AO225" s="217"/>
      <c r="AP225" s="217"/>
      <c r="AQ225" s="215"/>
      <c r="AR225" s="710">
        <f>IF(AR224="","",AR224/Data!$X$1)</f>
        <v>0.48333333333333334</v>
      </c>
      <c r="AS225" s="710"/>
      <c r="AT225" s="711">
        <f>IF(SUM(AY228:AY239)=0,"",SUM(AY228:AY239))</f>
        <v>6</v>
      </c>
      <c r="AU225" s="218"/>
      <c r="AV225" s="217"/>
      <c r="AW225" s="217"/>
      <c r="AX225" s="217"/>
      <c r="AY225" s="217"/>
      <c r="AZ225" s="219"/>
      <c r="BA225" s="710">
        <f>IF(BA224="","",BA224/Data!$X$1)</f>
        <v>0.5083333333333333</v>
      </c>
      <c r="BB225" s="710"/>
      <c r="BC225" s="711">
        <f>IF(SUM(BH228:BH239)=0,"",SUM(BH228:BH239))</f>
        <v>7</v>
      </c>
      <c r="BD225" s="218"/>
      <c r="BE225" s="217"/>
      <c r="BF225" s="217"/>
      <c r="BG225" s="217"/>
      <c r="BH225" s="217"/>
      <c r="BI225" s="219"/>
      <c r="BJ225" s="710">
        <f>IF(BJ224="","",BJ224/Data!$X$1)</f>
        <v>0.43333333333333335</v>
      </c>
      <c r="BK225" s="710"/>
      <c r="BL225" s="711">
        <f>IF(SUM(BQ228:BQ239)=0,"",SUM(BQ228:BQ239))</f>
        <v>6</v>
      </c>
      <c r="BM225" s="218"/>
      <c r="BN225" s="217"/>
      <c r="BO225" s="217"/>
      <c r="BP225" s="217"/>
      <c r="BQ225" s="217"/>
      <c r="BR225" s="220"/>
      <c r="BS225" s="710">
        <f>IF(BS224="","",BS224/Data!$X$1)</f>
        <v>0.42499999999999999</v>
      </c>
      <c r="BT225" s="710"/>
      <c r="BU225" s="711">
        <f>IF(SUM(BZ228:BZ239)=0,"",SUM(BZ228:BZ239))</f>
        <v>6</v>
      </c>
      <c r="BV225" s="219"/>
      <c r="BW225" s="217"/>
      <c r="BX225" s="217"/>
      <c r="BY225" s="217"/>
      <c r="BZ225" s="217"/>
      <c r="CA225" s="220"/>
      <c r="CB225" s="710">
        <f>IF(CB224="","",CB224/Data!$X$1)</f>
        <v>0.47499999999999998</v>
      </c>
      <c r="CC225" s="710"/>
      <c r="CD225" s="711">
        <f>IF(SUM(CI228:CI239)=0,"",SUM(CI228:CI239))</f>
        <v>7</v>
      </c>
      <c r="CE225" s="219"/>
      <c r="CF225" s="217"/>
      <c r="CG225" s="217"/>
      <c r="CH225" s="217"/>
      <c r="CI225" s="217"/>
      <c r="CJ225" s="217"/>
      <c r="CK225" s="710">
        <f>IF(CK224="","",CK224/Data!$X$1)</f>
        <v>0.5083333333333333</v>
      </c>
      <c r="CL225" s="710"/>
      <c r="CM225" s="711">
        <f>IF(SUM(CR228:CR239)=0,"",SUM(CR228:CR239))</f>
        <v>8</v>
      </c>
      <c r="CN225" s="219"/>
      <c r="CO225" s="217"/>
      <c r="CP225" s="217"/>
      <c r="CQ225" s="217"/>
      <c r="CR225" s="217"/>
      <c r="CS225" s="217"/>
      <c r="CT225" s="217"/>
      <c r="CU225" s="296"/>
      <c r="CV225" s="246"/>
      <c r="CW225" s="255"/>
    </row>
    <row r="226" spans="1:101" ht="13.5" thickBot="1" x14ac:dyDescent="0.25">
      <c r="A226" s="256"/>
      <c r="B226" s="256"/>
      <c r="C226" s="209"/>
      <c r="D226" s="269">
        <f>D204+1</f>
        <v>11</v>
      </c>
      <c r="E226" s="402" t="s">
        <v>61</v>
      </c>
      <c r="F226" s="221"/>
      <c r="G226" s="222"/>
      <c r="H226" s="222"/>
      <c r="I226" s="802"/>
      <c r="J226" s="807"/>
      <c r="K226" s="807"/>
      <c r="L226" s="297"/>
      <c r="M226" s="373"/>
      <c r="N226" s="377"/>
      <c r="O226" s="222"/>
      <c r="P226" s="222"/>
      <c r="Q226" s="385" t="str">
        <f>Data!$E$11</f>
        <v>AHH</v>
      </c>
      <c r="R226" s="386">
        <f>IF($F239="","",RANK(Q224,$Q224:$CL224))</f>
        <v>5</v>
      </c>
      <c r="S226" s="510"/>
      <c r="T226" s="216">
        <v>0</v>
      </c>
      <c r="U226" s="217"/>
      <c r="V226" s="217"/>
      <c r="W226" s="217"/>
      <c r="X226" s="217"/>
      <c r="Y226" s="215"/>
      <c r="Z226" s="385" t="str">
        <f>Data!$E$12</f>
        <v>RB</v>
      </c>
      <c r="AA226" s="386">
        <f>IF($F239="","",RANK(Z224,$Q224:$CL224))</f>
        <v>6</v>
      </c>
      <c r="AB226" s="510"/>
      <c r="AC226" s="216"/>
      <c r="AD226" s="217"/>
      <c r="AE226" s="217"/>
      <c r="AF226" s="217"/>
      <c r="AG226" s="217"/>
      <c r="AH226" s="215"/>
      <c r="AI226" s="385" t="str">
        <f>Data!$E$13</f>
        <v>EB</v>
      </c>
      <c r="AJ226" s="386">
        <f>IF($F239="","",RANK(AI224,$Q224:$CL224))</f>
        <v>8</v>
      </c>
      <c r="AK226" s="510"/>
      <c r="AL226" s="216"/>
      <c r="AM226" s="217"/>
      <c r="AN226" s="217"/>
      <c r="AO226" s="217"/>
      <c r="AP226" s="217"/>
      <c r="AQ226" s="215"/>
      <c r="AR226" s="346" t="str">
        <f>Data!$E$14</f>
        <v>KAF</v>
      </c>
      <c r="AS226" s="386">
        <f>IF($F239="","",RANK(AR224,$Q224:$CL224))</f>
        <v>3</v>
      </c>
      <c r="AT226" s="510"/>
      <c r="AU226" s="216"/>
      <c r="AV226" s="217"/>
      <c r="AW226" s="217"/>
      <c r="AX226" s="217"/>
      <c r="AY226" s="217"/>
      <c r="AZ226" s="215"/>
      <c r="BA226" s="346" t="str">
        <f>Data!$E$15</f>
        <v>ØG</v>
      </c>
      <c r="BB226" s="386">
        <f>IF($F239="","",RANK(BA224,$Q224:$CL224))</f>
        <v>1</v>
      </c>
      <c r="BC226" s="510"/>
      <c r="BD226" s="216"/>
      <c r="BE226" s="217"/>
      <c r="BF226" s="217"/>
      <c r="BG226" s="217"/>
      <c r="BH226" s="217"/>
      <c r="BI226" s="215"/>
      <c r="BJ226" s="346" t="str">
        <f>Data!$E$16</f>
        <v>JH</v>
      </c>
      <c r="BK226" s="386">
        <f>IF($F239="","",RANK(BJ224,$Q224:$CL224))</f>
        <v>7</v>
      </c>
      <c r="BL226" s="510"/>
      <c r="BM226" s="216"/>
      <c r="BN226" s="217"/>
      <c r="BO226" s="217"/>
      <c r="BP226" s="217"/>
      <c r="BQ226" s="217"/>
      <c r="BR226" s="223"/>
      <c r="BS226" s="346" t="str">
        <f>Data!$E$17</f>
        <v>TOH</v>
      </c>
      <c r="BT226" s="386">
        <f>IF($F239="","",RANK(BS224,$Q224:$CL224))</f>
        <v>8</v>
      </c>
      <c r="BU226" s="510">
        <v>50</v>
      </c>
      <c r="BV226" s="215"/>
      <c r="BW226" s="217"/>
      <c r="BX226" s="217"/>
      <c r="BY226" s="217"/>
      <c r="BZ226" s="217"/>
      <c r="CA226" s="223"/>
      <c r="CB226" s="346" t="s">
        <v>26</v>
      </c>
      <c r="CC226" s="386">
        <f>IF($F239="","",RANK(CB224,$Q224:$CM224))</f>
        <v>4</v>
      </c>
      <c r="CD226" s="511"/>
      <c r="CE226" s="215"/>
      <c r="CF226" s="217"/>
      <c r="CG226" s="217"/>
      <c r="CH226" s="217"/>
      <c r="CI226" s="217"/>
      <c r="CJ226" s="217"/>
      <c r="CK226" s="346" t="s">
        <v>27</v>
      </c>
      <c r="CL226" s="386">
        <f>IF($F239="","",RANK(CK224,$Q224:$CM224))</f>
        <v>1</v>
      </c>
      <c r="CM226" s="798" t="s">
        <v>23</v>
      </c>
      <c r="CN226" s="215"/>
      <c r="CO226" s="217"/>
      <c r="CP226" s="217"/>
      <c r="CQ226" s="217"/>
      <c r="CR226" s="217"/>
      <c r="CS226" s="217"/>
      <c r="CT226" s="217"/>
      <c r="CU226" s="296"/>
      <c r="CV226" s="246"/>
      <c r="CW226" s="255"/>
    </row>
    <row r="227" spans="1:101" ht="13.5" thickBot="1" x14ac:dyDescent="0.25">
      <c r="A227" s="264"/>
      <c r="B227" s="264"/>
      <c r="C227" s="202"/>
      <c r="D227" s="270"/>
      <c r="E227" s="224"/>
      <c r="F227" s="225"/>
      <c r="G227" s="226"/>
      <c r="H227" s="226"/>
      <c r="I227" s="227" t="s">
        <v>45</v>
      </c>
      <c r="J227" s="228" t="s">
        <v>46</v>
      </c>
      <c r="K227" s="229" t="s">
        <v>47</v>
      </c>
      <c r="L227" s="298"/>
      <c r="M227" s="374"/>
      <c r="N227" s="378"/>
      <c r="O227" s="230"/>
      <c r="P227" s="230"/>
      <c r="Q227" s="227" t="s">
        <v>45</v>
      </c>
      <c r="R227" s="228" t="s">
        <v>46</v>
      </c>
      <c r="S227" s="229" t="s">
        <v>47</v>
      </c>
      <c r="T227" s="231"/>
      <c r="U227" s="232"/>
      <c r="V227" s="232"/>
      <c r="W227" s="232"/>
      <c r="X227" s="232"/>
      <c r="Y227" s="230"/>
      <c r="Z227" s="227" t="s">
        <v>45</v>
      </c>
      <c r="AA227" s="228" t="s">
        <v>46</v>
      </c>
      <c r="AB227" s="229" t="s">
        <v>47</v>
      </c>
      <c r="AC227" s="231"/>
      <c r="AD227" s="232"/>
      <c r="AE227" s="232"/>
      <c r="AF227" s="232"/>
      <c r="AG227" s="232"/>
      <c r="AH227" s="230"/>
      <c r="AI227" s="227" t="s">
        <v>45</v>
      </c>
      <c r="AJ227" s="228" t="s">
        <v>46</v>
      </c>
      <c r="AK227" s="229" t="s">
        <v>47</v>
      </c>
      <c r="AL227" s="231"/>
      <c r="AM227" s="232"/>
      <c r="AN227" s="232"/>
      <c r="AO227" s="232"/>
      <c r="AP227" s="232"/>
      <c r="AQ227" s="230"/>
      <c r="AR227" s="227" t="s">
        <v>45</v>
      </c>
      <c r="AS227" s="228" t="s">
        <v>46</v>
      </c>
      <c r="AT227" s="229" t="s">
        <v>47</v>
      </c>
      <c r="AU227" s="231"/>
      <c r="AV227" s="232"/>
      <c r="AW227" s="232"/>
      <c r="AX227" s="232"/>
      <c r="AY227" s="232"/>
      <c r="AZ227" s="230"/>
      <c r="BA227" s="227" t="s">
        <v>45</v>
      </c>
      <c r="BB227" s="228" t="s">
        <v>46</v>
      </c>
      <c r="BC227" s="229" t="s">
        <v>47</v>
      </c>
      <c r="BD227" s="231"/>
      <c r="BE227" s="232"/>
      <c r="BF227" s="232"/>
      <c r="BG227" s="232"/>
      <c r="BH227" s="232"/>
      <c r="BI227" s="230"/>
      <c r="BJ227" s="227" t="s">
        <v>45</v>
      </c>
      <c r="BK227" s="228" t="s">
        <v>46</v>
      </c>
      <c r="BL227" s="229" t="s">
        <v>47</v>
      </c>
      <c r="BM227" s="231"/>
      <c r="BN227" s="232"/>
      <c r="BO227" s="232"/>
      <c r="BP227" s="232"/>
      <c r="BQ227" s="232"/>
      <c r="BR227" s="230"/>
      <c r="BS227" s="227" t="s">
        <v>45</v>
      </c>
      <c r="BT227" s="228" t="s">
        <v>46</v>
      </c>
      <c r="BU227" s="229" t="s">
        <v>47</v>
      </c>
      <c r="BV227" s="231"/>
      <c r="BW227" s="232"/>
      <c r="BX227" s="232"/>
      <c r="BY227" s="232"/>
      <c r="BZ227" s="233"/>
      <c r="CA227" s="230"/>
      <c r="CB227" s="227" t="s">
        <v>45</v>
      </c>
      <c r="CC227" s="228" t="s">
        <v>46</v>
      </c>
      <c r="CD227" s="229" t="s">
        <v>47</v>
      </c>
      <c r="CE227" s="231"/>
      <c r="CF227" s="232"/>
      <c r="CG227" s="232"/>
      <c r="CH227" s="232"/>
      <c r="CI227" s="232"/>
      <c r="CJ227" s="232"/>
      <c r="CK227" s="227" t="s">
        <v>45</v>
      </c>
      <c r="CL227" s="228" t="s">
        <v>46</v>
      </c>
      <c r="CM227" s="229" t="s">
        <v>47</v>
      </c>
      <c r="CN227" s="231"/>
      <c r="CO227" s="232"/>
      <c r="CP227" s="232"/>
      <c r="CQ227" s="232"/>
      <c r="CR227" s="232"/>
      <c r="CS227" s="232"/>
      <c r="CT227" s="234"/>
      <c r="CU227" s="296"/>
      <c r="CV227" s="246"/>
      <c r="CW227" s="265"/>
    </row>
    <row r="228" spans="1:101" x14ac:dyDescent="0.2">
      <c r="A228" s="264"/>
      <c r="B228" s="264"/>
      <c r="C228" s="202"/>
      <c r="D228" s="271">
        <v>1</v>
      </c>
      <c r="E228" s="166" t="s">
        <v>170</v>
      </c>
      <c r="F228" s="468">
        <v>0</v>
      </c>
      <c r="G228" s="472" t="s">
        <v>49</v>
      </c>
      <c r="H228" s="473">
        <v>2</v>
      </c>
      <c r="I228" s="170" t="str">
        <f>IF($F228&gt;$H228,"x","")</f>
        <v/>
      </c>
      <c r="J228" s="387" t="str">
        <f t="shared" ref="J228:J239" si="500">IF(F228&lt;&gt;"",IF(H228&lt;&gt;"",IF(F228=H228,"x",""),""),"")</f>
        <v/>
      </c>
      <c r="K228" s="388" t="str">
        <f t="shared" ref="K228:K239" si="501">IF($F228&lt;$H228,"x","")</f>
        <v>x</v>
      </c>
      <c r="L228" s="299"/>
      <c r="M228" s="375"/>
      <c r="N228" s="379"/>
      <c r="O228" s="236"/>
      <c r="P228" s="236"/>
      <c r="Q228" s="480">
        <v>10</v>
      </c>
      <c r="R228" s="481">
        <v>10</v>
      </c>
      <c r="S228" s="482">
        <f>IF(Q228="","",100-SUM(Q228:R228))</f>
        <v>80</v>
      </c>
      <c r="T228" s="371"/>
      <c r="U228" s="232" t="str">
        <f t="shared" ref="U228:U239" si="502">IF($I228="x",Q228,"")</f>
        <v/>
      </c>
      <c r="V228" s="232" t="str">
        <f t="shared" ref="V228:V239" si="503">IF($J228="x",R228,"")</f>
        <v/>
      </c>
      <c r="W228" s="232">
        <f t="shared" ref="W228:W239" si="504">IF($K228="x",S228,"")</f>
        <v>80</v>
      </c>
      <c r="X228" s="232">
        <f>IF((MAX(U228,V228,W228))=0,"",IF((MAX(U228,V228,W228))=(MAX(Q228,R228,S228)),1,""))</f>
        <v>1</v>
      </c>
      <c r="Y228" s="371"/>
      <c r="Z228" s="495">
        <v>10</v>
      </c>
      <c r="AA228" s="496">
        <v>10</v>
      </c>
      <c r="AB228" s="482">
        <f t="shared" ref="AB228:AB239" si="505">IF(Z228="","",100-SUM(Z228:AA228))</f>
        <v>80</v>
      </c>
      <c r="AC228" s="371"/>
      <c r="AD228" s="232" t="str">
        <f t="shared" ref="AD228:AD239" si="506">IF($I228="x",Z228,"")</f>
        <v/>
      </c>
      <c r="AE228" s="232" t="str">
        <f t="shared" ref="AE228:AE239" si="507">IF($J228="x",AA228,"")</f>
        <v/>
      </c>
      <c r="AF228" s="232">
        <f t="shared" ref="AF228:AF239" si="508">IF($K228="x",AB228,"")</f>
        <v>80</v>
      </c>
      <c r="AG228" s="232">
        <f>IF((MAX(AD228,AE228,AF228))=0,"",IF((MAX(AD228,AE228,AF228))=(MAX(Z228,AA228,AB228)),1,""))</f>
        <v>1</v>
      </c>
      <c r="AH228" s="371"/>
      <c r="AI228" s="495">
        <v>30</v>
      </c>
      <c r="AJ228" s="496">
        <v>30</v>
      </c>
      <c r="AK228" s="482">
        <f t="shared" ref="AK228:AK239" si="509">IF(AI228="","",100-SUM(AI228:AJ228))</f>
        <v>40</v>
      </c>
      <c r="AL228" s="371"/>
      <c r="AM228" s="232" t="str">
        <f t="shared" ref="AM228:AM239" si="510">IF($I228="x",AI228,"")</f>
        <v/>
      </c>
      <c r="AN228" s="232" t="str">
        <f t="shared" ref="AN228:AN239" si="511">IF($J228="x",AJ228,"")</f>
        <v/>
      </c>
      <c r="AO228" s="232">
        <f t="shared" ref="AO228:AO239" si="512">IF($K228="x",AK228,"")</f>
        <v>40</v>
      </c>
      <c r="AP228" s="232">
        <f>IF((MAX(AM228,AN228,AO228))=0,"",IF((MAX(AM228,AN228,AO228))=(MAX(AI228,AJ228,AK228)),1,""))</f>
        <v>1</v>
      </c>
      <c r="AQ228" s="371"/>
      <c r="AR228" s="495">
        <v>10</v>
      </c>
      <c r="AS228" s="496">
        <v>10</v>
      </c>
      <c r="AT228" s="482">
        <f t="shared" ref="AT228:AT239" si="513">IF(AR228="","",100-SUM(AR228:AS228))</f>
        <v>80</v>
      </c>
      <c r="AU228" s="371"/>
      <c r="AV228" s="232" t="str">
        <f t="shared" ref="AV228:AV239" si="514">IF($I228="x",AR228,"")</f>
        <v/>
      </c>
      <c r="AW228" s="232" t="str">
        <f t="shared" ref="AW228:AW239" si="515">IF($J228="x",AS228,"")</f>
        <v/>
      </c>
      <c r="AX228" s="232">
        <f t="shared" ref="AX228:AX239" si="516">IF($K228="x",AT228,"")</f>
        <v>80</v>
      </c>
      <c r="AY228" s="232">
        <f>IF((MAX(AV228,AW228,AX228))=0,"",IF((MAX(AV228,AW228,AX228))=(MAX(AR228,AS228,AT228)),1,""))</f>
        <v>1</v>
      </c>
      <c r="AZ228" s="371"/>
      <c r="BA228" s="495">
        <v>10</v>
      </c>
      <c r="BB228" s="496">
        <v>10</v>
      </c>
      <c r="BC228" s="482">
        <f t="shared" ref="BC228:BC239" si="517">IF(BA228="","",100-SUM(BA228:BB228))</f>
        <v>80</v>
      </c>
      <c r="BD228" s="371"/>
      <c r="BE228" s="232" t="str">
        <f t="shared" ref="BE228:BE239" si="518">IF($I228="x",BA228,"")</f>
        <v/>
      </c>
      <c r="BF228" s="232" t="str">
        <f t="shared" ref="BF228:BF239" si="519">IF($J228="x",BB228,"")</f>
        <v/>
      </c>
      <c r="BG228" s="232">
        <f t="shared" ref="BG228:BG239" si="520">IF($K228="x",BC228,"")</f>
        <v>80</v>
      </c>
      <c r="BH228" s="232">
        <f>IF((MAX(BE228,BF228,BG228))=0,"",IF((MAX(BE228,BF228,BG228))=(MAX(BA228,BB228,BC228)),1,""))</f>
        <v>1</v>
      </c>
      <c r="BI228" s="371"/>
      <c r="BJ228" s="495">
        <v>10</v>
      </c>
      <c r="BK228" s="496">
        <v>10</v>
      </c>
      <c r="BL228" s="482">
        <f t="shared" ref="BL228:BL239" si="521">IF(BJ228="","",100-SUM(BJ228:BK228))</f>
        <v>80</v>
      </c>
      <c r="BM228" s="371"/>
      <c r="BN228" s="232" t="str">
        <f t="shared" ref="BN228:BN239" si="522">IF($I228="x",BJ228,"")</f>
        <v/>
      </c>
      <c r="BO228" s="232" t="str">
        <f t="shared" ref="BO228:BO239" si="523">IF($J228="x",BK228,"")</f>
        <v/>
      </c>
      <c r="BP228" s="232">
        <f t="shared" ref="BP228:BP239" si="524">IF($K228="x",BL228,"")</f>
        <v>80</v>
      </c>
      <c r="BQ228" s="232">
        <f>IF((MAX(BN228,BO228,BP228))=0,"",IF((MAX(BN228,BO228,BP228))=(MAX(BJ228,BK228,BL228)),1,""))</f>
        <v>1</v>
      </c>
      <c r="BR228" s="371"/>
      <c r="BS228" s="495">
        <v>10</v>
      </c>
      <c r="BT228" s="496">
        <v>10</v>
      </c>
      <c r="BU228" s="482">
        <f t="shared" ref="BU228:BU239" si="525">IF(BS228="","",100-SUM(BS228:BT228))</f>
        <v>80</v>
      </c>
      <c r="BV228" s="371"/>
      <c r="BW228" s="232" t="str">
        <f t="shared" ref="BW228:BW239" si="526">IF($I228="x",BS228,"")</f>
        <v/>
      </c>
      <c r="BX228" s="232" t="str">
        <f t="shared" ref="BX228:BX239" si="527">IF($J228="x",BT228,"")</f>
        <v/>
      </c>
      <c r="BY228" s="232">
        <f t="shared" ref="BY228:BY239" si="528">IF($K228="x",BU228,"")</f>
        <v>80</v>
      </c>
      <c r="BZ228" s="232">
        <f>IF((MAX(BW228,BX228,BY228))=0,"",IF((MAX(BW228,BX228,BY228))=(MAX(BS228,BT228,BU228)),1,""))</f>
        <v>1</v>
      </c>
      <c r="CA228" s="371"/>
      <c r="CB228" s="501">
        <f t="shared" ref="CB228:CB239" si="529">IFERROR(ROUNDUP((SUM(Q228,Z228,AI228,AR228,BA228,BJ228,BS228)/SUM($Q228:$S228,$Z228:$AB228,$AI228:$AK228,$AR228:$AT228,$BA228:$BC228,$BJ228:$BL228,$BS228:$BU228))*100,-1),"")</f>
        <v>20</v>
      </c>
      <c r="CC228" s="502">
        <f t="shared" ref="CC228:CC239" si="530">IFERROR(ROUNDDOWN((SUM(R228,AA228,AJ228,AS228,BB228,BK228,BT228)/SUM($Q228:$S228,$Z228:$AB228,$AI228:$AK228,$AR228:$AT228,$BA228:$BC228,$BJ228:$BL228,$BS228:$BU228))*100,-1),"")</f>
        <v>10</v>
      </c>
      <c r="CD228" s="503">
        <f t="shared" ref="CD228:CD239" si="531">IF(CB228="","",100-SUM(CB228:CC228))</f>
        <v>70</v>
      </c>
      <c r="CE228" s="371"/>
      <c r="CF228" s="232" t="str">
        <f t="shared" ref="CF228:CF239" si="532">IF($I228="x",CB228,"")</f>
        <v/>
      </c>
      <c r="CG228" s="232" t="str">
        <f t="shared" ref="CG228:CG239" si="533">IF($J228="x",CC228,"")</f>
        <v/>
      </c>
      <c r="CH228" s="232">
        <f t="shared" ref="CH228:CH239" si="534">IF($K228="x",CD228,"")</f>
        <v>70</v>
      </c>
      <c r="CI228" s="232">
        <f>IF((MAX(CF228,CG228,CH228))=0,"",IF((MAX(CF228,CG228,CH228))=(MAX(CB228,CC228,CD228)),1,""))</f>
        <v>1</v>
      </c>
      <c r="CJ228" s="232"/>
      <c r="CK228" s="495">
        <v>10</v>
      </c>
      <c r="CL228" s="496">
        <v>10</v>
      </c>
      <c r="CM228" s="482">
        <f t="shared" ref="CM228:CM239" si="535">IF(CK228="","",100-SUM(CK228:CL228))</f>
        <v>80</v>
      </c>
      <c r="CN228" s="371"/>
      <c r="CO228" s="232" t="str">
        <f t="shared" ref="CO228:CO239" si="536">IF($I228="x",CK228,"")</f>
        <v/>
      </c>
      <c r="CP228" s="232" t="str">
        <f t="shared" ref="CP228:CP239" si="537">IF($J228="x",CL228,"")</f>
        <v/>
      </c>
      <c r="CQ228" s="232">
        <f t="shared" ref="CQ228:CQ239" si="538">IF($K228="x",CM228,"")</f>
        <v>80</v>
      </c>
      <c r="CR228" s="232">
        <f>IF((MAX(CO228,CP228,CQ228))=0,"",IF((MAX(CO228,CP228,CQ228))=(MAX(CK228,CL228,CM228)),1,""))</f>
        <v>1</v>
      </c>
      <c r="CS228" s="232"/>
      <c r="CT228" s="371"/>
      <c r="CU228" s="296"/>
      <c r="CV228" s="246"/>
      <c r="CW228" s="264"/>
    </row>
    <row r="229" spans="1:101" x14ac:dyDescent="0.2">
      <c r="A229" s="264"/>
      <c r="B229" s="264"/>
      <c r="C229" s="202"/>
      <c r="D229" s="271">
        <v>2</v>
      </c>
      <c r="E229" s="167" t="s">
        <v>171</v>
      </c>
      <c r="F229" s="469">
        <v>0</v>
      </c>
      <c r="G229" s="474" t="s">
        <v>49</v>
      </c>
      <c r="H229" s="475">
        <v>4</v>
      </c>
      <c r="I229" s="389" t="str">
        <f t="shared" ref="I229:I238" si="539">IF($F229&gt;$H229,"x","")</f>
        <v/>
      </c>
      <c r="J229" s="390" t="str">
        <f t="shared" si="500"/>
        <v/>
      </c>
      <c r="K229" s="391" t="str">
        <f t="shared" si="501"/>
        <v>x</v>
      </c>
      <c r="L229" s="299"/>
      <c r="M229" s="375"/>
      <c r="N229" s="379"/>
      <c r="O229" s="236"/>
      <c r="P229" s="236"/>
      <c r="Q229" s="483">
        <v>10</v>
      </c>
      <c r="R229" s="484">
        <v>10</v>
      </c>
      <c r="S229" s="485">
        <f t="shared" ref="S229:S239" si="540">IF(Q229="","",100-SUM(Q229:R229))</f>
        <v>80</v>
      </c>
      <c r="T229" s="371"/>
      <c r="U229" s="232" t="str">
        <f t="shared" si="502"/>
        <v/>
      </c>
      <c r="V229" s="232" t="str">
        <f t="shared" si="503"/>
        <v/>
      </c>
      <c r="W229" s="232">
        <f t="shared" si="504"/>
        <v>80</v>
      </c>
      <c r="X229" s="232">
        <f t="shared" ref="X229:X239" si="541">IF((MAX(U229,V229,W229))=0,"",IF((MAX(U229,V229,W229))=(MAX(Q229,R229,S229)),1,""))</f>
        <v>1</v>
      </c>
      <c r="Y229" s="371"/>
      <c r="Z229" s="497">
        <v>10</v>
      </c>
      <c r="AA229" s="498">
        <v>10</v>
      </c>
      <c r="AB229" s="485">
        <f t="shared" si="505"/>
        <v>80</v>
      </c>
      <c r="AC229" s="371"/>
      <c r="AD229" s="232" t="str">
        <f t="shared" si="506"/>
        <v/>
      </c>
      <c r="AE229" s="232" t="str">
        <f t="shared" si="507"/>
        <v/>
      </c>
      <c r="AF229" s="232">
        <f t="shared" si="508"/>
        <v>80</v>
      </c>
      <c r="AG229" s="232">
        <f t="shared" ref="AG229:AG239" si="542">IF((MAX(AD229,AE229,AF229))=0,"",IF((MAX(AD229,AE229,AF229))=(MAX(Z229,AA229,AB229)),1,""))</f>
        <v>1</v>
      </c>
      <c r="AH229" s="371"/>
      <c r="AI229" s="497">
        <v>10</v>
      </c>
      <c r="AJ229" s="498">
        <v>10</v>
      </c>
      <c r="AK229" s="485">
        <f t="shared" si="509"/>
        <v>80</v>
      </c>
      <c r="AL229" s="371"/>
      <c r="AM229" s="232" t="str">
        <f t="shared" si="510"/>
        <v/>
      </c>
      <c r="AN229" s="232" t="str">
        <f t="shared" si="511"/>
        <v/>
      </c>
      <c r="AO229" s="232">
        <f t="shared" si="512"/>
        <v>80</v>
      </c>
      <c r="AP229" s="232">
        <f t="shared" ref="AP229:AP239" si="543">IF((MAX(AM229,AN229,AO229))=0,"",IF((MAX(AM229,AN229,AO229))=(MAX(AI229,AJ229,AK229)),1,""))</f>
        <v>1</v>
      </c>
      <c r="AQ229" s="371"/>
      <c r="AR229" s="497">
        <v>10</v>
      </c>
      <c r="AS229" s="498">
        <v>10</v>
      </c>
      <c r="AT229" s="485">
        <f t="shared" si="513"/>
        <v>80</v>
      </c>
      <c r="AU229" s="371"/>
      <c r="AV229" s="232" t="str">
        <f t="shared" si="514"/>
        <v/>
      </c>
      <c r="AW229" s="232" t="str">
        <f t="shared" si="515"/>
        <v/>
      </c>
      <c r="AX229" s="232">
        <f t="shared" si="516"/>
        <v>80</v>
      </c>
      <c r="AY229" s="232">
        <f t="shared" ref="AY229:AY239" si="544">IF((MAX(AV229,AW229,AX229))=0,"",IF((MAX(AV229,AW229,AX229))=(MAX(AR229,AS229,AT229)),1,""))</f>
        <v>1</v>
      </c>
      <c r="AZ229" s="371"/>
      <c r="BA229" s="497">
        <v>10</v>
      </c>
      <c r="BB229" s="498">
        <v>10</v>
      </c>
      <c r="BC229" s="485">
        <f t="shared" si="517"/>
        <v>80</v>
      </c>
      <c r="BD229" s="371"/>
      <c r="BE229" s="232" t="str">
        <f t="shared" si="518"/>
        <v/>
      </c>
      <c r="BF229" s="232" t="str">
        <f t="shared" si="519"/>
        <v/>
      </c>
      <c r="BG229" s="232">
        <f t="shared" si="520"/>
        <v>80</v>
      </c>
      <c r="BH229" s="232">
        <f t="shared" ref="BH229:BH239" si="545">IF((MAX(BE229,BF229,BG229))=0,"",IF((MAX(BE229,BF229,BG229))=(MAX(BA229,BB229,BC229)),1,""))</f>
        <v>1</v>
      </c>
      <c r="BI229" s="371"/>
      <c r="BJ229" s="497">
        <v>10</v>
      </c>
      <c r="BK229" s="498">
        <v>10</v>
      </c>
      <c r="BL229" s="485">
        <f t="shared" si="521"/>
        <v>80</v>
      </c>
      <c r="BM229" s="371"/>
      <c r="BN229" s="232" t="str">
        <f t="shared" si="522"/>
        <v/>
      </c>
      <c r="BO229" s="232" t="str">
        <f t="shared" si="523"/>
        <v/>
      </c>
      <c r="BP229" s="232">
        <f t="shared" si="524"/>
        <v>80</v>
      </c>
      <c r="BQ229" s="232">
        <f t="shared" ref="BQ229:BQ239" si="546">IF((MAX(BN229,BO229,BP229))=0,"",IF((MAX(BN229,BO229,BP229))=(MAX(BJ229,BK229,BL229)),1,""))</f>
        <v>1</v>
      </c>
      <c r="BR229" s="371"/>
      <c r="BS229" s="497">
        <v>10</v>
      </c>
      <c r="BT229" s="498">
        <v>10</v>
      </c>
      <c r="BU229" s="485">
        <f t="shared" si="525"/>
        <v>80</v>
      </c>
      <c r="BV229" s="371"/>
      <c r="BW229" s="232" t="str">
        <f t="shared" si="526"/>
        <v/>
      </c>
      <c r="BX229" s="232" t="str">
        <f t="shared" si="527"/>
        <v/>
      </c>
      <c r="BY229" s="232">
        <f t="shared" si="528"/>
        <v>80</v>
      </c>
      <c r="BZ229" s="232">
        <f t="shared" ref="BZ229:BZ239" si="547">IF((MAX(BW229,BX229,BY229))=0,"",IF((MAX(BW229,BX229,BY229))=(MAX(BS229,BT229,BU229)),1,""))</f>
        <v>1</v>
      </c>
      <c r="CA229" s="371"/>
      <c r="CB229" s="504">
        <f t="shared" si="529"/>
        <v>10</v>
      </c>
      <c r="CC229" s="505">
        <f t="shared" si="530"/>
        <v>10</v>
      </c>
      <c r="CD229" s="506">
        <f t="shared" si="531"/>
        <v>80</v>
      </c>
      <c r="CE229" s="371"/>
      <c r="CF229" s="232" t="str">
        <f t="shared" si="532"/>
        <v/>
      </c>
      <c r="CG229" s="232" t="str">
        <f t="shared" si="533"/>
        <v/>
      </c>
      <c r="CH229" s="232">
        <f t="shared" si="534"/>
        <v>80</v>
      </c>
      <c r="CI229" s="232">
        <f t="shared" ref="CI229:CI239" si="548">IF((MAX(CF229,CG229,CH229))=0,"",IF((MAX(CF229,CG229,CH229))=(MAX(CB229,CC229,CD229)),1,""))</f>
        <v>1</v>
      </c>
      <c r="CJ229" s="232"/>
      <c r="CK229" s="497">
        <v>10</v>
      </c>
      <c r="CL229" s="498">
        <v>10</v>
      </c>
      <c r="CM229" s="485">
        <f t="shared" si="535"/>
        <v>80</v>
      </c>
      <c r="CN229" s="371"/>
      <c r="CO229" s="232" t="str">
        <f t="shared" si="536"/>
        <v/>
      </c>
      <c r="CP229" s="232" t="str">
        <f t="shared" si="537"/>
        <v/>
      </c>
      <c r="CQ229" s="232">
        <f t="shared" si="538"/>
        <v>80</v>
      </c>
      <c r="CR229" s="232">
        <f t="shared" ref="CR229:CR239" si="549">IF((MAX(CO229,CP229,CQ229))=0,"",IF((MAX(CO229,CP229,CQ229))=(MAX(CK229,CL229,CM229)),1,""))</f>
        <v>1</v>
      </c>
      <c r="CS229" s="232"/>
      <c r="CT229" s="371"/>
      <c r="CU229" s="296"/>
      <c r="CV229" s="246"/>
      <c r="CW229" s="264"/>
    </row>
    <row r="230" spans="1:101" ht="13.5" thickBot="1" x14ac:dyDescent="0.25">
      <c r="A230" s="264"/>
      <c r="B230" s="264"/>
      <c r="C230" s="202"/>
      <c r="D230" s="271">
        <v>3</v>
      </c>
      <c r="E230" s="168" t="s">
        <v>172</v>
      </c>
      <c r="F230" s="470">
        <v>2</v>
      </c>
      <c r="G230" s="476" t="s">
        <v>49</v>
      </c>
      <c r="H230" s="477">
        <v>0</v>
      </c>
      <c r="I230" s="392" t="str">
        <f t="shared" si="539"/>
        <v>x</v>
      </c>
      <c r="J230" s="393" t="str">
        <f t="shared" si="500"/>
        <v/>
      </c>
      <c r="K230" s="394" t="str">
        <f t="shared" si="501"/>
        <v/>
      </c>
      <c r="L230" s="299"/>
      <c r="M230" s="375"/>
      <c r="N230" s="379"/>
      <c r="O230" s="236"/>
      <c r="P230" s="236"/>
      <c r="Q230" s="486">
        <v>80</v>
      </c>
      <c r="R230" s="487">
        <v>10</v>
      </c>
      <c r="S230" s="488">
        <f t="shared" si="540"/>
        <v>10</v>
      </c>
      <c r="T230" s="371"/>
      <c r="U230" s="232">
        <f t="shared" si="502"/>
        <v>80</v>
      </c>
      <c r="V230" s="232" t="str">
        <f t="shared" si="503"/>
        <v/>
      </c>
      <c r="W230" s="232" t="str">
        <f t="shared" si="504"/>
        <v/>
      </c>
      <c r="X230" s="232">
        <f t="shared" si="541"/>
        <v>1</v>
      </c>
      <c r="Y230" s="371"/>
      <c r="Z230" s="499">
        <v>80</v>
      </c>
      <c r="AA230" s="500">
        <v>10</v>
      </c>
      <c r="AB230" s="488">
        <f t="shared" si="505"/>
        <v>10</v>
      </c>
      <c r="AC230" s="371"/>
      <c r="AD230" s="232">
        <f t="shared" si="506"/>
        <v>80</v>
      </c>
      <c r="AE230" s="232" t="str">
        <f t="shared" si="507"/>
        <v/>
      </c>
      <c r="AF230" s="232" t="str">
        <f t="shared" si="508"/>
        <v/>
      </c>
      <c r="AG230" s="232">
        <f t="shared" si="542"/>
        <v>1</v>
      </c>
      <c r="AH230" s="371"/>
      <c r="AI230" s="499">
        <v>10</v>
      </c>
      <c r="AJ230" s="500">
        <v>20</v>
      </c>
      <c r="AK230" s="488">
        <f t="shared" si="509"/>
        <v>70</v>
      </c>
      <c r="AL230" s="371"/>
      <c r="AM230" s="232">
        <f t="shared" si="510"/>
        <v>10</v>
      </c>
      <c r="AN230" s="232" t="str">
        <f t="shared" si="511"/>
        <v/>
      </c>
      <c r="AO230" s="232" t="str">
        <f t="shared" si="512"/>
        <v/>
      </c>
      <c r="AP230" s="232" t="str">
        <f t="shared" si="543"/>
        <v/>
      </c>
      <c r="AQ230" s="371"/>
      <c r="AR230" s="499">
        <v>80</v>
      </c>
      <c r="AS230" s="500">
        <v>10</v>
      </c>
      <c r="AT230" s="488">
        <f t="shared" si="513"/>
        <v>10</v>
      </c>
      <c r="AU230" s="371"/>
      <c r="AV230" s="232">
        <f t="shared" si="514"/>
        <v>80</v>
      </c>
      <c r="AW230" s="232" t="str">
        <f t="shared" si="515"/>
        <v/>
      </c>
      <c r="AX230" s="232" t="str">
        <f t="shared" si="516"/>
        <v/>
      </c>
      <c r="AY230" s="232">
        <f t="shared" si="544"/>
        <v>1</v>
      </c>
      <c r="AZ230" s="371"/>
      <c r="BA230" s="499">
        <v>80</v>
      </c>
      <c r="BB230" s="500">
        <v>10</v>
      </c>
      <c r="BC230" s="488">
        <f t="shared" si="517"/>
        <v>10</v>
      </c>
      <c r="BD230" s="371"/>
      <c r="BE230" s="232">
        <f t="shared" si="518"/>
        <v>80</v>
      </c>
      <c r="BF230" s="232" t="str">
        <f t="shared" si="519"/>
        <v/>
      </c>
      <c r="BG230" s="232" t="str">
        <f t="shared" si="520"/>
        <v/>
      </c>
      <c r="BH230" s="232">
        <f t="shared" si="545"/>
        <v>1</v>
      </c>
      <c r="BI230" s="371"/>
      <c r="BJ230" s="499">
        <v>80</v>
      </c>
      <c r="BK230" s="500">
        <v>10</v>
      </c>
      <c r="BL230" s="488">
        <f t="shared" si="521"/>
        <v>10</v>
      </c>
      <c r="BM230" s="371"/>
      <c r="BN230" s="232">
        <f t="shared" si="522"/>
        <v>80</v>
      </c>
      <c r="BO230" s="232" t="str">
        <f t="shared" si="523"/>
        <v/>
      </c>
      <c r="BP230" s="232" t="str">
        <f t="shared" si="524"/>
        <v/>
      </c>
      <c r="BQ230" s="232">
        <f t="shared" si="546"/>
        <v>1</v>
      </c>
      <c r="BR230" s="371"/>
      <c r="BS230" s="499">
        <v>80</v>
      </c>
      <c r="BT230" s="500">
        <v>10</v>
      </c>
      <c r="BU230" s="488">
        <f t="shared" si="525"/>
        <v>10</v>
      </c>
      <c r="BV230" s="371"/>
      <c r="BW230" s="232">
        <f t="shared" si="526"/>
        <v>80</v>
      </c>
      <c r="BX230" s="232" t="str">
        <f t="shared" si="527"/>
        <v/>
      </c>
      <c r="BY230" s="232" t="str">
        <f t="shared" si="528"/>
        <v/>
      </c>
      <c r="BZ230" s="232">
        <f t="shared" si="547"/>
        <v>1</v>
      </c>
      <c r="CA230" s="371"/>
      <c r="CB230" s="507">
        <f t="shared" si="529"/>
        <v>70</v>
      </c>
      <c r="CC230" s="508">
        <f t="shared" si="530"/>
        <v>10</v>
      </c>
      <c r="CD230" s="509">
        <f t="shared" si="531"/>
        <v>20</v>
      </c>
      <c r="CE230" s="371"/>
      <c r="CF230" s="232">
        <f t="shared" si="532"/>
        <v>70</v>
      </c>
      <c r="CG230" s="232" t="str">
        <f t="shared" si="533"/>
        <v/>
      </c>
      <c r="CH230" s="232" t="str">
        <f t="shared" si="534"/>
        <v/>
      </c>
      <c r="CI230" s="232">
        <f t="shared" si="548"/>
        <v>1</v>
      </c>
      <c r="CJ230" s="232"/>
      <c r="CK230" s="499">
        <v>80</v>
      </c>
      <c r="CL230" s="500">
        <v>10</v>
      </c>
      <c r="CM230" s="488">
        <f t="shared" si="535"/>
        <v>10</v>
      </c>
      <c r="CN230" s="371"/>
      <c r="CO230" s="232">
        <f t="shared" si="536"/>
        <v>80</v>
      </c>
      <c r="CP230" s="232" t="str">
        <f t="shared" si="537"/>
        <v/>
      </c>
      <c r="CQ230" s="232" t="str">
        <f t="shared" si="538"/>
        <v/>
      </c>
      <c r="CR230" s="232">
        <f t="shared" si="549"/>
        <v>1</v>
      </c>
      <c r="CS230" s="232"/>
      <c r="CT230" s="371"/>
      <c r="CU230" s="296"/>
      <c r="CV230" s="246"/>
      <c r="CW230" s="264"/>
    </row>
    <row r="231" spans="1:101" x14ac:dyDescent="0.2">
      <c r="A231" s="264"/>
      <c r="B231" s="264"/>
      <c r="C231" s="202"/>
      <c r="D231" s="271">
        <v>4</v>
      </c>
      <c r="E231" s="166" t="s">
        <v>173</v>
      </c>
      <c r="F231" s="468">
        <v>3</v>
      </c>
      <c r="G231" s="472" t="s">
        <v>49</v>
      </c>
      <c r="H231" s="473">
        <v>1</v>
      </c>
      <c r="I231" s="170" t="str">
        <f t="shared" si="539"/>
        <v>x</v>
      </c>
      <c r="J231" s="387" t="str">
        <f t="shared" si="500"/>
        <v/>
      </c>
      <c r="K231" s="388" t="str">
        <f t="shared" si="501"/>
        <v/>
      </c>
      <c r="L231" s="299"/>
      <c r="M231" s="375"/>
      <c r="N231" s="379"/>
      <c r="O231" s="236"/>
      <c r="P231" s="236"/>
      <c r="Q231" s="480">
        <v>30</v>
      </c>
      <c r="R231" s="481">
        <v>30</v>
      </c>
      <c r="S231" s="482">
        <f t="shared" si="540"/>
        <v>40</v>
      </c>
      <c r="T231" s="371"/>
      <c r="U231" s="232">
        <f t="shared" si="502"/>
        <v>30</v>
      </c>
      <c r="V231" s="232" t="str">
        <f t="shared" si="503"/>
        <v/>
      </c>
      <c r="W231" s="232" t="str">
        <f t="shared" si="504"/>
        <v/>
      </c>
      <c r="X231" s="232" t="str">
        <f t="shared" si="541"/>
        <v/>
      </c>
      <c r="Y231" s="371"/>
      <c r="Z231" s="495">
        <v>10</v>
      </c>
      <c r="AA231" s="496">
        <v>10</v>
      </c>
      <c r="AB231" s="482">
        <f t="shared" si="505"/>
        <v>80</v>
      </c>
      <c r="AC231" s="371"/>
      <c r="AD231" s="232">
        <f t="shared" si="506"/>
        <v>10</v>
      </c>
      <c r="AE231" s="232" t="str">
        <f t="shared" si="507"/>
        <v/>
      </c>
      <c r="AF231" s="232" t="str">
        <f t="shared" si="508"/>
        <v/>
      </c>
      <c r="AG231" s="232" t="str">
        <f t="shared" si="542"/>
        <v/>
      </c>
      <c r="AH231" s="371"/>
      <c r="AI231" s="495">
        <v>40</v>
      </c>
      <c r="AJ231" s="496">
        <v>20</v>
      </c>
      <c r="AK231" s="482">
        <f t="shared" si="509"/>
        <v>40</v>
      </c>
      <c r="AL231" s="371"/>
      <c r="AM231" s="232">
        <f t="shared" si="510"/>
        <v>40</v>
      </c>
      <c r="AN231" s="232" t="str">
        <f t="shared" si="511"/>
        <v/>
      </c>
      <c r="AO231" s="232" t="str">
        <f t="shared" si="512"/>
        <v/>
      </c>
      <c r="AP231" s="232">
        <f t="shared" si="543"/>
        <v>1</v>
      </c>
      <c r="AQ231" s="371"/>
      <c r="AR231" s="495">
        <v>40</v>
      </c>
      <c r="AS231" s="496">
        <v>20</v>
      </c>
      <c r="AT231" s="482">
        <f t="shared" si="513"/>
        <v>40</v>
      </c>
      <c r="AU231" s="371"/>
      <c r="AV231" s="232">
        <f t="shared" si="514"/>
        <v>40</v>
      </c>
      <c r="AW231" s="232" t="str">
        <f t="shared" si="515"/>
        <v/>
      </c>
      <c r="AX231" s="232" t="str">
        <f t="shared" si="516"/>
        <v/>
      </c>
      <c r="AY231" s="232">
        <f t="shared" si="544"/>
        <v>1</v>
      </c>
      <c r="AZ231" s="371"/>
      <c r="BA231" s="495">
        <v>10</v>
      </c>
      <c r="BB231" s="496">
        <v>10</v>
      </c>
      <c r="BC231" s="482">
        <f t="shared" si="517"/>
        <v>80</v>
      </c>
      <c r="BD231" s="371"/>
      <c r="BE231" s="232">
        <f t="shared" si="518"/>
        <v>10</v>
      </c>
      <c r="BF231" s="232" t="str">
        <f t="shared" si="519"/>
        <v/>
      </c>
      <c r="BG231" s="232" t="str">
        <f t="shared" si="520"/>
        <v/>
      </c>
      <c r="BH231" s="232" t="str">
        <f t="shared" si="545"/>
        <v/>
      </c>
      <c r="BI231" s="371"/>
      <c r="BJ231" s="495">
        <v>60</v>
      </c>
      <c r="BK231" s="496">
        <v>30</v>
      </c>
      <c r="BL231" s="482">
        <f t="shared" si="521"/>
        <v>10</v>
      </c>
      <c r="BM231" s="371"/>
      <c r="BN231" s="232">
        <f t="shared" si="522"/>
        <v>60</v>
      </c>
      <c r="BO231" s="232" t="str">
        <f t="shared" si="523"/>
        <v/>
      </c>
      <c r="BP231" s="232" t="str">
        <f t="shared" si="524"/>
        <v/>
      </c>
      <c r="BQ231" s="232">
        <f t="shared" si="546"/>
        <v>1</v>
      </c>
      <c r="BR231" s="371"/>
      <c r="BS231" s="495">
        <v>30</v>
      </c>
      <c r="BT231" s="496">
        <v>40</v>
      </c>
      <c r="BU231" s="482">
        <f t="shared" si="525"/>
        <v>30</v>
      </c>
      <c r="BV231" s="371"/>
      <c r="BW231" s="232">
        <f t="shared" si="526"/>
        <v>30</v>
      </c>
      <c r="BX231" s="232" t="str">
        <f t="shared" si="527"/>
        <v/>
      </c>
      <c r="BY231" s="232" t="str">
        <f t="shared" si="528"/>
        <v/>
      </c>
      <c r="BZ231" s="232" t="str">
        <f t="shared" si="547"/>
        <v/>
      </c>
      <c r="CA231" s="371"/>
      <c r="CB231" s="501">
        <f t="shared" si="529"/>
        <v>40</v>
      </c>
      <c r="CC231" s="502">
        <f t="shared" si="530"/>
        <v>20</v>
      </c>
      <c r="CD231" s="503">
        <f t="shared" si="531"/>
        <v>40</v>
      </c>
      <c r="CE231" s="371"/>
      <c r="CF231" s="232">
        <f t="shared" si="532"/>
        <v>40</v>
      </c>
      <c r="CG231" s="232" t="str">
        <f t="shared" si="533"/>
        <v/>
      </c>
      <c r="CH231" s="232" t="str">
        <f t="shared" si="534"/>
        <v/>
      </c>
      <c r="CI231" s="232">
        <f t="shared" si="548"/>
        <v>1</v>
      </c>
      <c r="CJ231" s="232"/>
      <c r="CK231" s="495">
        <v>40</v>
      </c>
      <c r="CL231" s="496">
        <v>20</v>
      </c>
      <c r="CM231" s="482">
        <f t="shared" si="535"/>
        <v>40</v>
      </c>
      <c r="CN231" s="371"/>
      <c r="CO231" s="232">
        <f t="shared" si="536"/>
        <v>40</v>
      </c>
      <c r="CP231" s="232" t="str">
        <f t="shared" si="537"/>
        <v/>
      </c>
      <c r="CQ231" s="232" t="str">
        <f t="shared" si="538"/>
        <v/>
      </c>
      <c r="CR231" s="232">
        <f t="shared" si="549"/>
        <v>1</v>
      </c>
      <c r="CS231" s="232"/>
      <c r="CT231" s="371"/>
      <c r="CU231" s="296"/>
      <c r="CV231" s="246"/>
      <c r="CW231" s="264"/>
    </row>
    <row r="232" spans="1:101" x14ac:dyDescent="0.2">
      <c r="A232" s="264"/>
      <c r="B232" s="264"/>
      <c r="C232" s="202"/>
      <c r="D232" s="271">
        <v>5</v>
      </c>
      <c r="E232" s="167" t="s">
        <v>174</v>
      </c>
      <c r="F232" s="469">
        <v>3</v>
      </c>
      <c r="G232" s="474" t="s">
        <v>49</v>
      </c>
      <c r="H232" s="475">
        <v>2</v>
      </c>
      <c r="I232" s="389" t="str">
        <f t="shared" si="539"/>
        <v>x</v>
      </c>
      <c r="J232" s="390" t="str">
        <f t="shared" si="500"/>
        <v/>
      </c>
      <c r="K232" s="391" t="str">
        <f t="shared" si="501"/>
        <v/>
      </c>
      <c r="L232" s="299"/>
      <c r="M232" s="375"/>
      <c r="N232" s="379"/>
      <c r="O232" s="236"/>
      <c r="P232" s="236"/>
      <c r="Q232" s="483">
        <v>40</v>
      </c>
      <c r="R232" s="484">
        <v>30</v>
      </c>
      <c r="S232" s="485">
        <f t="shared" si="540"/>
        <v>30</v>
      </c>
      <c r="T232" s="371"/>
      <c r="U232" s="232">
        <f t="shared" si="502"/>
        <v>40</v>
      </c>
      <c r="V232" s="232" t="str">
        <f t="shared" si="503"/>
        <v/>
      </c>
      <c r="W232" s="232" t="str">
        <f t="shared" si="504"/>
        <v/>
      </c>
      <c r="X232" s="232">
        <f t="shared" si="541"/>
        <v>1</v>
      </c>
      <c r="Y232" s="371"/>
      <c r="Z232" s="497">
        <v>80</v>
      </c>
      <c r="AA232" s="498">
        <v>10</v>
      </c>
      <c r="AB232" s="485">
        <f t="shared" si="505"/>
        <v>10</v>
      </c>
      <c r="AC232" s="371"/>
      <c r="AD232" s="232">
        <f t="shared" si="506"/>
        <v>80</v>
      </c>
      <c r="AE232" s="232" t="str">
        <f t="shared" si="507"/>
        <v/>
      </c>
      <c r="AF232" s="232" t="str">
        <f t="shared" si="508"/>
        <v/>
      </c>
      <c r="AG232" s="232">
        <f t="shared" si="542"/>
        <v>1</v>
      </c>
      <c r="AH232" s="371"/>
      <c r="AI232" s="497">
        <v>60</v>
      </c>
      <c r="AJ232" s="498">
        <v>20</v>
      </c>
      <c r="AK232" s="485">
        <f t="shared" si="509"/>
        <v>20</v>
      </c>
      <c r="AL232" s="371"/>
      <c r="AM232" s="232">
        <f t="shared" si="510"/>
        <v>60</v>
      </c>
      <c r="AN232" s="232" t="str">
        <f t="shared" si="511"/>
        <v/>
      </c>
      <c r="AO232" s="232" t="str">
        <f t="shared" si="512"/>
        <v/>
      </c>
      <c r="AP232" s="232">
        <f t="shared" si="543"/>
        <v>1</v>
      </c>
      <c r="AQ232" s="371"/>
      <c r="AR232" s="497">
        <v>80</v>
      </c>
      <c r="AS232" s="498">
        <v>10</v>
      </c>
      <c r="AT232" s="485">
        <f t="shared" si="513"/>
        <v>10</v>
      </c>
      <c r="AU232" s="371"/>
      <c r="AV232" s="232">
        <f t="shared" si="514"/>
        <v>80</v>
      </c>
      <c r="AW232" s="232" t="str">
        <f t="shared" si="515"/>
        <v/>
      </c>
      <c r="AX232" s="232" t="str">
        <f t="shared" si="516"/>
        <v/>
      </c>
      <c r="AY232" s="232">
        <f t="shared" si="544"/>
        <v>1</v>
      </c>
      <c r="AZ232" s="371"/>
      <c r="BA232" s="497">
        <v>80</v>
      </c>
      <c r="BB232" s="498">
        <v>10</v>
      </c>
      <c r="BC232" s="485">
        <f t="shared" si="517"/>
        <v>10</v>
      </c>
      <c r="BD232" s="371"/>
      <c r="BE232" s="232">
        <f t="shared" si="518"/>
        <v>80</v>
      </c>
      <c r="BF232" s="232" t="str">
        <f t="shared" si="519"/>
        <v/>
      </c>
      <c r="BG232" s="232" t="str">
        <f t="shared" si="520"/>
        <v/>
      </c>
      <c r="BH232" s="232">
        <f t="shared" si="545"/>
        <v>1</v>
      </c>
      <c r="BI232" s="371"/>
      <c r="BJ232" s="497">
        <v>10</v>
      </c>
      <c r="BK232" s="498">
        <v>10</v>
      </c>
      <c r="BL232" s="485">
        <f t="shared" si="521"/>
        <v>80</v>
      </c>
      <c r="BM232" s="371"/>
      <c r="BN232" s="232">
        <f t="shared" si="522"/>
        <v>10</v>
      </c>
      <c r="BO232" s="232" t="str">
        <f t="shared" si="523"/>
        <v/>
      </c>
      <c r="BP232" s="232" t="str">
        <f t="shared" si="524"/>
        <v/>
      </c>
      <c r="BQ232" s="232" t="str">
        <f t="shared" si="546"/>
        <v/>
      </c>
      <c r="BR232" s="371"/>
      <c r="BS232" s="497">
        <v>50</v>
      </c>
      <c r="BT232" s="498">
        <v>30</v>
      </c>
      <c r="BU232" s="485">
        <f t="shared" si="525"/>
        <v>20</v>
      </c>
      <c r="BV232" s="371"/>
      <c r="BW232" s="232">
        <f t="shared" si="526"/>
        <v>50</v>
      </c>
      <c r="BX232" s="232" t="str">
        <f t="shared" si="527"/>
        <v/>
      </c>
      <c r="BY232" s="232" t="str">
        <f t="shared" si="528"/>
        <v/>
      </c>
      <c r="BZ232" s="232">
        <f t="shared" si="547"/>
        <v>1</v>
      </c>
      <c r="CA232" s="371"/>
      <c r="CB232" s="504">
        <f t="shared" si="529"/>
        <v>60</v>
      </c>
      <c r="CC232" s="505">
        <f t="shared" si="530"/>
        <v>10</v>
      </c>
      <c r="CD232" s="506">
        <f t="shared" si="531"/>
        <v>30</v>
      </c>
      <c r="CE232" s="371"/>
      <c r="CF232" s="232">
        <f t="shared" si="532"/>
        <v>60</v>
      </c>
      <c r="CG232" s="232" t="str">
        <f t="shared" si="533"/>
        <v/>
      </c>
      <c r="CH232" s="232" t="str">
        <f t="shared" si="534"/>
        <v/>
      </c>
      <c r="CI232" s="232">
        <f t="shared" si="548"/>
        <v>1</v>
      </c>
      <c r="CJ232" s="232"/>
      <c r="CK232" s="497">
        <v>60</v>
      </c>
      <c r="CL232" s="498">
        <v>20</v>
      </c>
      <c r="CM232" s="485">
        <f t="shared" si="535"/>
        <v>20</v>
      </c>
      <c r="CN232" s="371"/>
      <c r="CO232" s="232">
        <f t="shared" si="536"/>
        <v>60</v>
      </c>
      <c r="CP232" s="232" t="str">
        <f t="shared" si="537"/>
        <v/>
      </c>
      <c r="CQ232" s="232" t="str">
        <f t="shared" si="538"/>
        <v/>
      </c>
      <c r="CR232" s="232">
        <f t="shared" si="549"/>
        <v>1</v>
      </c>
      <c r="CS232" s="232"/>
      <c r="CT232" s="371"/>
      <c r="CU232" s="296"/>
      <c r="CV232" s="246"/>
      <c r="CW232" s="264"/>
    </row>
    <row r="233" spans="1:101" ht="13.5" thickBot="1" x14ac:dyDescent="0.25">
      <c r="A233" s="264"/>
      <c r="B233" s="264"/>
      <c r="C233" s="202"/>
      <c r="D233" s="271">
        <v>6</v>
      </c>
      <c r="E233" s="168" t="s">
        <v>175</v>
      </c>
      <c r="F233" s="470">
        <v>0</v>
      </c>
      <c r="G233" s="476" t="s">
        <v>49</v>
      </c>
      <c r="H233" s="477">
        <v>2</v>
      </c>
      <c r="I233" s="392" t="str">
        <f t="shared" si="539"/>
        <v/>
      </c>
      <c r="J233" s="393" t="str">
        <f t="shared" si="500"/>
        <v/>
      </c>
      <c r="K233" s="394" t="str">
        <f t="shared" si="501"/>
        <v>x</v>
      </c>
      <c r="L233" s="299"/>
      <c r="M233" s="375"/>
      <c r="N233" s="379"/>
      <c r="O233" s="236"/>
      <c r="P233" s="236"/>
      <c r="Q233" s="489">
        <v>60</v>
      </c>
      <c r="R233" s="490">
        <v>20</v>
      </c>
      <c r="S233" s="491">
        <f t="shared" si="540"/>
        <v>20</v>
      </c>
      <c r="T233" s="371"/>
      <c r="U233" s="232" t="str">
        <f t="shared" si="502"/>
        <v/>
      </c>
      <c r="V233" s="232" t="str">
        <f t="shared" si="503"/>
        <v/>
      </c>
      <c r="W233" s="232">
        <f t="shared" si="504"/>
        <v>20</v>
      </c>
      <c r="X233" s="232" t="str">
        <f t="shared" si="541"/>
        <v/>
      </c>
      <c r="Y233" s="371"/>
      <c r="Z233" s="499">
        <v>80</v>
      </c>
      <c r="AA233" s="500">
        <v>10</v>
      </c>
      <c r="AB233" s="491">
        <f t="shared" si="505"/>
        <v>10</v>
      </c>
      <c r="AC233" s="371"/>
      <c r="AD233" s="232" t="str">
        <f t="shared" si="506"/>
        <v/>
      </c>
      <c r="AE233" s="232" t="str">
        <f t="shared" si="507"/>
        <v/>
      </c>
      <c r="AF233" s="232">
        <f t="shared" si="508"/>
        <v>10</v>
      </c>
      <c r="AG233" s="232" t="str">
        <f t="shared" si="542"/>
        <v/>
      </c>
      <c r="AH233" s="371"/>
      <c r="AI233" s="499">
        <v>30</v>
      </c>
      <c r="AJ233" s="500">
        <v>10</v>
      </c>
      <c r="AK233" s="491">
        <f t="shared" si="509"/>
        <v>60</v>
      </c>
      <c r="AL233" s="371"/>
      <c r="AM233" s="232" t="str">
        <f t="shared" si="510"/>
        <v/>
      </c>
      <c r="AN233" s="232" t="str">
        <f t="shared" si="511"/>
        <v/>
      </c>
      <c r="AO233" s="232">
        <f t="shared" si="512"/>
        <v>60</v>
      </c>
      <c r="AP233" s="232">
        <f t="shared" si="543"/>
        <v>1</v>
      </c>
      <c r="AQ233" s="371"/>
      <c r="AR233" s="499">
        <v>60</v>
      </c>
      <c r="AS233" s="500">
        <v>30</v>
      </c>
      <c r="AT233" s="491">
        <f t="shared" si="513"/>
        <v>10</v>
      </c>
      <c r="AU233" s="371"/>
      <c r="AV233" s="232" t="str">
        <f t="shared" si="514"/>
        <v/>
      </c>
      <c r="AW233" s="232" t="str">
        <f t="shared" si="515"/>
        <v/>
      </c>
      <c r="AX233" s="232">
        <f t="shared" si="516"/>
        <v>10</v>
      </c>
      <c r="AY233" s="232" t="str">
        <f t="shared" si="544"/>
        <v/>
      </c>
      <c r="AZ233" s="371"/>
      <c r="BA233" s="499">
        <v>10</v>
      </c>
      <c r="BB233" s="500">
        <v>10</v>
      </c>
      <c r="BC233" s="491">
        <f t="shared" si="517"/>
        <v>80</v>
      </c>
      <c r="BD233" s="371"/>
      <c r="BE233" s="232" t="str">
        <f t="shared" si="518"/>
        <v/>
      </c>
      <c r="BF233" s="232" t="str">
        <f t="shared" si="519"/>
        <v/>
      </c>
      <c r="BG233" s="232">
        <f t="shared" si="520"/>
        <v>80</v>
      </c>
      <c r="BH233" s="232">
        <f t="shared" si="545"/>
        <v>1</v>
      </c>
      <c r="BI233" s="371"/>
      <c r="BJ233" s="499">
        <v>80</v>
      </c>
      <c r="BK233" s="500">
        <v>10</v>
      </c>
      <c r="BL233" s="491">
        <f t="shared" si="521"/>
        <v>10</v>
      </c>
      <c r="BM233" s="371"/>
      <c r="BN233" s="232" t="str">
        <f t="shared" si="522"/>
        <v/>
      </c>
      <c r="BO233" s="232" t="str">
        <f t="shared" si="523"/>
        <v/>
      </c>
      <c r="BP233" s="232">
        <f t="shared" si="524"/>
        <v>10</v>
      </c>
      <c r="BQ233" s="232" t="str">
        <f t="shared" si="546"/>
        <v/>
      </c>
      <c r="BR233" s="371"/>
      <c r="BS233" s="499">
        <v>60</v>
      </c>
      <c r="BT233" s="500">
        <v>20</v>
      </c>
      <c r="BU233" s="491">
        <f t="shared" si="525"/>
        <v>20</v>
      </c>
      <c r="BV233" s="371"/>
      <c r="BW233" s="232" t="str">
        <f t="shared" si="526"/>
        <v/>
      </c>
      <c r="BX233" s="232" t="str">
        <f t="shared" si="527"/>
        <v/>
      </c>
      <c r="BY233" s="232">
        <f t="shared" si="528"/>
        <v>20</v>
      </c>
      <c r="BZ233" s="232" t="str">
        <f t="shared" si="547"/>
        <v/>
      </c>
      <c r="CA233" s="371"/>
      <c r="CB233" s="507">
        <f t="shared" si="529"/>
        <v>60</v>
      </c>
      <c r="CC233" s="508">
        <f t="shared" si="530"/>
        <v>10</v>
      </c>
      <c r="CD233" s="509">
        <f t="shared" si="531"/>
        <v>30</v>
      </c>
      <c r="CE233" s="371"/>
      <c r="CF233" s="232" t="str">
        <f t="shared" si="532"/>
        <v/>
      </c>
      <c r="CG233" s="232" t="str">
        <f t="shared" si="533"/>
        <v/>
      </c>
      <c r="CH233" s="232">
        <f t="shared" si="534"/>
        <v>30</v>
      </c>
      <c r="CI233" s="232" t="str">
        <f t="shared" si="548"/>
        <v/>
      </c>
      <c r="CJ233" s="232"/>
      <c r="CK233" s="499">
        <v>30</v>
      </c>
      <c r="CL233" s="500">
        <v>10</v>
      </c>
      <c r="CM233" s="491">
        <f t="shared" si="535"/>
        <v>60</v>
      </c>
      <c r="CN233" s="371"/>
      <c r="CO233" s="232" t="str">
        <f t="shared" si="536"/>
        <v/>
      </c>
      <c r="CP233" s="232" t="str">
        <f t="shared" si="537"/>
        <v/>
      </c>
      <c r="CQ233" s="232">
        <f t="shared" si="538"/>
        <v>60</v>
      </c>
      <c r="CR233" s="232">
        <f t="shared" si="549"/>
        <v>1</v>
      </c>
      <c r="CS233" s="232"/>
      <c r="CT233" s="371"/>
      <c r="CU233" s="296"/>
      <c r="CV233" s="246"/>
      <c r="CW233" s="264"/>
    </row>
    <row r="234" spans="1:101" x14ac:dyDescent="0.2">
      <c r="A234" s="264"/>
      <c r="B234" s="264"/>
      <c r="C234" s="202"/>
      <c r="D234" s="271">
        <v>7</v>
      </c>
      <c r="E234" s="166" t="s">
        <v>176</v>
      </c>
      <c r="F234" s="468">
        <v>4</v>
      </c>
      <c r="G234" s="472" t="s">
        <v>49</v>
      </c>
      <c r="H234" s="473">
        <v>1</v>
      </c>
      <c r="I234" s="170" t="str">
        <f t="shared" si="539"/>
        <v>x</v>
      </c>
      <c r="J234" s="387" t="str">
        <f t="shared" si="500"/>
        <v/>
      </c>
      <c r="K234" s="388" t="str">
        <f t="shared" si="501"/>
        <v/>
      </c>
      <c r="L234" s="299"/>
      <c r="M234" s="375"/>
      <c r="N234" s="379"/>
      <c r="O234" s="236"/>
      <c r="P234" s="236"/>
      <c r="Q234" s="480">
        <v>60</v>
      </c>
      <c r="R234" s="481">
        <v>20</v>
      </c>
      <c r="S234" s="482">
        <f t="shared" si="540"/>
        <v>20</v>
      </c>
      <c r="T234" s="371"/>
      <c r="U234" s="232">
        <f t="shared" si="502"/>
        <v>60</v>
      </c>
      <c r="V234" s="232" t="str">
        <f t="shared" si="503"/>
        <v/>
      </c>
      <c r="W234" s="232" t="str">
        <f t="shared" si="504"/>
        <v/>
      </c>
      <c r="X234" s="232">
        <f t="shared" si="541"/>
        <v>1</v>
      </c>
      <c r="Y234" s="371"/>
      <c r="Z234" s="495">
        <v>80</v>
      </c>
      <c r="AA234" s="496">
        <v>10</v>
      </c>
      <c r="AB234" s="482">
        <f t="shared" si="505"/>
        <v>10</v>
      </c>
      <c r="AC234" s="371"/>
      <c r="AD234" s="232">
        <f t="shared" si="506"/>
        <v>80</v>
      </c>
      <c r="AE234" s="232" t="str">
        <f t="shared" si="507"/>
        <v/>
      </c>
      <c r="AF234" s="232" t="str">
        <f t="shared" si="508"/>
        <v/>
      </c>
      <c r="AG234" s="232">
        <f t="shared" si="542"/>
        <v>1</v>
      </c>
      <c r="AH234" s="371"/>
      <c r="AI234" s="495">
        <v>80</v>
      </c>
      <c r="AJ234" s="496">
        <v>10</v>
      </c>
      <c r="AK234" s="482">
        <f t="shared" si="509"/>
        <v>10</v>
      </c>
      <c r="AL234" s="371"/>
      <c r="AM234" s="232">
        <f t="shared" si="510"/>
        <v>80</v>
      </c>
      <c r="AN234" s="232" t="str">
        <f t="shared" si="511"/>
        <v/>
      </c>
      <c r="AO234" s="232" t="str">
        <f t="shared" si="512"/>
        <v/>
      </c>
      <c r="AP234" s="232">
        <f t="shared" si="543"/>
        <v>1</v>
      </c>
      <c r="AQ234" s="371"/>
      <c r="AR234" s="495">
        <v>80</v>
      </c>
      <c r="AS234" s="496">
        <v>10</v>
      </c>
      <c r="AT234" s="482">
        <f t="shared" si="513"/>
        <v>10</v>
      </c>
      <c r="AU234" s="371"/>
      <c r="AV234" s="232">
        <f t="shared" si="514"/>
        <v>80</v>
      </c>
      <c r="AW234" s="232" t="str">
        <f t="shared" si="515"/>
        <v/>
      </c>
      <c r="AX234" s="232" t="str">
        <f t="shared" si="516"/>
        <v/>
      </c>
      <c r="AY234" s="232">
        <f t="shared" si="544"/>
        <v>1</v>
      </c>
      <c r="AZ234" s="371"/>
      <c r="BA234" s="495">
        <v>80</v>
      </c>
      <c r="BB234" s="496">
        <v>10</v>
      </c>
      <c r="BC234" s="482">
        <f t="shared" si="517"/>
        <v>10</v>
      </c>
      <c r="BD234" s="371"/>
      <c r="BE234" s="232">
        <f t="shared" si="518"/>
        <v>80</v>
      </c>
      <c r="BF234" s="232" t="str">
        <f t="shared" si="519"/>
        <v/>
      </c>
      <c r="BG234" s="232" t="str">
        <f t="shared" si="520"/>
        <v/>
      </c>
      <c r="BH234" s="232">
        <f t="shared" si="545"/>
        <v>1</v>
      </c>
      <c r="BI234" s="371"/>
      <c r="BJ234" s="495">
        <v>80</v>
      </c>
      <c r="BK234" s="496">
        <v>10</v>
      </c>
      <c r="BL234" s="482">
        <f t="shared" si="521"/>
        <v>10</v>
      </c>
      <c r="BM234" s="371"/>
      <c r="BN234" s="232">
        <f t="shared" si="522"/>
        <v>80</v>
      </c>
      <c r="BO234" s="232" t="str">
        <f t="shared" si="523"/>
        <v/>
      </c>
      <c r="BP234" s="232" t="str">
        <f t="shared" si="524"/>
        <v/>
      </c>
      <c r="BQ234" s="232">
        <f t="shared" si="546"/>
        <v>1</v>
      </c>
      <c r="BR234" s="371"/>
      <c r="BS234" s="495">
        <v>70</v>
      </c>
      <c r="BT234" s="496">
        <v>20</v>
      </c>
      <c r="BU234" s="482">
        <f t="shared" si="525"/>
        <v>10</v>
      </c>
      <c r="BV234" s="371"/>
      <c r="BW234" s="232">
        <f t="shared" si="526"/>
        <v>70</v>
      </c>
      <c r="BX234" s="232" t="str">
        <f t="shared" si="527"/>
        <v/>
      </c>
      <c r="BY234" s="232" t="str">
        <f t="shared" si="528"/>
        <v/>
      </c>
      <c r="BZ234" s="232">
        <f t="shared" si="547"/>
        <v>1</v>
      </c>
      <c r="CA234" s="371"/>
      <c r="CB234" s="501">
        <f t="shared" si="529"/>
        <v>80</v>
      </c>
      <c r="CC234" s="502">
        <f t="shared" si="530"/>
        <v>10</v>
      </c>
      <c r="CD234" s="503">
        <f t="shared" si="531"/>
        <v>10</v>
      </c>
      <c r="CE234" s="371"/>
      <c r="CF234" s="232">
        <f t="shared" si="532"/>
        <v>80</v>
      </c>
      <c r="CG234" s="232" t="str">
        <f t="shared" si="533"/>
        <v/>
      </c>
      <c r="CH234" s="232" t="str">
        <f t="shared" si="534"/>
        <v/>
      </c>
      <c r="CI234" s="232">
        <f t="shared" si="548"/>
        <v>1</v>
      </c>
      <c r="CJ234" s="232"/>
      <c r="CK234" s="495">
        <v>80</v>
      </c>
      <c r="CL234" s="496">
        <v>10</v>
      </c>
      <c r="CM234" s="482">
        <f t="shared" si="535"/>
        <v>10</v>
      </c>
      <c r="CN234" s="371"/>
      <c r="CO234" s="232">
        <f t="shared" si="536"/>
        <v>80</v>
      </c>
      <c r="CP234" s="232" t="str">
        <f t="shared" si="537"/>
        <v/>
      </c>
      <c r="CQ234" s="232" t="str">
        <f t="shared" si="538"/>
        <v/>
      </c>
      <c r="CR234" s="232">
        <f t="shared" si="549"/>
        <v>1</v>
      </c>
      <c r="CS234" s="232"/>
      <c r="CT234" s="371"/>
      <c r="CU234" s="300"/>
      <c r="CV234" s="246"/>
      <c r="CW234" s="264"/>
    </row>
    <row r="235" spans="1:101" x14ac:dyDescent="0.2">
      <c r="A235" s="264"/>
      <c r="B235" s="264"/>
      <c r="C235" s="202"/>
      <c r="D235" s="271">
        <v>8</v>
      </c>
      <c r="E235" s="167" t="s">
        <v>177</v>
      </c>
      <c r="F235" s="469">
        <v>0</v>
      </c>
      <c r="G235" s="474" t="s">
        <v>49</v>
      </c>
      <c r="H235" s="475">
        <v>0</v>
      </c>
      <c r="I235" s="389" t="str">
        <f t="shared" si="539"/>
        <v/>
      </c>
      <c r="J235" s="390" t="str">
        <f t="shared" si="500"/>
        <v>x</v>
      </c>
      <c r="K235" s="391" t="str">
        <f t="shared" si="501"/>
        <v/>
      </c>
      <c r="L235" s="299"/>
      <c r="M235" s="375"/>
      <c r="N235" s="379"/>
      <c r="O235" s="236"/>
      <c r="P235" s="236"/>
      <c r="Q235" s="483">
        <v>40</v>
      </c>
      <c r="R235" s="484">
        <v>30</v>
      </c>
      <c r="S235" s="485">
        <f t="shared" si="540"/>
        <v>30</v>
      </c>
      <c r="T235" s="371"/>
      <c r="U235" s="232" t="str">
        <f t="shared" si="502"/>
        <v/>
      </c>
      <c r="V235" s="232">
        <f t="shared" si="503"/>
        <v>30</v>
      </c>
      <c r="W235" s="232" t="str">
        <f t="shared" si="504"/>
        <v/>
      </c>
      <c r="X235" s="232" t="str">
        <f t="shared" si="541"/>
        <v/>
      </c>
      <c r="Y235" s="371"/>
      <c r="Z235" s="497">
        <v>10</v>
      </c>
      <c r="AA235" s="498">
        <v>80</v>
      </c>
      <c r="AB235" s="485">
        <f t="shared" si="505"/>
        <v>10</v>
      </c>
      <c r="AC235" s="371"/>
      <c r="AD235" s="232" t="str">
        <f t="shared" si="506"/>
        <v/>
      </c>
      <c r="AE235" s="232">
        <f t="shared" si="507"/>
        <v>80</v>
      </c>
      <c r="AF235" s="232" t="str">
        <f t="shared" si="508"/>
        <v/>
      </c>
      <c r="AG235" s="232">
        <f t="shared" si="542"/>
        <v>1</v>
      </c>
      <c r="AH235" s="371"/>
      <c r="AI235" s="497">
        <v>40</v>
      </c>
      <c r="AJ235" s="498">
        <v>20</v>
      </c>
      <c r="AK235" s="485">
        <f t="shared" si="509"/>
        <v>40</v>
      </c>
      <c r="AL235" s="371"/>
      <c r="AM235" s="232" t="str">
        <f t="shared" si="510"/>
        <v/>
      </c>
      <c r="AN235" s="232">
        <f t="shared" si="511"/>
        <v>20</v>
      </c>
      <c r="AO235" s="232" t="str">
        <f t="shared" si="512"/>
        <v/>
      </c>
      <c r="AP235" s="232" t="str">
        <f t="shared" si="543"/>
        <v/>
      </c>
      <c r="AQ235" s="371"/>
      <c r="AR235" s="497">
        <v>50</v>
      </c>
      <c r="AS235" s="498">
        <v>40</v>
      </c>
      <c r="AT235" s="485">
        <f t="shared" si="513"/>
        <v>10</v>
      </c>
      <c r="AU235" s="371"/>
      <c r="AV235" s="232" t="str">
        <f t="shared" si="514"/>
        <v/>
      </c>
      <c r="AW235" s="232">
        <f t="shared" si="515"/>
        <v>40</v>
      </c>
      <c r="AX235" s="232" t="str">
        <f t="shared" si="516"/>
        <v/>
      </c>
      <c r="AY235" s="232" t="str">
        <f t="shared" si="544"/>
        <v/>
      </c>
      <c r="AZ235" s="371"/>
      <c r="BA235" s="497">
        <v>80</v>
      </c>
      <c r="BB235" s="498">
        <v>10</v>
      </c>
      <c r="BC235" s="485">
        <f t="shared" si="517"/>
        <v>10</v>
      </c>
      <c r="BD235" s="371"/>
      <c r="BE235" s="232" t="str">
        <f t="shared" si="518"/>
        <v/>
      </c>
      <c r="BF235" s="232">
        <f t="shared" si="519"/>
        <v>10</v>
      </c>
      <c r="BG235" s="232" t="str">
        <f t="shared" si="520"/>
        <v/>
      </c>
      <c r="BH235" s="232" t="str">
        <f t="shared" si="545"/>
        <v/>
      </c>
      <c r="BI235" s="371"/>
      <c r="BJ235" s="497">
        <v>30</v>
      </c>
      <c r="BK235" s="498">
        <v>40</v>
      </c>
      <c r="BL235" s="485">
        <f t="shared" si="521"/>
        <v>30</v>
      </c>
      <c r="BM235" s="371"/>
      <c r="BN235" s="232" t="str">
        <f t="shared" si="522"/>
        <v/>
      </c>
      <c r="BO235" s="232">
        <f t="shared" si="523"/>
        <v>40</v>
      </c>
      <c r="BP235" s="232" t="str">
        <f t="shared" si="524"/>
        <v/>
      </c>
      <c r="BQ235" s="232">
        <f t="shared" si="546"/>
        <v>1</v>
      </c>
      <c r="BR235" s="371"/>
      <c r="BS235" s="497">
        <v>40</v>
      </c>
      <c r="BT235" s="498">
        <v>30</v>
      </c>
      <c r="BU235" s="485">
        <f t="shared" si="525"/>
        <v>30</v>
      </c>
      <c r="BV235" s="371"/>
      <c r="BW235" s="232" t="str">
        <f t="shared" si="526"/>
        <v/>
      </c>
      <c r="BX235" s="232">
        <f t="shared" si="527"/>
        <v>30</v>
      </c>
      <c r="BY235" s="232" t="str">
        <f t="shared" si="528"/>
        <v/>
      </c>
      <c r="BZ235" s="232" t="str">
        <f t="shared" si="547"/>
        <v/>
      </c>
      <c r="CA235" s="371"/>
      <c r="CB235" s="504">
        <f t="shared" si="529"/>
        <v>50</v>
      </c>
      <c r="CC235" s="505">
        <f t="shared" si="530"/>
        <v>30</v>
      </c>
      <c r="CD235" s="506">
        <f t="shared" si="531"/>
        <v>20</v>
      </c>
      <c r="CE235" s="371"/>
      <c r="CF235" s="232" t="str">
        <f t="shared" si="532"/>
        <v/>
      </c>
      <c r="CG235" s="232">
        <f t="shared" si="533"/>
        <v>30</v>
      </c>
      <c r="CH235" s="232" t="str">
        <f t="shared" si="534"/>
        <v/>
      </c>
      <c r="CI235" s="232" t="str">
        <f t="shared" si="548"/>
        <v/>
      </c>
      <c r="CJ235" s="232"/>
      <c r="CK235" s="497">
        <v>60</v>
      </c>
      <c r="CL235" s="498">
        <v>30</v>
      </c>
      <c r="CM235" s="485">
        <f t="shared" si="535"/>
        <v>10</v>
      </c>
      <c r="CN235" s="371"/>
      <c r="CO235" s="232" t="str">
        <f t="shared" si="536"/>
        <v/>
      </c>
      <c r="CP235" s="232">
        <f t="shared" si="537"/>
        <v>30</v>
      </c>
      <c r="CQ235" s="232" t="str">
        <f t="shared" si="538"/>
        <v/>
      </c>
      <c r="CR235" s="232" t="str">
        <f t="shared" si="549"/>
        <v/>
      </c>
      <c r="CS235" s="232"/>
      <c r="CT235" s="371"/>
      <c r="CU235" s="300"/>
      <c r="CV235" s="246"/>
      <c r="CW235" s="264"/>
    </row>
    <row r="236" spans="1:101" ht="13.5" thickBot="1" x14ac:dyDescent="0.25">
      <c r="A236" s="264"/>
      <c r="B236" s="264"/>
      <c r="C236" s="202"/>
      <c r="D236" s="271">
        <v>9</v>
      </c>
      <c r="E236" s="168" t="s">
        <v>178</v>
      </c>
      <c r="F236" s="470">
        <v>1</v>
      </c>
      <c r="G236" s="476" t="s">
        <v>49</v>
      </c>
      <c r="H236" s="477">
        <v>1</v>
      </c>
      <c r="I236" s="392" t="str">
        <f t="shared" si="539"/>
        <v/>
      </c>
      <c r="J236" s="393" t="str">
        <f t="shared" si="500"/>
        <v>x</v>
      </c>
      <c r="K236" s="394" t="str">
        <f t="shared" si="501"/>
        <v/>
      </c>
      <c r="L236" s="299"/>
      <c r="M236" s="375"/>
      <c r="N236" s="379"/>
      <c r="O236" s="236"/>
      <c r="P236" s="236"/>
      <c r="Q236" s="489">
        <v>30</v>
      </c>
      <c r="R236" s="490">
        <v>30</v>
      </c>
      <c r="S236" s="491">
        <f t="shared" si="540"/>
        <v>40</v>
      </c>
      <c r="T236" s="371"/>
      <c r="U236" s="232" t="str">
        <f t="shared" si="502"/>
        <v/>
      </c>
      <c r="V236" s="232">
        <f t="shared" si="503"/>
        <v>30</v>
      </c>
      <c r="W236" s="232" t="str">
        <f t="shared" si="504"/>
        <v/>
      </c>
      <c r="X236" s="232" t="str">
        <f t="shared" si="541"/>
        <v/>
      </c>
      <c r="Y236" s="371"/>
      <c r="Z236" s="499">
        <v>10</v>
      </c>
      <c r="AA236" s="500">
        <v>10</v>
      </c>
      <c r="AB236" s="491">
        <f t="shared" si="505"/>
        <v>80</v>
      </c>
      <c r="AC236" s="371"/>
      <c r="AD236" s="232" t="str">
        <f t="shared" si="506"/>
        <v/>
      </c>
      <c r="AE236" s="232">
        <f t="shared" si="507"/>
        <v>10</v>
      </c>
      <c r="AF236" s="232" t="str">
        <f t="shared" si="508"/>
        <v/>
      </c>
      <c r="AG236" s="232" t="str">
        <f t="shared" si="542"/>
        <v/>
      </c>
      <c r="AH236" s="371"/>
      <c r="AI236" s="499">
        <v>40</v>
      </c>
      <c r="AJ236" s="500">
        <v>20</v>
      </c>
      <c r="AK236" s="491">
        <f t="shared" si="509"/>
        <v>40</v>
      </c>
      <c r="AL236" s="371"/>
      <c r="AM236" s="232" t="str">
        <f t="shared" si="510"/>
        <v/>
      </c>
      <c r="AN236" s="232">
        <f t="shared" si="511"/>
        <v>20</v>
      </c>
      <c r="AO236" s="232" t="str">
        <f t="shared" si="512"/>
        <v/>
      </c>
      <c r="AP236" s="232" t="str">
        <f t="shared" si="543"/>
        <v/>
      </c>
      <c r="AQ236" s="371"/>
      <c r="AR236" s="499">
        <v>10</v>
      </c>
      <c r="AS236" s="500">
        <v>30</v>
      </c>
      <c r="AT236" s="491">
        <f t="shared" si="513"/>
        <v>60</v>
      </c>
      <c r="AU236" s="371"/>
      <c r="AV236" s="232" t="str">
        <f t="shared" si="514"/>
        <v/>
      </c>
      <c r="AW236" s="232">
        <f t="shared" si="515"/>
        <v>30</v>
      </c>
      <c r="AX236" s="232" t="str">
        <f t="shared" si="516"/>
        <v/>
      </c>
      <c r="AY236" s="232" t="str">
        <f t="shared" si="544"/>
        <v/>
      </c>
      <c r="AZ236" s="371"/>
      <c r="BA236" s="499">
        <v>50</v>
      </c>
      <c r="BB236" s="500">
        <v>10</v>
      </c>
      <c r="BC236" s="491">
        <f t="shared" si="517"/>
        <v>40</v>
      </c>
      <c r="BD236" s="371"/>
      <c r="BE236" s="232" t="str">
        <f t="shared" si="518"/>
        <v/>
      </c>
      <c r="BF236" s="232">
        <f t="shared" si="519"/>
        <v>10</v>
      </c>
      <c r="BG236" s="232" t="str">
        <f t="shared" si="520"/>
        <v/>
      </c>
      <c r="BH236" s="232" t="str">
        <f t="shared" si="545"/>
        <v/>
      </c>
      <c r="BI236" s="371"/>
      <c r="BJ236" s="499">
        <v>10</v>
      </c>
      <c r="BK236" s="500">
        <v>10</v>
      </c>
      <c r="BL236" s="491">
        <f t="shared" si="521"/>
        <v>80</v>
      </c>
      <c r="BM236" s="371"/>
      <c r="BN236" s="232" t="str">
        <f t="shared" si="522"/>
        <v/>
      </c>
      <c r="BO236" s="232">
        <f t="shared" si="523"/>
        <v>10</v>
      </c>
      <c r="BP236" s="232" t="str">
        <f t="shared" si="524"/>
        <v/>
      </c>
      <c r="BQ236" s="232" t="str">
        <f t="shared" si="546"/>
        <v/>
      </c>
      <c r="BR236" s="371"/>
      <c r="BS236" s="499">
        <v>20</v>
      </c>
      <c r="BT236" s="500">
        <v>30</v>
      </c>
      <c r="BU236" s="491">
        <f t="shared" si="525"/>
        <v>50</v>
      </c>
      <c r="BV236" s="371"/>
      <c r="BW236" s="232" t="str">
        <f t="shared" si="526"/>
        <v/>
      </c>
      <c r="BX236" s="232">
        <f t="shared" si="527"/>
        <v>30</v>
      </c>
      <c r="BY236" s="232" t="str">
        <f t="shared" si="528"/>
        <v/>
      </c>
      <c r="BZ236" s="232" t="str">
        <f t="shared" si="547"/>
        <v/>
      </c>
      <c r="CA236" s="371"/>
      <c r="CB236" s="507">
        <f t="shared" si="529"/>
        <v>30</v>
      </c>
      <c r="CC236" s="508">
        <f t="shared" si="530"/>
        <v>20</v>
      </c>
      <c r="CD236" s="509">
        <f t="shared" si="531"/>
        <v>50</v>
      </c>
      <c r="CE236" s="371"/>
      <c r="CF236" s="232" t="str">
        <f t="shared" si="532"/>
        <v/>
      </c>
      <c r="CG236" s="232">
        <f t="shared" si="533"/>
        <v>20</v>
      </c>
      <c r="CH236" s="232" t="str">
        <f t="shared" si="534"/>
        <v/>
      </c>
      <c r="CI236" s="232" t="str">
        <f t="shared" si="548"/>
        <v/>
      </c>
      <c r="CJ236" s="232"/>
      <c r="CK236" s="499">
        <v>20</v>
      </c>
      <c r="CL236" s="500">
        <v>20</v>
      </c>
      <c r="CM236" s="491">
        <f t="shared" si="535"/>
        <v>60</v>
      </c>
      <c r="CN236" s="371"/>
      <c r="CO236" s="232" t="str">
        <f t="shared" si="536"/>
        <v/>
      </c>
      <c r="CP236" s="232">
        <f t="shared" si="537"/>
        <v>20</v>
      </c>
      <c r="CQ236" s="232" t="str">
        <f t="shared" si="538"/>
        <v/>
      </c>
      <c r="CR236" s="232" t="str">
        <f t="shared" si="549"/>
        <v/>
      </c>
      <c r="CS236" s="232"/>
      <c r="CT236" s="371"/>
      <c r="CU236" s="300"/>
      <c r="CV236" s="246"/>
      <c r="CW236" s="264"/>
    </row>
    <row r="237" spans="1:101" x14ac:dyDescent="0.2">
      <c r="A237" s="264"/>
      <c r="B237" s="264"/>
      <c r="C237" s="202"/>
      <c r="D237" s="271">
        <v>10</v>
      </c>
      <c r="E237" s="169" t="s">
        <v>179</v>
      </c>
      <c r="F237" s="471">
        <v>0</v>
      </c>
      <c r="G237" s="478" t="s">
        <v>49</v>
      </c>
      <c r="H237" s="479">
        <v>1</v>
      </c>
      <c r="I237" s="170" t="str">
        <f t="shared" si="539"/>
        <v/>
      </c>
      <c r="J237" s="387" t="str">
        <f t="shared" si="500"/>
        <v/>
      </c>
      <c r="K237" s="388" t="str">
        <f t="shared" si="501"/>
        <v>x</v>
      </c>
      <c r="L237" s="299"/>
      <c r="M237" s="375"/>
      <c r="N237" s="379"/>
      <c r="O237" s="236"/>
      <c r="P237" s="236"/>
      <c r="Q237" s="492">
        <v>40</v>
      </c>
      <c r="R237" s="493">
        <v>30</v>
      </c>
      <c r="S237" s="494">
        <f t="shared" si="540"/>
        <v>30</v>
      </c>
      <c r="T237" s="371"/>
      <c r="U237" s="232" t="str">
        <f t="shared" si="502"/>
        <v/>
      </c>
      <c r="V237" s="232" t="str">
        <f t="shared" si="503"/>
        <v/>
      </c>
      <c r="W237" s="232">
        <f t="shared" si="504"/>
        <v>30</v>
      </c>
      <c r="X237" s="232" t="str">
        <f t="shared" si="541"/>
        <v/>
      </c>
      <c r="Y237" s="371"/>
      <c r="Z237" s="495">
        <v>80</v>
      </c>
      <c r="AA237" s="496">
        <v>10</v>
      </c>
      <c r="AB237" s="494">
        <f t="shared" si="505"/>
        <v>10</v>
      </c>
      <c r="AC237" s="371"/>
      <c r="AD237" s="232" t="str">
        <f t="shared" si="506"/>
        <v/>
      </c>
      <c r="AE237" s="232" t="str">
        <f t="shared" si="507"/>
        <v/>
      </c>
      <c r="AF237" s="232">
        <f t="shared" si="508"/>
        <v>10</v>
      </c>
      <c r="AG237" s="232" t="str">
        <f t="shared" si="542"/>
        <v/>
      </c>
      <c r="AH237" s="371"/>
      <c r="AI237" s="495">
        <v>80</v>
      </c>
      <c r="AJ237" s="496">
        <v>10</v>
      </c>
      <c r="AK237" s="494">
        <f t="shared" si="509"/>
        <v>10</v>
      </c>
      <c r="AL237" s="371"/>
      <c r="AM237" s="232" t="str">
        <f t="shared" si="510"/>
        <v/>
      </c>
      <c r="AN237" s="232" t="str">
        <f t="shared" si="511"/>
        <v/>
      </c>
      <c r="AO237" s="232">
        <f t="shared" si="512"/>
        <v>10</v>
      </c>
      <c r="AP237" s="232" t="str">
        <f t="shared" si="543"/>
        <v/>
      </c>
      <c r="AQ237" s="371"/>
      <c r="AR237" s="495">
        <v>60</v>
      </c>
      <c r="AS237" s="496">
        <v>30</v>
      </c>
      <c r="AT237" s="494">
        <f t="shared" si="513"/>
        <v>10</v>
      </c>
      <c r="AU237" s="371"/>
      <c r="AV237" s="232" t="str">
        <f t="shared" si="514"/>
        <v/>
      </c>
      <c r="AW237" s="232" t="str">
        <f t="shared" si="515"/>
        <v/>
      </c>
      <c r="AX237" s="232">
        <f t="shared" si="516"/>
        <v>10</v>
      </c>
      <c r="AY237" s="232" t="str">
        <f t="shared" si="544"/>
        <v/>
      </c>
      <c r="AZ237" s="371"/>
      <c r="BA237" s="495">
        <v>80</v>
      </c>
      <c r="BB237" s="496">
        <v>10</v>
      </c>
      <c r="BC237" s="494">
        <f t="shared" si="517"/>
        <v>10</v>
      </c>
      <c r="BD237" s="371"/>
      <c r="BE237" s="232" t="str">
        <f t="shared" si="518"/>
        <v/>
      </c>
      <c r="BF237" s="232" t="str">
        <f t="shared" si="519"/>
        <v/>
      </c>
      <c r="BG237" s="232">
        <f t="shared" si="520"/>
        <v>10</v>
      </c>
      <c r="BH237" s="232" t="str">
        <f t="shared" si="545"/>
        <v/>
      </c>
      <c r="BI237" s="371"/>
      <c r="BJ237" s="495">
        <v>30</v>
      </c>
      <c r="BK237" s="496">
        <v>40</v>
      </c>
      <c r="BL237" s="494">
        <f t="shared" si="521"/>
        <v>30</v>
      </c>
      <c r="BM237" s="371"/>
      <c r="BN237" s="232" t="str">
        <f t="shared" si="522"/>
        <v/>
      </c>
      <c r="BO237" s="232" t="str">
        <f t="shared" si="523"/>
        <v/>
      </c>
      <c r="BP237" s="232">
        <f t="shared" si="524"/>
        <v>30</v>
      </c>
      <c r="BQ237" s="232" t="str">
        <f t="shared" si="546"/>
        <v/>
      </c>
      <c r="BR237" s="371"/>
      <c r="BS237" s="495">
        <v>40</v>
      </c>
      <c r="BT237" s="496">
        <v>50</v>
      </c>
      <c r="BU237" s="494">
        <f t="shared" si="525"/>
        <v>10</v>
      </c>
      <c r="BV237" s="371"/>
      <c r="BW237" s="232" t="str">
        <f t="shared" si="526"/>
        <v/>
      </c>
      <c r="BX237" s="232" t="str">
        <f t="shared" si="527"/>
        <v/>
      </c>
      <c r="BY237" s="232">
        <f t="shared" si="528"/>
        <v>10</v>
      </c>
      <c r="BZ237" s="232" t="str">
        <f t="shared" si="547"/>
        <v/>
      </c>
      <c r="CA237" s="371"/>
      <c r="CB237" s="501">
        <f t="shared" si="529"/>
        <v>60</v>
      </c>
      <c r="CC237" s="502">
        <f t="shared" si="530"/>
        <v>20</v>
      </c>
      <c r="CD237" s="503">
        <f t="shared" si="531"/>
        <v>20</v>
      </c>
      <c r="CE237" s="371"/>
      <c r="CF237" s="232" t="str">
        <f t="shared" si="532"/>
        <v/>
      </c>
      <c r="CG237" s="232" t="str">
        <f t="shared" si="533"/>
        <v/>
      </c>
      <c r="CH237" s="232">
        <f t="shared" si="534"/>
        <v>20</v>
      </c>
      <c r="CI237" s="232" t="str">
        <f t="shared" si="548"/>
        <v/>
      </c>
      <c r="CJ237" s="232"/>
      <c r="CK237" s="495">
        <v>80</v>
      </c>
      <c r="CL237" s="496">
        <v>10</v>
      </c>
      <c r="CM237" s="494">
        <f t="shared" si="535"/>
        <v>10</v>
      </c>
      <c r="CN237" s="371"/>
      <c r="CO237" s="232" t="str">
        <f t="shared" si="536"/>
        <v/>
      </c>
      <c r="CP237" s="232" t="str">
        <f t="shared" si="537"/>
        <v/>
      </c>
      <c r="CQ237" s="232">
        <f t="shared" si="538"/>
        <v>10</v>
      </c>
      <c r="CR237" s="232" t="str">
        <f t="shared" si="549"/>
        <v/>
      </c>
      <c r="CS237" s="232"/>
      <c r="CT237" s="371"/>
      <c r="CU237" s="300"/>
      <c r="CV237" s="246"/>
      <c r="CW237" s="264"/>
    </row>
    <row r="238" spans="1:101" x14ac:dyDescent="0.2">
      <c r="A238" s="264"/>
      <c r="B238" s="264"/>
      <c r="C238" s="202"/>
      <c r="D238" s="271">
        <v>11</v>
      </c>
      <c r="E238" s="167" t="s">
        <v>180</v>
      </c>
      <c r="F238" s="469">
        <v>2</v>
      </c>
      <c r="G238" s="474" t="s">
        <v>49</v>
      </c>
      <c r="H238" s="475">
        <v>0</v>
      </c>
      <c r="I238" s="389" t="str">
        <f t="shared" si="539"/>
        <v>x</v>
      </c>
      <c r="J238" s="390" t="str">
        <f t="shared" si="500"/>
        <v/>
      </c>
      <c r="K238" s="391" t="str">
        <f t="shared" si="501"/>
        <v/>
      </c>
      <c r="L238" s="299"/>
      <c r="M238" s="375"/>
      <c r="N238" s="379"/>
      <c r="O238" s="236"/>
      <c r="P238" s="236"/>
      <c r="Q238" s="483">
        <v>40</v>
      </c>
      <c r="R238" s="484">
        <v>30</v>
      </c>
      <c r="S238" s="485">
        <f t="shared" si="540"/>
        <v>30</v>
      </c>
      <c r="T238" s="371"/>
      <c r="U238" s="232">
        <f t="shared" si="502"/>
        <v>40</v>
      </c>
      <c r="V238" s="232" t="str">
        <f t="shared" si="503"/>
        <v/>
      </c>
      <c r="W238" s="232" t="str">
        <f t="shared" si="504"/>
        <v/>
      </c>
      <c r="X238" s="232">
        <f t="shared" si="541"/>
        <v>1</v>
      </c>
      <c r="Y238" s="371"/>
      <c r="Z238" s="497">
        <v>10</v>
      </c>
      <c r="AA238" s="498">
        <v>80</v>
      </c>
      <c r="AB238" s="485">
        <f t="shared" si="505"/>
        <v>10</v>
      </c>
      <c r="AC238" s="371"/>
      <c r="AD238" s="232">
        <f t="shared" si="506"/>
        <v>10</v>
      </c>
      <c r="AE238" s="232" t="str">
        <f t="shared" si="507"/>
        <v/>
      </c>
      <c r="AF238" s="232" t="str">
        <f t="shared" si="508"/>
        <v/>
      </c>
      <c r="AG238" s="232" t="str">
        <f t="shared" si="542"/>
        <v/>
      </c>
      <c r="AH238" s="371"/>
      <c r="AI238" s="497">
        <v>50</v>
      </c>
      <c r="AJ238" s="498">
        <v>20</v>
      </c>
      <c r="AK238" s="485">
        <f t="shared" si="509"/>
        <v>30</v>
      </c>
      <c r="AL238" s="371"/>
      <c r="AM238" s="232">
        <f t="shared" si="510"/>
        <v>50</v>
      </c>
      <c r="AN238" s="232" t="str">
        <f t="shared" si="511"/>
        <v/>
      </c>
      <c r="AO238" s="232" t="str">
        <f t="shared" si="512"/>
        <v/>
      </c>
      <c r="AP238" s="232">
        <f t="shared" si="543"/>
        <v>1</v>
      </c>
      <c r="AQ238" s="371"/>
      <c r="AR238" s="497">
        <v>30</v>
      </c>
      <c r="AS238" s="498">
        <v>20</v>
      </c>
      <c r="AT238" s="485">
        <f t="shared" si="513"/>
        <v>50</v>
      </c>
      <c r="AU238" s="371"/>
      <c r="AV238" s="232">
        <f t="shared" si="514"/>
        <v>30</v>
      </c>
      <c r="AW238" s="232" t="str">
        <f t="shared" si="515"/>
        <v/>
      </c>
      <c r="AX238" s="232" t="str">
        <f t="shared" si="516"/>
        <v/>
      </c>
      <c r="AY238" s="232" t="str">
        <f t="shared" si="544"/>
        <v/>
      </c>
      <c r="AZ238" s="371"/>
      <c r="BA238" s="497">
        <v>80</v>
      </c>
      <c r="BB238" s="498">
        <v>10</v>
      </c>
      <c r="BC238" s="485">
        <f t="shared" si="517"/>
        <v>10</v>
      </c>
      <c r="BD238" s="371"/>
      <c r="BE238" s="232">
        <f t="shared" si="518"/>
        <v>80</v>
      </c>
      <c r="BF238" s="232" t="str">
        <f t="shared" si="519"/>
        <v/>
      </c>
      <c r="BG238" s="232" t="str">
        <f t="shared" si="520"/>
        <v/>
      </c>
      <c r="BH238" s="232">
        <f t="shared" si="545"/>
        <v>1</v>
      </c>
      <c r="BI238" s="371"/>
      <c r="BJ238" s="497">
        <v>30</v>
      </c>
      <c r="BK238" s="498">
        <v>40</v>
      </c>
      <c r="BL238" s="485">
        <f t="shared" si="521"/>
        <v>30</v>
      </c>
      <c r="BM238" s="371"/>
      <c r="BN238" s="232">
        <f t="shared" si="522"/>
        <v>30</v>
      </c>
      <c r="BO238" s="232" t="str">
        <f t="shared" si="523"/>
        <v/>
      </c>
      <c r="BP238" s="232" t="str">
        <f t="shared" si="524"/>
        <v/>
      </c>
      <c r="BQ238" s="232" t="str">
        <f t="shared" si="546"/>
        <v/>
      </c>
      <c r="BR238" s="371"/>
      <c r="BS238" s="497">
        <v>50</v>
      </c>
      <c r="BT238" s="498">
        <v>30</v>
      </c>
      <c r="BU238" s="485">
        <f t="shared" si="525"/>
        <v>20</v>
      </c>
      <c r="BV238" s="371"/>
      <c r="BW238" s="232">
        <f t="shared" si="526"/>
        <v>50</v>
      </c>
      <c r="BX238" s="232" t="str">
        <f t="shared" si="527"/>
        <v/>
      </c>
      <c r="BY238" s="232" t="str">
        <f t="shared" si="528"/>
        <v/>
      </c>
      <c r="BZ238" s="232">
        <f t="shared" si="547"/>
        <v>1</v>
      </c>
      <c r="CA238" s="371"/>
      <c r="CB238" s="504">
        <f t="shared" si="529"/>
        <v>50</v>
      </c>
      <c r="CC238" s="505">
        <f t="shared" si="530"/>
        <v>30</v>
      </c>
      <c r="CD238" s="506">
        <f t="shared" si="531"/>
        <v>20</v>
      </c>
      <c r="CE238" s="371"/>
      <c r="CF238" s="232">
        <f t="shared" si="532"/>
        <v>50</v>
      </c>
      <c r="CG238" s="232" t="str">
        <f t="shared" si="533"/>
        <v/>
      </c>
      <c r="CH238" s="232" t="str">
        <f t="shared" si="534"/>
        <v/>
      </c>
      <c r="CI238" s="232">
        <f t="shared" si="548"/>
        <v>1</v>
      </c>
      <c r="CJ238" s="232"/>
      <c r="CK238" s="497">
        <v>40</v>
      </c>
      <c r="CL238" s="498">
        <v>30</v>
      </c>
      <c r="CM238" s="485">
        <f t="shared" si="535"/>
        <v>30</v>
      </c>
      <c r="CN238" s="371"/>
      <c r="CO238" s="232">
        <f t="shared" si="536"/>
        <v>40</v>
      </c>
      <c r="CP238" s="232" t="str">
        <f t="shared" si="537"/>
        <v/>
      </c>
      <c r="CQ238" s="232" t="str">
        <f t="shared" si="538"/>
        <v/>
      </c>
      <c r="CR238" s="232">
        <f t="shared" si="549"/>
        <v>1</v>
      </c>
      <c r="CS238" s="232"/>
      <c r="CT238" s="371"/>
      <c r="CU238" s="300"/>
      <c r="CV238" s="246"/>
      <c r="CW238" s="264"/>
    </row>
    <row r="239" spans="1:101" ht="13.5" thickBot="1" x14ac:dyDescent="0.25">
      <c r="A239" s="264"/>
      <c r="B239" s="264"/>
      <c r="C239" s="202"/>
      <c r="D239" s="271">
        <v>12</v>
      </c>
      <c r="E239" s="168" t="s">
        <v>181</v>
      </c>
      <c r="F239" s="470">
        <v>0</v>
      </c>
      <c r="G239" s="476" t="s">
        <v>49</v>
      </c>
      <c r="H239" s="477">
        <v>0</v>
      </c>
      <c r="I239" s="392" t="str">
        <f>IF($F239&gt;$H239,"x","")</f>
        <v/>
      </c>
      <c r="J239" s="393" t="str">
        <f t="shared" si="500"/>
        <v>x</v>
      </c>
      <c r="K239" s="394" t="str">
        <f t="shared" si="501"/>
        <v/>
      </c>
      <c r="L239" s="299"/>
      <c r="M239" s="375"/>
      <c r="N239" s="379"/>
      <c r="O239" s="236"/>
      <c r="P239" s="236"/>
      <c r="Q239" s="489">
        <v>30</v>
      </c>
      <c r="R239" s="490">
        <v>30</v>
      </c>
      <c r="S239" s="491">
        <f t="shared" si="540"/>
        <v>40</v>
      </c>
      <c r="T239" s="371"/>
      <c r="U239" s="232" t="str">
        <f t="shared" si="502"/>
        <v/>
      </c>
      <c r="V239" s="232">
        <f t="shared" si="503"/>
        <v>30</v>
      </c>
      <c r="W239" s="232" t="str">
        <f t="shared" si="504"/>
        <v/>
      </c>
      <c r="X239" s="232" t="str">
        <f t="shared" si="541"/>
        <v/>
      </c>
      <c r="Y239" s="371"/>
      <c r="Z239" s="499">
        <v>10</v>
      </c>
      <c r="AA239" s="500">
        <v>10</v>
      </c>
      <c r="AB239" s="491">
        <f t="shared" si="505"/>
        <v>80</v>
      </c>
      <c r="AC239" s="371"/>
      <c r="AD239" s="232" t="str">
        <f t="shared" si="506"/>
        <v/>
      </c>
      <c r="AE239" s="232">
        <f t="shared" si="507"/>
        <v>10</v>
      </c>
      <c r="AF239" s="232" t="str">
        <f t="shared" si="508"/>
        <v/>
      </c>
      <c r="AG239" s="232" t="str">
        <f t="shared" si="542"/>
        <v/>
      </c>
      <c r="AH239" s="371"/>
      <c r="AI239" s="499">
        <v>30</v>
      </c>
      <c r="AJ239" s="500">
        <v>40</v>
      </c>
      <c r="AK239" s="491">
        <f t="shared" si="509"/>
        <v>30</v>
      </c>
      <c r="AL239" s="371"/>
      <c r="AM239" s="232" t="str">
        <f t="shared" si="510"/>
        <v/>
      </c>
      <c r="AN239" s="232">
        <f t="shared" si="511"/>
        <v>40</v>
      </c>
      <c r="AO239" s="232" t="str">
        <f t="shared" si="512"/>
        <v/>
      </c>
      <c r="AP239" s="232">
        <f t="shared" si="543"/>
        <v>1</v>
      </c>
      <c r="AQ239" s="371"/>
      <c r="AR239" s="499">
        <v>30</v>
      </c>
      <c r="AS239" s="500">
        <v>20</v>
      </c>
      <c r="AT239" s="491">
        <f t="shared" si="513"/>
        <v>50</v>
      </c>
      <c r="AU239" s="371"/>
      <c r="AV239" s="232" t="str">
        <f t="shared" si="514"/>
        <v/>
      </c>
      <c r="AW239" s="232">
        <f t="shared" si="515"/>
        <v>20</v>
      </c>
      <c r="AX239" s="232" t="str">
        <f t="shared" si="516"/>
        <v/>
      </c>
      <c r="AY239" s="232" t="str">
        <f t="shared" si="544"/>
        <v/>
      </c>
      <c r="AZ239" s="371"/>
      <c r="BA239" s="499">
        <v>10</v>
      </c>
      <c r="BB239" s="500">
        <v>10</v>
      </c>
      <c r="BC239" s="491">
        <f t="shared" si="517"/>
        <v>80</v>
      </c>
      <c r="BD239" s="371"/>
      <c r="BE239" s="232" t="str">
        <f t="shared" si="518"/>
        <v/>
      </c>
      <c r="BF239" s="232">
        <f t="shared" si="519"/>
        <v>10</v>
      </c>
      <c r="BG239" s="232" t="str">
        <f t="shared" si="520"/>
        <v/>
      </c>
      <c r="BH239" s="232" t="str">
        <f t="shared" si="545"/>
        <v/>
      </c>
      <c r="BI239" s="371"/>
      <c r="BJ239" s="499">
        <v>10</v>
      </c>
      <c r="BK239" s="500">
        <v>10</v>
      </c>
      <c r="BL239" s="491">
        <f t="shared" si="521"/>
        <v>80</v>
      </c>
      <c r="BM239" s="371"/>
      <c r="BN239" s="232" t="str">
        <f t="shared" si="522"/>
        <v/>
      </c>
      <c r="BO239" s="232">
        <f t="shared" si="523"/>
        <v>10</v>
      </c>
      <c r="BP239" s="232" t="str">
        <f t="shared" si="524"/>
        <v/>
      </c>
      <c r="BQ239" s="232" t="str">
        <f t="shared" si="546"/>
        <v/>
      </c>
      <c r="BR239" s="371"/>
      <c r="BS239" s="499">
        <v>30</v>
      </c>
      <c r="BT239" s="500">
        <v>30</v>
      </c>
      <c r="BU239" s="491">
        <f t="shared" si="525"/>
        <v>40</v>
      </c>
      <c r="BV239" s="371"/>
      <c r="BW239" s="232" t="str">
        <f t="shared" si="526"/>
        <v/>
      </c>
      <c r="BX239" s="232">
        <f t="shared" si="527"/>
        <v>30</v>
      </c>
      <c r="BY239" s="232" t="str">
        <f t="shared" si="528"/>
        <v/>
      </c>
      <c r="BZ239" s="232" t="str">
        <f t="shared" si="547"/>
        <v/>
      </c>
      <c r="CA239" s="371"/>
      <c r="CB239" s="507">
        <f t="shared" si="529"/>
        <v>30</v>
      </c>
      <c r="CC239" s="508">
        <f t="shared" si="530"/>
        <v>20</v>
      </c>
      <c r="CD239" s="509">
        <f t="shared" si="531"/>
        <v>50</v>
      </c>
      <c r="CE239" s="371"/>
      <c r="CF239" s="232" t="str">
        <f t="shared" si="532"/>
        <v/>
      </c>
      <c r="CG239" s="232">
        <f t="shared" si="533"/>
        <v>20</v>
      </c>
      <c r="CH239" s="232" t="str">
        <f t="shared" si="534"/>
        <v/>
      </c>
      <c r="CI239" s="232" t="str">
        <f t="shared" si="548"/>
        <v/>
      </c>
      <c r="CJ239" s="232"/>
      <c r="CK239" s="499">
        <v>10</v>
      </c>
      <c r="CL239" s="500">
        <v>30</v>
      </c>
      <c r="CM239" s="491">
        <f t="shared" si="535"/>
        <v>60</v>
      </c>
      <c r="CN239" s="371"/>
      <c r="CO239" s="232" t="str">
        <f t="shared" si="536"/>
        <v/>
      </c>
      <c r="CP239" s="232">
        <f t="shared" si="537"/>
        <v>30</v>
      </c>
      <c r="CQ239" s="232" t="str">
        <f t="shared" si="538"/>
        <v/>
      </c>
      <c r="CR239" s="232" t="str">
        <f t="shared" si="549"/>
        <v/>
      </c>
      <c r="CS239" s="232"/>
      <c r="CT239" s="371"/>
      <c r="CU239" s="300"/>
      <c r="CV239" s="246"/>
      <c r="CW239" s="264"/>
    </row>
    <row r="240" spans="1:101" x14ac:dyDescent="0.2">
      <c r="A240" s="264"/>
      <c r="B240" s="264"/>
      <c r="C240" s="202"/>
      <c r="D240" s="272"/>
      <c r="E240" s="235"/>
      <c r="F240" s="395">
        <f>IF(SUM(F228:F239)=0,"",SUM(F228:F239))</f>
        <v>15</v>
      </c>
      <c r="G240" s="370" t="s">
        <v>49</v>
      </c>
      <c r="H240" s="396">
        <f>IF(SUM(H228:H239)=0,"",SUM(H228:H239))</f>
        <v>14</v>
      </c>
      <c r="I240" s="397">
        <f>IF(COUNTIF(I228:I239,"=x")=0,"",COUNTIF(I228:I239,"=x"))</f>
        <v>5</v>
      </c>
      <c r="J240" s="398">
        <f>IF(COUNTIF(J228:J239,"=x")=0,"",COUNTIF(J228:J239,"=x"))</f>
        <v>3</v>
      </c>
      <c r="K240" s="399">
        <f>IF(COUNTIF(K228:K239,"=x")=0,"",COUNTIF(K228:K239,"=x"))</f>
        <v>4</v>
      </c>
      <c r="L240" s="299"/>
      <c r="M240" s="375"/>
      <c r="N240" s="379"/>
      <c r="O240" s="236"/>
      <c r="P240" s="369"/>
      <c r="Q240" s="466">
        <f>SUM(U228:U239)</f>
        <v>250</v>
      </c>
      <c r="R240" s="466">
        <f>SUM(V228:V239)</f>
        <v>90</v>
      </c>
      <c r="S240" s="466">
        <f>SUM(W228:W239)</f>
        <v>210</v>
      </c>
      <c r="T240" s="368"/>
      <c r="U240" s="232"/>
      <c r="V240" s="232"/>
      <c r="W240" s="232"/>
      <c r="X240" s="232"/>
      <c r="Y240" s="367"/>
      <c r="Z240" s="466">
        <f>SUM(AD228:AD239)</f>
        <v>260</v>
      </c>
      <c r="AA240" s="466">
        <f>SUM(AE228:AE239)</f>
        <v>100</v>
      </c>
      <c r="AB240" s="466">
        <f>SUM(AF228:AF239)</f>
        <v>180</v>
      </c>
      <c r="AC240" s="368"/>
      <c r="AD240" s="232"/>
      <c r="AE240" s="232"/>
      <c r="AF240" s="232"/>
      <c r="AG240" s="232"/>
      <c r="AH240" s="367"/>
      <c r="AI240" s="466">
        <f>SUM(AM228:AM239)</f>
        <v>240</v>
      </c>
      <c r="AJ240" s="466">
        <f>SUM(AN228:AN239)</f>
        <v>80</v>
      </c>
      <c r="AK240" s="466">
        <f>SUM(AO228:AO239)</f>
        <v>190</v>
      </c>
      <c r="AL240" s="368"/>
      <c r="AM240" s="232"/>
      <c r="AN240" s="232"/>
      <c r="AO240" s="232"/>
      <c r="AP240" s="232"/>
      <c r="AQ240" s="367"/>
      <c r="AR240" s="466">
        <f>SUM(AV228:AV239)</f>
        <v>310</v>
      </c>
      <c r="AS240" s="466">
        <f>SUM(AW228:AW239)</f>
        <v>90</v>
      </c>
      <c r="AT240" s="466">
        <f>SUM(AX228:AX239)</f>
        <v>180</v>
      </c>
      <c r="AU240" s="368"/>
      <c r="AV240" s="232"/>
      <c r="AW240" s="232"/>
      <c r="AX240" s="232"/>
      <c r="AY240" s="232"/>
      <c r="AZ240" s="367"/>
      <c r="BA240" s="466">
        <f>SUM(BE228:BE239)</f>
        <v>330</v>
      </c>
      <c r="BB240" s="466">
        <f>SUM(BF228:BF239)</f>
        <v>30</v>
      </c>
      <c r="BC240" s="466">
        <f>SUM(BG228:BG239)</f>
        <v>250</v>
      </c>
      <c r="BD240" s="368"/>
      <c r="BE240" s="232"/>
      <c r="BF240" s="232"/>
      <c r="BG240" s="232"/>
      <c r="BH240" s="232"/>
      <c r="BI240" s="367"/>
      <c r="BJ240" s="466">
        <f>SUM(BN228:BN239)</f>
        <v>260</v>
      </c>
      <c r="BK240" s="466">
        <f>SUM(BO228:BO239)</f>
        <v>60</v>
      </c>
      <c r="BL240" s="466">
        <f>SUM(BP228:BP239)</f>
        <v>200</v>
      </c>
      <c r="BM240" s="368"/>
      <c r="BN240" s="232"/>
      <c r="BO240" s="232"/>
      <c r="BP240" s="232"/>
      <c r="BQ240" s="232"/>
      <c r="BR240" s="367"/>
      <c r="BS240" s="466">
        <f>SUM(BW228:BW239)</f>
        <v>280</v>
      </c>
      <c r="BT240" s="466">
        <f>SUM(BX228:BX239)</f>
        <v>90</v>
      </c>
      <c r="BU240" s="466">
        <f>SUM(BY228:BY239)</f>
        <v>190</v>
      </c>
      <c r="BV240" s="368"/>
      <c r="BW240" s="232"/>
      <c r="BX240" s="232"/>
      <c r="BY240" s="232"/>
      <c r="BZ240" s="232"/>
      <c r="CA240" s="369"/>
      <c r="CB240" s="466">
        <f>SUM(CF228:CF239)</f>
        <v>300</v>
      </c>
      <c r="CC240" s="466">
        <f>SUM(CG228:CG239)</f>
        <v>70</v>
      </c>
      <c r="CD240" s="466">
        <f>SUM(CH228:CH239)</f>
        <v>200</v>
      </c>
      <c r="CE240" s="368"/>
      <c r="CF240" s="232"/>
      <c r="CG240" s="232"/>
      <c r="CH240" s="232"/>
      <c r="CI240" s="232"/>
      <c r="CJ240" s="232"/>
      <c r="CK240" s="466">
        <f>SUM(CO228:CO239)</f>
        <v>300</v>
      </c>
      <c r="CL240" s="466">
        <f>SUM(CP228:CP239)</f>
        <v>80</v>
      </c>
      <c r="CM240" s="466">
        <f>SUM(CQ228:CQ239)</f>
        <v>230</v>
      </c>
      <c r="CN240" s="368"/>
      <c r="CO240" s="232"/>
      <c r="CP240" s="232"/>
      <c r="CQ240" s="232"/>
      <c r="CR240" s="232"/>
      <c r="CS240" s="232"/>
      <c r="CT240" s="232"/>
      <c r="CU240" s="300"/>
      <c r="CV240" s="246"/>
      <c r="CW240" s="265"/>
    </row>
    <row r="241" spans="1:101" ht="13.5" thickBot="1" x14ac:dyDescent="0.25">
      <c r="A241" s="264"/>
      <c r="B241" s="264"/>
      <c r="C241" s="202"/>
      <c r="D241" s="289"/>
      <c r="E241" s="282"/>
      <c r="F241" s="283"/>
      <c r="G241" s="282"/>
      <c r="H241" s="282"/>
      <c r="I241" s="282"/>
      <c r="J241" s="282"/>
      <c r="K241" s="282"/>
      <c r="L241" s="293"/>
      <c r="M241" s="301"/>
      <c r="N241" s="380"/>
      <c r="O241" s="376"/>
      <c r="P241" s="284"/>
      <c r="Q241" s="285"/>
      <c r="R241" s="285"/>
      <c r="S241" s="285"/>
      <c r="T241" s="286"/>
      <c r="U241" s="287"/>
      <c r="V241" s="287"/>
      <c r="W241" s="287"/>
      <c r="X241" s="287"/>
      <c r="Y241" s="284"/>
      <c r="Z241" s="285"/>
      <c r="AA241" s="285"/>
      <c r="AB241" s="285"/>
      <c r="AC241" s="286"/>
      <c r="AD241" s="287"/>
      <c r="AE241" s="287"/>
      <c r="AF241" s="287"/>
      <c r="AG241" s="288"/>
      <c r="AH241" s="284"/>
      <c r="AI241" s="285"/>
      <c r="AJ241" s="285"/>
      <c r="AK241" s="285"/>
      <c r="AL241" s="286"/>
      <c r="AM241" s="287"/>
      <c r="AN241" s="287"/>
      <c r="AO241" s="287"/>
      <c r="AP241" s="288"/>
      <c r="AQ241" s="284"/>
      <c r="AR241" s="285"/>
      <c r="AS241" s="285"/>
      <c r="AT241" s="285"/>
      <c r="AU241" s="286"/>
      <c r="AV241" s="287"/>
      <c r="AW241" s="287"/>
      <c r="AX241" s="287"/>
      <c r="AY241" s="288"/>
      <c r="AZ241" s="284"/>
      <c r="BA241" s="285"/>
      <c r="BB241" s="285"/>
      <c r="BC241" s="285"/>
      <c r="BD241" s="286"/>
      <c r="BE241" s="287"/>
      <c r="BF241" s="287"/>
      <c r="BG241" s="287"/>
      <c r="BH241" s="288"/>
      <c r="BI241" s="284"/>
      <c r="BJ241" s="284"/>
      <c r="BK241" s="284"/>
      <c r="BL241" s="284"/>
      <c r="BM241" s="284"/>
      <c r="BN241" s="284"/>
      <c r="BO241" s="284"/>
      <c r="BP241" s="284"/>
      <c r="BQ241" s="284"/>
      <c r="BR241" s="284"/>
      <c r="BS241" s="284"/>
      <c r="BT241" s="284"/>
      <c r="BU241" s="284"/>
      <c r="BV241" s="284"/>
      <c r="BW241" s="284"/>
      <c r="BX241" s="284"/>
      <c r="BY241" s="284"/>
      <c r="BZ241" s="284"/>
      <c r="CA241" s="284"/>
      <c r="CB241" s="284"/>
      <c r="CC241" s="284"/>
      <c r="CD241" s="284"/>
      <c r="CE241" s="284"/>
      <c r="CF241" s="284"/>
      <c r="CG241" s="284"/>
      <c r="CH241" s="284"/>
      <c r="CI241" s="284"/>
      <c r="CJ241" s="288"/>
      <c r="CK241" s="288"/>
      <c r="CL241" s="288"/>
      <c r="CM241" s="288"/>
      <c r="CN241" s="288"/>
      <c r="CO241" s="288"/>
      <c r="CP241" s="288"/>
      <c r="CQ241" s="288"/>
      <c r="CR241" s="288"/>
      <c r="CS241" s="288"/>
      <c r="CT241" s="282"/>
      <c r="CU241" s="294"/>
      <c r="CV241" s="246"/>
      <c r="CW241" s="265"/>
    </row>
    <row r="242" spans="1:101" ht="14.25" thickTop="1" thickBot="1" x14ac:dyDescent="0.25">
      <c r="A242" s="256"/>
      <c r="B242" s="256"/>
      <c r="C242" s="210"/>
      <c r="D242" s="211"/>
      <c r="E242" s="247"/>
      <c r="F242" s="248"/>
      <c r="G242" s="247"/>
      <c r="H242" s="247"/>
      <c r="I242" s="247"/>
      <c r="J242" s="247"/>
      <c r="K242" s="247"/>
      <c r="L242" s="249"/>
      <c r="M242" s="250"/>
      <c r="N242" s="250"/>
      <c r="O242" s="250"/>
      <c r="P242" s="250"/>
      <c r="Q242" s="247"/>
      <c r="R242" s="247"/>
      <c r="S242" s="247"/>
      <c r="T242" s="251"/>
      <c r="U242" s="252"/>
      <c r="V242" s="252"/>
      <c r="W242" s="252"/>
      <c r="X242" s="252"/>
      <c r="Y242" s="250"/>
      <c r="Z242" s="247"/>
      <c r="AA242" s="247"/>
      <c r="AB242" s="247"/>
      <c r="AC242" s="251"/>
      <c r="AD242" s="252"/>
      <c r="AE242" s="252"/>
      <c r="AF242" s="252"/>
      <c r="AG242" s="247"/>
      <c r="AH242" s="250"/>
      <c r="AI242" s="247"/>
      <c r="AJ242" s="247"/>
      <c r="AK242" s="247"/>
      <c r="AL242" s="251"/>
      <c r="AM242" s="252"/>
      <c r="AN242" s="252"/>
      <c r="AO242" s="252"/>
      <c r="AP242" s="253"/>
      <c r="AQ242" s="250"/>
      <c r="AR242" s="247"/>
      <c r="AS242" s="247"/>
      <c r="AT242" s="247"/>
      <c r="AU242" s="251"/>
      <c r="AV242" s="252"/>
      <c r="AW242" s="252"/>
      <c r="AX242" s="252"/>
      <c r="AY242" s="247"/>
      <c r="AZ242" s="250"/>
      <c r="BA242" s="247"/>
      <c r="BB242" s="247"/>
      <c r="BC242" s="247"/>
      <c r="BD242" s="251"/>
      <c r="BE242" s="252"/>
      <c r="BF242" s="252"/>
      <c r="BG242" s="252"/>
      <c r="BH242" s="247"/>
      <c r="BI242" s="250"/>
      <c r="BJ242" s="247"/>
      <c r="BK242" s="247"/>
      <c r="BL242" s="247"/>
      <c r="BM242" s="251"/>
      <c r="BN242" s="252"/>
      <c r="BO242" s="252"/>
      <c r="BP242" s="252"/>
      <c r="BQ242" s="247"/>
      <c r="BR242" s="212"/>
      <c r="BS242" s="247"/>
      <c r="BT242" s="247"/>
      <c r="BU242" s="247"/>
      <c r="BV242" s="250"/>
      <c r="BW242" s="252"/>
      <c r="BX242" s="252"/>
      <c r="BY242" s="252"/>
      <c r="BZ242" s="247"/>
      <c r="CA242" s="247"/>
      <c r="CB242" s="253"/>
      <c r="CC242" s="253"/>
      <c r="CD242" s="253"/>
      <c r="CE242" s="253"/>
      <c r="CF242" s="247"/>
      <c r="CG242" s="247"/>
      <c r="CH242" s="247"/>
      <c r="CI242" s="247"/>
      <c r="CJ242" s="247"/>
      <c r="CK242" s="247"/>
      <c r="CL242" s="247"/>
      <c r="CM242" s="247"/>
      <c r="CN242" s="247"/>
      <c r="CO242" s="247"/>
      <c r="CP242" s="247"/>
      <c r="CQ242" s="247"/>
      <c r="CR242" s="247"/>
      <c r="CS242" s="247"/>
      <c r="CT242" s="247"/>
      <c r="CU242" s="247"/>
      <c r="CV242" s="254"/>
      <c r="CW242" s="255"/>
    </row>
    <row r="243" spans="1:101" ht="14.25" thickTop="1" thickBot="1" x14ac:dyDescent="0.25">
      <c r="A243" s="255"/>
      <c r="B243" s="255"/>
      <c r="C243" s="255"/>
      <c r="D243" s="255"/>
      <c r="E243" s="255"/>
      <c r="F243" s="255"/>
      <c r="G243" s="255"/>
      <c r="H243" s="255"/>
      <c r="I243" s="255"/>
      <c r="J243" s="255"/>
      <c r="K243" s="255"/>
      <c r="L243" s="255"/>
      <c r="M243" s="255"/>
      <c r="N243" s="255"/>
      <c r="O243" s="255"/>
      <c r="P243" s="255"/>
      <c r="Q243" s="255"/>
      <c r="R243" s="255"/>
      <c r="S243" s="255"/>
      <c r="T243" s="255"/>
      <c r="U243" s="255"/>
      <c r="V243" s="255"/>
      <c r="W243" s="255"/>
      <c r="X243" s="255"/>
      <c r="Y243" s="255"/>
      <c r="Z243" s="255"/>
      <c r="AA243" s="255"/>
      <c r="AB243" s="255"/>
      <c r="AC243" s="255"/>
      <c r="AD243" s="255"/>
      <c r="AE243" s="255"/>
      <c r="AF243" s="255"/>
      <c r="AG243" s="255"/>
      <c r="AH243" s="255"/>
      <c r="AI243" s="255"/>
      <c r="AJ243" s="255"/>
      <c r="AK243" s="255"/>
      <c r="AL243" s="255"/>
      <c r="AM243" s="255"/>
      <c r="AN243" s="255"/>
      <c r="AO243" s="255"/>
      <c r="AP243" s="255"/>
      <c r="AQ243" s="255"/>
      <c r="AR243" s="255"/>
      <c r="AS243" s="255"/>
      <c r="AT243" s="255"/>
      <c r="AU243" s="255"/>
      <c r="AV243" s="255"/>
      <c r="AW243" s="255"/>
      <c r="AX243" s="255"/>
      <c r="AY243" s="255"/>
      <c r="AZ243" s="255"/>
      <c r="BA243" s="255"/>
      <c r="BB243" s="255"/>
      <c r="BC243" s="255"/>
      <c r="BD243" s="255"/>
      <c r="BE243" s="255"/>
      <c r="BF243" s="255"/>
      <c r="BG243" s="255"/>
      <c r="BH243" s="255"/>
      <c r="BI243" s="255"/>
      <c r="BJ243" s="255"/>
      <c r="BK243" s="255"/>
      <c r="BL243" s="255"/>
      <c r="BM243" s="255"/>
      <c r="BN243" s="255"/>
      <c r="BO243" s="255"/>
      <c r="BP243" s="255"/>
      <c r="BQ243" s="255"/>
      <c r="BR243" s="255"/>
      <c r="BS243" s="255"/>
      <c r="BT243" s="255"/>
      <c r="BU243" s="255"/>
      <c r="BV243" s="255"/>
      <c r="BW243" s="255"/>
      <c r="BX243" s="255"/>
      <c r="BY243" s="255"/>
      <c r="BZ243" s="255"/>
      <c r="CA243" s="255"/>
      <c r="CB243" s="436"/>
      <c r="CC243" s="436"/>
      <c r="CD243" s="436"/>
      <c r="CE243" s="436"/>
      <c r="CF243" s="255"/>
      <c r="CG243" s="255"/>
      <c r="CH243" s="255"/>
      <c r="CI243" s="255"/>
      <c r="CJ243" s="255"/>
      <c r="CK243" s="255"/>
      <c r="CL243" s="255"/>
      <c r="CM243" s="255"/>
      <c r="CN243" s="255"/>
      <c r="CO243" s="255"/>
      <c r="CP243" s="255"/>
      <c r="CQ243" s="255"/>
      <c r="CR243" s="255"/>
      <c r="CS243" s="255"/>
      <c r="CT243" s="255"/>
      <c r="CU243" s="255"/>
      <c r="CV243" s="255"/>
      <c r="CW243" s="255"/>
    </row>
    <row r="244" spans="1:101" ht="21" thickTop="1" x14ac:dyDescent="0.3">
      <c r="A244" s="256"/>
      <c r="B244" s="256"/>
      <c r="C244" s="190"/>
      <c r="D244" s="191"/>
      <c r="E244" s="866" t="str">
        <f>E2</f>
        <v>STPS 2026</v>
      </c>
      <c r="F244" s="267"/>
      <c r="G244" s="267"/>
      <c r="H244" s="267"/>
      <c r="I244" s="192"/>
      <c r="J244" s="192"/>
      <c r="K244" s="192"/>
      <c r="L244" s="193"/>
      <c r="M244" s="192"/>
      <c r="N244" s="192"/>
      <c r="O244" s="192"/>
      <c r="P244" s="194"/>
      <c r="Q244" s="192"/>
      <c r="R244" s="192"/>
      <c r="S244" s="192"/>
      <c r="T244" s="195"/>
      <c r="U244" s="196"/>
      <c r="V244" s="196"/>
      <c r="W244" s="196"/>
      <c r="X244" s="196"/>
      <c r="Y244" s="194"/>
      <c r="Z244" s="192"/>
      <c r="AA244" s="192"/>
      <c r="AB244" s="192"/>
      <c r="AC244" s="195"/>
      <c r="AD244" s="196"/>
      <c r="AE244" s="196"/>
      <c r="AF244" s="196"/>
      <c r="AG244" s="197"/>
      <c r="AH244" s="194"/>
      <c r="AI244" s="192"/>
      <c r="AJ244" s="237"/>
      <c r="AK244" s="237"/>
      <c r="AL244" s="198"/>
      <c r="AM244" s="238"/>
      <c r="AN244" s="238"/>
      <c r="AO244" s="238"/>
      <c r="AP244" s="197"/>
      <c r="AQ244" s="239"/>
      <c r="AR244" s="240"/>
      <c r="AS244" s="199"/>
      <c r="AT244" s="200"/>
      <c r="AU244" s="198"/>
      <c r="AV244" s="196"/>
      <c r="AW244" s="196"/>
      <c r="AX244" s="196"/>
      <c r="AY244" s="197"/>
      <c r="AZ244" s="239"/>
      <c r="BA244" s="240"/>
      <c r="BB244" s="200"/>
      <c r="BC244" s="237"/>
      <c r="BD244" s="241"/>
      <c r="BE244" s="196"/>
      <c r="BF244" s="196"/>
      <c r="BG244" s="196"/>
      <c r="BH244" s="197"/>
      <c r="BI244" s="242"/>
      <c r="BJ244" s="237"/>
      <c r="BK244" s="237"/>
      <c r="BL244" s="237"/>
      <c r="BM244" s="241"/>
      <c r="BN244" s="196"/>
      <c r="BO244" s="196"/>
      <c r="BP244" s="196"/>
      <c r="BQ244" s="197"/>
      <c r="BR244" s="201"/>
      <c r="BS244" s="237"/>
      <c r="BT244" s="237"/>
      <c r="BU244" s="237"/>
      <c r="BV244" s="242"/>
      <c r="BW244" s="237"/>
      <c r="BX244" s="237"/>
      <c r="BY244" s="237"/>
      <c r="BZ244" s="237"/>
      <c r="CA244" s="237"/>
      <c r="CB244" s="437"/>
      <c r="CC244" s="437"/>
      <c r="CD244" s="437"/>
      <c r="CE244" s="437"/>
      <c r="CF244" s="237"/>
      <c r="CG244" s="237"/>
      <c r="CH244" s="237"/>
      <c r="CI244" s="237"/>
      <c r="CJ244" s="197"/>
      <c r="CK244" s="197"/>
      <c r="CL244" s="197"/>
      <c r="CM244" s="197"/>
      <c r="CN244" s="197"/>
      <c r="CO244" s="197"/>
      <c r="CP244" s="197"/>
      <c r="CQ244" s="197"/>
      <c r="CR244" s="197"/>
      <c r="CS244" s="197"/>
      <c r="CT244" s="401"/>
      <c r="CU244" s="237"/>
      <c r="CV244" s="243"/>
      <c r="CW244" s="255"/>
    </row>
    <row r="245" spans="1:101" ht="13.5" thickBot="1" x14ac:dyDescent="0.25">
      <c r="A245" s="256"/>
      <c r="B245" s="256"/>
      <c r="C245" s="202"/>
      <c r="D245" s="188"/>
      <c r="E245" s="266" t="str">
        <f>E3</f>
        <v>Skorgen Tippelag</v>
      </c>
      <c r="F245" s="406"/>
      <c r="G245" s="406"/>
      <c r="H245" s="406"/>
      <c r="I245" s="406"/>
      <c r="J245" s="406"/>
      <c r="K245" s="406"/>
      <c r="L245" s="406"/>
      <c r="M245" s="406"/>
      <c r="N245" s="406"/>
      <c r="O245" s="406"/>
      <c r="P245" s="406"/>
      <c r="Q245" s="406"/>
      <c r="R245" s="406"/>
      <c r="S245" s="406"/>
      <c r="T245" s="406"/>
      <c r="U245" s="406"/>
      <c r="V245" s="406"/>
      <c r="W245" s="406"/>
      <c r="X245" s="406"/>
      <c r="Y245" s="406"/>
      <c r="Z245" s="406"/>
      <c r="AA245" s="406"/>
      <c r="AB245" s="406"/>
      <c r="AC245" s="406"/>
      <c r="AD245" s="406"/>
      <c r="AE245" s="406"/>
      <c r="AF245" s="406"/>
      <c r="AG245" s="406"/>
      <c r="AH245" s="406"/>
      <c r="AI245" s="406"/>
      <c r="AJ245" s="406"/>
      <c r="AK245" s="406"/>
      <c r="AL245" s="406"/>
      <c r="AM245" s="406"/>
      <c r="AN245" s="406"/>
      <c r="AO245" s="406"/>
      <c r="AP245" s="406"/>
      <c r="AQ245" s="406"/>
      <c r="AR245" s="406"/>
      <c r="AS245" s="406"/>
      <c r="AT245" s="406"/>
      <c r="AU245" s="406"/>
      <c r="AV245" s="406"/>
      <c r="AW245" s="406"/>
      <c r="AX245" s="406"/>
      <c r="AY245" s="406"/>
      <c r="AZ245" s="406"/>
      <c r="BA245" s="406"/>
      <c r="BB245" s="406"/>
      <c r="BC245" s="406"/>
      <c r="BD245" s="406"/>
      <c r="BE245" s="406"/>
      <c r="BF245" s="406"/>
      <c r="BG245" s="406"/>
      <c r="BH245" s="406"/>
      <c r="BI245" s="406"/>
      <c r="BJ245" s="406"/>
      <c r="BK245" s="406"/>
      <c r="BL245" s="406"/>
      <c r="BM245" s="406"/>
      <c r="BN245" s="406"/>
      <c r="BO245" s="406"/>
      <c r="BP245" s="406"/>
      <c r="BQ245" s="406"/>
      <c r="BR245" s="406"/>
      <c r="BS245" s="406"/>
      <c r="BT245" s="406"/>
      <c r="BU245" s="406"/>
      <c r="BV245" s="406"/>
      <c r="BW245" s="406"/>
      <c r="BX245" s="406"/>
      <c r="BY245" s="406"/>
      <c r="BZ245" s="406"/>
      <c r="CA245" s="406"/>
      <c r="CB245" s="438"/>
      <c r="CC245" s="438"/>
      <c r="CD245" s="438"/>
      <c r="CE245" s="438"/>
      <c r="CF245" s="406"/>
      <c r="CG245" s="406"/>
      <c r="CH245" s="406"/>
      <c r="CI245" s="406"/>
      <c r="CJ245" s="406"/>
      <c r="CK245" s="406"/>
      <c r="CL245" s="406"/>
      <c r="CM245" s="406"/>
      <c r="CN245" s="366"/>
      <c r="CO245" s="366"/>
      <c r="CP245" s="366"/>
      <c r="CQ245" s="366"/>
      <c r="CR245" s="366"/>
      <c r="CS245" s="366"/>
      <c r="CT245" s="187"/>
      <c r="CU245" s="310"/>
      <c r="CV245" s="246"/>
      <c r="CW245" s="255"/>
    </row>
    <row r="246" spans="1:101" ht="18.75" thickTop="1" x14ac:dyDescent="0.2">
      <c r="A246" s="256"/>
      <c r="B246" s="256"/>
      <c r="C246" s="209"/>
      <c r="D246" s="290"/>
      <c r="E246" s="273"/>
      <c r="F246" s="274"/>
      <c r="G246" s="273"/>
      <c r="H246" s="273"/>
      <c r="I246" s="803" t="s">
        <v>39</v>
      </c>
      <c r="J246" s="805"/>
      <c r="K246" s="805"/>
      <c r="L246" s="291"/>
      <c r="M246" s="302"/>
      <c r="N246" s="242"/>
      <c r="O246" s="275"/>
      <c r="P246" s="275"/>
      <c r="Q246" s="808">
        <f>IF($F250="","",SUM(Q262:S262)-S248)</f>
        <v>410</v>
      </c>
      <c r="R246" s="808"/>
      <c r="S246" s="808"/>
      <c r="T246" s="276"/>
      <c r="U246" s="277"/>
      <c r="V246" s="277"/>
      <c r="W246" s="277"/>
      <c r="X246" s="277"/>
      <c r="Y246" s="275"/>
      <c r="Z246" s="808">
        <f>IF($F250="","",SUM(Z262:AB262)-AB248)</f>
        <v>540</v>
      </c>
      <c r="AA246" s="808"/>
      <c r="AB246" s="808"/>
      <c r="AC246" s="276"/>
      <c r="AD246" s="277"/>
      <c r="AE246" s="277"/>
      <c r="AF246" s="277"/>
      <c r="AG246" s="273"/>
      <c r="AH246" s="275"/>
      <c r="AI246" s="808">
        <f>IF($F250="","",SUM(AI262:AK262)-AK248)</f>
        <v>360</v>
      </c>
      <c r="AJ246" s="808"/>
      <c r="AK246" s="808"/>
      <c r="AL246" s="276"/>
      <c r="AM246" s="277"/>
      <c r="AN246" s="277"/>
      <c r="AO246" s="277"/>
      <c r="AP246" s="273"/>
      <c r="AQ246" s="275"/>
      <c r="AR246" s="808">
        <f>IF($F250="","",SUM(AR262:AT262)-AT248)</f>
        <v>360</v>
      </c>
      <c r="AS246" s="808"/>
      <c r="AT246" s="808"/>
      <c r="AU246" s="278"/>
      <c r="AV246" s="277"/>
      <c r="AW246" s="277"/>
      <c r="AX246" s="277"/>
      <c r="AY246" s="279"/>
      <c r="AZ246" s="280"/>
      <c r="BA246" s="808">
        <f>IF($F250="","",SUM(BA262:BC262)-BC248)</f>
        <v>470</v>
      </c>
      <c r="BB246" s="808"/>
      <c r="BC246" s="808"/>
      <c r="BD246" s="278"/>
      <c r="BE246" s="277"/>
      <c r="BF246" s="277"/>
      <c r="BG246" s="277"/>
      <c r="BH246" s="279"/>
      <c r="BI246" s="280"/>
      <c r="BJ246" s="808">
        <f>IF($F250="","",SUM(BJ262:BL262)-BL248)</f>
        <v>470</v>
      </c>
      <c r="BK246" s="808"/>
      <c r="BL246" s="808"/>
      <c r="BM246" s="278"/>
      <c r="BN246" s="277"/>
      <c r="BO246" s="277"/>
      <c r="BP246" s="277"/>
      <c r="BQ246" s="279"/>
      <c r="BR246" s="281"/>
      <c r="BS246" s="808">
        <f>IF($F250="","",SUM(BS262:BU262)-BU248)</f>
        <v>450</v>
      </c>
      <c r="BT246" s="808"/>
      <c r="BU246" s="808"/>
      <c r="BV246" s="280"/>
      <c r="BW246" s="279"/>
      <c r="BX246" s="279"/>
      <c r="BY246" s="279"/>
      <c r="BZ246" s="279"/>
      <c r="CA246" s="281"/>
      <c r="CB246" s="808">
        <f>IF($F250="","",SUM(CB262:CD262)-CD248)</f>
        <v>460</v>
      </c>
      <c r="CC246" s="808"/>
      <c r="CD246" s="808"/>
      <c r="CE246" s="280"/>
      <c r="CF246" s="279"/>
      <c r="CG246" s="279"/>
      <c r="CH246" s="279"/>
      <c r="CI246" s="279"/>
      <c r="CJ246" s="273"/>
      <c r="CK246" s="808">
        <f>IF($F250="","",SUM(CK262:CM262))</f>
        <v>420</v>
      </c>
      <c r="CL246" s="808"/>
      <c r="CM246" s="808"/>
      <c r="CN246" s="280"/>
      <c r="CO246" s="279"/>
      <c r="CP246" s="279"/>
      <c r="CQ246" s="279"/>
      <c r="CR246" s="273"/>
      <c r="CS246" s="273"/>
      <c r="CT246" s="273"/>
      <c r="CU246" s="292"/>
      <c r="CV246" s="246"/>
      <c r="CW246" s="255"/>
    </row>
    <row r="247" spans="1:101" x14ac:dyDescent="0.2">
      <c r="A247" s="256"/>
      <c r="B247" s="256"/>
      <c r="C247" s="209"/>
      <c r="D247" s="916">
        <v>47</v>
      </c>
      <c r="E247" s="588">
        <f>IF(D247="","",DATE($D$4,1,1)+(D247-1)*7+(6-WEEKDAY(DATE($D$4,1,1),2)))</f>
        <v>45983</v>
      </c>
      <c r="F247" s="213"/>
      <c r="G247" s="214"/>
      <c r="H247" s="214"/>
      <c r="I247" s="804">
        <f>IF(ISERROR(AVERAGE(Q246,Z246,AI246,AR246,BA246,BJ246,BS246,CB246,CK246)),"",AVERAGE(Q246,Z246,AI246,AR246,BA246,BJ246,BS246,CB246,CK246))</f>
        <v>437.77777777777777</v>
      </c>
      <c r="J247" s="806"/>
      <c r="K247" s="806"/>
      <c r="L247" s="295"/>
      <c r="M247" s="372"/>
      <c r="N247" s="245"/>
      <c r="O247" s="215"/>
      <c r="P247" s="215"/>
      <c r="Q247" s="710">
        <f>IF(Q246="","",Q246/Data!$X$1)</f>
        <v>0.34166666666666667</v>
      </c>
      <c r="R247" s="710"/>
      <c r="S247" s="711">
        <f>IF(SUM(X250:X261)=0,"",SUM(X250:X261))</f>
        <v>6</v>
      </c>
      <c r="T247" s="216"/>
      <c r="U247" s="217"/>
      <c r="V247" s="217"/>
      <c r="W247" s="217"/>
      <c r="X247" s="217"/>
      <c r="Y247" s="215"/>
      <c r="Z247" s="710">
        <f>IF(Z246="","",Z246/Data!$X$1)</f>
        <v>0.45</v>
      </c>
      <c r="AA247" s="710"/>
      <c r="AB247" s="711">
        <f>IF(SUM(AG250:AG261)=0,"",SUM(AG250:AG261))</f>
        <v>6</v>
      </c>
      <c r="AC247" s="216"/>
      <c r="AD247" s="217"/>
      <c r="AE247" s="217"/>
      <c r="AF247" s="217"/>
      <c r="AG247" s="217"/>
      <c r="AH247" s="215"/>
      <c r="AI247" s="710">
        <f>IF(AI246="","",AI246/Data!$X$1)</f>
        <v>0.3</v>
      </c>
      <c r="AJ247" s="710"/>
      <c r="AK247" s="711">
        <f>IF(SUM(AP250:AP261)=0,"",SUM(AP250:AP261))</f>
        <v>4</v>
      </c>
      <c r="AL247" s="216"/>
      <c r="AM247" s="217"/>
      <c r="AN247" s="217"/>
      <c r="AO247" s="217"/>
      <c r="AP247" s="217"/>
      <c r="AQ247" s="215"/>
      <c r="AR247" s="710">
        <f>IF(AR246="","",AR246/Data!$X$1)</f>
        <v>0.3</v>
      </c>
      <c r="AS247" s="710"/>
      <c r="AT247" s="711">
        <f>IF(SUM(AY250:AY261)=0,"",SUM(AY250:AY261))</f>
        <v>3</v>
      </c>
      <c r="AU247" s="218"/>
      <c r="AV247" s="217"/>
      <c r="AW247" s="217"/>
      <c r="AX247" s="217"/>
      <c r="AY247" s="217"/>
      <c r="AZ247" s="219"/>
      <c r="BA247" s="710">
        <f>IF(BA246="","",BA246/Data!$X$1)</f>
        <v>0.39166666666666666</v>
      </c>
      <c r="BB247" s="710"/>
      <c r="BC247" s="711">
        <f>IF(SUM(BH250:BH261)=0,"",SUM(BH250:BH261))</f>
        <v>5</v>
      </c>
      <c r="BD247" s="218"/>
      <c r="BE247" s="217"/>
      <c r="BF247" s="217"/>
      <c r="BG247" s="217"/>
      <c r="BH247" s="217"/>
      <c r="BI247" s="219"/>
      <c r="BJ247" s="710">
        <f>IF(BJ246="","",BJ246/Data!$X$1)</f>
        <v>0.39166666666666666</v>
      </c>
      <c r="BK247" s="710"/>
      <c r="BL247" s="711">
        <f>IF(SUM(BQ250:BQ261)=0,"",SUM(BQ250:BQ261))</f>
        <v>5</v>
      </c>
      <c r="BM247" s="218"/>
      <c r="BN247" s="217"/>
      <c r="BO247" s="217"/>
      <c r="BP247" s="217"/>
      <c r="BQ247" s="217"/>
      <c r="BR247" s="220"/>
      <c r="BS247" s="710">
        <f>IF(BS246="","",BS246/Data!$X$1)</f>
        <v>0.375</v>
      </c>
      <c r="BT247" s="710"/>
      <c r="BU247" s="711">
        <f>IF(SUM(BZ250:BZ261)=0,"",SUM(BZ250:BZ261))</f>
        <v>6</v>
      </c>
      <c r="BV247" s="219"/>
      <c r="BW247" s="217"/>
      <c r="BX247" s="217"/>
      <c r="BY247" s="217"/>
      <c r="BZ247" s="217"/>
      <c r="CA247" s="220"/>
      <c r="CB247" s="710">
        <f>IF(CB246="","",CB246/Data!$X$1)</f>
        <v>0.38333333333333336</v>
      </c>
      <c r="CC247" s="710"/>
      <c r="CD247" s="711">
        <f>IF(SUM(CI250:CI261)=0,"",SUM(CI250:CI261))</f>
        <v>6</v>
      </c>
      <c r="CE247" s="219"/>
      <c r="CF247" s="217"/>
      <c r="CG247" s="217"/>
      <c r="CH247" s="217"/>
      <c r="CI247" s="217"/>
      <c r="CJ247" s="217"/>
      <c r="CK247" s="710">
        <f>IF(CK246="","",CK246/Data!$X$1)</f>
        <v>0.35</v>
      </c>
      <c r="CL247" s="710"/>
      <c r="CM247" s="711">
        <f>IF(SUM(CR250:CR261)=0,"",SUM(CR250:CR261))</f>
        <v>5</v>
      </c>
      <c r="CN247" s="219"/>
      <c r="CO247" s="217"/>
      <c r="CP247" s="217"/>
      <c r="CQ247" s="217"/>
      <c r="CR247" s="217"/>
      <c r="CS247" s="217"/>
      <c r="CT247" s="217"/>
      <c r="CU247" s="296"/>
      <c r="CV247" s="246"/>
      <c r="CW247" s="255"/>
    </row>
    <row r="248" spans="1:101" ht="13.5" thickBot="1" x14ac:dyDescent="0.25">
      <c r="A248" s="256"/>
      <c r="B248" s="256"/>
      <c r="C248" s="209"/>
      <c r="D248" s="269">
        <f>D226+1</f>
        <v>12</v>
      </c>
      <c r="E248" s="402" t="str">
        <f>IF(E247="","Sett inn dato over her",TEXT(E247,"dddd"))</f>
        <v>lørdag</v>
      </c>
      <c r="F248" s="221"/>
      <c r="G248" s="222"/>
      <c r="H248" s="222"/>
      <c r="I248" s="802"/>
      <c r="J248" s="807"/>
      <c r="K248" s="807"/>
      <c r="L248" s="297"/>
      <c r="M248" s="373"/>
      <c r="N248" s="377"/>
      <c r="O248" s="222"/>
      <c r="P248" s="222"/>
      <c r="Q248" s="385" t="str">
        <f>Data!$E$11</f>
        <v>AHH</v>
      </c>
      <c r="R248" s="386">
        <f>IF($F261="","",RANK(Q246,$Q246:$CL246))</f>
        <v>7</v>
      </c>
      <c r="S248" s="510"/>
      <c r="T248" s="216">
        <v>0</v>
      </c>
      <c r="U248" s="217"/>
      <c r="V248" s="217"/>
      <c r="W248" s="217"/>
      <c r="X248" s="217"/>
      <c r="Y248" s="215"/>
      <c r="Z248" s="385" t="str">
        <f>Data!$E$12</f>
        <v>RB</v>
      </c>
      <c r="AA248" s="386">
        <f>IF($F261="","",RANK(Z246,$Q246:$CL246))</f>
        <v>1</v>
      </c>
      <c r="AB248" s="510"/>
      <c r="AC248" s="216"/>
      <c r="AD248" s="217"/>
      <c r="AE248" s="217"/>
      <c r="AF248" s="217"/>
      <c r="AG248" s="217"/>
      <c r="AH248" s="215"/>
      <c r="AI248" s="385" t="str">
        <f>Data!$E$13</f>
        <v>EB</v>
      </c>
      <c r="AJ248" s="386">
        <f>IF($F261="","",RANK(AI246,$Q246:$CL246))</f>
        <v>8</v>
      </c>
      <c r="AK248" s="510"/>
      <c r="AL248" s="216"/>
      <c r="AM248" s="217"/>
      <c r="AN248" s="217"/>
      <c r="AO248" s="217"/>
      <c r="AP248" s="217"/>
      <c r="AQ248" s="215"/>
      <c r="AR248" s="346" t="str">
        <f>Data!$E$14</f>
        <v>KAF</v>
      </c>
      <c r="AS248" s="386">
        <f>IF($F261="","",RANK(AR246,$Q246:$CL246))</f>
        <v>8</v>
      </c>
      <c r="AT248" s="510"/>
      <c r="AU248" s="216"/>
      <c r="AV248" s="217"/>
      <c r="AW248" s="217"/>
      <c r="AX248" s="217"/>
      <c r="AY248" s="217"/>
      <c r="AZ248" s="215"/>
      <c r="BA248" s="346" t="str">
        <f>Data!$E$15</f>
        <v>ØG</v>
      </c>
      <c r="BB248" s="386">
        <f>IF($F261="","",RANK(BA246,$Q246:$CL246))</f>
        <v>2</v>
      </c>
      <c r="BC248" s="510"/>
      <c r="BD248" s="216"/>
      <c r="BE248" s="217"/>
      <c r="BF248" s="217"/>
      <c r="BG248" s="217"/>
      <c r="BH248" s="217"/>
      <c r="BI248" s="215"/>
      <c r="BJ248" s="346" t="str">
        <f>Data!$E$16</f>
        <v>JH</v>
      </c>
      <c r="BK248" s="386">
        <f>IF($F261="","",RANK(BJ246,$Q246:$CL246))</f>
        <v>2</v>
      </c>
      <c r="BL248" s="510"/>
      <c r="BM248" s="216"/>
      <c r="BN248" s="217"/>
      <c r="BO248" s="217"/>
      <c r="BP248" s="217"/>
      <c r="BQ248" s="217"/>
      <c r="BR248" s="223"/>
      <c r="BS248" s="346" t="str">
        <f>Data!$E$17</f>
        <v>TOH</v>
      </c>
      <c r="BT248" s="386">
        <f>IF($F261="","",RANK(BS246,$Q246:$CL246))</f>
        <v>5</v>
      </c>
      <c r="BU248" s="510"/>
      <c r="BV248" s="215"/>
      <c r="BW248" s="217"/>
      <c r="BX248" s="217"/>
      <c r="BY248" s="217"/>
      <c r="BZ248" s="217"/>
      <c r="CA248" s="223"/>
      <c r="CB248" s="346" t="s">
        <v>26</v>
      </c>
      <c r="CC248" s="386">
        <f>IF($F261="","",RANK(CB246,$Q246:$CM246))</f>
        <v>4</v>
      </c>
      <c r="CD248" s="511"/>
      <c r="CE248" s="215"/>
      <c r="CF248" s="217"/>
      <c r="CG248" s="217"/>
      <c r="CH248" s="217"/>
      <c r="CI248" s="217"/>
      <c r="CJ248" s="217"/>
      <c r="CK248" s="346" t="s">
        <v>27</v>
      </c>
      <c r="CL248" s="386">
        <f>IF($F261="","",RANK(CK246,$Q246:$CM246))</f>
        <v>6</v>
      </c>
      <c r="CM248" s="798" t="s">
        <v>182</v>
      </c>
      <c r="CN248" s="215"/>
      <c r="CO248" s="217"/>
      <c r="CP248" s="217"/>
      <c r="CQ248" s="217"/>
      <c r="CR248" s="217"/>
      <c r="CS248" s="217"/>
      <c r="CT248" s="217"/>
      <c r="CU248" s="296"/>
      <c r="CV248" s="246"/>
      <c r="CW248" s="255"/>
    </row>
    <row r="249" spans="1:101" ht="13.5" thickBot="1" x14ac:dyDescent="0.25">
      <c r="A249" s="264"/>
      <c r="B249" s="264"/>
      <c r="C249" s="202"/>
      <c r="D249" s="270"/>
      <c r="E249" s="224"/>
      <c r="F249" s="225"/>
      <c r="G249" s="226"/>
      <c r="H249" s="226"/>
      <c r="I249" s="227" t="s">
        <v>45</v>
      </c>
      <c r="J249" s="228" t="s">
        <v>46</v>
      </c>
      <c r="K249" s="229" t="s">
        <v>47</v>
      </c>
      <c r="L249" s="298"/>
      <c r="M249" s="374"/>
      <c r="N249" s="378"/>
      <c r="O249" s="230"/>
      <c r="P249" s="230"/>
      <c r="Q249" s="227" t="s">
        <v>45</v>
      </c>
      <c r="R249" s="228" t="s">
        <v>46</v>
      </c>
      <c r="S249" s="229" t="s">
        <v>47</v>
      </c>
      <c r="T249" s="231"/>
      <c r="U249" s="232"/>
      <c r="V249" s="232"/>
      <c r="W249" s="232"/>
      <c r="X249" s="232"/>
      <c r="Y249" s="230"/>
      <c r="Z249" s="227" t="s">
        <v>45</v>
      </c>
      <c r="AA249" s="228" t="s">
        <v>46</v>
      </c>
      <c r="AB249" s="229" t="s">
        <v>47</v>
      </c>
      <c r="AC249" s="231"/>
      <c r="AD249" s="232"/>
      <c r="AE249" s="232"/>
      <c r="AF249" s="232"/>
      <c r="AG249" s="232"/>
      <c r="AH249" s="230"/>
      <c r="AI249" s="227" t="s">
        <v>45</v>
      </c>
      <c r="AJ249" s="228" t="s">
        <v>46</v>
      </c>
      <c r="AK249" s="229" t="s">
        <v>47</v>
      </c>
      <c r="AL249" s="231"/>
      <c r="AM249" s="232"/>
      <c r="AN249" s="232"/>
      <c r="AO249" s="232"/>
      <c r="AP249" s="232"/>
      <c r="AQ249" s="230"/>
      <c r="AR249" s="227" t="s">
        <v>45</v>
      </c>
      <c r="AS249" s="228" t="s">
        <v>46</v>
      </c>
      <c r="AT249" s="229" t="s">
        <v>47</v>
      </c>
      <c r="AU249" s="231"/>
      <c r="AV249" s="232"/>
      <c r="AW249" s="232"/>
      <c r="AX249" s="232"/>
      <c r="AY249" s="232"/>
      <c r="AZ249" s="230"/>
      <c r="BA249" s="227" t="s">
        <v>45</v>
      </c>
      <c r="BB249" s="228" t="s">
        <v>46</v>
      </c>
      <c r="BC249" s="229" t="s">
        <v>47</v>
      </c>
      <c r="BD249" s="231"/>
      <c r="BE249" s="232"/>
      <c r="BF249" s="232"/>
      <c r="BG249" s="232"/>
      <c r="BH249" s="232"/>
      <c r="BI249" s="230"/>
      <c r="BJ249" s="227" t="s">
        <v>45</v>
      </c>
      <c r="BK249" s="228" t="s">
        <v>46</v>
      </c>
      <c r="BL249" s="229" t="s">
        <v>47</v>
      </c>
      <c r="BM249" s="231"/>
      <c r="BN249" s="232"/>
      <c r="BO249" s="232"/>
      <c r="BP249" s="232"/>
      <c r="BQ249" s="232"/>
      <c r="BR249" s="230"/>
      <c r="BS249" s="227" t="s">
        <v>45</v>
      </c>
      <c r="BT249" s="228" t="s">
        <v>46</v>
      </c>
      <c r="BU249" s="229" t="s">
        <v>47</v>
      </c>
      <c r="BV249" s="231"/>
      <c r="BW249" s="232"/>
      <c r="BX249" s="232"/>
      <c r="BY249" s="232"/>
      <c r="BZ249" s="233"/>
      <c r="CA249" s="230"/>
      <c r="CB249" s="227" t="s">
        <v>45</v>
      </c>
      <c r="CC249" s="228" t="s">
        <v>46</v>
      </c>
      <c r="CD249" s="229" t="s">
        <v>47</v>
      </c>
      <c r="CE249" s="231"/>
      <c r="CF249" s="232"/>
      <c r="CG249" s="232"/>
      <c r="CH249" s="232"/>
      <c r="CI249" s="232"/>
      <c r="CJ249" s="232"/>
      <c r="CK249" s="227" t="s">
        <v>45</v>
      </c>
      <c r="CL249" s="228" t="s">
        <v>46</v>
      </c>
      <c r="CM249" s="229" t="s">
        <v>47</v>
      </c>
      <c r="CN249" s="231"/>
      <c r="CO249" s="232"/>
      <c r="CP249" s="232"/>
      <c r="CQ249" s="232"/>
      <c r="CR249" s="232"/>
      <c r="CS249" s="232"/>
      <c r="CT249" s="234"/>
      <c r="CU249" s="296"/>
      <c r="CV249" s="246"/>
      <c r="CW249" s="265"/>
    </row>
    <row r="250" spans="1:101" x14ac:dyDescent="0.2">
      <c r="A250" s="264"/>
      <c r="B250" s="264"/>
      <c r="C250" s="202"/>
      <c r="D250" s="271">
        <v>1</v>
      </c>
      <c r="E250" s="166" t="s">
        <v>183</v>
      </c>
      <c r="F250" s="468">
        <v>4</v>
      </c>
      <c r="G250" s="472" t="s">
        <v>49</v>
      </c>
      <c r="H250" s="473">
        <v>0</v>
      </c>
      <c r="I250" s="170" t="str">
        <f t="shared" ref="I250:I261" si="550">IF($F250&gt;$H250,"x","")</f>
        <v>x</v>
      </c>
      <c r="J250" s="387" t="str">
        <f t="shared" ref="J250:J261" si="551">IF(F250&lt;&gt;"",IF(H250&lt;&gt;"",IF(F250=H250,"x",""),""),"")</f>
        <v/>
      </c>
      <c r="K250" s="388" t="str">
        <f t="shared" ref="K250:K261" si="552">IF($F250&lt;$H250,"x","")</f>
        <v/>
      </c>
      <c r="L250" s="299"/>
      <c r="M250" s="375"/>
      <c r="N250" s="379"/>
      <c r="O250" s="236"/>
      <c r="P250" s="236"/>
      <c r="Q250" s="480">
        <v>30</v>
      </c>
      <c r="R250" s="481">
        <v>30</v>
      </c>
      <c r="S250" s="482">
        <f>IF(Q250="","",100-SUM(Q250:R250))</f>
        <v>40</v>
      </c>
      <c r="T250" s="371"/>
      <c r="U250" s="232">
        <f t="shared" ref="U250:U261" si="553">IF($I250="x",Q250,"")</f>
        <v>30</v>
      </c>
      <c r="V250" s="232" t="str">
        <f t="shared" ref="V250:V261" si="554">IF($J250="x",R250,"")</f>
        <v/>
      </c>
      <c r="W250" s="232" t="str">
        <f t="shared" ref="W250:W261" si="555">IF($K250="x",S250,"")</f>
        <v/>
      </c>
      <c r="X250" s="232" t="str">
        <f>IF((MAX(U250,V250,W250))=0,"",IF((MAX(U250,V250,W250))=(MAX(Q250,R250,S250)),1,""))</f>
        <v/>
      </c>
      <c r="Y250" s="371"/>
      <c r="Z250" s="495">
        <v>10</v>
      </c>
      <c r="AA250" s="496">
        <v>10</v>
      </c>
      <c r="AB250" s="482">
        <f t="shared" ref="AB250:AB261" si="556">IF(Z250="","",100-SUM(Z250:AA250))</f>
        <v>80</v>
      </c>
      <c r="AC250" s="371"/>
      <c r="AD250" s="232">
        <f t="shared" ref="AD250:AD261" si="557">IF($I250="x",Z250,"")</f>
        <v>10</v>
      </c>
      <c r="AE250" s="232" t="str">
        <f t="shared" ref="AE250:AE261" si="558">IF($J250="x",AA250,"")</f>
        <v/>
      </c>
      <c r="AF250" s="232" t="str">
        <f t="shared" ref="AF250:AF261" si="559">IF($K250="x",AB250,"")</f>
        <v/>
      </c>
      <c r="AG250" s="232" t="str">
        <f>IF((MAX(AD250,AE250,AF250))=0,"",IF((MAX(AD250,AE250,AF250))=(MAX(Z250,AA250,AB250)),1,""))</f>
        <v/>
      </c>
      <c r="AH250" s="371"/>
      <c r="AI250" s="495">
        <v>60</v>
      </c>
      <c r="AJ250" s="496">
        <v>20</v>
      </c>
      <c r="AK250" s="482">
        <f t="shared" ref="AK250:AK261" si="560">IF(AI250="","",100-SUM(AI250:AJ250))</f>
        <v>20</v>
      </c>
      <c r="AL250" s="371"/>
      <c r="AM250" s="232">
        <f t="shared" ref="AM250:AM261" si="561">IF($I250="x",AI250,"")</f>
        <v>60</v>
      </c>
      <c r="AN250" s="232" t="str">
        <f t="shared" ref="AN250:AN261" si="562">IF($J250="x",AJ250,"")</f>
        <v/>
      </c>
      <c r="AO250" s="232" t="str">
        <f t="shared" ref="AO250:AO261" si="563">IF($K250="x",AK250,"")</f>
        <v/>
      </c>
      <c r="AP250" s="232">
        <f>IF((MAX(AM250,AN250,AO250))=0,"",IF((MAX(AM250,AN250,AO250))=(MAX(AI250,AJ250,AK250)),1,""))</f>
        <v>1</v>
      </c>
      <c r="AQ250" s="371"/>
      <c r="AR250" s="495">
        <v>20</v>
      </c>
      <c r="AS250" s="496">
        <v>20</v>
      </c>
      <c r="AT250" s="482">
        <f t="shared" ref="AT250:AT261" si="564">IF(AR250="","",100-SUM(AR250:AS250))</f>
        <v>60</v>
      </c>
      <c r="AU250" s="371"/>
      <c r="AV250" s="232">
        <f t="shared" ref="AV250:AV261" si="565">IF($I250="x",AR250,"")</f>
        <v>20</v>
      </c>
      <c r="AW250" s="232" t="str">
        <f t="shared" ref="AW250:AW261" si="566">IF($J250="x",AS250,"")</f>
        <v/>
      </c>
      <c r="AX250" s="232" t="str">
        <f t="shared" ref="AX250:AX261" si="567">IF($K250="x",AT250,"")</f>
        <v/>
      </c>
      <c r="AY250" s="232" t="str">
        <f>IF((MAX(AV250,AW250,AX250))=0,"",IF((MAX(AV250,AW250,AX250))=(MAX(AR250,AS250,AT250)),1,""))</f>
        <v/>
      </c>
      <c r="AZ250" s="371"/>
      <c r="BA250" s="495">
        <v>10</v>
      </c>
      <c r="BB250" s="496">
        <v>10</v>
      </c>
      <c r="BC250" s="482">
        <f t="shared" ref="BC250:BC261" si="568">IF(BA250="","",100-SUM(BA250:BB250))</f>
        <v>80</v>
      </c>
      <c r="BD250" s="371"/>
      <c r="BE250" s="232">
        <f t="shared" ref="BE250:BE261" si="569">IF($I250="x",BA250,"")</f>
        <v>10</v>
      </c>
      <c r="BF250" s="232" t="str">
        <f t="shared" ref="BF250:BF261" si="570">IF($J250="x",BB250,"")</f>
        <v/>
      </c>
      <c r="BG250" s="232" t="str">
        <f t="shared" ref="BG250:BG261" si="571">IF($K250="x",BC250,"")</f>
        <v/>
      </c>
      <c r="BH250" s="232" t="str">
        <f>IF((MAX(BE250,BF250,BG250))=0,"",IF((MAX(BE250,BF250,BG250))=(MAX(BA250,BB250,BC250)),1,""))</f>
        <v/>
      </c>
      <c r="BI250" s="371"/>
      <c r="BJ250" s="495">
        <v>80</v>
      </c>
      <c r="BK250" s="496">
        <v>10</v>
      </c>
      <c r="BL250" s="482">
        <f t="shared" ref="BL250:BL261" si="572">IF(BJ250="","",100-SUM(BJ250:BK250))</f>
        <v>10</v>
      </c>
      <c r="BM250" s="371"/>
      <c r="BN250" s="232">
        <f t="shared" ref="BN250:BN261" si="573">IF($I250="x",BJ250,"")</f>
        <v>80</v>
      </c>
      <c r="BO250" s="232" t="str">
        <f t="shared" ref="BO250:BO261" si="574">IF($J250="x",BK250,"")</f>
        <v/>
      </c>
      <c r="BP250" s="232" t="str">
        <f t="shared" ref="BP250:BP261" si="575">IF($K250="x",BL250,"")</f>
        <v/>
      </c>
      <c r="BQ250" s="232">
        <f>IF((MAX(BN250,BO250,BP250))=0,"",IF((MAX(BN250,BO250,BP250))=(MAX(BJ250,BK250,BL250)),1,""))</f>
        <v>1</v>
      </c>
      <c r="BR250" s="371"/>
      <c r="BS250" s="495">
        <v>30</v>
      </c>
      <c r="BT250" s="496">
        <v>20</v>
      </c>
      <c r="BU250" s="482">
        <f t="shared" ref="BU250:BU261" si="576">IF(BS250="","",100-SUM(BS250:BT250))</f>
        <v>50</v>
      </c>
      <c r="BV250" s="371"/>
      <c r="BW250" s="232">
        <f t="shared" ref="BW250:BW261" si="577">IF($I250="x",BS250,"")</f>
        <v>30</v>
      </c>
      <c r="BX250" s="232" t="str">
        <f t="shared" ref="BX250:BX261" si="578">IF($J250="x",BT250,"")</f>
        <v/>
      </c>
      <c r="BY250" s="232" t="str">
        <f t="shared" ref="BY250:BY261" si="579">IF($K250="x",BU250,"")</f>
        <v/>
      </c>
      <c r="BZ250" s="232" t="str">
        <f>IF((MAX(BW250,BX250,BY250))=0,"",IF((MAX(BW250,BX250,BY250))=(MAX(BS250,BT250,BU250)),1,""))</f>
        <v/>
      </c>
      <c r="CA250" s="371"/>
      <c r="CB250" s="501">
        <f t="shared" ref="CB250:CB261" si="580">IFERROR(ROUNDUP((SUM(Q250,Z250,AI250,AR250,BA250,BJ250,BS250)/SUM($Q250:$S250,$Z250:$AB250,$AI250:$AK250,$AR250:$AT250,$BA250:$BC250,$BJ250:$BL250,$BS250:$BU250))*100,-1),"")</f>
        <v>40</v>
      </c>
      <c r="CC250" s="502">
        <f t="shared" ref="CC250:CC261" si="581">IFERROR(ROUNDDOWN((SUM(R250,AA250,AJ250,AS250,BB250,BK250,BT250)/SUM($Q250:$S250,$Z250:$AB250,$AI250:$AK250,$AR250:$AT250,$BA250:$BC250,$BJ250:$BL250,$BS250:$BU250))*100,-1),"")</f>
        <v>10</v>
      </c>
      <c r="CD250" s="503">
        <f t="shared" ref="CD250:CD261" si="582">IF(CB250="","",100-SUM(CB250:CC250))</f>
        <v>50</v>
      </c>
      <c r="CE250" s="371"/>
      <c r="CF250" s="232">
        <f t="shared" ref="CF250:CF261" si="583">IF($I250="x",CB250,"")</f>
        <v>40</v>
      </c>
      <c r="CG250" s="232" t="str">
        <f t="shared" ref="CG250:CG261" si="584">IF($J250="x",CC250,"")</f>
        <v/>
      </c>
      <c r="CH250" s="232" t="str">
        <f t="shared" ref="CH250:CH261" si="585">IF($K250="x",CD250,"")</f>
        <v/>
      </c>
      <c r="CI250" s="232" t="str">
        <f>IF((MAX(CF250,CG250,CH250))=0,"",IF((MAX(CF250,CG250,CH250))=(MAX(CB250,CC250,CD250)),1,""))</f>
        <v/>
      </c>
      <c r="CJ250" s="232"/>
      <c r="CK250" s="495">
        <v>20</v>
      </c>
      <c r="CL250" s="496">
        <v>20</v>
      </c>
      <c r="CM250" s="482">
        <f t="shared" ref="CM250:CM261" si="586">IF(CK250="","",100-SUM(CK250:CL250))</f>
        <v>60</v>
      </c>
      <c r="CN250" s="371"/>
      <c r="CO250" s="232">
        <f t="shared" ref="CO250:CO261" si="587">IF($I250="x",CK250,"")</f>
        <v>20</v>
      </c>
      <c r="CP250" s="232" t="str">
        <f t="shared" ref="CP250:CP261" si="588">IF($J250="x",CL250,"")</f>
        <v/>
      </c>
      <c r="CQ250" s="232" t="str">
        <f t="shared" ref="CQ250:CQ261" si="589">IF($K250="x",CM250,"")</f>
        <v/>
      </c>
      <c r="CR250" s="232" t="str">
        <f>IF((MAX(CO250,CP250,CQ250))=0,"",IF((MAX(CO250,CP250,CQ250))=(MAX(CK250,CL250,CM250)),1,""))</f>
        <v/>
      </c>
      <c r="CS250" s="232"/>
      <c r="CT250" s="371"/>
      <c r="CU250" s="296"/>
      <c r="CV250" s="246"/>
      <c r="CW250" s="264"/>
    </row>
    <row r="251" spans="1:101" x14ac:dyDescent="0.2">
      <c r="A251" s="264"/>
      <c r="B251" s="264"/>
      <c r="C251" s="202"/>
      <c r="D251" s="271">
        <v>2</v>
      </c>
      <c r="E251" s="167" t="s">
        <v>184</v>
      </c>
      <c r="F251" s="469">
        <v>2</v>
      </c>
      <c r="G251" s="474" t="s">
        <v>49</v>
      </c>
      <c r="H251" s="475">
        <v>6</v>
      </c>
      <c r="I251" s="389" t="str">
        <f t="shared" si="550"/>
        <v/>
      </c>
      <c r="J251" s="390" t="str">
        <f t="shared" si="551"/>
        <v/>
      </c>
      <c r="K251" s="391" t="str">
        <f t="shared" si="552"/>
        <v>x</v>
      </c>
      <c r="L251" s="299"/>
      <c r="M251" s="375"/>
      <c r="N251" s="379"/>
      <c r="O251" s="236"/>
      <c r="P251" s="236"/>
      <c r="Q251" s="483">
        <v>30</v>
      </c>
      <c r="R251" s="484">
        <v>30</v>
      </c>
      <c r="S251" s="485">
        <f t="shared" ref="S251:S261" si="590">IF(Q251="","",100-SUM(Q251:R251))</f>
        <v>40</v>
      </c>
      <c r="T251" s="371"/>
      <c r="U251" s="232" t="str">
        <f t="shared" si="553"/>
        <v/>
      </c>
      <c r="V251" s="232" t="str">
        <f t="shared" si="554"/>
        <v/>
      </c>
      <c r="W251" s="232">
        <f t="shared" si="555"/>
        <v>40</v>
      </c>
      <c r="X251" s="232">
        <f t="shared" ref="X251:X261" si="591">IF((MAX(U251,V251,W251))=0,"",IF((MAX(U251,V251,W251))=(MAX(Q251,R251,S251)),1,""))</f>
        <v>1</v>
      </c>
      <c r="Y251" s="371"/>
      <c r="Z251" s="497">
        <v>10</v>
      </c>
      <c r="AA251" s="498">
        <v>10</v>
      </c>
      <c r="AB251" s="485">
        <f t="shared" si="556"/>
        <v>80</v>
      </c>
      <c r="AC251" s="371"/>
      <c r="AD251" s="232" t="str">
        <f t="shared" si="557"/>
        <v/>
      </c>
      <c r="AE251" s="232" t="str">
        <f t="shared" si="558"/>
        <v/>
      </c>
      <c r="AF251" s="232">
        <f t="shared" si="559"/>
        <v>80</v>
      </c>
      <c r="AG251" s="232">
        <f t="shared" ref="AG251:AG261" si="592">IF((MAX(AD251,AE251,AF251))=0,"",IF((MAX(AD251,AE251,AF251))=(MAX(Z251,AA251,AB251)),1,""))</f>
        <v>1</v>
      </c>
      <c r="AH251" s="371"/>
      <c r="AI251" s="497">
        <v>10</v>
      </c>
      <c r="AJ251" s="498">
        <v>20</v>
      </c>
      <c r="AK251" s="485">
        <f t="shared" si="560"/>
        <v>70</v>
      </c>
      <c r="AL251" s="371"/>
      <c r="AM251" s="232" t="str">
        <f t="shared" si="561"/>
        <v/>
      </c>
      <c r="AN251" s="232" t="str">
        <f t="shared" si="562"/>
        <v/>
      </c>
      <c r="AO251" s="232">
        <f t="shared" si="563"/>
        <v>70</v>
      </c>
      <c r="AP251" s="232">
        <f t="shared" ref="AP251:AP261" si="593">IF((MAX(AM251,AN251,AO251))=0,"",IF((MAX(AM251,AN251,AO251))=(MAX(AI251,AJ251,AK251)),1,""))</f>
        <v>1</v>
      </c>
      <c r="AQ251" s="371"/>
      <c r="AR251" s="497">
        <v>10</v>
      </c>
      <c r="AS251" s="498">
        <v>30</v>
      </c>
      <c r="AT251" s="485">
        <f t="shared" si="564"/>
        <v>60</v>
      </c>
      <c r="AU251" s="371"/>
      <c r="AV251" s="232" t="str">
        <f t="shared" si="565"/>
        <v/>
      </c>
      <c r="AW251" s="232" t="str">
        <f t="shared" si="566"/>
        <v/>
      </c>
      <c r="AX251" s="232">
        <f t="shared" si="567"/>
        <v>60</v>
      </c>
      <c r="AY251" s="232">
        <f t="shared" ref="AY251:AY261" si="594">IF((MAX(AV251,AW251,AX251))=0,"",IF((MAX(AV251,AW251,AX251))=(MAX(AR251,AS251,AT251)),1,""))</f>
        <v>1</v>
      </c>
      <c r="AZ251" s="371"/>
      <c r="BA251" s="497">
        <v>10</v>
      </c>
      <c r="BB251" s="498">
        <v>10</v>
      </c>
      <c r="BC251" s="485">
        <f t="shared" si="568"/>
        <v>80</v>
      </c>
      <c r="BD251" s="371"/>
      <c r="BE251" s="232" t="str">
        <f t="shared" si="569"/>
        <v/>
      </c>
      <c r="BF251" s="232" t="str">
        <f t="shared" si="570"/>
        <v/>
      </c>
      <c r="BG251" s="232">
        <f t="shared" si="571"/>
        <v>80</v>
      </c>
      <c r="BH251" s="232">
        <f t="shared" ref="BH251:BH261" si="595">IF((MAX(BE251,BF251,BG251))=0,"",IF((MAX(BE251,BF251,BG251))=(MAX(BA251,BB251,BC251)),1,""))</f>
        <v>1</v>
      </c>
      <c r="BI251" s="371"/>
      <c r="BJ251" s="497">
        <v>10</v>
      </c>
      <c r="BK251" s="498">
        <v>10</v>
      </c>
      <c r="BL251" s="485">
        <f t="shared" si="572"/>
        <v>80</v>
      </c>
      <c r="BM251" s="371"/>
      <c r="BN251" s="232" t="str">
        <f t="shared" si="573"/>
        <v/>
      </c>
      <c r="BO251" s="232" t="str">
        <f t="shared" si="574"/>
        <v/>
      </c>
      <c r="BP251" s="232">
        <f t="shared" si="575"/>
        <v>80</v>
      </c>
      <c r="BQ251" s="232">
        <f t="shared" ref="BQ251:BQ261" si="596">IF((MAX(BN251,BO251,BP251))=0,"",IF((MAX(BN251,BO251,BP251))=(MAX(BJ251,BK251,BL251)),1,""))</f>
        <v>1</v>
      </c>
      <c r="BR251" s="371"/>
      <c r="BS251" s="497">
        <v>40</v>
      </c>
      <c r="BT251" s="498">
        <v>20</v>
      </c>
      <c r="BU251" s="485">
        <f t="shared" si="576"/>
        <v>40</v>
      </c>
      <c r="BV251" s="371"/>
      <c r="BW251" s="232" t="str">
        <f t="shared" si="577"/>
        <v/>
      </c>
      <c r="BX251" s="232" t="str">
        <f t="shared" si="578"/>
        <v/>
      </c>
      <c r="BY251" s="232">
        <f t="shared" si="579"/>
        <v>40</v>
      </c>
      <c r="BZ251" s="232">
        <f t="shared" ref="BZ251:BZ261" si="597">IF((MAX(BW251,BX251,BY251))=0,"",IF((MAX(BW251,BX251,BY251))=(MAX(BS251,BT251,BU251)),1,""))</f>
        <v>1</v>
      </c>
      <c r="CA251" s="371"/>
      <c r="CB251" s="504">
        <f t="shared" si="580"/>
        <v>20</v>
      </c>
      <c r="CC251" s="505">
        <f t="shared" si="581"/>
        <v>10</v>
      </c>
      <c r="CD251" s="506">
        <f t="shared" si="582"/>
        <v>70</v>
      </c>
      <c r="CE251" s="371"/>
      <c r="CF251" s="232" t="str">
        <f t="shared" si="583"/>
        <v/>
      </c>
      <c r="CG251" s="232" t="str">
        <f t="shared" si="584"/>
        <v/>
      </c>
      <c r="CH251" s="232">
        <f t="shared" si="585"/>
        <v>70</v>
      </c>
      <c r="CI251" s="232">
        <f t="shared" ref="CI251:CI261" si="598">IF((MAX(CF251,CG251,CH251))=0,"",IF((MAX(CF251,CG251,CH251))=(MAX(CB251,CC251,CD251)),1,""))</f>
        <v>1</v>
      </c>
      <c r="CJ251" s="232"/>
      <c r="CK251" s="497">
        <v>10</v>
      </c>
      <c r="CL251" s="498">
        <v>30</v>
      </c>
      <c r="CM251" s="485">
        <f t="shared" si="586"/>
        <v>60</v>
      </c>
      <c r="CN251" s="371"/>
      <c r="CO251" s="232" t="str">
        <f t="shared" si="587"/>
        <v/>
      </c>
      <c r="CP251" s="232" t="str">
        <f t="shared" si="588"/>
        <v/>
      </c>
      <c r="CQ251" s="232">
        <f t="shared" si="589"/>
        <v>60</v>
      </c>
      <c r="CR251" s="232">
        <f t="shared" ref="CR251:CR261" si="599">IF((MAX(CO251,CP251,CQ251))=0,"",IF((MAX(CO251,CP251,CQ251))=(MAX(CK251,CL251,CM251)),1,""))</f>
        <v>1</v>
      </c>
      <c r="CS251" s="232"/>
      <c r="CT251" s="371"/>
      <c r="CU251" s="296"/>
      <c r="CV251" s="246"/>
      <c r="CW251" s="264"/>
    </row>
    <row r="252" spans="1:101" ht="13.5" thickBot="1" x14ac:dyDescent="0.25">
      <c r="A252" s="264"/>
      <c r="B252" s="264"/>
      <c r="C252" s="202"/>
      <c r="D252" s="271">
        <v>3</v>
      </c>
      <c r="E252" s="168" t="s">
        <v>185</v>
      </c>
      <c r="F252" s="470">
        <v>3</v>
      </c>
      <c r="G252" s="476" t="s">
        <v>49</v>
      </c>
      <c r="H252" s="477">
        <v>3</v>
      </c>
      <c r="I252" s="392" t="str">
        <f t="shared" si="550"/>
        <v/>
      </c>
      <c r="J252" s="393" t="str">
        <f t="shared" si="551"/>
        <v>x</v>
      </c>
      <c r="K252" s="394" t="str">
        <f t="shared" si="552"/>
        <v/>
      </c>
      <c r="L252" s="299"/>
      <c r="M252" s="375"/>
      <c r="N252" s="379"/>
      <c r="O252" s="236"/>
      <c r="P252" s="236"/>
      <c r="Q252" s="486">
        <v>60</v>
      </c>
      <c r="R252" s="487">
        <v>20</v>
      </c>
      <c r="S252" s="488">
        <f t="shared" si="590"/>
        <v>20</v>
      </c>
      <c r="T252" s="371"/>
      <c r="U252" s="232" t="str">
        <f t="shared" si="553"/>
        <v/>
      </c>
      <c r="V252" s="232">
        <f t="shared" si="554"/>
        <v>20</v>
      </c>
      <c r="W252" s="232" t="str">
        <f t="shared" si="555"/>
        <v/>
      </c>
      <c r="X252" s="232" t="str">
        <f t="shared" si="591"/>
        <v/>
      </c>
      <c r="Y252" s="371"/>
      <c r="Z252" s="499">
        <v>80</v>
      </c>
      <c r="AA252" s="500">
        <v>10</v>
      </c>
      <c r="AB252" s="488">
        <f t="shared" si="556"/>
        <v>10</v>
      </c>
      <c r="AC252" s="371"/>
      <c r="AD252" s="232" t="str">
        <f t="shared" si="557"/>
        <v/>
      </c>
      <c r="AE252" s="232">
        <f t="shared" si="558"/>
        <v>10</v>
      </c>
      <c r="AF252" s="232" t="str">
        <f t="shared" si="559"/>
        <v/>
      </c>
      <c r="AG252" s="232" t="str">
        <f t="shared" si="592"/>
        <v/>
      </c>
      <c r="AH252" s="371"/>
      <c r="AI252" s="499">
        <v>80</v>
      </c>
      <c r="AJ252" s="500">
        <v>10</v>
      </c>
      <c r="AK252" s="488">
        <f t="shared" si="560"/>
        <v>10</v>
      </c>
      <c r="AL252" s="371"/>
      <c r="AM252" s="232" t="str">
        <f t="shared" si="561"/>
        <v/>
      </c>
      <c r="AN252" s="232">
        <f t="shared" si="562"/>
        <v>10</v>
      </c>
      <c r="AO252" s="232" t="str">
        <f t="shared" si="563"/>
        <v/>
      </c>
      <c r="AP252" s="232" t="str">
        <f t="shared" si="593"/>
        <v/>
      </c>
      <c r="AQ252" s="371"/>
      <c r="AR252" s="499">
        <v>80</v>
      </c>
      <c r="AS252" s="500">
        <v>10</v>
      </c>
      <c r="AT252" s="488">
        <f t="shared" si="564"/>
        <v>10</v>
      </c>
      <c r="AU252" s="371"/>
      <c r="AV252" s="232" t="str">
        <f t="shared" si="565"/>
        <v/>
      </c>
      <c r="AW252" s="232">
        <f t="shared" si="566"/>
        <v>10</v>
      </c>
      <c r="AX252" s="232" t="str">
        <f t="shared" si="567"/>
        <v/>
      </c>
      <c r="AY252" s="232" t="str">
        <f t="shared" si="594"/>
        <v/>
      </c>
      <c r="AZ252" s="371"/>
      <c r="BA252" s="499">
        <v>80</v>
      </c>
      <c r="BB252" s="500">
        <v>10</v>
      </c>
      <c r="BC252" s="488">
        <f t="shared" si="568"/>
        <v>10</v>
      </c>
      <c r="BD252" s="371"/>
      <c r="BE252" s="232" t="str">
        <f t="shared" si="569"/>
        <v/>
      </c>
      <c r="BF252" s="232">
        <f t="shared" si="570"/>
        <v>10</v>
      </c>
      <c r="BG252" s="232" t="str">
        <f t="shared" si="571"/>
        <v/>
      </c>
      <c r="BH252" s="232" t="str">
        <f t="shared" si="595"/>
        <v/>
      </c>
      <c r="BI252" s="371"/>
      <c r="BJ252" s="499">
        <v>80</v>
      </c>
      <c r="BK252" s="500">
        <v>10</v>
      </c>
      <c r="BL252" s="488">
        <f t="shared" si="572"/>
        <v>10</v>
      </c>
      <c r="BM252" s="371"/>
      <c r="BN252" s="232" t="str">
        <f t="shared" si="573"/>
        <v/>
      </c>
      <c r="BO252" s="232">
        <f t="shared" si="574"/>
        <v>10</v>
      </c>
      <c r="BP252" s="232" t="str">
        <f t="shared" si="575"/>
        <v/>
      </c>
      <c r="BQ252" s="232" t="str">
        <f t="shared" si="596"/>
        <v/>
      </c>
      <c r="BR252" s="371"/>
      <c r="BS252" s="499">
        <v>60</v>
      </c>
      <c r="BT252" s="500">
        <v>20</v>
      </c>
      <c r="BU252" s="488">
        <f t="shared" si="576"/>
        <v>20</v>
      </c>
      <c r="BV252" s="371"/>
      <c r="BW252" s="232" t="str">
        <f t="shared" si="577"/>
        <v/>
      </c>
      <c r="BX252" s="232">
        <f t="shared" si="578"/>
        <v>20</v>
      </c>
      <c r="BY252" s="232" t="str">
        <f t="shared" si="579"/>
        <v/>
      </c>
      <c r="BZ252" s="232" t="str">
        <f t="shared" si="597"/>
        <v/>
      </c>
      <c r="CA252" s="371"/>
      <c r="CB252" s="507">
        <f t="shared" si="580"/>
        <v>80</v>
      </c>
      <c r="CC252" s="508">
        <f t="shared" si="581"/>
        <v>10</v>
      </c>
      <c r="CD252" s="509">
        <f t="shared" si="582"/>
        <v>10</v>
      </c>
      <c r="CE252" s="371"/>
      <c r="CF252" s="232" t="str">
        <f t="shared" si="583"/>
        <v/>
      </c>
      <c r="CG252" s="232">
        <f t="shared" si="584"/>
        <v>10</v>
      </c>
      <c r="CH252" s="232" t="str">
        <f t="shared" si="585"/>
        <v/>
      </c>
      <c r="CI252" s="232" t="str">
        <f t="shared" si="598"/>
        <v/>
      </c>
      <c r="CJ252" s="232"/>
      <c r="CK252" s="499">
        <v>80</v>
      </c>
      <c r="CL252" s="500">
        <v>10</v>
      </c>
      <c r="CM252" s="488">
        <f t="shared" si="586"/>
        <v>10</v>
      </c>
      <c r="CN252" s="371"/>
      <c r="CO252" s="232" t="str">
        <f t="shared" si="587"/>
        <v/>
      </c>
      <c r="CP252" s="232">
        <f t="shared" si="588"/>
        <v>10</v>
      </c>
      <c r="CQ252" s="232" t="str">
        <f t="shared" si="589"/>
        <v/>
      </c>
      <c r="CR252" s="232" t="str">
        <f t="shared" si="599"/>
        <v/>
      </c>
      <c r="CS252" s="232"/>
      <c r="CT252" s="371"/>
      <c r="CU252" s="296"/>
      <c r="CV252" s="246"/>
      <c r="CW252" s="264"/>
    </row>
    <row r="253" spans="1:101" x14ac:dyDescent="0.2">
      <c r="A253" s="264"/>
      <c r="B253" s="264"/>
      <c r="C253" s="202"/>
      <c r="D253" s="271">
        <v>4</v>
      </c>
      <c r="E253" s="166" t="s">
        <v>186</v>
      </c>
      <c r="F253" s="468">
        <v>3</v>
      </c>
      <c r="G253" s="472" t="s">
        <v>49</v>
      </c>
      <c r="H253" s="473">
        <v>2</v>
      </c>
      <c r="I253" s="170" t="str">
        <f t="shared" si="550"/>
        <v>x</v>
      </c>
      <c r="J253" s="387" t="str">
        <f t="shared" si="551"/>
        <v/>
      </c>
      <c r="K253" s="388" t="str">
        <f t="shared" si="552"/>
        <v/>
      </c>
      <c r="L253" s="299"/>
      <c r="M253" s="375"/>
      <c r="N253" s="379"/>
      <c r="O253" s="236"/>
      <c r="P253" s="236"/>
      <c r="Q253" s="480">
        <v>50</v>
      </c>
      <c r="R253" s="481">
        <v>30</v>
      </c>
      <c r="S253" s="482">
        <f t="shared" si="590"/>
        <v>20</v>
      </c>
      <c r="T253" s="371"/>
      <c r="U253" s="232">
        <f t="shared" si="553"/>
        <v>50</v>
      </c>
      <c r="V253" s="232" t="str">
        <f t="shared" si="554"/>
        <v/>
      </c>
      <c r="W253" s="232" t="str">
        <f t="shared" si="555"/>
        <v/>
      </c>
      <c r="X253" s="232">
        <f t="shared" si="591"/>
        <v>1</v>
      </c>
      <c r="Y253" s="371"/>
      <c r="Z253" s="495">
        <v>80</v>
      </c>
      <c r="AA253" s="496">
        <v>10</v>
      </c>
      <c r="AB253" s="482">
        <f t="shared" si="556"/>
        <v>10</v>
      </c>
      <c r="AC253" s="371"/>
      <c r="AD253" s="232">
        <f t="shared" si="557"/>
        <v>80</v>
      </c>
      <c r="AE253" s="232" t="str">
        <f t="shared" si="558"/>
        <v/>
      </c>
      <c r="AF253" s="232" t="str">
        <f t="shared" si="559"/>
        <v/>
      </c>
      <c r="AG253" s="232">
        <f t="shared" si="592"/>
        <v>1</v>
      </c>
      <c r="AH253" s="371"/>
      <c r="AI253" s="495">
        <v>20</v>
      </c>
      <c r="AJ253" s="496">
        <v>40</v>
      </c>
      <c r="AK253" s="482">
        <f t="shared" si="560"/>
        <v>40</v>
      </c>
      <c r="AL253" s="371"/>
      <c r="AM253" s="232">
        <f t="shared" si="561"/>
        <v>20</v>
      </c>
      <c r="AN253" s="232" t="str">
        <f t="shared" si="562"/>
        <v/>
      </c>
      <c r="AO253" s="232" t="str">
        <f t="shared" si="563"/>
        <v/>
      </c>
      <c r="AP253" s="232" t="str">
        <f t="shared" si="593"/>
        <v/>
      </c>
      <c r="AQ253" s="371"/>
      <c r="AR253" s="495">
        <v>80</v>
      </c>
      <c r="AS253" s="496">
        <v>10</v>
      </c>
      <c r="AT253" s="482">
        <f t="shared" si="564"/>
        <v>10</v>
      </c>
      <c r="AU253" s="371"/>
      <c r="AV253" s="232">
        <f t="shared" si="565"/>
        <v>80</v>
      </c>
      <c r="AW253" s="232" t="str">
        <f t="shared" si="566"/>
        <v/>
      </c>
      <c r="AX253" s="232" t="str">
        <f t="shared" si="567"/>
        <v/>
      </c>
      <c r="AY253" s="232">
        <f t="shared" si="594"/>
        <v>1</v>
      </c>
      <c r="AZ253" s="371"/>
      <c r="BA253" s="495">
        <v>80</v>
      </c>
      <c r="BB253" s="496">
        <v>10</v>
      </c>
      <c r="BC253" s="482">
        <f t="shared" si="568"/>
        <v>10</v>
      </c>
      <c r="BD253" s="371"/>
      <c r="BE253" s="232">
        <f t="shared" si="569"/>
        <v>80</v>
      </c>
      <c r="BF253" s="232" t="str">
        <f t="shared" si="570"/>
        <v/>
      </c>
      <c r="BG253" s="232" t="str">
        <f t="shared" si="571"/>
        <v/>
      </c>
      <c r="BH253" s="232">
        <f t="shared" si="595"/>
        <v>1</v>
      </c>
      <c r="BI253" s="371"/>
      <c r="BJ253" s="495">
        <v>80</v>
      </c>
      <c r="BK253" s="496">
        <v>10</v>
      </c>
      <c r="BL253" s="482">
        <f t="shared" si="572"/>
        <v>10</v>
      </c>
      <c r="BM253" s="371"/>
      <c r="BN253" s="232">
        <f t="shared" si="573"/>
        <v>80</v>
      </c>
      <c r="BO253" s="232" t="str">
        <f t="shared" si="574"/>
        <v/>
      </c>
      <c r="BP253" s="232" t="str">
        <f t="shared" si="575"/>
        <v/>
      </c>
      <c r="BQ253" s="232">
        <f t="shared" si="596"/>
        <v>1</v>
      </c>
      <c r="BR253" s="371"/>
      <c r="BS253" s="495">
        <v>50</v>
      </c>
      <c r="BT253" s="496">
        <v>10</v>
      </c>
      <c r="BU253" s="482">
        <f t="shared" si="576"/>
        <v>40</v>
      </c>
      <c r="BV253" s="371"/>
      <c r="BW253" s="232">
        <f t="shared" si="577"/>
        <v>50</v>
      </c>
      <c r="BX253" s="232" t="str">
        <f t="shared" si="578"/>
        <v/>
      </c>
      <c r="BY253" s="232" t="str">
        <f t="shared" si="579"/>
        <v/>
      </c>
      <c r="BZ253" s="232">
        <f t="shared" si="597"/>
        <v>1</v>
      </c>
      <c r="CA253" s="371"/>
      <c r="CB253" s="501">
        <f t="shared" si="580"/>
        <v>70</v>
      </c>
      <c r="CC253" s="502">
        <f t="shared" si="581"/>
        <v>10</v>
      </c>
      <c r="CD253" s="503">
        <f t="shared" si="582"/>
        <v>20</v>
      </c>
      <c r="CE253" s="371"/>
      <c r="CF253" s="232">
        <f t="shared" si="583"/>
        <v>70</v>
      </c>
      <c r="CG253" s="232" t="str">
        <f t="shared" si="584"/>
        <v/>
      </c>
      <c r="CH253" s="232" t="str">
        <f t="shared" si="585"/>
        <v/>
      </c>
      <c r="CI253" s="232">
        <f t="shared" si="598"/>
        <v>1</v>
      </c>
      <c r="CJ253" s="232"/>
      <c r="CK253" s="495">
        <v>80</v>
      </c>
      <c r="CL253" s="496">
        <v>10</v>
      </c>
      <c r="CM253" s="482">
        <f t="shared" si="586"/>
        <v>10</v>
      </c>
      <c r="CN253" s="371"/>
      <c r="CO253" s="232">
        <f t="shared" si="587"/>
        <v>80</v>
      </c>
      <c r="CP253" s="232" t="str">
        <f t="shared" si="588"/>
        <v/>
      </c>
      <c r="CQ253" s="232" t="str">
        <f t="shared" si="589"/>
        <v/>
      </c>
      <c r="CR253" s="232">
        <f t="shared" si="599"/>
        <v>1</v>
      </c>
      <c r="CS253" s="232"/>
      <c r="CT253" s="371"/>
      <c r="CU253" s="296"/>
      <c r="CV253" s="246"/>
      <c r="CW253" s="264"/>
    </row>
    <row r="254" spans="1:101" x14ac:dyDescent="0.2">
      <c r="A254" s="264"/>
      <c r="B254" s="264"/>
      <c r="C254" s="202"/>
      <c r="D254" s="271">
        <v>5</v>
      </c>
      <c r="E254" s="167" t="s">
        <v>187</v>
      </c>
      <c r="F254" s="469">
        <v>2</v>
      </c>
      <c r="G254" s="474" t="s">
        <v>49</v>
      </c>
      <c r="H254" s="475">
        <v>1</v>
      </c>
      <c r="I254" s="389" t="str">
        <f t="shared" si="550"/>
        <v>x</v>
      </c>
      <c r="J254" s="390" t="str">
        <f t="shared" si="551"/>
        <v/>
      </c>
      <c r="K254" s="391" t="str">
        <f t="shared" si="552"/>
        <v/>
      </c>
      <c r="L254" s="299"/>
      <c r="M254" s="375"/>
      <c r="N254" s="379"/>
      <c r="O254" s="236"/>
      <c r="P254" s="236"/>
      <c r="Q254" s="483">
        <v>20</v>
      </c>
      <c r="R254" s="484">
        <v>30</v>
      </c>
      <c r="S254" s="485">
        <f t="shared" si="590"/>
        <v>50</v>
      </c>
      <c r="T254" s="371"/>
      <c r="U254" s="232">
        <f t="shared" si="553"/>
        <v>20</v>
      </c>
      <c r="V254" s="232" t="str">
        <f t="shared" si="554"/>
        <v/>
      </c>
      <c r="W254" s="232" t="str">
        <f t="shared" si="555"/>
        <v/>
      </c>
      <c r="X254" s="232" t="str">
        <f t="shared" si="591"/>
        <v/>
      </c>
      <c r="Y254" s="371"/>
      <c r="Z254" s="497">
        <v>10</v>
      </c>
      <c r="AA254" s="498">
        <v>10</v>
      </c>
      <c r="AB254" s="485">
        <f t="shared" si="556"/>
        <v>80</v>
      </c>
      <c r="AC254" s="371"/>
      <c r="AD254" s="232">
        <f t="shared" si="557"/>
        <v>10</v>
      </c>
      <c r="AE254" s="232" t="str">
        <f t="shared" si="558"/>
        <v/>
      </c>
      <c r="AF254" s="232" t="str">
        <f t="shared" si="559"/>
        <v/>
      </c>
      <c r="AG254" s="232" t="str">
        <f t="shared" si="592"/>
        <v/>
      </c>
      <c r="AH254" s="371"/>
      <c r="AI254" s="497">
        <v>10</v>
      </c>
      <c r="AJ254" s="498">
        <v>10</v>
      </c>
      <c r="AK254" s="485">
        <f t="shared" si="560"/>
        <v>80</v>
      </c>
      <c r="AL254" s="371"/>
      <c r="AM254" s="232">
        <f t="shared" si="561"/>
        <v>10</v>
      </c>
      <c r="AN254" s="232" t="str">
        <f t="shared" si="562"/>
        <v/>
      </c>
      <c r="AO254" s="232" t="str">
        <f t="shared" si="563"/>
        <v/>
      </c>
      <c r="AP254" s="232" t="str">
        <f t="shared" si="593"/>
        <v/>
      </c>
      <c r="AQ254" s="371"/>
      <c r="AR254" s="497">
        <v>10</v>
      </c>
      <c r="AS254" s="498">
        <v>10</v>
      </c>
      <c r="AT254" s="485">
        <f t="shared" si="564"/>
        <v>80</v>
      </c>
      <c r="AU254" s="371"/>
      <c r="AV254" s="232">
        <f t="shared" si="565"/>
        <v>10</v>
      </c>
      <c r="AW254" s="232" t="str">
        <f t="shared" si="566"/>
        <v/>
      </c>
      <c r="AX254" s="232" t="str">
        <f t="shared" si="567"/>
        <v/>
      </c>
      <c r="AY254" s="232" t="str">
        <f t="shared" si="594"/>
        <v/>
      </c>
      <c r="AZ254" s="371"/>
      <c r="BA254" s="497">
        <v>10</v>
      </c>
      <c r="BB254" s="498">
        <v>10</v>
      </c>
      <c r="BC254" s="485">
        <f t="shared" si="568"/>
        <v>80</v>
      </c>
      <c r="BD254" s="371"/>
      <c r="BE254" s="232">
        <f t="shared" si="569"/>
        <v>10</v>
      </c>
      <c r="BF254" s="232" t="str">
        <f t="shared" si="570"/>
        <v/>
      </c>
      <c r="BG254" s="232" t="str">
        <f t="shared" si="571"/>
        <v/>
      </c>
      <c r="BH254" s="232" t="str">
        <f t="shared" si="595"/>
        <v/>
      </c>
      <c r="BI254" s="371"/>
      <c r="BJ254" s="497">
        <v>10</v>
      </c>
      <c r="BK254" s="498">
        <v>10</v>
      </c>
      <c r="BL254" s="485">
        <f t="shared" si="572"/>
        <v>80</v>
      </c>
      <c r="BM254" s="371"/>
      <c r="BN254" s="232">
        <f t="shared" si="573"/>
        <v>10</v>
      </c>
      <c r="BO254" s="232" t="str">
        <f t="shared" si="574"/>
        <v/>
      </c>
      <c r="BP254" s="232" t="str">
        <f t="shared" si="575"/>
        <v/>
      </c>
      <c r="BQ254" s="232" t="str">
        <f t="shared" si="596"/>
        <v/>
      </c>
      <c r="BR254" s="371"/>
      <c r="BS254" s="497">
        <v>30</v>
      </c>
      <c r="BT254" s="498">
        <v>20</v>
      </c>
      <c r="BU254" s="485">
        <f t="shared" si="576"/>
        <v>50</v>
      </c>
      <c r="BV254" s="371"/>
      <c r="BW254" s="232">
        <f t="shared" si="577"/>
        <v>30</v>
      </c>
      <c r="BX254" s="232" t="str">
        <f t="shared" si="578"/>
        <v/>
      </c>
      <c r="BY254" s="232" t="str">
        <f t="shared" si="579"/>
        <v/>
      </c>
      <c r="BZ254" s="232" t="str">
        <f t="shared" si="597"/>
        <v/>
      </c>
      <c r="CA254" s="371"/>
      <c r="CB254" s="504">
        <f t="shared" si="580"/>
        <v>20</v>
      </c>
      <c r="CC254" s="505">
        <f t="shared" si="581"/>
        <v>10</v>
      </c>
      <c r="CD254" s="506">
        <f t="shared" si="582"/>
        <v>70</v>
      </c>
      <c r="CE254" s="371"/>
      <c r="CF254" s="232">
        <f t="shared" si="583"/>
        <v>20</v>
      </c>
      <c r="CG254" s="232" t="str">
        <f t="shared" si="584"/>
        <v/>
      </c>
      <c r="CH254" s="232" t="str">
        <f t="shared" si="585"/>
        <v/>
      </c>
      <c r="CI254" s="232" t="str">
        <f t="shared" si="598"/>
        <v/>
      </c>
      <c r="CJ254" s="232"/>
      <c r="CK254" s="497">
        <v>10</v>
      </c>
      <c r="CL254" s="498">
        <v>10</v>
      </c>
      <c r="CM254" s="485">
        <f t="shared" si="586"/>
        <v>80</v>
      </c>
      <c r="CN254" s="371"/>
      <c r="CO254" s="232">
        <f t="shared" si="587"/>
        <v>10</v>
      </c>
      <c r="CP254" s="232" t="str">
        <f t="shared" si="588"/>
        <v/>
      </c>
      <c r="CQ254" s="232" t="str">
        <f t="shared" si="589"/>
        <v/>
      </c>
      <c r="CR254" s="232" t="str">
        <f t="shared" si="599"/>
        <v/>
      </c>
      <c r="CS254" s="232"/>
      <c r="CT254" s="371"/>
      <c r="CU254" s="296"/>
      <c r="CV254" s="246"/>
      <c r="CW254" s="264"/>
    </row>
    <row r="255" spans="1:101" ht="13.5" thickBot="1" x14ac:dyDescent="0.25">
      <c r="A255" s="264"/>
      <c r="B255" s="264"/>
      <c r="C255" s="202"/>
      <c r="D255" s="271">
        <v>6</v>
      </c>
      <c r="E255" s="168" t="s">
        <v>188</v>
      </c>
      <c r="F255" s="470">
        <v>0</v>
      </c>
      <c r="G255" s="476" t="s">
        <v>49</v>
      </c>
      <c r="H255" s="477">
        <v>3</v>
      </c>
      <c r="I255" s="392" t="str">
        <f t="shared" si="550"/>
        <v/>
      </c>
      <c r="J255" s="393" t="str">
        <f t="shared" si="551"/>
        <v/>
      </c>
      <c r="K255" s="394" t="str">
        <f t="shared" si="552"/>
        <v>x</v>
      </c>
      <c r="L255" s="299"/>
      <c r="M255" s="375"/>
      <c r="N255" s="379"/>
      <c r="O255" s="236"/>
      <c r="P255" s="236"/>
      <c r="Q255" s="489">
        <v>70</v>
      </c>
      <c r="R255" s="490">
        <v>20</v>
      </c>
      <c r="S255" s="491">
        <f t="shared" si="590"/>
        <v>10</v>
      </c>
      <c r="T255" s="371"/>
      <c r="U255" s="232" t="str">
        <f t="shared" si="553"/>
        <v/>
      </c>
      <c r="V255" s="232" t="str">
        <f t="shared" si="554"/>
        <v/>
      </c>
      <c r="W255" s="232">
        <f t="shared" si="555"/>
        <v>10</v>
      </c>
      <c r="X255" s="232" t="str">
        <f t="shared" si="591"/>
        <v/>
      </c>
      <c r="Y255" s="371"/>
      <c r="Z255" s="499">
        <v>80</v>
      </c>
      <c r="AA255" s="500">
        <v>10</v>
      </c>
      <c r="AB255" s="491">
        <f t="shared" si="556"/>
        <v>10</v>
      </c>
      <c r="AC255" s="371"/>
      <c r="AD255" s="232" t="str">
        <f t="shared" si="557"/>
        <v/>
      </c>
      <c r="AE255" s="232" t="str">
        <f t="shared" si="558"/>
        <v/>
      </c>
      <c r="AF255" s="232">
        <f t="shared" si="559"/>
        <v>10</v>
      </c>
      <c r="AG255" s="232" t="str">
        <f t="shared" si="592"/>
        <v/>
      </c>
      <c r="AH255" s="371"/>
      <c r="AI255" s="499">
        <v>80</v>
      </c>
      <c r="AJ255" s="500">
        <v>10</v>
      </c>
      <c r="AK255" s="491">
        <f t="shared" si="560"/>
        <v>10</v>
      </c>
      <c r="AL255" s="371"/>
      <c r="AM255" s="232" t="str">
        <f t="shared" si="561"/>
        <v/>
      </c>
      <c r="AN255" s="232" t="str">
        <f t="shared" si="562"/>
        <v/>
      </c>
      <c r="AO255" s="232">
        <f t="shared" si="563"/>
        <v>10</v>
      </c>
      <c r="AP255" s="232" t="str">
        <f t="shared" si="593"/>
        <v/>
      </c>
      <c r="AQ255" s="371"/>
      <c r="AR255" s="499">
        <v>80</v>
      </c>
      <c r="AS255" s="500">
        <v>10</v>
      </c>
      <c r="AT255" s="491">
        <f t="shared" si="564"/>
        <v>10</v>
      </c>
      <c r="AU255" s="371"/>
      <c r="AV255" s="232" t="str">
        <f t="shared" si="565"/>
        <v/>
      </c>
      <c r="AW255" s="232" t="str">
        <f t="shared" si="566"/>
        <v/>
      </c>
      <c r="AX255" s="232">
        <f t="shared" si="567"/>
        <v>10</v>
      </c>
      <c r="AY255" s="232" t="str">
        <f t="shared" si="594"/>
        <v/>
      </c>
      <c r="AZ255" s="371"/>
      <c r="BA255" s="499">
        <v>80</v>
      </c>
      <c r="BB255" s="500">
        <v>10</v>
      </c>
      <c r="BC255" s="491">
        <f t="shared" si="568"/>
        <v>10</v>
      </c>
      <c r="BD255" s="371"/>
      <c r="BE255" s="232" t="str">
        <f t="shared" si="569"/>
        <v/>
      </c>
      <c r="BF255" s="232" t="str">
        <f t="shared" si="570"/>
        <v/>
      </c>
      <c r="BG255" s="232">
        <f t="shared" si="571"/>
        <v>10</v>
      </c>
      <c r="BH255" s="232" t="str">
        <f t="shared" si="595"/>
        <v/>
      </c>
      <c r="BI255" s="371"/>
      <c r="BJ255" s="499">
        <v>80</v>
      </c>
      <c r="BK255" s="500">
        <v>10</v>
      </c>
      <c r="BL255" s="491">
        <f t="shared" si="572"/>
        <v>10</v>
      </c>
      <c r="BM255" s="371"/>
      <c r="BN255" s="232" t="str">
        <f t="shared" si="573"/>
        <v/>
      </c>
      <c r="BO255" s="232" t="str">
        <f t="shared" si="574"/>
        <v/>
      </c>
      <c r="BP255" s="232">
        <f t="shared" si="575"/>
        <v>10</v>
      </c>
      <c r="BQ255" s="232" t="str">
        <f t="shared" si="596"/>
        <v/>
      </c>
      <c r="BR255" s="371"/>
      <c r="BS255" s="499">
        <v>70</v>
      </c>
      <c r="BT255" s="500">
        <v>10</v>
      </c>
      <c r="BU255" s="491">
        <f t="shared" si="576"/>
        <v>20</v>
      </c>
      <c r="BV255" s="371"/>
      <c r="BW255" s="232" t="str">
        <f t="shared" si="577"/>
        <v/>
      </c>
      <c r="BX255" s="232" t="str">
        <f t="shared" si="578"/>
        <v/>
      </c>
      <c r="BY255" s="232">
        <f t="shared" si="579"/>
        <v>20</v>
      </c>
      <c r="BZ255" s="232" t="str">
        <f t="shared" si="597"/>
        <v/>
      </c>
      <c r="CA255" s="371"/>
      <c r="CB255" s="507">
        <f t="shared" si="580"/>
        <v>80</v>
      </c>
      <c r="CC255" s="508">
        <f t="shared" si="581"/>
        <v>10</v>
      </c>
      <c r="CD255" s="509">
        <f t="shared" si="582"/>
        <v>10</v>
      </c>
      <c r="CE255" s="371"/>
      <c r="CF255" s="232" t="str">
        <f t="shared" si="583"/>
        <v/>
      </c>
      <c r="CG255" s="232" t="str">
        <f t="shared" si="584"/>
        <v/>
      </c>
      <c r="CH255" s="232">
        <f t="shared" si="585"/>
        <v>10</v>
      </c>
      <c r="CI255" s="232" t="str">
        <f t="shared" si="598"/>
        <v/>
      </c>
      <c r="CJ255" s="232"/>
      <c r="CK255" s="499">
        <v>80</v>
      </c>
      <c r="CL255" s="500">
        <v>10</v>
      </c>
      <c r="CM255" s="491">
        <f t="shared" si="586"/>
        <v>10</v>
      </c>
      <c r="CN255" s="371"/>
      <c r="CO255" s="232" t="str">
        <f t="shared" si="587"/>
        <v/>
      </c>
      <c r="CP255" s="232" t="str">
        <f t="shared" si="588"/>
        <v/>
      </c>
      <c r="CQ255" s="232">
        <f t="shared" si="589"/>
        <v>10</v>
      </c>
      <c r="CR255" s="232" t="str">
        <f t="shared" si="599"/>
        <v/>
      </c>
      <c r="CS255" s="232"/>
      <c r="CT255" s="371"/>
      <c r="CU255" s="296"/>
      <c r="CV255" s="246"/>
      <c r="CW255" s="264"/>
    </row>
    <row r="256" spans="1:101" x14ac:dyDescent="0.2">
      <c r="A256" s="264"/>
      <c r="B256" s="264"/>
      <c r="C256" s="202"/>
      <c r="D256" s="271">
        <v>7</v>
      </c>
      <c r="E256" s="166" t="s">
        <v>189</v>
      </c>
      <c r="F256" s="468">
        <v>1</v>
      </c>
      <c r="G256" s="472" t="s">
        <v>49</v>
      </c>
      <c r="H256" s="473">
        <v>0</v>
      </c>
      <c r="I256" s="170" t="str">
        <f t="shared" si="550"/>
        <v>x</v>
      </c>
      <c r="J256" s="387" t="str">
        <f t="shared" si="551"/>
        <v/>
      </c>
      <c r="K256" s="388" t="str">
        <f t="shared" si="552"/>
        <v/>
      </c>
      <c r="L256" s="299"/>
      <c r="M256" s="375"/>
      <c r="N256" s="379"/>
      <c r="O256" s="236"/>
      <c r="P256" s="236"/>
      <c r="Q256" s="480">
        <v>50</v>
      </c>
      <c r="R256" s="481">
        <v>30</v>
      </c>
      <c r="S256" s="482">
        <f t="shared" si="590"/>
        <v>20</v>
      </c>
      <c r="T256" s="371"/>
      <c r="U256" s="232">
        <f t="shared" si="553"/>
        <v>50</v>
      </c>
      <c r="V256" s="232" t="str">
        <f t="shared" si="554"/>
        <v/>
      </c>
      <c r="W256" s="232" t="str">
        <f t="shared" si="555"/>
        <v/>
      </c>
      <c r="X256" s="232">
        <f t="shared" si="591"/>
        <v>1</v>
      </c>
      <c r="Y256" s="371"/>
      <c r="Z256" s="495">
        <v>80</v>
      </c>
      <c r="AA256" s="496">
        <v>10</v>
      </c>
      <c r="AB256" s="482">
        <f t="shared" si="556"/>
        <v>10</v>
      </c>
      <c r="AC256" s="371"/>
      <c r="AD256" s="232">
        <f t="shared" si="557"/>
        <v>80</v>
      </c>
      <c r="AE256" s="232" t="str">
        <f t="shared" si="558"/>
        <v/>
      </c>
      <c r="AF256" s="232" t="str">
        <f t="shared" si="559"/>
        <v/>
      </c>
      <c r="AG256" s="232">
        <f t="shared" si="592"/>
        <v>1</v>
      </c>
      <c r="AH256" s="371"/>
      <c r="AI256" s="495">
        <v>20</v>
      </c>
      <c r="AJ256" s="496">
        <v>30</v>
      </c>
      <c r="AK256" s="482">
        <f t="shared" si="560"/>
        <v>50</v>
      </c>
      <c r="AL256" s="371"/>
      <c r="AM256" s="232">
        <f t="shared" si="561"/>
        <v>20</v>
      </c>
      <c r="AN256" s="232" t="str">
        <f t="shared" si="562"/>
        <v/>
      </c>
      <c r="AO256" s="232" t="str">
        <f t="shared" si="563"/>
        <v/>
      </c>
      <c r="AP256" s="232" t="str">
        <f t="shared" si="593"/>
        <v/>
      </c>
      <c r="AQ256" s="371"/>
      <c r="AR256" s="495">
        <v>10</v>
      </c>
      <c r="AS256" s="496">
        <v>30</v>
      </c>
      <c r="AT256" s="482">
        <f t="shared" si="564"/>
        <v>60</v>
      </c>
      <c r="AU256" s="371"/>
      <c r="AV256" s="232">
        <f t="shared" si="565"/>
        <v>10</v>
      </c>
      <c r="AW256" s="232" t="str">
        <f t="shared" si="566"/>
        <v/>
      </c>
      <c r="AX256" s="232" t="str">
        <f t="shared" si="567"/>
        <v/>
      </c>
      <c r="AY256" s="232" t="str">
        <f t="shared" si="594"/>
        <v/>
      </c>
      <c r="AZ256" s="371"/>
      <c r="BA256" s="495">
        <v>80</v>
      </c>
      <c r="BB256" s="496">
        <v>10</v>
      </c>
      <c r="BC256" s="482">
        <f t="shared" si="568"/>
        <v>10</v>
      </c>
      <c r="BD256" s="371"/>
      <c r="BE256" s="232">
        <f t="shared" si="569"/>
        <v>80</v>
      </c>
      <c r="BF256" s="232" t="str">
        <f t="shared" si="570"/>
        <v/>
      </c>
      <c r="BG256" s="232" t="str">
        <f t="shared" si="571"/>
        <v/>
      </c>
      <c r="BH256" s="232">
        <f t="shared" si="595"/>
        <v>1</v>
      </c>
      <c r="BI256" s="371"/>
      <c r="BJ256" s="495">
        <v>10</v>
      </c>
      <c r="BK256" s="496">
        <v>30</v>
      </c>
      <c r="BL256" s="482">
        <f t="shared" si="572"/>
        <v>60</v>
      </c>
      <c r="BM256" s="371"/>
      <c r="BN256" s="232">
        <f t="shared" si="573"/>
        <v>10</v>
      </c>
      <c r="BO256" s="232" t="str">
        <f t="shared" si="574"/>
        <v/>
      </c>
      <c r="BP256" s="232" t="str">
        <f t="shared" si="575"/>
        <v/>
      </c>
      <c r="BQ256" s="232" t="str">
        <f t="shared" si="596"/>
        <v/>
      </c>
      <c r="BR256" s="371"/>
      <c r="BS256" s="495">
        <v>60</v>
      </c>
      <c r="BT256" s="496">
        <v>10</v>
      </c>
      <c r="BU256" s="482">
        <f t="shared" si="576"/>
        <v>30</v>
      </c>
      <c r="BV256" s="371"/>
      <c r="BW256" s="232">
        <f t="shared" si="577"/>
        <v>60</v>
      </c>
      <c r="BX256" s="232" t="str">
        <f t="shared" si="578"/>
        <v/>
      </c>
      <c r="BY256" s="232" t="str">
        <f t="shared" si="579"/>
        <v/>
      </c>
      <c r="BZ256" s="232">
        <f t="shared" si="597"/>
        <v>1</v>
      </c>
      <c r="CA256" s="371"/>
      <c r="CB256" s="501">
        <f t="shared" si="580"/>
        <v>50</v>
      </c>
      <c r="CC256" s="502">
        <f t="shared" si="581"/>
        <v>20</v>
      </c>
      <c r="CD256" s="503">
        <f t="shared" si="582"/>
        <v>30</v>
      </c>
      <c r="CE256" s="371"/>
      <c r="CF256" s="232">
        <f t="shared" si="583"/>
        <v>50</v>
      </c>
      <c r="CG256" s="232" t="str">
        <f t="shared" si="584"/>
        <v/>
      </c>
      <c r="CH256" s="232" t="str">
        <f t="shared" si="585"/>
        <v/>
      </c>
      <c r="CI256" s="232">
        <f t="shared" si="598"/>
        <v>1</v>
      </c>
      <c r="CJ256" s="232"/>
      <c r="CK256" s="495">
        <v>50</v>
      </c>
      <c r="CL256" s="496">
        <v>20</v>
      </c>
      <c r="CM256" s="482">
        <f t="shared" si="586"/>
        <v>30</v>
      </c>
      <c r="CN256" s="371"/>
      <c r="CO256" s="232">
        <f t="shared" si="587"/>
        <v>50</v>
      </c>
      <c r="CP256" s="232" t="str">
        <f t="shared" si="588"/>
        <v/>
      </c>
      <c r="CQ256" s="232" t="str">
        <f t="shared" si="589"/>
        <v/>
      </c>
      <c r="CR256" s="232">
        <f t="shared" si="599"/>
        <v>1</v>
      </c>
      <c r="CS256" s="232"/>
      <c r="CT256" s="371"/>
      <c r="CU256" s="300"/>
      <c r="CV256" s="246"/>
      <c r="CW256" s="264"/>
    </row>
    <row r="257" spans="1:101" x14ac:dyDescent="0.2">
      <c r="A257" s="264"/>
      <c r="B257" s="264"/>
      <c r="C257" s="202"/>
      <c r="D257" s="271">
        <v>8</v>
      </c>
      <c r="E257" s="167" t="s">
        <v>190</v>
      </c>
      <c r="F257" s="469">
        <v>2</v>
      </c>
      <c r="G257" s="474" t="s">
        <v>49</v>
      </c>
      <c r="H257" s="475">
        <v>1</v>
      </c>
      <c r="I257" s="389" t="str">
        <f t="shared" si="550"/>
        <v>x</v>
      </c>
      <c r="J257" s="390" t="str">
        <f t="shared" si="551"/>
        <v/>
      </c>
      <c r="K257" s="391" t="str">
        <f t="shared" si="552"/>
        <v/>
      </c>
      <c r="L257" s="299"/>
      <c r="M257" s="375"/>
      <c r="N257" s="379"/>
      <c r="O257" s="236"/>
      <c r="P257" s="236"/>
      <c r="Q257" s="483">
        <v>50</v>
      </c>
      <c r="R257" s="484">
        <v>30</v>
      </c>
      <c r="S257" s="485">
        <f t="shared" si="590"/>
        <v>20</v>
      </c>
      <c r="T257" s="371"/>
      <c r="U257" s="232">
        <f t="shared" si="553"/>
        <v>50</v>
      </c>
      <c r="V257" s="232" t="str">
        <f t="shared" si="554"/>
        <v/>
      </c>
      <c r="W257" s="232" t="str">
        <f t="shared" si="555"/>
        <v/>
      </c>
      <c r="X257" s="232">
        <f t="shared" si="591"/>
        <v>1</v>
      </c>
      <c r="Y257" s="371"/>
      <c r="Z257" s="497">
        <v>80</v>
      </c>
      <c r="AA257" s="498">
        <v>10</v>
      </c>
      <c r="AB257" s="485">
        <f t="shared" si="556"/>
        <v>10</v>
      </c>
      <c r="AC257" s="371"/>
      <c r="AD257" s="232">
        <f t="shared" si="557"/>
        <v>80</v>
      </c>
      <c r="AE257" s="232" t="str">
        <f t="shared" si="558"/>
        <v/>
      </c>
      <c r="AF257" s="232" t="str">
        <f t="shared" si="559"/>
        <v/>
      </c>
      <c r="AG257" s="232">
        <f t="shared" si="592"/>
        <v>1</v>
      </c>
      <c r="AH257" s="371"/>
      <c r="AI257" s="497">
        <v>40</v>
      </c>
      <c r="AJ257" s="498">
        <v>20</v>
      </c>
      <c r="AK257" s="485">
        <f t="shared" si="560"/>
        <v>40</v>
      </c>
      <c r="AL257" s="371"/>
      <c r="AM257" s="232">
        <f t="shared" si="561"/>
        <v>40</v>
      </c>
      <c r="AN257" s="232" t="str">
        <f t="shared" si="562"/>
        <v/>
      </c>
      <c r="AO257" s="232" t="str">
        <f t="shared" si="563"/>
        <v/>
      </c>
      <c r="AP257" s="232">
        <f t="shared" si="593"/>
        <v>1</v>
      </c>
      <c r="AQ257" s="371"/>
      <c r="AR257" s="497">
        <v>20</v>
      </c>
      <c r="AS257" s="498">
        <v>30</v>
      </c>
      <c r="AT257" s="485">
        <f t="shared" si="564"/>
        <v>50</v>
      </c>
      <c r="AU257" s="371"/>
      <c r="AV257" s="232">
        <f t="shared" si="565"/>
        <v>20</v>
      </c>
      <c r="AW257" s="232" t="str">
        <f t="shared" si="566"/>
        <v/>
      </c>
      <c r="AX257" s="232" t="str">
        <f t="shared" si="567"/>
        <v/>
      </c>
      <c r="AY257" s="232" t="str">
        <f t="shared" si="594"/>
        <v/>
      </c>
      <c r="AZ257" s="371"/>
      <c r="BA257" s="497">
        <v>80</v>
      </c>
      <c r="BB257" s="498">
        <v>10</v>
      </c>
      <c r="BC257" s="485">
        <f t="shared" si="568"/>
        <v>10</v>
      </c>
      <c r="BD257" s="371"/>
      <c r="BE257" s="232">
        <f t="shared" si="569"/>
        <v>80</v>
      </c>
      <c r="BF257" s="232" t="str">
        <f t="shared" si="570"/>
        <v/>
      </c>
      <c r="BG257" s="232" t="str">
        <f t="shared" si="571"/>
        <v/>
      </c>
      <c r="BH257" s="232">
        <f t="shared" si="595"/>
        <v>1</v>
      </c>
      <c r="BI257" s="371"/>
      <c r="BJ257" s="497">
        <v>80</v>
      </c>
      <c r="BK257" s="498">
        <v>10</v>
      </c>
      <c r="BL257" s="485">
        <f t="shared" si="572"/>
        <v>10</v>
      </c>
      <c r="BM257" s="371"/>
      <c r="BN257" s="232">
        <f t="shared" si="573"/>
        <v>80</v>
      </c>
      <c r="BO257" s="232" t="str">
        <f t="shared" si="574"/>
        <v/>
      </c>
      <c r="BP257" s="232" t="str">
        <f t="shared" si="575"/>
        <v/>
      </c>
      <c r="BQ257" s="232">
        <f t="shared" si="596"/>
        <v>1</v>
      </c>
      <c r="BR257" s="371"/>
      <c r="BS257" s="497">
        <v>50</v>
      </c>
      <c r="BT257" s="498">
        <v>30</v>
      </c>
      <c r="BU257" s="485">
        <f t="shared" si="576"/>
        <v>20</v>
      </c>
      <c r="BV257" s="371"/>
      <c r="BW257" s="232">
        <f t="shared" si="577"/>
        <v>50</v>
      </c>
      <c r="BX257" s="232" t="str">
        <f t="shared" si="578"/>
        <v/>
      </c>
      <c r="BY257" s="232" t="str">
        <f t="shared" si="579"/>
        <v/>
      </c>
      <c r="BZ257" s="232">
        <f t="shared" si="597"/>
        <v>1</v>
      </c>
      <c r="CA257" s="371"/>
      <c r="CB257" s="504">
        <f t="shared" si="580"/>
        <v>60</v>
      </c>
      <c r="CC257" s="505">
        <f t="shared" si="581"/>
        <v>20</v>
      </c>
      <c r="CD257" s="506">
        <f t="shared" si="582"/>
        <v>20</v>
      </c>
      <c r="CE257" s="371"/>
      <c r="CF257" s="232">
        <f t="shared" si="583"/>
        <v>60</v>
      </c>
      <c r="CG257" s="232" t="str">
        <f t="shared" si="584"/>
        <v/>
      </c>
      <c r="CH257" s="232" t="str">
        <f t="shared" si="585"/>
        <v/>
      </c>
      <c r="CI257" s="232">
        <f t="shared" si="598"/>
        <v>1</v>
      </c>
      <c r="CJ257" s="232"/>
      <c r="CK257" s="497">
        <v>60</v>
      </c>
      <c r="CL257" s="498">
        <v>10</v>
      </c>
      <c r="CM257" s="485">
        <f t="shared" si="586"/>
        <v>30</v>
      </c>
      <c r="CN257" s="371"/>
      <c r="CO257" s="232">
        <f t="shared" si="587"/>
        <v>60</v>
      </c>
      <c r="CP257" s="232" t="str">
        <f t="shared" si="588"/>
        <v/>
      </c>
      <c r="CQ257" s="232" t="str">
        <f t="shared" si="589"/>
        <v/>
      </c>
      <c r="CR257" s="232">
        <f t="shared" si="599"/>
        <v>1</v>
      </c>
      <c r="CS257" s="232"/>
      <c r="CT257" s="371"/>
      <c r="CU257" s="300"/>
      <c r="CV257" s="246"/>
      <c r="CW257" s="264"/>
    </row>
    <row r="258" spans="1:101" ht="13.5" thickBot="1" x14ac:dyDescent="0.25">
      <c r="A258" s="264"/>
      <c r="B258" s="264"/>
      <c r="C258" s="202"/>
      <c r="D258" s="271">
        <v>9</v>
      </c>
      <c r="E258" s="168" t="s">
        <v>191</v>
      </c>
      <c r="F258" s="470">
        <v>0</v>
      </c>
      <c r="G258" s="476" t="s">
        <v>49</v>
      </c>
      <c r="H258" s="477">
        <v>2</v>
      </c>
      <c r="I258" s="392" t="str">
        <f t="shared" si="550"/>
        <v/>
      </c>
      <c r="J258" s="393" t="str">
        <f t="shared" si="551"/>
        <v/>
      </c>
      <c r="K258" s="394" t="str">
        <f t="shared" si="552"/>
        <v>x</v>
      </c>
      <c r="L258" s="299"/>
      <c r="M258" s="375"/>
      <c r="N258" s="379"/>
      <c r="O258" s="236"/>
      <c r="P258" s="236"/>
      <c r="Q258" s="489">
        <v>20</v>
      </c>
      <c r="R258" s="490">
        <v>30</v>
      </c>
      <c r="S258" s="491">
        <f t="shared" si="590"/>
        <v>50</v>
      </c>
      <c r="T258" s="371"/>
      <c r="U258" s="232" t="str">
        <f t="shared" si="553"/>
        <v/>
      </c>
      <c r="V258" s="232" t="str">
        <f t="shared" si="554"/>
        <v/>
      </c>
      <c r="W258" s="232">
        <f t="shared" si="555"/>
        <v>50</v>
      </c>
      <c r="X258" s="232">
        <f t="shared" si="591"/>
        <v>1</v>
      </c>
      <c r="Y258" s="371"/>
      <c r="Z258" s="499">
        <v>10</v>
      </c>
      <c r="AA258" s="500">
        <v>10</v>
      </c>
      <c r="AB258" s="491">
        <f t="shared" si="556"/>
        <v>80</v>
      </c>
      <c r="AC258" s="371"/>
      <c r="AD258" s="232" t="str">
        <f t="shared" si="557"/>
        <v/>
      </c>
      <c r="AE258" s="232" t="str">
        <f t="shared" si="558"/>
        <v/>
      </c>
      <c r="AF258" s="232">
        <f t="shared" si="559"/>
        <v>80</v>
      </c>
      <c r="AG258" s="232">
        <f t="shared" si="592"/>
        <v>1</v>
      </c>
      <c r="AH258" s="371"/>
      <c r="AI258" s="499">
        <v>20</v>
      </c>
      <c r="AJ258" s="500">
        <v>20</v>
      </c>
      <c r="AK258" s="491">
        <f t="shared" si="560"/>
        <v>60</v>
      </c>
      <c r="AL258" s="371"/>
      <c r="AM258" s="232" t="str">
        <f t="shared" si="561"/>
        <v/>
      </c>
      <c r="AN258" s="232" t="str">
        <f t="shared" si="562"/>
        <v/>
      </c>
      <c r="AO258" s="232">
        <f t="shared" si="563"/>
        <v>60</v>
      </c>
      <c r="AP258" s="232">
        <f t="shared" si="593"/>
        <v>1</v>
      </c>
      <c r="AQ258" s="371"/>
      <c r="AR258" s="499">
        <v>10</v>
      </c>
      <c r="AS258" s="500">
        <v>10</v>
      </c>
      <c r="AT258" s="491">
        <f t="shared" si="564"/>
        <v>80</v>
      </c>
      <c r="AU258" s="371"/>
      <c r="AV258" s="232" t="str">
        <f t="shared" si="565"/>
        <v/>
      </c>
      <c r="AW258" s="232" t="str">
        <f t="shared" si="566"/>
        <v/>
      </c>
      <c r="AX258" s="232">
        <f t="shared" si="567"/>
        <v>80</v>
      </c>
      <c r="AY258" s="232">
        <f t="shared" si="594"/>
        <v>1</v>
      </c>
      <c r="AZ258" s="371"/>
      <c r="BA258" s="499">
        <v>10</v>
      </c>
      <c r="BB258" s="500">
        <v>10</v>
      </c>
      <c r="BC258" s="491">
        <f t="shared" si="568"/>
        <v>80</v>
      </c>
      <c r="BD258" s="371"/>
      <c r="BE258" s="232" t="str">
        <f t="shared" si="569"/>
        <v/>
      </c>
      <c r="BF258" s="232" t="str">
        <f t="shared" si="570"/>
        <v/>
      </c>
      <c r="BG258" s="232">
        <f t="shared" si="571"/>
        <v>80</v>
      </c>
      <c r="BH258" s="232">
        <f t="shared" si="595"/>
        <v>1</v>
      </c>
      <c r="BI258" s="371"/>
      <c r="BJ258" s="499">
        <v>10</v>
      </c>
      <c r="BK258" s="500">
        <v>10</v>
      </c>
      <c r="BL258" s="491">
        <f t="shared" si="572"/>
        <v>80</v>
      </c>
      <c r="BM258" s="371"/>
      <c r="BN258" s="232" t="str">
        <f t="shared" si="573"/>
        <v/>
      </c>
      <c r="BO258" s="232" t="str">
        <f t="shared" si="574"/>
        <v/>
      </c>
      <c r="BP258" s="232">
        <f t="shared" si="575"/>
        <v>80</v>
      </c>
      <c r="BQ258" s="232">
        <f t="shared" si="596"/>
        <v>1</v>
      </c>
      <c r="BR258" s="371"/>
      <c r="BS258" s="499">
        <v>20</v>
      </c>
      <c r="BT258" s="500">
        <v>20</v>
      </c>
      <c r="BU258" s="491">
        <f t="shared" si="576"/>
        <v>60</v>
      </c>
      <c r="BV258" s="371"/>
      <c r="BW258" s="232" t="str">
        <f t="shared" si="577"/>
        <v/>
      </c>
      <c r="BX258" s="232" t="str">
        <f t="shared" si="578"/>
        <v/>
      </c>
      <c r="BY258" s="232">
        <f t="shared" si="579"/>
        <v>60</v>
      </c>
      <c r="BZ258" s="232">
        <f t="shared" si="597"/>
        <v>1</v>
      </c>
      <c r="CA258" s="371"/>
      <c r="CB258" s="507">
        <f t="shared" si="580"/>
        <v>20</v>
      </c>
      <c r="CC258" s="508">
        <f t="shared" si="581"/>
        <v>10</v>
      </c>
      <c r="CD258" s="509">
        <f t="shared" si="582"/>
        <v>70</v>
      </c>
      <c r="CE258" s="371"/>
      <c r="CF258" s="232" t="str">
        <f t="shared" si="583"/>
        <v/>
      </c>
      <c r="CG258" s="232" t="str">
        <f t="shared" si="584"/>
        <v/>
      </c>
      <c r="CH258" s="232">
        <f t="shared" si="585"/>
        <v>70</v>
      </c>
      <c r="CI258" s="232">
        <f t="shared" si="598"/>
        <v>1</v>
      </c>
      <c r="CJ258" s="232"/>
      <c r="CK258" s="499">
        <v>10</v>
      </c>
      <c r="CL258" s="500">
        <v>10</v>
      </c>
      <c r="CM258" s="491">
        <f t="shared" si="586"/>
        <v>80</v>
      </c>
      <c r="CN258" s="371"/>
      <c r="CO258" s="232" t="str">
        <f t="shared" si="587"/>
        <v/>
      </c>
      <c r="CP258" s="232" t="str">
        <f t="shared" si="588"/>
        <v/>
      </c>
      <c r="CQ258" s="232">
        <f t="shared" si="589"/>
        <v>80</v>
      </c>
      <c r="CR258" s="232">
        <f t="shared" si="599"/>
        <v>1</v>
      </c>
      <c r="CS258" s="232"/>
      <c r="CT258" s="371"/>
      <c r="CU258" s="300"/>
      <c r="CV258" s="246"/>
      <c r="CW258" s="264"/>
    </row>
    <row r="259" spans="1:101" x14ac:dyDescent="0.2">
      <c r="A259" s="264"/>
      <c r="B259" s="264"/>
      <c r="C259" s="202"/>
      <c r="D259" s="271">
        <v>10</v>
      </c>
      <c r="E259" s="169" t="s">
        <v>192</v>
      </c>
      <c r="F259" s="471">
        <v>2</v>
      </c>
      <c r="G259" s="478" t="s">
        <v>49</v>
      </c>
      <c r="H259" s="479">
        <v>2</v>
      </c>
      <c r="I259" s="170" t="str">
        <f t="shared" si="550"/>
        <v/>
      </c>
      <c r="J259" s="387" t="str">
        <f t="shared" si="551"/>
        <v>x</v>
      </c>
      <c r="K259" s="388" t="str">
        <f t="shared" si="552"/>
        <v/>
      </c>
      <c r="L259" s="299"/>
      <c r="M259" s="375"/>
      <c r="N259" s="379"/>
      <c r="O259" s="236"/>
      <c r="P259" s="236"/>
      <c r="Q259" s="492">
        <v>60</v>
      </c>
      <c r="R259" s="493">
        <v>20</v>
      </c>
      <c r="S259" s="494">
        <f t="shared" si="590"/>
        <v>20</v>
      </c>
      <c r="T259" s="371"/>
      <c r="U259" s="232" t="str">
        <f t="shared" si="553"/>
        <v/>
      </c>
      <c r="V259" s="232">
        <f t="shared" si="554"/>
        <v>20</v>
      </c>
      <c r="W259" s="232" t="str">
        <f t="shared" si="555"/>
        <v/>
      </c>
      <c r="X259" s="232" t="str">
        <f t="shared" si="591"/>
        <v/>
      </c>
      <c r="Y259" s="371"/>
      <c r="Z259" s="495">
        <v>80</v>
      </c>
      <c r="AA259" s="496">
        <v>10</v>
      </c>
      <c r="AB259" s="494">
        <f t="shared" si="556"/>
        <v>10</v>
      </c>
      <c r="AC259" s="371"/>
      <c r="AD259" s="232" t="str">
        <f t="shared" si="557"/>
        <v/>
      </c>
      <c r="AE259" s="232">
        <f t="shared" si="558"/>
        <v>10</v>
      </c>
      <c r="AF259" s="232" t="str">
        <f t="shared" si="559"/>
        <v/>
      </c>
      <c r="AG259" s="232" t="str">
        <f t="shared" si="592"/>
        <v/>
      </c>
      <c r="AH259" s="371"/>
      <c r="AI259" s="495">
        <v>80</v>
      </c>
      <c r="AJ259" s="496">
        <v>10</v>
      </c>
      <c r="AK259" s="494">
        <f t="shared" si="560"/>
        <v>10</v>
      </c>
      <c r="AL259" s="371"/>
      <c r="AM259" s="232" t="str">
        <f t="shared" si="561"/>
        <v/>
      </c>
      <c r="AN259" s="232">
        <f t="shared" si="562"/>
        <v>10</v>
      </c>
      <c r="AO259" s="232" t="str">
        <f t="shared" si="563"/>
        <v/>
      </c>
      <c r="AP259" s="232" t="str">
        <f t="shared" si="593"/>
        <v/>
      </c>
      <c r="AQ259" s="371"/>
      <c r="AR259" s="495">
        <v>60</v>
      </c>
      <c r="AS259" s="496">
        <v>30</v>
      </c>
      <c r="AT259" s="494">
        <f t="shared" si="564"/>
        <v>10</v>
      </c>
      <c r="AU259" s="371"/>
      <c r="AV259" s="232" t="str">
        <f t="shared" si="565"/>
        <v/>
      </c>
      <c r="AW259" s="232">
        <f t="shared" si="566"/>
        <v>30</v>
      </c>
      <c r="AX259" s="232" t="str">
        <f t="shared" si="567"/>
        <v/>
      </c>
      <c r="AY259" s="232" t="str">
        <f t="shared" si="594"/>
        <v/>
      </c>
      <c r="AZ259" s="371"/>
      <c r="BA259" s="495">
        <v>80</v>
      </c>
      <c r="BB259" s="496">
        <v>10</v>
      </c>
      <c r="BC259" s="494">
        <f t="shared" si="568"/>
        <v>10</v>
      </c>
      <c r="BD259" s="371"/>
      <c r="BE259" s="232" t="str">
        <f t="shared" si="569"/>
        <v/>
      </c>
      <c r="BF259" s="232">
        <f t="shared" si="570"/>
        <v>10</v>
      </c>
      <c r="BG259" s="232" t="str">
        <f t="shared" si="571"/>
        <v/>
      </c>
      <c r="BH259" s="232" t="str">
        <f t="shared" si="595"/>
        <v/>
      </c>
      <c r="BI259" s="371"/>
      <c r="BJ259" s="495">
        <v>80</v>
      </c>
      <c r="BK259" s="496">
        <v>10</v>
      </c>
      <c r="BL259" s="494">
        <f t="shared" si="572"/>
        <v>10</v>
      </c>
      <c r="BM259" s="371"/>
      <c r="BN259" s="232" t="str">
        <f t="shared" si="573"/>
        <v/>
      </c>
      <c r="BO259" s="232">
        <f t="shared" si="574"/>
        <v>10</v>
      </c>
      <c r="BP259" s="232" t="str">
        <f t="shared" si="575"/>
        <v/>
      </c>
      <c r="BQ259" s="232" t="str">
        <f t="shared" si="596"/>
        <v/>
      </c>
      <c r="BR259" s="371"/>
      <c r="BS259" s="495">
        <v>60</v>
      </c>
      <c r="BT259" s="496">
        <v>20</v>
      </c>
      <c r="BU259" s="494">
        <f t="shared" si="576"/>
        <v>20</v>
      </c>
      <c r="BV259" s="371"/>
      <c r="BW259" s="232" t="str">
        <f t="shared" si="577"/>
        <v/>
      </c>
      <c r="BX259" s="232">
        <f t="shared" si="578"/>
        <v>20</v>
      </c>
      <c r="BY259" s="232" t="str">
        <f t="shared" si="579"/>
        <v/>
      </c>
      <c r="BZ259" s="232" t="str">
        <f t="shared" si="597"/>
        <v/>
      </c>
      <c r="CA259" s="371"/>
      <c r="CB259" s="501">
        <f t="shared" si="580"/>
        <v>80</v>
      </c>
      <c r="CC259" s="502">
        <f t="shared" si="581"/>
        <v>10</v>
      </c>
      <c r="CD259" s="503">
        <f t="shared" si="582"/>
        <v>10</v>
      </c>
      <c r="CE259" s="371"/>
      <c r="CF259" s="232" t="str">
        <f t="shared" si="583"/>
        <v/>
      </c>
      <c r="CG259" s="232">
        <f t="shared" si="584"/>
        <v>10</v>
      </c>
      <c r="CH259" s="232" t="str">
        <f t="shared" si="585"/>
        <v/>
      </c>
      <c r="CI259" s="232" t="str">
        <f t="shared" si="598"/>
        <v/>
      </c>
      <c r="CJ259" s="232"/>
      <c r="CK259" s="495">
        <v>80</v>
      </c>
      <c r="CL259" s="496">
        <v>10</v>
      </c>
      <c r="CM259" s="494">
        <f t="shared" si="586"/>
        <v>10</v>
      </c>
      <c r="CN259" s="371"/>
      <c r="CO259" s="232" t="str">
        <f t="shared" si="587"/>
        <v/>
      </c>
      <c r="CP259" s="232">
        <f t="shared" si="588"/>
        <v>10</v>
      </c>
      <c r="CQ259" s="232" t="str">
        <f t="shared" si="589"/>
        <v/>
      </c>
      <c r="CR259" s="232" t="str">
        <f t="shared" si="599"/>
        <v/>
      </c>
      <c r="CS259" s="232"/>
      <c r="CT259" s="371"/>
      <c r="CU259" s="300"/>
      <c r="CV259" s="246"/>
      <c r="CW259" s="264"/>
    </row>
    <row r="260" spans="1:101" x14ac:dyDescent="0.2">
      <c r="A260" s="264"/>
      <c r="B260" s="264"/>
      <c r="C260" s="202"/>
      <c r="D260" s="271">
        <v>11</v>
      </c>
      <c r="E260" s="167" t="s">
        <v>193</v>
      </c>
      <c r="F260" s="469">
        <v>2</v>
      </c>
      <c r="G260" s="474" t="s">
        <v>49</v>
      </c>
      <c r="H260" s="475">
        <v>1</v>
      </c>
      <c r="I260" s="389" t="str">
        <f t="shared" si="550"/>
        <v>x</v>
      </c>
      <c r="J260" s="390" t="str">
        <f t="shared" si="551"/>
        <v/>
      </c>
      <c r="K260" s="391" t="str">
        <f t="shared" si="552"/>
        <v/>
      </c>
      <c r="L260" s="299"/>
      <c r="M260" s="375"/>
      <c r="N260" s="379"/>
      <c r="O260" s="236"/>
      <c r="P260" s="236"/>
      <c r="Q260" s="483">
        <v>50</v>
      </c>
      <c r="R260" s="484">
        <v>30</v>
      </c>
      <c r="S260" s="485">
        <f t="shared" si="590"/>
        <v>20</v>
      </c>
      <c r="T260" s="371"/>
      <c r="U260" s="232">
        <f t="shared" si="553"/>
        <v>50</v>
      </c>
      <c r="V260" s="232" t="str">
        <f t="shared" si="554"/>
        <v/>
      </c>
      <c r="W260" s="232" t="str">
        <f t="shared" si="555"/>
        <v/>
      </c>
      <c r="X260" s="232">
        <f t="shared" si="591"/>
        <v>1</v>
      </c>
      <c r="Y260" s="371"/>
      <c r="Z260" s="497">
        <v>80</v>
      </c>
      <c r="AA260" s="498">
        <v>10</v>
      </c>
      <c r="AB260" s="485">
        <f t="shared" si="556"/>
        <v>10</v>
      </c>
      <c r="AC260" s="371"/>
      <c r="AD260" s="232">
        <f t="shared" si="557"/>
        <v>80</v>
      </c>
      <c r="AE260" s="232" t="str">
        <f t="shared" si="558"/>
        <v/>
      </c>
      <c r="AF260" s="232" t="str">
        <f t="shared" si="559"/>
        <v/>
      </c>
      <c r="AG260" s="232">
        <f t="shared" si="592"/>
        <v>1</v>
      </c>
      <c r="AH260" s="371"/>
      <c r="AI260" s="497">
        <v>30</v>
      </c>
      <c r="AJ260" s="498">
        <v>30</v>
      </c>
      <c r="AK260" s="485">
        <f t="shared" si="560"/>
        <v>40</v>
      </c>
      <c r="AL260" s="371"/>
      <c r="AM260" s="232">
        <f t="shared" si="561"/>
        <v>30</v>
      </c>
      <c r="AN260" s="232" t="str">
        <f t="shared" si="562"/>
        <v/>
      </c>
      <c r="AO260" s="232" t="str">
        <f t="shared" si="563"/>
        <v/>
      </c>
      <c r="AP260" s="232" t="str">
        <f t="shared" si="593"/>
        <v/>
      </c>
      <c r="AQ260" s="371"/>
      <c r="AR260" s="497">
        <v>20</v>
      </c>
      <c r="AS260" s="498">
        <v>30</v>
      </c>
      <c r="AT260" s="485">
        <f t="shared" si="564"/>
        <v>50</v>
      </c>
      <c r="AU260" s="371"/>
      <c r="AV260" s="232">
        <f t="shared" si="565"/>
        <v>20</v>
      </c>
      <c r="AW260" s="232" t="str">
        <f t="shared" si="566"/>
        <v/>
      </c>
      <c r="AX260" s="232" t="str">
        <f t="shared" si="567"/>
        <v/>
      </c>
      <c r="AY260" s="232" t="str">
        <f t="shared" si="594"/>
        <v/>
      </c>
      <c r="AZ260" s="371"/>
      <c r="BA260" s="497">
        <v>10</v>
      </c>
      <c r="BB260" s="498">
        <v>10</v>
      </c>
      <c r="BC260" s="485">
        <f t="shared" si="568"/>
        <v>80</v>
      </c>
      <c r="BD260" s="371"/>
      <c r="BE260" s="232">
        <f t="shared" si="569"/>
        <v>10</v>
      </c>
      <c r="BF260" s="232" t="str">
        <f t="shared" si="570"/>
        <v/>
      </c>
      <c r="BG260" s="232" t="str">
        <f t="shared" si="571"/>
        <v/>
      </c>
      <c r="BH260" s="232" t="str">
        <f t="shared" si="595"/>
        <v/>
      </c>
      <c r="BI260" s="371"/>
      <c r="BJ260" s="497">
        <v>10</v>
      </c>
      <c r="BK260" s="498">
        <v>10</v>
      </c>
      <c r="BL260" s="485">
        <f t="shared" si="572"/>
        <v>80</v>
      </c>
      <c r="BM260" s="371"/>
      <c r="BN260" s="232">
        <f t="shared" si="573"/>
        <v>10</v>
      </c>
      <c r="BO260" s="232" t="str">
        <f t="shared" si="574"/>
        <v/>
      </c>
      <c r="BP260" s="232" t="str">
        <f t="shared" si="575"/>
        <v/>
      </c>
      <c r="BQ260" s="232" t="str">
        <f t="shared" si="596"/>
        <v/>
      </c>
      <c r="BR260" s="371"/>
      <c r="BS260" s="497">
        <v>50</v>
      </c>
      <c r="BT260" s="498">
        <v>30</v>
      </c>
      <c r="BU260" s="485">
        <f t="shared" si="576"/>
        <v>20</v>
      </c>
      <c r="BV260" s="371"/>
      <c r="BW260" s="232">
        <f t="shared" si="577"/>
        <v>50</v>
      </c>
      <c r="BX260" s="232" t="str">
        <f t="shared" si="578"/>
        <v/>
      </c>
      <c r="BY260" s="232" t="str">
        <f t="shared" si="579"/>
        <v/>
      </c>
      <c r="BZ260" s="232">
        <f t="shared" si="597"/>
        <v>1</v>
      </c>
      <c r="CA260" s="371"/>
      <c r="CB260" s="504">
        <f t="shared" si="580"/>
        <v>40</v>
      </c>
      <c r="CC260" s="505">
        <f t="shared" si="581"/>
        <v>20</v>
      </c>
      <c r="CD260" s="506">
        <f t="shared" si="582"/>
        <v>40</v>
      </c>
      <c r="CE260" s="371"/>
      <c r="CF260" s="232">
        <f t="shared" si="583"/>
        <v>40</v>
      </c>
      <c r="CG260" s="232" t="str">
        <f t="shared" si="584"/>
        <v/>
      </c>
      <c r="CH260" s="232" t="str">
        <f t="shared" si="585"/>
        <v/>
      </c>
      <c r="CI260" s="232">
        <f t="shared" si="598"/>
        <v>1</v>
      </c>
      <c r="CJ260" s="232"/>
      <c r="CK260" s="497">
        <v>20</v>
      </c>
      <c r="CL260" s="498">
        <v>30</v>
      </c>
      <c r="CM260" s="485">
        <f t="shared" si="586"/>
        <v>50</v>
      </c>
      <c r="CN260" s="371"/>
      <c r="CO260" s="232">
        <f t="shared" si="587"/>
        <v>20</v>
      </c>
      <c r="CP260" s="232" t="str">
        <f t="shared" si="588"/>
        <v/>
      </c>
      <c r="CQ260" s="232" t="str">
        <f t="shared" si="589"/>
        <v/>
      </c>
      <c r="CR260" s="232" t="str">
        <f t="shared" si="599"/>
        <v/>
      </c>
      <c r="CS260" s="232"/>
      <c r="CT260" s="371"/>
      <c r="CU260" s="300"/>
      <c r="CV260" s="246"/>
      <c r="CW260" s="264"/>
    </row>
    <row r="261" spans="1:101" ht="13.5" thickBot="1" x14ac:dyDescent="0.25">
      <c r="A261" s="264"/>
      <c r="B261" s="264"/>
      <c r="C261" s="202"/>
      <c r="D261" s="271">
        <v>12</v>
      </c>
      <c r="E261" s="168" t="s">
        <v>194</v>
      </c>
      <c r="F261" s="470">
        <v>0</v>
      </c>
      <c r="G261" s="476" t="s">
        <v>49</v>
      </c>
      <c r="H261" s="477">
        <v>0</v>
      </c>
      <c r="I261" s="392" t="str">
        <f t="shared" si="550"/>
        <v/>
      </c>
      <c r="J261" s="393" t="str">
        <f t="shared" si="551"/>
        <v>x</v>
      </c>
      <c r="K261" s="394" t="str">
        <f t="shared" si="552"/>
        <v/>
      </c>
      <c r="L261" s="299"/>
      <c r="M261" s="375"/>
      <c r="N261" s="379"/>
      <c r="O261" s="236"/>
      <c r="P261" s="236"/>
      <c r="Q261" s="489">
        <v>70</v>
      </c>
      <c r="R261" s="490">
        <v>20</v>
      </c>
      <c r="S261" s="491">
        <f t="shared" si="590"/>
        <v>10</v>
      </c>
      <c r="T261" s="371"/>
      <c r="U261" s="232" t="str">
        <f t="shared" si="553"/>
        <v/>
      </c>
      <c r="V261" s="232">
        <f t="shared" si="554"/>
        <v>20</v>
      </c>
      <c r="W261" s="232" t="str">
        <f t="shared" si="555"/>
        <v/>
      </c>
      <c r="X261" s="232" t="str">
        <f t="shared" si="591"/>
        <v/>
      </c>
      <c r="Y261" s="371"/>
      <c r="Z261" s="499">
        <v>80</v>
      </c>
      <c r="AA261" s="500">
        <v>10</v>
      </c>
      <c r="AB261" s="491">
        <f t="shared" si="556"/>
        <v>10</v>
      </c>
      <c r="AC261" s="371"/>
      <c r="AD261" s="232" t="str">
        <f t="shared" si="557"/>
        <v/>
      </c>
      <c r="AE261" s="232">
        <f t="shared" si="558"/>
        <v>10</v>
      </c>
      <c r="AF261" s="232" t="str">
        <f t="shared" si="559"/>
        <v/>
      </c>
      <c r="AG261" s="232" t="str">
        <f t="shared" si="592"/>
        <v/>
      </c>
      <c r="AH261" s="371"/>
      <c r="AI261" s="499">
        <v>50</v>
      </c>
      <c r="AJ261" s="500">
        <v>20</v>
      </c>
      <c r="AK261" s="491">
        <f t="shared" si="560"/>
        <v>30</v>
      </c>
      <c r="AL261" s="371"/>
      <c r="AM261" s="232" t="str">
        <f t="shared" si="561"/>
        <v/>
      </c>
      <c r="AN261" s="232">
        <f t="shared" si="562"/>
        <v>20</v>
      </c>
      <c r="AO261" s="232" t="str">
        <f t="shared" si="563"/>
        <v/>
      </c>
      <c r="AP261" s="232" t="str">
        <f t="shared" si="593"/>
        <v/>
      </c>
      <c r="AQ261" s="371"/>
      <c r="AR261" s="499">
        <v>80</v>
      </c>
      <c r="AS261" s="500">
        <v>10</v>
      </c>
      <c r="AT261" s="491">
        <f t="shared" si="564"/>
        <v>10</v>
      </c>
      <c r="AU261" s="371"/>
      <c r="AV261" s="232" t="str">
        <f t="shared" si="565"/>
        <v/>
      </c>
      <c r="AW261" s="232">
        <f t="shared" si="566"/>
        <v>10</v>
      </c>
      <c r="AX261" s="232" t="str">
        <f t="shared" si="567"/>
        <v/>
      </c>
      <c r="AY261" s="232" t="str">
        <f t="shared" si="594"/>
        <v/>
      </c>
      <c r="AZ261" s="371"/>
      <c r="BA261" s="499">
        <v>80</v>
      </c>
      <c r="BB261" s="500">
        <v>10</v>
      </c>
      <c r="BC261" s="491">
        <f t="shared" si="568"/>
        <v>10</v>
      </c>
      <c r="BD261" s="371"/>
      <c r="BE261" s="232" t="str">
        <f t="shared" si="569"/>
        <v/>
      </c>
      <c r="BF261" s="232">
        <f t="shared" si="570"/>
        <v>10</v>
      </c>
      <c r="BG261" s="232" t="str">
        <f t="shared" si="571"/>
        <v/>
      </c>
      <c r="BH261" s="232" t="str">
        <f t="shared" si="595"/>
        <v/>
      </c>
      <c r="BI261" s="371"/>
      <c r="BJ261" s="499">
        <v>80</v>
      </c>
      <c r="BK261" s="500">
        <v>10</v>
      </c>
      <c r="BL261" s="491">
        <f t="shared" si="572"/>
        <v>10</v>
      </c>
      <c r="BM261" s="371"/>
      <c r="BN261" s="232" t="str">
        <f t="shared" si="573"/>
        <v/>
      </c>
      <c r="BO261" s="232">
        <f t="shared" si="574"/>
        <v>10</v>
      </c>
      <c r="BP261" s="232" t="str">
        <f t="shared" si="575"/>
        <v/>
      </c>
      <c r="BQ261" s="232" t="str">
        <f t="shared" si="596"/>
        <v/>
      </c>
      <c r="BR261" s="371"/>
      <c r="BS261" s="499">
        <v>70</v>
      </c>
      <c r="BT261" s="500">
        <v>20</v>
      </c>
      <c r="BU261" s="491">
        <f t="shared" si="576"/>
        <v>10</v>
      </c>
      <c r="BV261" s="371"/>
      <c r="BW261" s="232" t="str">
        <f t="shared" si="577"/>
        <v/>
      </c>
      <c r="BX261" s="232">
        <f t="shared" si="578"/>
        <v>20</v>
      </c>
      <c r="BY261" s="232" t="str">
        <f t="shared" si="579"/>
        <v/>
      </c>
      <c r="BZ261" s="232" t="str">
        <f t="shared" si="597"/>
        <v/>
      </c>
      <c r="CA261" s="371"/>
      <c r="CB261" s="507">
        <f t="shared" si="580"/>
        <v>80</v>
      </c>
      <c r="CC261" s="508">
        <f t="shared" si="581"/>
        <v>10</v>
      </c>
      <c r="CD261" s="509">
        <f t="shared" si="582"/>
        <v>10</v>
      </c>
      <c r="CE261" s="371"/>
      <c r="CF261" s="232" t="str">
        <f t="shared" si="583"/>
        <v/>
      </c>
      <c r="CG261" s="232">
        <f t="shared" si="584"/>
        <v>10</v>
      </c>
      <c r="CH261" s="232" t="str">
        <f t="shared" si="585"/>
        <v/>
      </c>
      <c r="CI261" s="232" t="str">
        <f t="shared" si="598"/>
        <v/>
      </c>
      <c r="CJ261" s="232"/>
      <c r="CK261" s="499">
        <v>80</v>
      </c>
      <c r="CL261" s="500">
        <v>10</v>
      </c>
      <c r="CM261" s="491">
        <f t="shared" si="586"/>
        <v>10</v>
      </c>
      <c r="CN261" s="371"/>
      <c r="CO261" s="232" t="str">
        <f t="shared" si="587"/>
        <v/>
      </c>
      <c r="CP261" s="232">
        <f t="shared" si="588"/>
        <v>10</v>
      </c>
      <c r="CQ261" s="232" t="str">
        <f t="shared" si="589"/>
        <v/>
      </c>
      <c r="CR261" s="232" t="str">
        <f t="shared" si="599"/>
        <v/>
      </c>
      <c r="CS261" s="232"/>
      <c r="CT261" s="371"/>
      <c r="CU261" s="300"/>
      <c r="CV261" s="246"/>
      <c r="CW261" s="264"/>
    </row>
    <row r="262" spans="1:101" x14ac:dyDescent="0.2">
      <c r="A262" s="264"/>
      <c r="B262" s="264"/>
      <c r="C262" s="202"/>
      <c r="D262" s="272"/>
      <c r="E262" s="235"/>
      <c r="F262" s="395">
        <f>IF(SUM(F250:F261)=0,"",SUM(F250:F261))</f>
        <v>21</v>
      </c>
      <c r="G262" s="370" t="s">
        <v>49</v>
      </c>
      <c r="H262" s="396">
        <f>IF(SUM(H250:H261)=0,"",SUM(H250:H261))</f>
        <v>21</v>
      </c>
      <c r="I262" s="397">
        <f>IF(COUNTIF(I250:I261,"=x")=0,"",COUNTIF(I250:I261,"=x"))</f>
        <v>6</v>
      </c>
      <c r="J262" s="398">
        <f>IF(COUNTIF(J250:J261,"=x")=0,"",COUNTIF(J250:J261,"=x"))</f>
        <v>3</v>
      </c>
      <c r="K262" s="399">
        <f>IF(COUNTIF(K250:K261,"=x")=0,"",COUNTIF(K250:K261,"=x"))</f>
        <v>3</v>
      </c>
      <c r="L262" s="299"/>
      <c r="M262" s="375"/>
      <c r="N262" s="379"/>
      <c r="O262" s="236"/>
      <c r="P262" s="369"/>
      <c r="Q262" s="466">
        <f>SUM(U250:U261)</f>
        <v>250</v>
      </c>
      <c r="R262" s="466">
        <f>SUM(V250:V261)</f>
        <v>60</v>
      </c>
      <c r="S262" s="466">
        <f>SUM(W250:W261)</f>
        <v>100</v>
      </c>
      <c r="T262" s="368"/>
      <c r="U262" s="232"/>
      <c r="V262" s="232"/>
      <c r="W262" s="232"/>
      <c r="X262" s="232"/>
      <c r="Y262" s="367"/>
      <c r="Z262" s="466">
        <f>SUM(AD250:AD261)</f>
        <v>340</v>
      </c>
      <c r="AA262" s="466">
        <f>SUM(AE250:AE261)</f>
        <v>30</v>
      </c>
      <c r="AB262" s="466">
        <f>SUM(AF250:AF261)</f>
        <v>170</v>
      </c>
      <c r="AC262" s="368"/>
      <c r="AD262" s="232"/>
      <c r="AE262" s="232"/>
      <c r="AF262" s="232"/>
      <c r="AG262" s="232"/>
      <c r="AH262" s="367"/>
      <c r="AI262" s="466">
        <f>SUM(AM250:AM261)</f>
        <v>180</v>
      </c>
      <c r="AJ262" s="466">
        <f>SUM(AN250:AN261)</f>
        <v>40</v>
      </c>
      <c r="AK262" s="466">
        <f>SUM(AO250:AO261)</f>
        <v>140</v>
      </c>
      <c r="AL262" s="368"/>
      <c r="AM262" s="232"/>
      <c r="AN262" s="232"/>
      <c r="AO262" s="232"/>
      <c r="AP262" s="232"/>
      <c r="AQ262" s="367"/>
      <c r="AR262" s="466">
        <f>SUM(AV250:AV261)</f>
        <v>160</v>
      </c>
      <c r="AS262" s="466">
        <f>SUM(AW250:AW261)</f>
        <v>50</v>
      </c>
      <c r="AT262" s="466">
        <f>SUM(AX250:AX261)</f>
        <v>150</v>
      </c>
      <c r="AU262" s="368"/>
      <c r="AV262" s="232"/>
      <c r="AW262" s="232"/>
      <c r="AX262" s="232"/>
      <c r="AY262" s="232"/>
      <c r="AZ262" s="367"/>
      <c r="BA262" s="466">
        <f>SUM(BE250:BE261)</f>
        <v>270</v>
      </c>
      <c r="BB262" s="466">
        <f>SUM(BF250:BF261)</f>
        <v>30</v>
      </c>
      <c r="BC262" s="466">
        <f>SUM(BG250:BG261)</f>
        <v>170</v>
      </c>
      <c r="BD262" s="368"/>
      <c r="BE262" s="232"/>
      <c r="BF262" s="232"/>
      <c r="BG262" s="232"/>
      <c r="BH262" s="232"/>
      <c r="BI262" s="367"/>
      <c r="BJ262" s="466">
        <f>SUM(BN250:BN261)</f>
        <v>270</v>
      </c>
      <c r="BK262" s="466">
        <f>SUM(BO250:BO261)</f>
        <v>30</v>
      </c>
      <c r="BL262" s="466">
        <f>SUM(BP250:BP261)</f>
        <v>170</v>
      </c>
      <c r="BM262" s="368"/>
      <c r="BN262" s="232"/>
      <c r="BO262" s="232"/>
      <c r="BP262" s="232"/>
      <c r="BQ262" s="232"/>
      <c r="BR262" s="367"/>
      <c r="BS262" s="466">
        <f>SUM(BW250:BW261)</f>
        <v>270</v>
      </c>
      <c r="BT262" s="466">
        <f>SUM(BX250:BX261)</f>
        <v>60</v>
      </c>
      <c r="BU262" s="466">
        <f>SUM(BY250:BY261)</f>
        <v>120</v>
      </c>
      <c r="BV262" s="368"/>
      <c r="BW262" s="232"/>
      <c r="BX262" s="232"/>
      <c r="BY262" s="232"/>
      <c r="BZ262" s="232"/>
      <c r="CA262" s="369"/>
      <c r="CB262" s="466">
        <f>SUM(CF250:CF261)</f>
        <v>280</v>
      </c>
      <c r="CC262" s="466">
        <f>SUM(CG250:CG261)</f>
        <v>30</v>
      </c>
      <c r="CD262" s="466">
        <f>SUM(CH250:CH261)</f>
        <v>150</v>
      </c>
      <c r="CE262" s="368"/>
      <c r="CF262" s="232"/>
      <c r="CG262" s="232"/>
      <c r="CH262" s="232"/>
      <c r="CI262" s="232"/>
      <c r="CJ262" s="232"/>
      <c r="CK262" s="466">
        <f>SUM(CO250:CO261)</f>
        <v>240</v>
      </c>
      <c r="CL262" s="466">
        <f>SUM(CP250:CP261)</f>
        <v>30</v>
      </c>
      <c r="CM262" s="466">
        <f>SUM(CQ250:CQ261)</f>
        <v>150</v>
      </c>
      <c r="CN262" s="368"/>
      <c r="CO262" s="232"/>
      <c r="CP262" s="232"/>
      <c r="CQ262" s="232"/>
      <c r="CR262" s="232"/>
      <c r="CS262" s="232"/>
      <c r="CT262" s="232"/>
      <c r="CU262" s="300"/>
      <c r="CV262" s="246"/>
      <c r="CW262" s="265"/>
    </row>
    <row r="263" spans="1:101" ht="13.5" thickBot="1" x14ac:dyDescent="0.25">
      <c r="A263" s="264"/>
      <c r="B263" s="264"/>
      <c r="C263" s="202"/>
      <c r="D263" s="289"/>
      <c r="E263" s="282"/>
      <c r="F263" s="283"/>
      <c r="G263" s="282"/>
      <c r="H263" s="282"/>
      <c r="I263" s="282"/>
      <c r="J263" s="282"/>
      <c r="K263" s="282"/>
      <c r="L263" s="293"/>
      <c r="M263" s="301"/>
      <c r="N263" s="380"/>
      <c r="O263" s="376"/>
      <c r="P263" s="284"/>
      <c r="Q263" s="285"/>
      <c r="R263" s="285"/>
      <c r="S263" s="285"/>
      <c r="T263" s="286"/>
      <c r="U263" s="287"/>
      <c r="V263" s="287"/>
      <c r="W263" s="287"/>
      <c r="X263" s="287"/>
      <c r="Y263" s="284"/>
      <c r="Z263" s="285"/>
      <c r="AA263" s="285"/>
      <c r="AB263" s="285"/>
      <c r="AC263" s="286"/>
      <c r="AD263" s="287"/>
      <c r="AE263" s="287"/>
      <c r="AF263" s="287"/>
      <c r="AG263" s="288"/>
      <c r="AH263" s="284"/>
      <c r="AI263" s="285"/>
      <c r="AJ263" s="285"/>
      <c r="AK263" s="285"/>
      <c r="AL263" s="286"/>
      <c r="AM263" s="287"/>
      <c r="AN263" s="287"/>
      <c r="AO263" s="287"/>
      <c r="AP263" s="288"/>
      <c r="AQ263" s="284"/>
      <c r="AR263" s="285"/>
      <c r="AS263" s="285"/>
      <c r="AT263" s="285"/>
      <c r="AU263" s="286"/>
      <c r="AV263" s="287"/>
      <c r="AW263" s="287"/>
      <c r="AX263" s="287"/>
      <c r="AY263" s="288"/>
      <c r="AZ263" s="284"/>
      <c r="BA263" s="285"/>
      <c r="BB263" s="285"/>
      <c r="BC263" s="285"/>
      <c r="BD263" s="286"/>
      <c r="BE263" s="287"/>
      <c r="BF263" s="287"/>
      <c r="BG263" s="287"/>
      <c r="BH263" s="288"/>
      <c r="BI263" s="284"/>
      <c r="BJ263" s="284"/>
      <c r="BK263" s="284"/>
      <c r="BL263" s="284"/>
      <c r="BM263" s="284"/>
      <c r="BN263" s="284"/>
      <c r="BO263" s="284"/>
      <c r="BP263" s="284"/>
      <c r="BQ263" s="284"/>
      <c r="BR263" s="284"/>
      <c r="BS263" s="284"/>
      <c r="BT263" s="284"/>
      <c r="BU263" s="284"/>
      <c r="BV263" s="284"/>
      <c r="BW263" s="284"/>
      <c r="BX263" s="284"/>
      <c r="BY263" s="284"/>
      <c r="BZ263" s="284"/>
      <c r="CA263" s="284"/>
      <c r="CB263" s="284"/>
      <c r="CC263" s="284"/>
      <c r="CD263" s="284"/>
      <c r="CE263" s="284"/>
      <c r="CF263" s="284"/>
      <c r="CG263" s="284"/>
      <c r="CH263" s="284"/>
      <c r="CI263" s="284"/>
      <c r="CJ263" s="288"/>
      <c r="CK263" s="288"/>
      <c r="CL263" s="288"/>
      <c r="CM263" s="288"/>
      <c r="CN263" s="288"/>
      <c r="CO263" s="288"/>
      <c r="CP263" s="288"/>
      <c r="CQ263" s="288"/>
      <c r="CR263" s="288"/>
      <c r="CS263" s="288"/>
      <c r="CT263" s="282"/>
      <c r="CU263" s="294"/>
      <c r="CV263" s="246"/>
      <c r="CW263" s="265"/>
    </row>
    <row r="264" spans="1:101" ht="14.25" thickTop="1" thickBot="1" x14ac:dyDescent="0.25">
      <c r="A264" s="256"/>
      <c r="B264" s="256"/>
      <c r="C264" s="210"/>
      <c r="D264" s="211"/>
      <c r="E264" s="247"/>
      <c r="F264" s="248"/>
      <c r="G264" s="247"/>
      <c r="H264" s="247"/>
      <c r="I264" s="247"/>
      <c r="J264" s="247"/>
      <c r="K264" s="247"/>
      <c r="L264" s="249"/>
      <c r="M264" s="250"/>
      <c r="N264" s="250"/>
      <c r="O264" s="250"/>
      <c r="P264" s="250"/>
      <c r="Q264" s="247"/>
      <c r="R264" s="247"/>
      <c r="S264" s="247"/>
      <c r="T264" s="251"/>
      <c r="U264" s="252"/>
      <c r="V264" s="252"/>
      <c r="W264" s="252"/>
      <c r="X264" s="252"/>
      <c r="Y264" s="250"/>
      <c r="Z264" s="247"/>
      <c r="AA264" s="247"/>
      <c r="AB264" s="247"/>
      <c r="AC264" s="251"/>
      <c r="AD264" s="252"/>
      <c r="AE264" s="252"/>
      <c r="AF264" s="252"/>
      <c r="AG264" s="247"/>
      <c r="AH264" s="250"/>
      <c r="AI264" s="247"/>
      <c r="AJ264" s="247"/>
      <c r="AK264" s="247"/>
      <c r="AL264" s="251"/>
      <c r="AM264" s="252"/>
      <c r="AN264" s="252"/>
      <c r="AO264" s="252"/>
      <c r="AP264" s="253"/>
      <c r="AQ264" s="250"/>
      <c r="AR264" s="247"/>
      <c r="AS264" s="247"/>
      <c r="AT264" s="247"/>
      <c r="AU264" s="251"/>
      <c r="AV264" s="252"/>
      <c r="AW264" s="252"/>
      <c r="AX264" s="252"/>
      <c r="AY264" s="247"/>
      <c r="AZ264" s="250"/>
      <c r="BA264" s="247"/>
      <c r="BB264" s="247"/>
      <c r="BC264" s="247"/>
      <c r="BD264" s="251"/>
      <c r="BE264" s="252"/>
      <c r="BF264" s="252"/>
      <c r="BG264" s="252"/>
      <c r="BH264" s="247"/>
      <c r="BI264" s="250"/>
      <c r="BJ264" s="247"/>
      <c r="BK264" s="247"/>
      <c r="BL264" s="247"/>
      <c r="BM264" s="251"/>
      <c r="BN264" s="252"/>
      <c r="BO264" s="252"/>
      <c r="BP264" s="252"/>
      <c r="BQ264" s="247"/>
      <c r="BR264" s="212"/>
      <c r="BS264" s="247"/>
      <c r="BT264" s="247"/>
      <c r="BU264" s="247"/>
      <c r="BV264" s="250"/>
      <c r="BW264" s="252"/>
      <c r="BX264" s="252"/>
      <c r="BY264" s="252"/>
      <c r="BZ264" s="247"/>
      <c r="CA264" s="247"/>
      <c r="CB264" s="253"/>
      <c r="CC264" s="253"/>
      <c r="CD264" s="253"/>
      <c r="CE264" s="253"/>
      <c r="CF264" s="247"/>
      <c r="CG264" s="247"/>
      <c r="CH264" s="247"/>
      <c r="CI264" s="247"/>
      <c r="CJ264" s="247"/>
      <c r="CK264" s="247"/>
      <c r="CL264" s="247"/>
      <c r="CM264" s="247"/>
      <c r="CN264" s="247"/>
      <c r="CO264" s="247"/>
      <c r="CP264" s="247"/>
      <c r="CQ264" s="247"/>
      <c r="CR264" s="247"/>
      <c r="CS264" s="247"/>
      <c r="CT264" s="247"/>
      <c r="CU264" s="247"/>
      <c r="CV264" s="254"/>
      <c r="CW264" s="255"/>
    </row>
    <row r="265" spans="1:101" ht="14.25" thickTop="1" thickBot="1" x14ac:dyDescent="0.25">
      <c r="A265" s="255"/>
      <c r="B265" s="255"/>
      <c r="C265" s="255"/>
      <c r="D265" s="255"/>
      <c r="E265" s="255"/>
      <c r="F265" s="255"/>
      <c r="G265" s="255"/>
      <c r="H265" s="255"/>
      <c r="I265" s="255"/>
      <c r="J265" s="255"/>
      <c r="K265" s="255"/>
      <c r="L265" s="255"/>
      <c r="M265" s="255"/>
      <c r="N265" s="255"/>
      <c r="O265" s="255"/>
      <c r="P265" s="255"/>
      <c r="Q265" s="255"/>
      <c r="R265" s="255"/>
      <c r="S265" s="255"/>
      <c r="T265" s="255"/>
      <c r="U265" s="255"/>
      <c r="V265" s="255"/>
      <c r="W265" s="255"/>
      <c r="X265" s="255"/>
      <c r="Y265" s="255"/>
      <c r="Z265" s="255"/>
      <c r="AA265" s="255"/>
      <c r="AB265" s="255"/>
      <c r="AC265" s="255"/>
      <c r="AD265" s="255"/>
      <c r="AE265" s="255"/>
      <c r="AF265" s="255"/>
      <c r="AG265" s="255"/>
      <c r="AH265" s="255"/>
      <c r="AI265" s="255"/>
      <c r="AJ265" s="255"/>
      <c r="AK265" s="255"/>
      <c r="AL265" s="255"/>
      <c r="AM265" s="255"/>
      <c r="AN265" s="255"/>
      <c r="AO265" s="255"/>
      <c r="AP265" s="255"/>
      <c r="AQ265" s="255"/>
      <c r="AR265" s="255"/>
      <c r="AS265" s="255"/>
      <c r="AT265" s="255"/>
      <c r="AU265" s="255"/>
      <c r="AV265" s="255"/>
      <c r="AW265" s="255"/>
      <c r="AX265" s="255"/>
      <c r="AY265" s="255"/>
      <c r="AZ265" s="255"/>
      <c r="BA265" s="255"/>
      <c r="BB265" s="255"/>
      <c r="BC265" s="255"/>
      <c r="BD265" s="255"/>
      <c r="BE265" s="255"/>
      <c r="BF265" s="255"/>
      <c r="BG265" s="255"/>
      <c r="BH265" s="255"/>
      <c r="BI265" s="255"/>
      <c r="BJ265" s="255"/>
      <c r="BK265" s="255"/>
      <c r="BL265" s="255"/>
      <c r="BM265" s="255"/>
      <c r="BN265" s="255"/>
      <c r="BO265" s="255"/>
      <c r="BP265" s="255"/>
      <c r="BQ265" s="255"/>
      <c r="BR265" s="255"/>
      <c r="BS265" s="255"/>
      <c r="BT265" s="255"/>
      <c r="BU265" s="255"/>
      <c r="BV265" s="255"/>
      <c r="BW265" s="255"/>
      <c r="BX265" s="255"/>
      <c r="BY265" s="255"/>
      <c r="BZ265" s="255"/>
      <c r="CA265" s="255"/>
      <c r="CB265" s="436"/>
      <c r="CC265" s="436"/>
      <c r="CD265" s="436"/>
      <c r="CE265" s="436"/>
      <c r="CF265" s="255"/>
      <c r="CG265" s="255"/>
      <c r="CH265" s="255"/>
      <c r="CI265" s="255"/>
      <c r="CJ265" s="255"/>
      <c r="CK265" s="255"/>
      <c r="CL265" s="255"/>
      <c r="CM265" s="255"/>
      <c r="CN265" s="255"/>
      <c r="CO265" s="255"/>
      <c r="CP265" s="255"/>
      <c r="CQ265" s="255"/>
      <c r="CR265" s="255"/>
      <c r="CS265" s="255"/>
      <c r="CT265" s="255"/>
      <c r="CU265" s="255"/>
      <c r="CV265" s="255"/>
      <c r="CW265" s="255"/>
    </row>
    <row r="266" spans="1:101" ht="21" thickTop="1" x14ac:dyDescent="0.3">
      <c r="A266" s="256"/>
      <c r="B266" s="256"/>
      <c r="C266" s="190"/>
      <c r="D266" s="191"/>
      <c r="E266" s="865" t="str">
        <f>$E$2</f>
        <v>STPS 2026</v>
      </c>
      <c r="F266" s="267"/>
      <c r="G266" s="267"/>
      <c r="H266" s="267"/>
      <c r="I266" s="192"/>
      <c r="J266" s="192"/>
      <c r="K266" s="192"/>
      <c r="L266" s="193"/>
      <c r="M266" s="192"/>
      <c r="N266" s="192"/>
      <c r="O266" s="192"/>
      <c r="P266" s="194"/>
      <c r="Q266" s="192"/>
      <c r="R266" s="192"/>
      <c r="S266" s="192"/>
      <c r="T266" s="195"/>
      <c r="U266" s="196"/>
      <c r="V266" s="196"/>
      <c r="W266" s="196"/>
      <c r="X266" s="196"/>
      <c r="Y266" s="194"/>
      <c r="Z266" s="192"/>
      <c r="AA266" s="192"/>
      <c r="AB266" s="192"/>
      <c r="AC266" s="195"/>
      <c r="AD266" s="196"/>
      <c r="AE266" s="196"/>
      <c r="AF266" s="196"/>
      <c r="AG266" s="197"/>
      <c r="AH266" s="194"/>
      <c r="AI266" s="192"/>
      <c r="AJ266" s="237"/>
      <c r="AK266" s="237"/>
      <c r="AL266" s="198"/>
      <c r="AM266" s="238"/>
      <c r="AN266" s="238"/>
      <c r="AO266" s="238"/>
      <c r="AP266" s="197"/>
      <c r="AQ266" s="239"/>
      <c r="AR266" s="240"/>
      <c r="AS266" s="199"/>
      <c r="AT266" s="200"/>
      <c r="AU266" s="198"/>
      <c r="AV266" s="196"/>
      <c r="AW266" s="196"/>
      <c r="AX266" s="196"/>
      <c r="AY266" s="197"/>
      <c r="AZ266" s="239"/>
      <c r="BA266" s="240"/>
      <c r="BB266" s="200"/>
      <c r="BC266" s="237"/>
      <c r="BD266" s="241"/>
      <c r="BE266" s="196"/>
      <c r="BF266" s="196"/>
      <c r="BG266" s="196"/>
      <c r="BH266" s="197"/>
      <c r="BI266" s="242"/>
      <c r="BJ266" s="237"/>
      <c r="BK266" s="237"/>
      <c r="BL266" s="237"/>
      <c r="BM266" s="241"/>
      <c r="BN266" s="196"/>
      <c r="BO266" s="196"/>
      <c r="BP266" s="196"/>
      <c r="BQ266" s="197"/>
      <c r="BR266" s="201"/>
      <c r="BS266" s="237"/>
      <c r="BT266" s="237"/>
      <c r="BU266" s="237"/>
      <c r="BV266" s="242"/>
      <c r="BW266" s="237"/>
      <c r="BX266" s="237"/>
      <c r="BY266" s="237"/>
      <c r="BZ266" s="237"/>
      <c r="CA266" s="237"/>
      <c r="CB266" s="437"/>
      <c r="CC266" s="437"/>
      <c r="CD266" s="437"/>
      <c r="CE266" s="437"/>
      <c r="CF266" s="237"/>
      <c r="CG266" s="237"/>
      <c r="CH266" s="237"/>
      <c r="CI266" s="237"/>
      <c r="CJ266" s="197"/>
      <c r="CK266" s="197"/>
      <c r="CL266" s="197"/>
      <c r="CM266" s="197"/>
      <c r="CN266" s="197"/>
      <c r="CO266" s="197"/>
      <c r="CP266" s="197"/>
      <c r="CQ266" s="197"/>
      <c r="CR266" s="197"/>
      <c r="CS266" s="197"/>
      <c r="CT266" s="401"/>
      <c r="CU266" s="237"/>
      <c r="CV266" s="243"/>
      <c r="CW266" s="255"/>
    </row>
    <row r="267" spans="1:101" ht="13.5" thickBot="1" x14ac:dyDescent="0.25">
      <c r="A267" s="256"/>
      <c r="B267" s="256"/>
      <c r="C267" s="202"/>
      <c r="D267" s="188"/>
      <c r="E267" s="266" t="str">
        <f>E3</f>
        <v>Skorgen Tippelag</v>
      </c>
      <c r="F267" s="406"/>
      <c r="G267" s="406"/>
      <c r="H267" s="406"/>
      <c r="I267" s="406"/>
      <c r="J267" s="406"/>
      <c r="K267" s="406"/>
      <c r="L267" s="406"/>
      <c r="M267" s="406"/>
      <c r="N267" s="406"/>
      <c r="O267" s="406"/>
      <c r="P267" s="406"/>
      <c r="Q267" s="406"/>
      <c r="R267" s="406"/>
      <c r="S267" s="406"/>
      <c r="T267" s="406"/>
      <c r="U267" s="406"/>
      <c r="V267" s="406"/>
      <c r="W267" s="406"/>
      <c r="X267" s="406"/>
      <c r="Y267" s="406"/>
      <c r="Z267" s="406"/>
      <c r="AA267" s="406"/>
      <c r="AB267" s="406"/>
      <c r="AC267" s="406"/>
      <c r="AD267" s="406"/>
      <c r="AE267" s="406"/>
      <c r="AF267" s="406"/>
      <c r="AG267" s="406"/>
      <c r="AH267" s="406"/>
      <c r="AI267" s="406"/>
      <c r="AJ267" s="406"/>
      <c r="AK267" s="406"/>
      <c r="AL267" s="406"/>
      <c r="AM267" s="406"/>
      <c r="AN267" s="406"/>
      <c r="AO267" s="406"/>
      <c r="AP267" s="406"/>
      <c r="AQ267" s="406"/>
      <c r="AR267" s="406"/>
      <c r="AS267" s="406"/>
      <c r="AT267" s="406"/>
      <c r="AU267" s="406"/>
      <c r="AV267" s="406"/>
      <c r="AW267" s="406"/>
      <c r="AX267" s="406"/>
      <c r="AY267" s="406"/>
      <c r="AZ267" s="406"/>
      <c r="BA267" s="406"/>
      <c r="BB267" s="406"/>
      <c r="BC267" s="406"/>
      <c r="BD267" s="406"/>
      <c r="BE267" s="406"/>
      <c r="BF267" s="406"/>
      <c r="BG267" s="406"/>
      <c r="BH267" s="406"/>
      <c r="BI267" s="406"/>
      <c r="BJ267" s="406"/>
      <c r="BK267" s="406"/>
      <c r="BL267" s="406"/>
      <c r="BM267" s="406"/>
      <c r="BN267" s="406"/>
      <c r="BO267" s="406"/>
      <c r="BP267" s="406"/>
      <c r="BQ267" s="406"/>
      <c r="BR267" s="406"/>
      <c r="BS267" s="406"/>
      <c r="BT267" s="406"/>
      <c r="BU267" s="406"/>
      <c r="BV267" s="406"/>
      <c r="BW267" s="406"/>
      <c r="BX267" s="406"/>
      <c r="BY267" s="406"/>
      <c r="BZ267" s="406"/>
      <c r="CA267" s="406"/>
      <c r="CB267" s="438"/>
      <c r="CC267" s="438"/>
      <c r="CD267" s="438"/>
      <c r="CE267" s="438"/>
      <c r="CF267" s="406"/>
      <c r="CG267" s="406"/>
      <c r="CH267" s="406"/>
      <c r="CI267" s="406"/>
      <c r="CJ267" s="406"/>
      <c r="CK267" s="406"/>
      <c r="CL267" s="406"/>
      <c r="CM267" s="406"/>
      <c r="CN267" s="366"/>
      <c r="CO267" s="366"/>
      <c r="CP267" s="366"/>
      <c r="CQ267" s="366"/>
      <c r="CR267" s="366"/>
      <c r="CS267" s="366"/>
      <c r="CT267" s="187"/>
      <c r="CU267" s="310"/>
      <c r="CV267" s="246"/>
      <c r="CW267" s="255"/>
    </row>
    <row r="268" spans="1:101" ht="18.75" thickTop="1" x14ac:dyDescent="0.2">
      <c r="A268" s="256"/>
      <c r="B268" s="256"/>
      <c r="C268" s="209"/>
      <c r="D268" s="290"/>
      <c r="E268" s="273"/>
      <c r="F268" s="274"/>
      <c r="G268" s="273"/>
      <c r="H268" s="273"/>
      <c r="I268" s="803" t="s">
        <v>39</v>
      </c>
      <c r="J268" s="805"/>
      <c r="K268" s="805"/>
      <c r="L268" s="291"/>
      <c r="M268" s="302"/>
      <c r="N268" s="242"/>
      <c r="O268" s="275"/>
      <c r="P268" s="275"/>
      <c r="Q268" s="808">
        <f>IF($F272="","",SUM(Q284:S284)-S270)</f>
        <v>540</v>
      </c>
      <c r="R268" s="808"/>
      <c r="S268" s="808"/>
      <c r="T268" s="276"/>
      <c r="U268" s="277"/>
      <c r="V268" s="277"/>
      <c r="W268" s="277"/>
      <c r="X268" s="277"/>
      <c r="Y268" s="275"/>
      <c r="Z268" s="808">
        <f>IF($F272="","",SUM(Z284:AB284)-AB270)</f>
        <v>640</v>
      </c>
      <c r="AA268" s="808"/>
      <c r="AB268" s="808"/>
      <c r="AC268" s="276"/>
      <c r="AD268" s="277"/>
      <c r="AE268" s="277"/>
      <c r="AF268" s="277"/>
      <c r="AG268" s="273"/>
      <c r="AH268" s="275"/>
      <c r="AI268" s="808">
        <f>IF($F272="","",SUM(AI284:AK284)-AK270)</f>
        <v>590</v>
      </c>
      <c r="AJ268" s="808"/>
      <c r="AK268" s="808"/>
      <c r="AL268" s="276"/>
      <c r="AM268" s="277"/>
      <c r="AN268" s="277"/>
      <c r="AO268" s="277"/>
      <c r="AP268" s="273"/>
      <c r="AQ268" s="275"/>
      <c r="AR268" s="808">
        <f>IF($F272="","",SUM(AR284:AT284)-AT270)</f>
        <v>580</v>
      </c>
      <c r="AS268" s="808"/>
      <c r="AT268" s="808"/>
      <c r="AU268" s="278"/>
      <c r="AV268" s="277"/>
      <c r="AW268" s="277"/>
      <c r="AX268" s="277"/>
      <c r="AY268" s="279"/>
      <c r="AZ268" s="280"/>
      <c r="BA268" s="808">
        <f>IF($F272="","",SUM(BA284:BC284)-BC270)</f>
        <v>640</v>
      </c>
      <c r="BB268" s="808"/>
      <c r="BC268" s="808"/>
      <c r="BD268" s="278"/>
      <c r="BE268" s="277"/>
      <c r="BF268" s="277"/>
      <c r="BG268" s="277"/>
      <c r="BH268" s="279"/>
      <c r="BI268" s="280"/>
      <c r="BJ268" s="808">
        <f>IF($F272="","",SUM(BJ284:BL284)-BL270)</f>
        <v>470</v>
      </c>
      <c r="BK268" s="808"/>
      <c r="BL268" s="808"/>
      <c r="BM268" s="278"/>
      <c r="BN268" s="277"/>
      <c r="BO268" s="277"/>
      <c r="BP268" s="277"/>
      <c r="BQ268" s="279"/>
      <c r="BR268" s="281"/>
      <c r="BS268" s="808">
        <f>IF($F272="","",SUM(BS284:BU284)-BU270)</f>
        <v>490</v>
      </c>
      <c r="BT268" s="808"/>
      <c r="BU268" s="808"/>
      <c r="BV268" s="280"/>
      <c r="BW268" s="279"/>
      <c r="BX268" s="279"/>
      <c r="BY268" s="279"/>
      <c r="BZ268" s="279"/>
      <c r="CA268" s="281"/>
      <c r="CB268" s="808">
        <f>IF($F272="","",SUM(CB284:CD284)-CD270)</f>
        <v>580</v>
      </c>
      <c r="CC268" s="808"/>
      <c r="CD268" s="808"/>
      <c r="CE268" s="280"/>
      <c r="CF268" s="279"/>
      <c r="CG268" s="279"/>
      <c r="CH268" s="279"/>
      <c r="CI268" s="279"/>
      <c r="CJ268" s="273"/>
      <c r="CK268" s="808">
        <f>IF($F272="","",SUM(CK284:CM284))</f>
        <v>650</v>
      </c>
      <c r="CL268" s="808"/>
      <c r="CM268" s="808"/>
      <c r="CN268" s="280"/>
      <c r="CO268" s="279"/>
      <c r="CP268" s="279"/>
      <c r="CQ268" s="279"/>
      <c r="CR268" s="273"/>
      <c r="CS268" s="273"/>
      <c r="CT268" s="273"/>
      <c r="CU268" s="292"/>
      <c r="CV268" s="246"/>
      <c r="CW268" s="255"/>
    </row>
    <row r="269" spans="1:101" x14ac:dyDescent="0.2">
      <c r="A269" s="256"/>
      <c r="B269" s="256"/>
      <c r="C269" s="209"/>
      <c r="D269" s="916">
        <v>48</v>
      </c>
      <c r="E269" s="588">
        <f>IF(D269="","",DATE($D$4,1,1)+(D269-1)*7+(6-WEEKDAY(DATE($D$4,1,1),2)))</f>
        <v>45990</v>
      </c>
      <c r="F269" s="213"/>
      <c r="G269" s="214"/>
      <c r="H269" s="214"/>
      <c r="I269" s="804">
        <f>IF(ISERROR(AVERAGE(Q268,Z268,AI268,AR268,BA268,BJ268,BS268,CB268,CK268)),"",AVERAGE(Q268,Z268,AI268,AR268,BA268,BJ268,BS268,CB268,CK268))</f>
        <v>575.55555555555554</v>
      </c>
      <c r="J269" s="806"/>
      <c r="K269" s="806"/>
      <c r="L269" s="295"/>
      <c r="M269" s="372"/>
      <c r="N269" s="245"/>
      <c r="O269" s="215"/>
      <c r="P269" s="215"/>
      <c r="Q269" s="710">
        <f>IF(Q268="","",Q268/Data!$X$1)</f>
        <v>0.45</v>
      </c>
      <c r="R269" s="710"/>
      <c r="S269" s="711">
        <f>IF(SUM(X272:X283)=0,"",SUM(X272:X283))</f>
        <v>8</v>
      </c>
      <c r="T269" s="216"/>
      <c r="U269" s="217"/>
      <c r="V269" s="217"/>
      <c r="W269" s="217"/>
      <c r="X269" s="217"/>
      <c r="Y269" s="215"/>
      <c r="Z269" s="710">
        <f>IF(Z268="","",Z268/Data!$X$1)</f>
        <v>0.53333333333333333</v>
      </c>
      <c r="AA269" s="710"/>
      <c r="AB269" s="711">
        <f>IF(SUM(AG272:AG283)=0,"",SUM(AG272:AG283))</f>
        <v>7</v>
      </c>
      <c r="AC269" s="216"/>
      <c r="AD269" s="217"/>
      <c r="AE269" s="217"/>
      <c r="AF269" s="217"/>
      <c r="AG269" s="217"/>
      <c r="AH269" s="215"/>
      <c r="AI269" s="710">
        <f>IF(AI268="","",AI268/Data!$X$1)</f>
        <v>0.49166666666666664</v>
      </c>
      <c r="AJ269" s="710"/>
      <c r="AK269" s="711">
        <f>IF(SUM(AP272:AP283)=0,"",SUM(AP272:AP283))</f>
        <v>8</v>
      </c>
      <c r="AL269" s="216"/>
      <c r="AM269" s="217"/>
      <c r="AN269" s="217"/>
      <c r="AO269" s="217"/>
      <c r="AP269" s="217"/>
      <c r="AQ269" s="215"/>
      <c r="AR269" s="710">
        <f>IF(AR268="","",AR268/Data!$X$1)</f>
        <v>0.48333333333333334</v>
      </c>
      <c r="AS269" s="710"/>
      <c r="AT269" s="711">
        <f>IF(SUM(AY272:AY283)=0,"",SUM(AY272:AY283))</f>
        <v>7</v>
      </c>
      <c r="AU269" s="218"/>
      <c r="AV269" s="217"/>
      <c r="AW269" s="217"/>
      <c r="AX269" s="217"/>
      <c r="AY269" s="217"/>
      <c r="AZ269" s="219"/>
      <c r="BA269" s="710">
        <f>IF(BA268="","",BA268/Data!$X$1)</f>
        <v>0.53333333333333333</v>
      </c>
      <c r="BB269" s="710"/>
      <c r="BC269" s="711">
        <f>IF(SUM(BH272:BH283)=0,"",SUM(BH272:BH283))</f>
        <v>8</v>
      </c>
      <c r="BD269" s="218"/>
      <c r="BE269" s="217"/>
      <c r="BF269" s="217"/>
      <c r="BG269" s="217"/>
      <c r="BH269" s="217"/>
      <c r="BI269" s="219"/>
      <c r="BJ269" s="710">
        <f>IF(BJ268="","",BJ268/Data!$X$1)</f>
        <v>0.39166666666666666</v>
      </c>
      <c r="BK269" s="710"/>
      <c r="BL269" s="711">
        <f>IF(SUM(BQ272:BQ283)=0,"",SUM(BQ272:BQ283))</f>
        <v>5</v>
      </c>
      <c r="BM269" s="218"/>
      <c r="BN269" s="217"/>
      <c r="BO269" s="217"/>
      <c r="BP269" s="217"/>
      <c r="BQ269" s="217"/>
      <c r="BR269" s="220"/>
      <c r="BS269" s="710">
        <f>IF(BS268="","",BS268/Data!$X$1)</f>
        <v>0.40833333333333333</v>
      </c>
      <c r="BT269" s="710"/>
      <c r="BU269" s="711">
        <f>IF(SUM(BZ272:BZ283)=0,"",SUM(BZ272:BZ283))</f>
        <v>8</v>
      </c>
      <c r="BV269" s="219"/>
      <c r="BW269" s="217"/>
      <c r="BX269" s="217"/>
      <c r="BY269" s="217"/>
      <c r="BZ269" s="217"/>
      <c r="CA269" s="220"/>
      <c r="CB269" s="710">
        <f>IF(CB268="","",CB268/Data!$X$1)</f>
        <v>0.48333333333333334</v>
      </c>
      <c r="CC269" s="710"/>
      <c r="CD269" s="711">
        <f>IF(SUM(CI272:CI283)=0,"",SUM(CI272:CI283))</f>
        <v>8</v>
      </c>
      <c r="CE269" s="219"/>
      <c r="CF269" s="217"/>
      <c r="CG269" s="217"/>
      <c r="CH269" s="217"/>
      <c r="CI269" s="217"/>
      <c r="CJ269" s="217"/>
      <c r="CK269" s="710">
        <f>IF(CK268="","",CK268/Data!$X$1)</f>
        <v>0.54166666666666663</v>
      </c>
      <c r="CL269" s="710"/>
      <c r="CM269" s="711">
        <f>IF(SUM(CR272:CR283)=0,"",SUM(CR272:CR283))</f>
        <v>8</v>
      </c>
      <c r="CN269" s="219"/>
      <c r="CO269" s="217"/>
      <c r="CP269" s="217"/>
      <c r="CQ269" s="217"/>
      <c r="CR269" s="217"/>
      <c r="CS269" s="217"/>
      <c r="CT269" s="217"/>
      <c r="CU269" s="296"/>
      <c r="CV269" s="246"/>
      <c r="CW269" s="255"/>
    </row>
    <row r="270" spans="1:101" ht="13.5" thickBot="1" x14ac:dyDescent="0.25">
      <c r="A270" s="256"/>
      <c r="B270" s="256"/>
      <c r="C270" s="209"/>
      <c r="D270" s="269">
        <f>D248+1</f>
        <v>13</v>
      </c>
      <c r="E270" s="402" t="str">
        <f>IF(E269="","Sett inn dato over her",TEXT(E269,"dddd"))</f>
        <v>lørdag</v>
      </c>
      <c r="F270" s="221"/>
      <c r="G270" s="222"/>
      <c r="H270" s="222"/>
      <c r="I270" s="802"/>
      <c r="J270" s="807"/>
      <c r="K270" s="807"/>
      <c r="L270" s="297"/>
      <c r="M270" s="373"/>
      <c r="N270" s="377"/>
      <c r="O270" s="222"/>
      <c r="P270" s="222"/>
      <c r="Q270" s="385" t="str">
        <f>Data!$E$11</f>
        <v>AHH</v>
      </c>
      <c r="R270" s="386">
        <f>IF($F283="","",RANK(Q268,$Q268:$CL268))</f>
        <v>7</v>
      </c>
      <c r="S270" s="510"/>
      <c r="T270" s="216">
        <v>0</v>
      </c>
      <c r="U270" s="217"/>
      <c r="V270" s="217"/>
      <c r="W270" s="217"/>
      <c r="X270" s="217"/>
      <c r="Y270" s="215"/>
      <c r="Z270" s="385" t="str">
        <f>Data!$E$12</f>
        <v>RB</v>
      </c>
      <c r="AA270" s="386">
        <f>IF($F283="","",RANK(Z268,$Q268:$CL268))</f>
        <v>2</v>
      </c>
      <c r="AB270" s="510"/>
      <c r="AC270" s="216"/>
      <c r="AD270" s="217"/>
      <c r="AE270" s="217"/>
      <c r="AF270" s="217"/>
      <c r="AG270" s="217"/>
      <c r="AH270" s="215"/>
      <c r="AI270" s="385" t="str">
        <f>Data!$E$13</f>
        <v>EB</v>
      </c>
      <c r="AJ270" s="386">
        <f>IF($F283="","",RANK(AI268,$Q268:$CL268))</f>
        <v>4</v>
      </c>
      <c r="AK270" s="510"/>
      <c r="AL270" s="216"/>
      <c r="AM270" s="217"/>
      <c r="AN270" s="217"/>
      <c r="AO270" s="217"/>
      <c r="AP270" s="217"/>
      <c r="AQ270" s="215"/>
      <c r="AR270" s="346" t="str">
        <f>Data!$E$14</f>
        <v>KAF</v>
      </c>
      <c r="AS270" s="386">
        <f>IF($F283="","",RANK(AR268,$Q268:$CL268))</f>
        <v>5</v>
      </c>
      <c r="AT270" s="510"/>
      <c r="AU270" s="216"/>
      <c r="AV270" s="217"/>
      <c r="AW270" s="217"/>
      <c r="AX270" s="217"/>
      <c r="AY270" s="217"/>
      <c r="AZ270" s="215"/>
      <c r="BA270" s="346" t="str">
        <f>Data!$E$15</f>
        <v>ØG</v>
      </c>
      <c r="BB270" s="386">
        <f>IF($F283="","",RANK(BA268,$Q268:$CL268))</f>
        <v>2</v>
      </c>
      <c r="BC270" s="510"/>
      <c r="BD270" s="216"/>
      <c r="BE270" s="217"/>
      <c r="BF270" s="217"/>
      <c r="BG270" s="217"/>
      <c r="BH270" s="217"/>
      <c r="BI270" s="215"/>
      <c r="BJ270" s="346" t="str">
        <f>Data!$E$16</f>
        <v>JH</v>
      </c>
      <c r="BK270" s="386">
        <f>IF($F283="","",RANK(BJ268,$Q268:$CL268))</f>
        <v>9</v>
      </c>
      <c r="BL270" s="510"/>
      <c r="BM270" s="216"/>
      <c r="BN270" s="217"/>
      <c r="BO270" s="217"/>
      <c r="BP270" s="217"/>
      <c r="BQ270" s="217"/>
      <c r="BR270" s="223"/>
      <c r="BS270" s="346" t="str">
        <f>Data!$E$17</f>
        <v>TOH</v>
      </c>
      <c r="BT270" s="386">
        <f>IF($F283="","",RANK(BS268,$Q268:$CL268))</f>
        <v>8</v>
      </c>
      <c r="BU270" s="510">
        <v>50</v>
      </c>
      <c r="BV270" s="215"/>
      <c r="BW270" s="217"/>
      <c r="BX270" s="217"/>
      <c r="BY270" s="217"/>
      <c r="BZ270" s="217"/>
      <c r="CA270" s="223"/>
      <c r="CB270" s="346" t="s">
        <v>26</v>
      </c>
      <c r="CC270" s="386">
        <f>IF($F283="","",RANK(CB268,$Q268:$CM268))</f>
        <v>5</v>
      </c>
      <c r="CD270" s="511"/>
      <c r="CE270" s="215"/>
      <c r="CF270" s="217"/>
      <c r="CG270" s="217"/>
      <c r="CH270" s="217"/>
      <c r="CI270" s="217"/>
      <c r="CJ270" s="217"/>
      <c r="CK270" s="346" t="s">
        <v>27</v>
      </c>
      <c r="CL270" s="386">
        <f>IF($F283="","",RANK(CK268,$Q268:$CM268))</f>
        <v>1</v>
      </c>
      <c r="CM270" s="798"/>
      <c r="CN270" s="215"/>
      <c r="CO270" s="217"/>
      <c r="CP270" s="217"/>
      <c r="CQ270" s="217"/>
      <c r="CR270" s="217"/>
      <c r="CS270" s="217"/>
      <c r="CT270" s="217"/>
      <c r="CU270" s="296"/>
      <c r="CV270" s="246"/>
      <c r="CW270" s="255"/>
    </row>
    <row r="271" spans="1:101" ht="13.5" thickBot="1" x14ac:dyDescent="0.25">
      <c r="A271" s="264"/>
      <c r="B271" s="264"/>
      <c r="C271" s="202"/>
      <c r="D271" s="270"/>
      <c r="E271" s="224"/>
      <c r="F271" s="225"/>
      <c r="G271" s="226"/>
      <c r="H271" s="226"/>
      <c r="I271" s="227" t="s">
        <v>45</v>
      </c>
      <c r="J271" s="228" t="s">
        <v>46</v>
      </c>
      <c r="K271" s="229" t="s">
        <v>47</v>
      </c>
      <c r="L271" s="298"/>
      <c r="M271" s="374"/>
      <c r="N271" s="378"/>
      <c r="O271" s="230"/>
      <c r="P271" s="230"/>
      <c r="Q271" s="227" t="s">
        <v>45</v>
      </c>
      <c r="R271" s="228" t="s">
        <v>46</v>
      </c>
      <c r="S271" s="229" t="s">
        <v>47</v>
      </c>
      <c r="T271" s="231"/>
      <c r="U271" s="232"/>
      <c r="V271" s="232"/>
      <c r="W271" s="232"/>
      <c r="X271" s="232"/>
      <c r="Y271" s="230"/>
      <c r="Z271" s="227" t="s">
        <v>45</v>
      </c>
      <c r="AA271" s="228" t="s">
        <v>46</v>
      </c>
      <c r="AB271" s="229" t="s">
        <v>47</v>
      </c>
      <c r="AC271" s="231"/>
      <c r="AD271" s="232"/>
      <c r="AE271" s="232"/>
      <c r="AF271" s="232"/>
      <c r="AG271" s="232"/>
      <c r="AH271" s="230"/>
      <c r="AI271" s="227" t="s">
        <v>45</v>
      </c>
      <c r="AJ271" s="228" t="s">
        <v>46</v>
      </c>
      <c r="AK271" s="229" t="s">
        <v>47</v>
      </c>
      <c r="AL271" s="231"/>
      <c r="AM271" s="232"/>
      <c r="AN271" s="232"/>
      <c r="AO271" s="232"/>
      <c r="AP271" s="232"/>
      <c r="AQ271" s="230"/>
      <c r="AR271" s="227" t="s">
        <v>45</v>
      </c>
      <c r="AS271" s="228" t="s">
        <v>46</v>
      </c>
      <c r="AT271" s="229" t="s">
        <v>47</v>
      </c>
      <c r="AU271" s="231"/>
      <c r="AV271" s="232"/>
      <c r="AW271" s="232"/>
      <c r="AX271" s="232"/>
      <c r="AY271" s="232"/>
      <c r="AZ271" s="230"/>
      <c r="BA271" s="227" t="s">
        <v>45</v>
      </c>
      <c r="BB271" s="228" t="s">
        <v>46</v>
      </c>
      <c r="BC271" s="229" t="s">
        <v>47</v>
      </c>
      <c r="BD271" s="231"/>
      <c r="BE271" s="232"/>
      <c r="BF271" s="232"/>
      <c r="BG271" s="232"/>
      <c r="BH271" s="232"/>
      <c r="BI271" s="230"/>
      <c r="BJ271" s="227" t="s">
        <v>45</v>
      </c>
      <c r="BK271" s="228" t="s">
        <v>46</v>
      </c>
      <c r="BL271" s="229" t="s">
        <v>47</v>
      </c>
      <c r="BM271" s="231"/>
      <c r="BN271" s="232"/>
      <c r="BO271" s="232"/>
      <c r="BP271" s="232"/>
      <c r="BQ271" s="232"/>
      <c r="BR271" s="230"/>
      <c r="BS271" s="227" t="s">
        <v>45</v>
      </c>
      <c r="BT271" s="228" t="s">
        <v>46</v>
      </c>
      <c r="BU271" s="229" t="s">
        <v>47</v>
      </c>
      <c r="BV271" s="231"/>
      <c r="BW271" s="232"/>
      <c r="BX271" s="232"/>
      <c r="BY271" s="232"/>
      <c r="BZ271" s="233"/>
      <c r="CA271" s="230"/>
      <c r="CB271" s="227" t="s">
        <v>45</v>
      </c>
      <c r="CC271" s="228" t="s">
        <v>46</v>
      </c>
      <c r="CD271" s="229" t="s">
        <v>47</v>
      </c>
      <c r="CE271" s="231"/>
      <c r="CF271" s="232"/>
      <c r="CG271" s="232"/>
      <c r="CH271" s="232"/>
      <c r="CI271" s="232"/>
      <c r="CJ271" s="232"/>
      <c r="CK271" s="227" t="s">
        <v>45</v>
      </c>
      <c r="CL271" s="228" t="s">
        <v>46</v>
      </c>
      <c r="CM271" s="229" t="s">
        <v>47</v>
      </c>
      <c r="CN271" s="231"/>
      <c r="CO271" s="232"/>
      <c r="CP271" s="232"/>
      <c r="CQ271" s="232"/>
      <c r="CR271" s="232"/>
      <c r="CS271" s="232"/>
      <c r="CT271" s="234"/>
      <c r="CU271" s="296"/>
      <c r="CV271" s="246"/>
      <c r="CW271" s="265"/>
    </row>
    <row r="272" spans="1:101" x14ac:dyDescent="0.2">
      <c r="A272" s="264"/>
      <c r="B272" s="264"/>
      <c r="C272" s="202"/>
      <c r="D272" s="271">
        <v>1</v>
      </c>
      <c r="E272" s="166" t="s">
        <v>195</v>
      </c>
      <c r="F272" s="468">
        <v>1</v>
      </c>
      <c r="G272" s="472"/>
      <c r="H272" s="473">
        <v>2</v>
      </c>
      <c r="I272" s="170" t="str">
        <f t="shared" ref="I272:I283" si="600">IF($F272&gt;$H272,"x","")</f>
        <v/>
      </c>
      <c r="J272" s="387" t="str">
        <f t="shared" ref="J272:J283" si="601">IF(F272&lt;&gt;"",IF(H272&lt;&gt;"",IF(F272=H272,"x",""),""),"")</f>
        <v/>
      </c>
      <c r="K272" s="388" t="str">
        <f t="shared" ref="K272:K283" si="602">IF($F272&lt;$H272,"x","")</f>
        <v>x</v>
      </c>
      <c r="L272" s="299"/>
      <c r="M272" s="375"/>
      <c r="N272" s="379"/>
      <c r="O272" s="236"/>
      <c r="P272" s="236"/>
      <c r="Q272" s="480">
        <v>50</v>
      </c>
      <c r="R272" s="481">
        <v>30</v>
      </c>
      <c r="S272" s="482">
        <f>IF(Q272="","",100-SUM(Q272:R272))</f>
        <v>20</v>
      </c>
      <c r="T272" s="371"/>
      <c r="U272" s="232" t="str">
        <f t="shared" ref="U272:U283" si="603">IF($I272="x",Q272,"")</f>
        <v/>
      </c>
      <c r="V272" s="232" t="str">
        <f t="shared" ref="V272:V283" si="604">IF($J272="x",R272,"")</f>
        <v/>
      </c>
      <c r="W272" s="232">
        <f t="shared" ref="W272:W283" si="605">IF($K272="x",S272,"")</f>
        <v>20</v>
      </c>
      <c r="X272" s="232" t="str">
        <f>IF((MAX(U272,V272,W272))=0,"",IF((MAX(U272,V272,W272))=(MAX(Q272,R272,S272)),1,""))</f>
        <v/>
      </c>
      <c r="Y272" s="371"/>
      <c r="Z272" s="495">
        <v>80</v>
      </c>
      <c r="AA272" s="496">
        <v>10</v>
      </c>
      <c r="AB272" s="482">
        <f t="shared" ref="AB272:AB283" si="606">IF(Z272="","",100-SUM(Z272:AA272))</f>
        <v>10</v>
      </c>
      <c r="AC272" s="371"/>
      <c r="AD272" s="232" t="str">
        <f t="shared" ref="AD272:AD283" si="607">IF($I272="x",Z272,"")</f>
        <v/>
      </c>
      <c r="AE272" s="232" t="str">
        <f t="shared" ref="AE272:AE283" si="608">IF($J272="x",AA272,"")</f>
        <v/>
      </c>
      <c r="AF272" s="232">
        <f t="shared" ref="AF272:AF283" si="609">IF($K272="x",AB272,"")</f>
        <v>10</v>
      </c>
      <c r="AG272" s="232" t="str">
        <f>IF((MAX(AD272,AE272,AF272))=0,"",IF((MAX(AD272,AE272,AF272))=(MAX(Z272,AA272,AB272)),1,""))</f>
        <v/>
      </c>
      <c r="AH272" s="371"/>
      <c r="AI272" s="495">
        <v>80</v>
      </c>
      <c r="AJ272" s="496">
        <v>10</v>
      </c>
      <c r="AK272" s="482">
        <f t="shared" ref="AK272:AK283" si="610">IF(AI272="","",100-SUM(AI272:AJ272))</f>
        <v>10</v>
      </c>
      <c r="AL272" s="371"/>
      <c r="AM272" s="232" t="str">
        <f t="shared" ref="AM272:AM283" si="611">IF($I272="x",AI272,"")</f>
        <v/>
      </c>
      <c r="AN272" s="232" t="str">
        <f t="shared" ref="AN272:AN283" si="612">IF($J272="x",AJ272,"")</f>
        <v/>
      </c>
      <c r="AO272" s="232">
        <f t="shared" ref="AO272:AO283" si="613">IF($K272="x",AK272,"")</f>
        <v>10</v>
      </c>
      <c r="AP272" s="232" t="str">
        <f>IF((MAX(AM272,AN272,AO272))=0,"",IF((MAX(AM272,AN272,AO272))=(MAX(AI272,AJ272,AK272)),1,""))</f>
        <v/>
      </c>
      <c r="AQ272" s="371"/>
      <c r="AR272" s="495">
        <v>50</v>
      </c>
      <c r="AS272" s="496">
        <v>10</v>
      </c>
      <c r="AT272" s="482">
        <f t="shared" ref="AT272:AT283" si="614">IF(AR272="","",100-SUM(AR272:AS272))</f>
        <v>40</v>
      </c>
      <c r="AU272" s="371"/>
      <c r="AV272" s="232" t="str">
        <f t="shared" ref="AV272:AV283" si="615">IF($I272="x",AR272,"")</f>
        <v/>
      </c>
      <c r="AW272" s="232" t="str">
        <f t="shared" ref="AW272:AW283" si="616">IF($J272="x",AS272,"")</f>
        <v/>
      </c>
      <c r="AX272" s="232">
        <f t="shared" ref="AX272:AX283" si="617">IF($K272="x",AT272,"")</f>
        <v>40</v>
      </c>
      <c r="AY272" s="232" t="str">
        <f>IF((MAX(AV272,AW272,AX272))=0,"",IF((MAX(AV272,AW272,AX272))=(MAX(AR272,AS272,AT272)),1,""))</f>
        <v/>
      </c>
      <c r="AZ272" s="371"/>
      <c r="BA272" s="495">
        <v>80</v>
      </c>
      <c r="BB272" s="496">
        <v>10</v>
      </c>
      <c r="BC272" s="482">
        <f t="shared" ref="BC272:BC283" si="618">IF(BA272="","",100-SUM(BA272:BB272))</f>
        <v>10</v>
      </c>
      <c r="BD272" s="371"/>
      <c r="BE272" s="232" t="str">
        <f t="shared" ref="BE272:BE283" si="619">IF($I272="x",BA272,"")</f>
        <v/>
      </c>
      <c r="BF272" s="232" t="str">
        <f t="shared" ref="BF272:BF283" si="620">IF($J272="x",BB272,"")</f>
        <v/>
      </c>
      <c r="BG272" s="232">
        <f t="shared" ref="BG272:BG283" si="621">IF($K272="x",BC272,"")</f>
        <v>10</v>
      </c>
      <c r="BH272" s="232" t="str">
        <f>IF((MAX(BE272,BF272,BG272))=0,"",IF((MAX(BE272,BF272,BG272))=(MAX(BA272,BB272,BC272)),1,""))</f>
        <v/>
      </c>
      <c r="BI272" s="371"/>
      <c r="BJ272" s="495">
        <v>80</v>
      </c>
      <c r="BK272" s="496">
        <v>10</v>
      </c>
      <c r="BL272" s="482">
        <f t="shared" ref="BL272:BL283" si="622">IF(BJ272="","",100-SUM(BJ272:BK272))</f>
        <v>10</v>
      </c>
      <c r="BM272" s="371"/>
      <c r="BN272" s="232" t="str">
        <f t="shared" ref="BN272:BN283" si="623">IF($I272="x",BJ272,"")</f>
        <v/>
      </c>
      <c r="BO272" s="232" t="str">
        <f t="shared" ref="BO272:BO283" si="624">IF($J272="x",BK272,"")</f>
        <v/>
      </c>
      <c r="BP272" s="232">
        <f t="shared" ref="BP272:BP283" si="625">IF($K272="x",BL272,"")</f>
        <v>10</v>
      </c>
      <c r="BQ272" s="232" t="str">
        <f>IF((MAX(BN272,BO272,BP272))=0,"",IF((MAX(BN272,BO272,BP272))=(MAX(BJ272,BK272,BL272)),1,""))</f>
        <v/>
      </c>
      <c r="BR272" s="371"/>
      <c r="BS272" s="495">
        <v>50</v>
      </c>
      <c r="BT272" s="496">
        <v>30</v>
      </c>
      <c r="BU272" s="482">
        <f t="shared" ref="BU272:BU283" si="626">IF(BS272="","",100-SUM(BS272:BT272))</f>
        <v>20</v>
      </c>
      <c r="BV272" s="371"/>
      <c r="BW272" s="232" t="str">
        <f t="shared" ref="BW272:BW283" si="627">IF($I272="x",BS272,"")</f>
        <v/>
      </c>
      <c r="BX272" s="232" t="str">
        <f t="shared" ref="BX272:BX283" si="628">IF($J272="x",BT272,"")</f>
        <v/>
      </c>
      <c r="BY272" s="232">
        <f t="shared" ref="BY272:BY283" si="629">IF($K272="x",BU272,"")</f>
        <v>20</v>
      </c>
      <c r="BZ272" s="232" t="str">
        <f>IF((MAX(BW272,BX272,BY272))=0,"",IF((MAX(BW272,BX272,BY272))=(MAX(BS272,BT272,BU272)),1,""))</f>
        <v/>
      </c>
      <c r="CA272" s="371"/>
      <c r="CB272" s="501">
        <f t="shared" ref="CB272:CB283" si="630">IFERROR(ROUNDUP((SUM(Q272,Z272,AI272,AR272,BA272,BJ272,BS272)/SUM($Q272:$S272,$Z272:$AB272,$AI272:$AK272,$AR272:$AT272,$BA272:$BC272,$BJ272:$BL272,$BS272:$BU272))*100,-1),"")</f>
        <v>70</v>
      </c>
      <c r="CC272" s="502">
        <f t="shared" ref="CC272:CC283" si="631">IFERROR(ROUNDDOWN((SUM(R272,AA272,AJ272,AS272,BB272,BK272,BT272)/SUM($Q272:$S272,$Z272:$AB272,$AI272:$AK272,$AR272:$AT272,$BA272:$BC272,$BJ272:$BL272,$BS272:$BU272))*100,-1),"")</f>
        <v>10</v>
      </c>
      <c r="CD272" s="503">
        <f t="shared" ref="CD272:CD283" si="632">IF(CB272="","",100-SUM(CB272:CC272))</f>
        <v>20</v>
      </c>
      <c r="CE272" s="371"/>
      <c r="CF272" s="232" t="str">
        <f t="shared" ref="CF272:CF283" si="633">IF($I272="x",CB272,"")</f>
        <v/>
      </c>
      <c r="CG272" s="232" t="str">
        <f t="shared" ref="CG272:CG283" si="634">IF($J272="x",CC272,"")</f>
        <v/>
      </c>
      <c r="CH272" s="232">
        <f t="shared" ref="CH272:CH283" si="635">IF($K272="x",CD272,"")</f>
        <v>20</v>
      </c>
      <c r="CI272" s="232" t="str">
        <f>IF((MAX(CF272,CG272,CH272))=0,"",IF((MAX(CF272,CG272,CH272))=(MAX(CB272,CC272,CD272)),1,""))</f>
        <v/>
      </c>
      <c r="CJ272" s="232"/>
      <c r="CK272" s="495">
        <v>50</v>
      </c>
      <c r="CL272" s="496">
        <v>30</v>
      </c>
      <c r="CM272" s="482">
        <f t="shared" ref="CM272:CM283" si="636">IF(CK272="","",100-SUM(CK272:CL272))</f>
        <v>20</v>
      </c>
      <c r="CN272" s="371"/>
      <c r="CO272" s="232" t="str">
        <f t="shared" ref="CO272:CO283" si="637">IF($I272="x",CK272,"")</f>
        <v/>
      </c>
      <c r="CP272" s="232" t="str">
        <f t="shared" ref="CP272:CP283" si="638">IF($J272="x",CL272,"")</f>
        <v/>
      </c>
      <c r="CQ272" s="232">
        <f t="shared" ref="CQ272:CQ283" si="639">IF($K272="x",CM272,"")</f>
        <v>20</v>
      </c>
      <c r="CR272" s="232" t="str">
        <f>IF((MAX(CO272,CP272,CQ272))=0,"",IF((MAX(CO272,CP272,CQ272))=(MAX(CK272,CL272,CM272)),1,""))</f>
        <v/>
      </c>
      <c r="CS272" s="232"/>
      <c r="CT272" s="371"/>
      <c r="CU272" s="296"/>
      <c r="CV272" s="246"/>
      <c r="CW272" s="264"/>
    </row>
    <row r="273" spans="1:101" x14ac:dyDescent="0.2">
      <c r="A273" s="264"/>
      <c r="B273" s="264"/>
      <c r="C273" s="202"/>
      <c r="D273" s="271">
        <v>2</v>
      </c>
      <c r="E273" s="167" t="s">
        <v>196</v>
      </c>
      <c r="F273" s="469">
        <v>1</v>
      </c>
      <c r="G273" s="474"/>
      <c r="H273" s="475">
        <v>4</v>
      </c>
      <c r="I273" s="389" t="str">
        <f t="shared" si="600"/>
        <v/>
      </c>
      <c r="J273" s="390" t="str">
        <f t="shared" si="601"/>
        <v/>
      </c>
      <c r="K273" s="391" t="str">
        <f t="shared" si="602"/>
        <v>x</v>
      </c>
      <c r="L273" s="299"/>
      <c r="M273" s="375"/>
      <c r="N273" s="379"/>
      <c r="O273" s="236"/>
      <c r="P273" s="236"/>
      <c r="Q273" s="483">
        <v>40</v>
      </c>
      <c r="R273" s="484">
        <v>30</v>
      </c>
      <c r="S273" s="485">
        <f t="shared" ref="S273:S283" si="640">IF(Q273="","",100-SUM(Q273:R273))</f>
        <v>30</v>
      </c>
      <c r="T273" s="371"/>
      <c r="U273" s="232" t="str">
        <f t="shared" si="603"/>
        <v/>
      </c>
      <c r="V273" s="232" t="str">
        <f t="shared" si="604"/>
        <v/>
      </c>
      <c r="W273" s="232">
        <f t="shared" si="605"/>
        <v>30</v>
      </c>
      <c r="X273" s="232" t="str">
        <f t="shared" ref="X273:X283" si="641">IF((MAX(U273,V273,W273))=0,"",IF((MAX(U273,V273,W273))=(MAX(Q273,R273,S273)),1,""))</f>
        <v/>
      </c>
      <c r="Y273" s="371"/>
      <c r="Z273" s="497">
        <v>50</v>
      </c>
      <c r="AA273" s="498">
        <v>40</v>
      </c>
      <c r="AB273" s="485">
        <f t="shared" si="606"/>
        <v>10</v>
      </c>
      <c r="AC273" s="371"/>
      <c r="AD273" s="232" t="str">
        <f t="shared" si="607"/>
        <v/>
      </c>
      <c r="AE273" s="232" t="str">
        <f t="shared" si="608"/>
        <v/>
      </c>
      <c r="AF273" s="232">
        <f t="shared" si="609"/>
        <v>10</v>
      </c>
      <c r="AG273" s="232" t="str">
        <f t="shared" ref="AG273:AG283" si="642">IF((MAX(AD273,AE273,AF273))=0,"",IF((MAX(AD273,AE273,AF273))=(MAX(Z273,AA273,AB273)),1,""))</f>
        <v/>
      </c>
      <c r="AH273" s="371"/>
      <c r="AI273" s="497">
        <v>30</v>
      </c>
      <c r="AJ273" s="498">
        <v>40</v>
      </c>
      <c r="AK273" s="485">
        <f t="shared" si="610"/>
        <v>30</v>
      </c>
      <c r="AL273" s="371"/>
      <c r="AM273" s="232" t="str">
        <f t="shared" si="611"/>
        <v/>
      </c>
      <c r="AN273" s="232" t="str">
        <f t="shared" si="612"/>
        <v/>
      </c>
      <c r="AO273" s="232">
        <f t="shared" si="613"/>
        <v>30</v>
      </c>
      <c r="AP273" s="232" t="str">
        <f t="shared" ref="AP273:AP283" si="643">IF((MAX(AM273,AN273,AO273))=0,"",IF((MAX(AM273,AN273,AO273))=(MAX(AI273,AJ273,AK273)),1,""))</f>
        <v/>
      </c>
      <c r="AQ273" s="371"/>
      <c r="AR273" s="497">
        <v>60</v>
      </c>
      <c r="AS273" s="498">
        <v>30</v>
      </c>
      <c r="AT273" s="485">
        <f t="shared" si="614"/>
        <v>10</v>
      </c>
      <c r="AU273" s="371"/>
      <c r="AV273" s="232" t="str">
        <f t="shared" si="615"/>
        <v/>
      </c>
      <c r="AW273" s="232" t="str">
        <f t="shared" si="616"/>
        <v/>
      </c>
      <c r="AX273" s="232">
        <f t="shared" si="617"/>
        <v>10</v>
      </c>
      <c r="AY273" s="232" t="str">
        <f t="shared" ref="AY273:AY283" si="644">IF((MAX(AV273,AW273,AX273))=0,"",IF((MAX(AV273,AW273,AX273))=(MAX(AR273,AS273,AT273)),1,""))</f>
        <v/>
      </c>
      <c r="AZ273" s="371"/>
      <c r="BA273" s="497">
        <v>60</v>
      </c>
      <c r="BB273" s="498">
        <v>30</v>
      </c>
      <c r="BC273" s="485">
        <f t="shared" si="618"/>
        <v>10</v>
      </c>
      <c r="BD273" s="371"/>
      <c r="BE273" s="232" t="str">
        <f t="shared" si="619"/>
        <v/>
      </c>
      <c r="BF273" s="232" t="str">
        <f t="shared" si="620"/>
        <v/>
      </c>
      <c r="BG273" s="232">
        <f t="shared" si="621"/>
        <v>10</v>
      </c>
      <c r="BH273" s="232" t="str">
        <f t="shared" ref="BH273:BH283" si="645">IF((MAX(BE273,BF273,BG273))=0,"",IF((MAX(BE273,BF273,BG273))=(MAX(BA273,BB273,BC273)),1,""))</f>
        <v/>
      </c>
      <c r="BI273" s="371"/>
      <c r="BJ273" s="497">
        <v>80</v>
      </c>
      <c r="BK273" s="498">
        <v>10</v>
      </c>
      <c r="BL273" s="485">
        <f t="shared" si="622"/>
        <v>10</v>
      </c>
      <c r="BM273" s="371"/>
      <c r="BN273" s="232" t="str">
        <f t="shared" si="623"/>
        <v/>
      </c>
      <c r="BO273" s="232" t="str">
        <f t="shared" si="624"/>
        <v/>
      </c>
      <c r="BP273" s="232">
        <f t="shared" si="625"/>
        <v>10</v>
      </c>
      <c r="BQ273" s="232" t="str">
        <f t="shared" ref="BQ273:BQ283" si="646">IF((MAX(BN273,BO273,BP273))=0,"",IF((MAX(BN273,BO273,BP273))=(MAX(BJ273,BK273,BL273)),1,""))</f>
        <v/>
      </c>
      <c r="BR273" s="371"/>
      <c r="BS273" s="497">
        <v>40</v>
      </c>
      <c r="BT273" s="498">
        <v>20</v>
      </c>
      <c r="BU273" s="485">
        <f t="shared" si="626"/>
        <v>40</v>
      </c>
      <c r="BV273" s="371"/>
      <c r="BW273" s="232" t="str">
        <f t="shared" si="627"/>
        <v/>
      </c>
      <c r="BX273" s="232" t="str">
        <f t="shared" si="628"/>
        <v/>
      </c>
      <c r="BY273" s="232">
        <f t="shared" si="629"/>
        <v>40</v>
      </c>
      <c r="BZ273" s="232">
        <f t="shared" ref="BZ273:BZ283" si="647">IF((MAX(BW273,BX273,BY273))=0,"",IF((MAX(BW273,BX273,BY273))=(MAX(BS273,BT273,BU273)),1,""))</f>
        <v>1</v>
      </c>
      <c r="CA273" s="371"/>
      <c r="CB273" s="504">
        <f t="shared" si="630"/>
        <v>60</v>
      </c>
      <c r="CC273" s="505">
        <f t="shared" si="631"/>
        <v>20</v>
      </c>
      <c r="CD273" s="506">
        <f t="shared" si="632"/>
        <v>20</v>
      </c>
      <c r="CE273" s="371"/>
      <c r="CF273" s="232" t="str">
        <f t="shared" si="633"/>
        <v/>
      </c>
      <c r="CG273" s="232" t="str">
        <f t="shared" si="634"/>
        <v/>
      </c>
      <c r="CH273" s="232">
        <f t="shared" si="635"/>
        <v>20</v>
      </c>
      <c r="CI273" s="232" t="str">
        <f t="shared" ref="CI273:CI283" si="648">IF((MAX(CF273,CG273,CH273))=0,"",IF((MAX(CF273,CG273,CH273))=(MAX(CB273,CC273,CD273)),1,""))</f>
        <v/>
      </c>
      <c r="CJ273" s="232"/>
      <c r="CK273" s="497">
        <v>30</v>
      </c>
      <c r="CL273" s="498">
        <v>60</v>
      </c>
      <c r="CM273" s="485">
        <f t="shared" si="636"/>
        <v>10</v>
      </c>
      <c r="CN273" s="371"/>
      <c r="CO273" s="232" t="str">
        <f t="shared" si="637"/>
        <v/>
      </c>
      <c r="CP273" s="232" t="str">
        <f t="shared" si="638"/>
        <v/>
      </c>
      <c r="CQ273" s="232">
        <f t="shared" si="639"/>
        <v>10</v>
      </c>
      <c r="CR273" s="232" t="str">
        <f t="shared" ref="CR273:CR283" si="649">IF((MAX(CO273,CP273,CQ273))=0,"",IF((MAX(CO273,CP273,CQ273))=(MAX(CK273,CL273,CM273)),1,""))</f>
        <v/>
      </c>
      <c r="CS273" s="232"/>
      <c r="CT273" s="371"/>
      <c r="CU273" s="296"/>
      <c r="CV273" s="246"/>
      <c r="CW273" s="264"/>
    </row>
    <row r="274" spans="1:101" ht="13.5" thickBot="1" x14ac:dyDescent="0.25">
      <c r="A274" s="264"/>
      <c r="B274" s="264"/>
      <c r="C274" s="202"/>
      <c r="D274" s="271">
        <v>3</v>
      </c>
      <c r="E274" s="168" t="s">
        <v>197</v>
      </c>
      <c r="F274" s="470">
        <v>3</v>
      </c>
      <c r="G274" s="476"/>
      <c r="H274" s="477">
        <v>1</v>
      </c>
      <c r="I274" s="392" t="str">
        <f t="shared" si="600"/>
        <v>x</v>
      </c>
      <c r="J274" s="393" t="str">
        <f t="shared" si="601"/>
        <v/>
      </c>
      <c r="K274" s="394" t="str">
        <f t="shared" si="602"/>
        <v/>
      </c>
      <c r="L274" s="299"/>
      <c r="M274" s="375"/>
      <c r="N274" s="379"/>
      <c r="O274" s="236"/>
      <c r="P274" s="236"/>
      <c r="Q274" s="486">
        <v>70</v>
      </c>
      <c r="R274" s="487">
        <v>20</v>
      </c>
      <c r="S274" s="488">
        <f t="shared" si="640"/>
        <v>10</v>
      </c>
      <c r="T274" s="371"/>
      <c r="U274" s="232">
        <f t="shared" si="603"/>
        <v>70</v>
      </c>
      <c r="V274" s="232" t="str">
        <f t="shared" si="604"/>
        <v/>
      </c>
      <c r="W274" s="232" t="str">
        <f t="shared" si="605"/>
        <v/>
      </c>
      <c r="X274" s="232">
        <f t="shared" si="641"/>
        <v>1</v>
      </c>
      <c r="Y274" s="371"/>
      <c r="Z274" s="499">
        <v>80</v>
      </c>
      <c r="AA274" s="500">
        <v>10</v>
      </c>
      <c r="AB274" s="488">
        <f t="shared" si="606"/>
        <v>10</v>
      </c>
      <c r="AC274" s="371"/>
      <c r="AD274" s="232">
        <f t="shared" si="607"/>
        <v>80</v>
      </c>
      <c r="AE274" s="232" t="str">
        <f t="shared" si="608"/>
        <v/>
      </c>
      <c r="AF274" s="232" t="str">
        <f t="shared" si="609"/>
        <v/>
      </c>
      <c r="AG274" s="232">
        <f t="shared" si="642"/>
        <v>1</v>
      </c>
      <c r="AH274" s="371"/>
      <c r="AI274" s="499">
        <v>80</v>
      </c>
      <c r="AJ274" s="500">
        <v>10</v>
      </c>
      <c r="AK274" s="488">
        <f t="shared" si="610"/>
        <v>10</v>
      </c>
      <c r="AL274" s="371"/>
      <c r="AM274" s="232">
        <f t="shared" si="611"/>
        <v>80</v>
      </c>
      <c r="AN274" s="232" t="str">
        <f t="shared" si="612"/>
        <v/>
      </c>
      <c r="AO274" s="232" t="str">
        <f t="shared" si="613"/>
        <v/>
      </c>
      <c r="AP274" s="232">
        <f t="shared" si="643"/>
        <v>1</v>
      </c>
      <c r="AQ274" s="371"/>
      <c r="AR274" s="499">
        <v>80</v>
      </c>
      <c r="AS274" s="500">
        <v>10</v>
      </c>
      <c r="AT274" s="488">
        <f t="shared" si="614"/>
        <v>10</v>
      </c>
      <c r="AU274" s="371"/>
      <c r="AV274" s="232">
        <f t="shared" si="615"/>
        <v>80</v>
      </c>
      <c r="AW274" s="232" t="str">
        <f t="shared" si="616"/>
        <v/>
      </c>
      <c r="AX274" s="232" t="str">
        <f t="shared" si="617"/>
        <v/>
      </c>
      <c r="AY274" s="232">
        <f t="shared" si="644"/>
        <v>1</v>
      </c>
      <c r="AZ274" s="371"/>
      <c r="BA274" s="499">
        <v>80</v>
      </c>
      <c r="BB274" s="500">
        <v>10</v>
      </c>
      <c r="BC274" s="488">
        <f t="shared" si="618"/>
        <v>10</v>
      </c>
      <c r="BD274" s="371"/>
      <c r="BE274" s="232">
        <f t="shared" si="619"/>
        <v>80</v>
      </c>
      <c r="BF274" s="232" t="str">
        <f t="shared" si="620"/>
        <v/>
      </c>
      <c r="BG274" s="232" t="str">
        <f t="shared" si="621"/>
        <v/>
      </c>
      <c r="BH274" s="232">
        <f t="shared" si="645"/>
        <v>1</v>
      </c>
      <c r="BI274" s="371"/>
      <c r="BJ274" s="499">
        <v>40</v>
      </c>
      <c r="BK274" s="500">
        <v>40</v>
      </c>
      <c r="BL274" s="488">
        <f t="shared" si="622"/>
        <v>20</v>
      </c>
      <c r="BM274" s="371"/>
      <c r="BN274" s="232">
        <f t="shared" si="623"/>
        <v>40</v>
      </c>
      <c r="BO274" s="232" t="str">
        <f t="shared" si="624"/>
        <v/>
      </c>
      <c r="BP274" s="232" t="str">
        <f t="shared" si="625"/>
        <v/>
      </c>
      <c r="BQ274" s="232">
        <f t="shared" si="646"/>
        <v>1</v>
      </c>
      <c r="BR274" s="371"/>
      <c r="BS274" s="499">
        <v>70</v>
      </c>
      <c r="BT274" s="500">
        <v>20</v>
      </c>
      <c r="BU274" s="488">
        <f t="shared" si="626"/>
        <v>10</v>
      </c>
      <c r="BV274" s="371"/>
      <c r="BW274" s="232">
        <f t="shared" si="627"/>
        <v>70</v>
      </c>
      <c r="BX274" s="232" t="str">
        <f t="shared" si="628"/>
        <v/>
      </c>
      <c r="BY274" s="232" t="str">
        <f t="shared" si="629"/>
        <v/>
      </c>
      <c r="BZ274" s="232">
        <f t="shared" si="647"/>
        <v>1</v>
      </c>
      <c r="CA274" s="371"/>
      <c r="CB274" s="507">
        <f t="shared" si="630"/>
        <v>80</v>
      </c>
      <c r="CC274" s="508">
        <f t="shared" si="631"/>
        <v>10</v>
      </c>
      <c r="CD274" s="509">
        <f t="shared" si="632"/>
        <v>10</v>
      </c>
      <c r="CE274" s="371"/>
      <c r="CF274" s="232">
        <f t="shared" si="633"/>
        <v>80</v>
      </c>
      <c r="CG274" s="232" t="str">
        <f t="shared" si="634"/>
        <v/>
      </c>
      <c r="CH274" s="232" t="str">
        <f t="shared" si="635"/>
        <v/>
      </c>
      <c r="CI274" s="232">
        <f t="shared" si="648"/>
        <v>1</v>
      </c>
      <c r="CJ274" s="232"/>
      <c r="CK274" s="499">
        <v>70</v>
      </c>
      <c r="CL274" s="500">
        <v>20</v>
      </c>
      <c r="CM274" s="488">
        <f t="shared" si="636"/>
        <v>10</v>
      </c>
      <c r="CN274" s="371"/>
      <c r="CO274" s="232">
        <f t="shared" si="637"/>
        <v>70</v>
      </c>
      <c r="CP274" s="232" t="str">
        <f t="shared" si="638"/>
        <v/>
      </c>
      <c r="CQ274" s="232" t="str">
        <f t="shared" si="639"/>
        <v/>
      </c>
      <c r="CR274" s="232">
        <f t="shared" si="649"/>
        <v>1</v>
      </c>
      <c r="CS274" s="232"/>
      <c r="CT274" s="371"/>
      <c r="CU274" s="296"/>
      <c r="CV274" s="246"/>
      <c r="CW274" s="264"/>
    </row>
    <row r="275" spans="1:101" x14ac:dyDescent="0.2">
      <c r="A275" s="264"/>
      <c r="B275" s="264"/>
      <c r="C275" s="202"/>
      <c r="D275" s="271">
        <v>4</v>
      </c>
      <c r="E275" s="166" t="s">
        <v>198</v>
      </c>
      <c r="F275" s="468">
        <v>3</v>
      </c>
      <c r="G275" s="472"/>
      <c r="H275" s="473">
        <v>2</v>
      </c>
      <c r="I275" s="170" t="str">
        <f t="shared" si="600"/>
        <v>x</v>
      </c>
      <c r="J275" s="387" t="str">
        <f t="shared" si="601"/>
        <v/>
      </c>
      <c r="K275" s="388" t="str">
        <f t="shared" si="602"/>
        <v/>
      </c>
      <c r="L275" s="299"/>
      <c r="M275" s="375"/>
      <c r="N275" s="379"/>
      <c r="O275" s="236"/>
      <c r="P275" s="236"/>
      <c r="Q275" s="480">
        <v>80</v>
      </c>
      <c r="R275" s="481">
        <v>10</v>
      </c>
      <c r="S275" s="482">
        <f t="shared" si="640"/>
        <v>10</v>
      </c>
      <c r="T275" s="371"/>
      <c r="U275" s="232">
        <f t="shared" si="603"/>
        <v>80</v>
      </c>
      <c r="V275" s="232" t="str">
        <f t="shared" si="604"/>
        <v/>
      </c>
      <c r="W275" s="232" t="str">
        <f t="shared" si="605"/>
        <v/>
      </c>
      <c r="X275" s="232">
        <f t="shared" si="641"/>
        <v>1</v>
      </c>
      <c r="Y275" s="371"/>
      <c r="Z275" s="495">
        <v>80</v>
      </c>
      <c r="AA275" s="496">
        <v>10</v>
      </c>
      <c r="AB275" s="482">
        <f t="shared" si="606"/>
        <v>10</v>
      </c>
      <c r="AC275" s="371"/>
      <c r="AD275" s="232">
        <f t="shared" si="607"/>
        <v>80</v>
      </c>
      <c r="AE275" s="232" t="str">
        <f t="shared" si="608"/>
        <v/>
      </c>
      <c r="AF275" s="232" t="str">
        <f t="shared" si="609"/>
        <v/>
      </c>
      <c r="AG275" s="232">
        <f t="shared" si="642"/>
        <v>1</v>
      </c>
      <c r="AH275" s="371"/>
      <c r="AI275" s="495">
        <v>80</v>
      </c>
      <c r="AJ275" s="496">
        <v>10</v>
      </c>
      <c r="AK275" s="482">
        <f t="shared" si="610"/>
        <v>10</v>
      </c>
      <c r="AL275" s="371"/>
      <c r="AM275" s="232">
        <f t="shared" si="611"/>
        <v>80</v>
      </c>
      <c r="AN275" s="232" t="str">
        <f t="shared" si="612"/>
        <v/>
      </c>
      <c r="AO275" s="232" t="str">
        <f t="shared" si="613"/>
        <v/>
      </c>
      <c r="AP275" s="232">
        <f t="shared" si="643"/>
        <v>1</v>
      </c>
      <c r="AQ275" s="371"/>
      <c r="AR275" s="495">
        <v>80</v>
      </c>
      <c r="AS275" s="496">
        <v>10</v>
      </c>
      <c r="AT275" s="482">
        <f t="shared" si="614"/>
        <v>10</v>
      </c>
      <c r="AU275" s="371"/>
      <c r="AV275" s="232">
        <f t="shared" si="615"/>
        <v>80</v>
      </c>
      <c r="AW275" s="232" t="str">
        <f t="shared" si="616"/>
        <v/>
      </c>
      <c r="AX275" s="232" t="str">
        <f t="shared" si="617"/>
        <v/>
      </c>
      <c r="AY275" s="232">
        <f t="shared" si="644"/>
        <v>1</v>
      </c>
      <c r="AZ275" s="371"/>
      <c r="BA275" s="495">
        <v>80</v>
      </c>
      <c r="BB275" s="496">
        <v>10</v>
      </c>
      <c r="BC275" s="482">
        <f t="shared" si="618"/>
        <v>10</v>
      </c>
      <c r="BD275" s="371"/>
      <c r="BE275" s="232">
        <f t="shared" si="619"/>
        <v>80</v>
      </c>
      <c r="BF275" s="232" t="str">
        <f t="shared" si="620"/>
        <v/>
      </c>
      <c r="BG275" s="232" t="str">
        <f t="shared" si="621"/>
        <v/>
      </c>
      <c r="BH275" s="232">
        <f t="shared" si="645"/>
        <v>1</v>
      </c>
      <c r="BI275" s="371"/>
      <c r="BJ275" s="495">
        <v>80</v>
      </c>
      <c r="BK275" s="496">
        <v>10</v>
      </c>
      <c r="BL275" s="482">
        <f t="shared" si="622"/>
        <v>10</v>
      </c>
      <c r="BM275" s="371"/>
      <c r="BN275" s="232">
        <f t="shared" si="623"/>
        <v>80</v>
      </c>
      <c r="BO275" s="232" t="str">
        <f t="shared" si="624"/>
        <v/>
      </c>
      <c r="BP275" s="232" t="str">
        <f t="shared" si="625"/>
        <v/>
      </c>
      <c r="BQ275" s="232">
        <f t="shared" si="646"/>
        <v>1</v>
      </c>
      <c r="BR275" s="371"/>
      <c r="BS275" s="495">
        <v>80</v>
      </c>
      <c r="BT275" s="496">
        <v>10</v>
      </c>
      <c r="BU275" s="482">
        <f t="shared" si="626"/>
        <v>10</v>
      </c>
      <c r="BV275" s="371"/>
      <c r="BW275" s="232">
        <f t="shared" si="627"/>
        <v>80</v>
      </c>
      <c r="BX275" s="232" t="str">
        <f t="shared" si="628"/>
        <v/>
      </c>
      <c r="BY275" s="232" t="str">
        <f t="shared" si="629"/>
        <v/>
      </c>
      <c r="BZ275" s="232">
        <f t="shared" si="647"/>
        <v>1</v>
      </c>
      <c r="CA275" s="371"/>
      <c r="CB275" s="501">
        <f t="shared" si="630"/>
        <v>80</v>
      </c>
      <c r="CC275" s="502">
        <f t="shared" si="631"/>
        <v>10</v>
      </c>
      <c r="CD275" s="503">
        <f t="shared" si="632"/>
        <v>10</v>
      </c>
      <c r="CE275" s="371"/>
      <c r="CF275" s="232">
        <f t="shared" si="633"/>
        <v>80</v>
      </c>
      <c r="CG275" s="232" t="str">
        <f t="shared" si="634"/>
        <v/>
      </c>
      <c r="CH275" s="232" t="str">
        <f t="shared" si="635"/>
        <v/>
      </c>
      <c r="CI275" s="232">
        <f t="shared" si="648"/>
        <v>1</v>
      </c>
      <c r="CJ275" s="232"/>
      <c r="CK275" s="495">
        <v>80</v>
      </c>
      <c r="CL275" s="496">
        <v>10</v>
      </c>
      <c r="CM275" s="482">
        <f t="shared" si="636"/>
        <v>10</v>
      </c>
      <c r="CN275" s="371"/>
      <c r="CO275" s="232">
        <f t="shared" si="637"/>
        <v>80</v>
      </c>
      <c r="CP275" s="232" t="str">
        <f t="shared" si="638"/>
        <v/>
      </c>
      <c r="CQ275" s="232" t="str">
        <f t="shared" si="639"/>
        <v/>
      </c>
      <c r="CR275" s="232">
        <f t="shared" si="649"/>
        <v>1</v>
      </c>
      <c r="CS275" s="232"/>
      <c r="CT275" s="371"/>
      <c r="CU275" s="296"/>
      <c r="CV275" s="246"/>
      <c r="CW275" s="264"/>
    </row>
    <row r="276" spans="1:101" x14ac:dyDescent="0.2">
      <c r="A276" s="264"/>
      <c r="B276" s="264"/>
      <c r="C276" s="202"/>
      <c r="D276" s="271">
        <v>5</v>
      </c>
      <c r="E276" s="167" t="s">
        <v>199</v>
      </c>
      <c r="F276" s="469">
        <v>3</v>
      </c>
      <c r="G276" s="474"/>
      <c r="H276" s="475">
        <v>2</v>
      </c>
      <c r="I276" s="389" t="str">
        <f t="shared" si="600"/>
        <v>x</v>
      </c>
      <c r="J276" s="390" t="str">
        <f t="shared" si="601"/>
        <v/>
      </c>
      <c r="K276" s="391" t="str">
        <f t="shared" si="602"/>
        <v/>
      </c>
      <c r="L276" s="299"/>
      <c r="M276" s="375"/>
      <c r="N276" s="379"/>
      <c r="O276" s="236"/>
      <c r="P276" s="236"/>
      <c r="Q276" s="483">
        <v>30</v>
      </c>
      <c r="R276" s="484">
        <v>30</v>
      </c>
      <c r="S276" s="485">
        <f t="shared" si="640"/>
        <v>40</v>
      </c>
      <c r="T276" s="371"/>
      <c r="U276" s="232">
        <f t="shared" si="603"/>
        <v>30</v>
      </c>
      <c r="V276" s="232" t="str">
        <f t="shared" si="604"/>
        <v/>
      </c>
      <c r="W276" s="232" t="str">
        <f t="shared" si="605"/>
        <v/>
      </c>
      <c r="X276" s="232" t="str">
        <f t="shared" si="641"/>
        <v/>
      </c>
      <c r="Y276" s="371"/>
      <c r="Z276" s="497">
        <v>10</v>
      </c>
      <c r="AA276" s="498">
        <v>10</v>
      </c>
      <c r="AB276" s="485">
        <f t="shared" si="606"/>
        <v>80</v>
      </c>
      <c r="AC276" s="371"/>
      <c r="AD276" s="232">
        <f t="shared" si="607"/>
        <v>10</v>
      </c>
      <c r="AE276" s="232" t="str">
        <f t="shared" si="608"/>
        <v/>
      </c>
      <c r="AF276" s="232" t="str">
        <f t="shared" si="609"/>
        <v/>
      </c>
      <c r="AG276" s="232" t="str">
        <f t="shared" si="642"/>
        <v/>
      </c>
      <c r="AH276" s="371"/>
      <c r="AI276" s="497">
        <v>60</v>
      </c>
      <c r="AJ276" s="498">
        <v>20</v>
      </c>
      <c r="AK276" s="485">
        <f t="shared" si="610"/>
        <v>20</v>
      </c>
      <c r="AL276" s="371"/>
      <c r="AM276" s="232">
        <f t="shared" si="611"/>
        <v>60</v>
      </c>
      <c r="AN276" s="232" t="str">
        <f t="shared" si="612"/>
        <v/>
      </c>
      <c r="AO276" s="232" t="str">
        <f t="shared" si="613"/>
        <v/>
      </c>
      <c r="AP276" s="232">
        <f t="shared" si="643"/>
        <v>1</v>
      </c>
      <c r="AQ276" s="371"/>
      <c r="AR276" s="497">
        <v>50</v>
      </c>
      <c r="AS276" s="498">
        <v>40</v>
      </c>
      <c r="AT276" s="485">
        <f t="shared" si="614"/>
        <v>10</v>
      </c>
      <c r="AU276" s="371"/>
      <c r="AV276" s="232">
        <f t="shared" si="615"/>
        <v>50</v>
      </c>
      <c r="AW276" s="232" t="str">
        <f t="shared" si="616"/>
        <v/>
      </c>
      <c r="AX276" s="232" t="str">
        <f t="shared" si="617"/>
        <v/>
      </c>
      <c r="AY276" s="232">
        <f t="shared" si="644"/>
        <v>1</v>
      </c>
      <c r="AZ276" s="371"/>
      <c r="BA276" s="497">
        <v>80</v>
      </c>
      <c r="BB276" s="498">
        <v>10</v>
      </c>
      <c r="BC276" s="485">
        <f t="shared" si="618"/>
        <v>10</v>
      </c>
      <c r="BD276" s="371"/>
      <c r="BE276" s="232">
        <f t="shared" si="619"/>
        <v>80</v>
      </c>
      <c r="BF276" s="232" t="str">
        <f t="shared" si="620"/>
        <v/>
      </c>
      <c r="BG276" s="232" t="str">
        <f t="shared" si="621"/>
        <v/>
      </c>
      <c r="BH276" s="232">
        <f t="shared" si="645"/>
        <v>1</v>
      </c>
      <c r="BI276" s="371"/>
      <c r="BJ276" s="497">
        <v>10</v>
      </c>
      <c r="BK276" s="498">
        <v>30</v>
      </c>
      <c r="BL276" s="485">
        <f t="shared" si="622"/>
        <v>60</v>
      </c>
      <c r="BM276" s="371"/>
      <c r="BN276" s="232">
        <f t="shared" si="623"/>
        <v>10</v>
      </c>
      <c r="BO276" s="232" t="str">
        <f t="shared" si="624"/>
        <v/>
      </c>
      <c r="BP276" s="232" t="str">
        <f t="shared" si="625"/>
        <v/>
      </c>
      <c r="BQ276" s="232" t="str">
        <f t="shared" si="646"/>
        <v/>
      </c>
      <c r="BR276" s="371"/>
      <c r="BS276" s="497">
        <v>30</v>
      </c>
      <c r="BT276" s="498">
        <v>40</v>
      </c>
      <c r="BU276" s="485">
        <f t="shared" si="626"/>
        <v>30</v>
      </c>
      <c r="BV276" s="371"/>
      <c r="BW276" s="232">
        <f t="shared" si="627"/>
        <v>30</v>
      </c>
      <c r="BX276" s="232" t="str">
        <f t="shared" si="628"/>
        <v/>
      </c>
      <c r="BY276" s="232" t="str">
        <f t="shared" si="629"/>
        <v/>
      </c>
      <c r="BZ276" s="232" t="str">
        <f t="shared" si="647"/>
        <v/>
      </c>
      <c r="CA276" s="371"/>
      <c r="CB276" s="504">
        <f t="shared" si="630"/>
        <v>40</v>
      </c>
      <c r="CC276" s="505">
        <f t="shared" si="631"/>
        <v>20</v>
      </c>
      <c r="CD276" s="506">
        <f t="shared" si="632"/>
        <v>40</v>
      </c>
      <c r="CE276" s="371"/>
      <c r="CF276" s="232">
        <f t="shared" si="633"/>
        <v>40</v>
      </c>
      <c r="CG276" s="232" t="str">
        <f t="shared" si="634"/>
        <v/>
      </c>
      <c r="CH276" s="232" t="str">
        <f t="shared" si="635"/>
        <v/>
      </c>
      <c r="CI276" s="232">
        <f t="shared" si="648"/>
        <v>1</v>
      </c>
      <c r="CJ276" s="232"/>
      <c r="CK276" s="497">
        <v>40</v>
      </c>
      <c r="CL276" s="498">
        <v>40</v>
      </c>
      <c r="CM276" s="485">
        <f t="shared" si="636"/>
        <v>20</v>
      </c>
      <c r="CN276" s="371"/>
      <c r="CO276" s="232">
        <f t="shared" si="637"/>
        <v>40</v>
      </c>
      <c r="CP276" s="232" t="str">
        <f t="shared" si="638"/>
        <v/>
      </c>
      <c r="CQ276" s="232" t="str">
        <f t="shared" si="639"/>
        <v/>
      </c>
      <c r="CR276" s="232">
        <f t="shared" si="649"/>
        <v>1</v>
      </c>
      <c r="CS276" s="232"/>
      <c r="CT276" s="371"/>
      <c r="CU276" s="296"/>
      <c r="CV276" s="246"/>
      <c r="CW276" s="264"/>
    </row>
    <row r="277" spans="1:101" ht="13.5" thickBot="1" x14ac:dyDescent="0.25">
      <c r="A277" s="264"/>
      <c r="B277" s="264"/>
      <c r="C277" s="202"/>
      <c r="D277" s="271">
        <v>6</v>
      </c>
      <c r="E277" s="168" t="s">
        <v>200</v>
      </c>
      <c r="F277" s="470">
        <v>3</v>
      </c>
      <c r="G277" s="476"/>
      <c r="H277" s="477">
        <v>1</v>
      </c>
      <c r="I277" s="392" t="str">
        <f t="shared" si="600"/>
        <v>x</v>
      </c>
      <c r="J277" s="393" t="str">
        <f t="shared" si="601"/>
        <v/>
      </c>
      <c r="K277" s="394" t="str">
        <f t="shared" si="602"/>
        <v/>
      </c>
      <c r="L277" s="299"/>
      <c r="M277" s="375"/>
      <c r="N277" s="379"/>
      <c r="O277" s="236"/>
      <c r="P277" s="236"/>
      <c r="Q277" s="489">
        <v>50</v>
      </c>
      <c r="R277" s="490">
        <v>30</v>
      </c>
      <c r="S277" s="491">
        <f t="shared" si="640"/>
        <v>20</v>
      </c>
      <c r="T277" s="371"/>
      <c r="U277" s="232">
        <f t="shared" si="603"/>
        <v>50</v>
      </c>
      <c r="V277" s="232" t="str">
        <f t="shared" si="604"/>
        <v/>
      </c>
      <c r="W277" s="232" t="str">
        <f t="shared" si="605"/>
        <v/>
      </c>
      <c r="X277" s="232">
        <f t="shared" si="641"/>
        <v>1</v>
      </c>
      <c r="Y277" s="371"/>
      <c r="Z277" s="499">
        <v>80</v>
      </c>
      <c r="AA277" s="500">
        <v>10</v>
      </c>
      <c r="AB277" s="491">
        <f t="shared" si="606"/>
        <v>10</v>
      </c>
      <c r="AC277" s="371"/>
      <c r="AD277" s="232">
        <f t="shared" si="607"/>
        <v>80</v>
      </c>
      <c r="AE277" s="232" t="str">
        <f t="shared" si="608"/>
        <v/>
      </c>
      <c r="AF277" s="232" t="str">
        <f t="shared" si="609"/>
        <v/>
      </c>
      <c r="AG277" s="232">
        <f t="shared" si="642"/>
        <v>1</v>
      </c>
      <c r="AH277" s="371"/>
      <c r="AI277" s="499">
        <v>70</v>
      </c>
      <c r="AJ277" s="500">
        <v>20</v>
      </c>
      <c r="AK277" s="491">
        <f t="shared" si="610"/>
        <v>10</v>
      </c>
      <c r="AL277" s="371"/>
      <c r="AM277" s="232">
        <f t="shared" si="611"/>
        <v>70</v>
      </c>
      <c r="AN277" s="232" t="str">
        <f t="shared" si="612"/>
        <v/>
      </c>
      <c r="AO277" s="232" t="str">
        <f t="shared" si="613"/>
        <v/>
      </c>
      <c r="AP277" s="232">
        <f t="shared" si="643"/>
        <v>1</v>
      </c>
      <c r="AQ277" s="371"/>
      <c r="AR277" s="499">
        <v>80</v>
      </c>
      <c r="AS277" s="500">
        <v>10</v>
      </c>
      <c r="AT277" s="491">
        <f t="shared" si="614"/>
        <v>10</v>
      </c>
      <c r="AU277" s="371"/>
      <c r="AV277" s="232">
        <f t="shared" si="615"/>
        <v>80</v>
      </c>
      <c r="AW277" s="232" t="str">
        <f t="shared" si="616"/>
        <v/>
      </c>
      <c r="AX277" s="232" t="str">
        <f t="shared" si="617"/>
        <v/>
      </c>
      <c r="AY277" s="232">
        <f t="shared" si="644"/>
        <v>1</v>
      </c>
      <c r="AZ277" s="371"/>
      <c r="BA277" s="499">
        <v>80</v>
      </c>
      <c r="BB277" s="500">
        <v>10</v>
      </c>
      <c r="BC277" s="491">
        <f t="shared" si="618"/>
        <v>10</v>
      </c>
      <c r="BD277" s="371"/>
      <c r="BE277" s="232">
        <f t="shared" si="619"/>
        <v>80</v>
      </c>
      <c r="BF277" s="232" t="str">
        <f t="shared" si="620"/>
        <v/>
      </c>
      <c r="BG277" s="232" t="str">
        <f t="shared" si="621"/>
        <v/>
      </c>
      <c r="BH277" s="232">
        <f t="shared" si="645"/>
        <v>1</v>
      </c>
      <c r="BI277" s="371"/>
      <c r="BJ277" s="499">
        <v>80</v>
      </c>
      <c r="BK277" s="500">
        <v>10</v>
      </c>
      <c r="BL277" s="491">
        <f t="shared" si="622"/>
        <v>10</v>
      </c>
      <c r="BM277" s="371"/>
      <c r="BN277" s="232">
        <f t="shared" si="623"/>
        <v>80</v>
      </c>
      <c r="BO277" s="232" t="str">
        <f t="shared" si="624"/>
        <v/>
      </c>
      <c r="BP277" s="232" t="str">
        <f t="shared" si="625"/>
        <v/>
      </c>
      <c r="BQ277" s="232">
        <f t="shared" si="646"/>
        <v>1</v>
      </c>
      <c r="BR277" s="371"/>
      <c r="BS277" s="499">
        <v>50</v>
      </c>
      <c r="BT277" s="500">
        <v>10</v>
      </c>
      <c r="BU277" s="491">
        <f t="shared" si="626"/>
        <v>40</v>
      </c>
      <c r="BV277" s="371"/>
      <c r="BW277" s="232">
        <f t="shared" si="627"/>
        <v>50</v>
      </c>
      <c r="BX277" s="232" t="str">
        <f t="shared" si="628"/>
        <v/>
      </c>
      <c r="BY277" s="232" t="str">
        <f t="shared" si="629"/>
        <v/>
      </c>
      <c r="BZ277" s="232">
        <f t="shared" si="647"/>
        <v>1</v>
      </c>
      <c r="CA277" s="371"/>
      <c r="CB277" s="507">
        <f t="shared" si="630"/>
        <v>70</v>
      </c>
      <c r="CC277" s="508">
        <f t="shared" si="631"/>
        <v>10</v>
      </c>
      <c r="CD277" s="509">
        <f t="shared" si="632"/>
        <v>20</v>
      </c>
      <c r="CE277" s="371"/>
      <c r="CF277" s="232">
        <f t="shared" si="633"/>
        <v>70</v>
      </c>
      <c r="CG277" s="232" t="str">
        <f t="shared" si="634"/>
        <v/>
      </c>
      <c r="CH277" s="232" t="str">
        <f t="shared" si="635"/>
        <v/>
      </c>
      <c r="CI277" s="232">
        <f t="shared" si="648"/>
        <v>1</v>
      </c>
      <c r="CJ277" s="232"/>
      <c r="CK277" s="499">
        <v>80</v>
      </c>
      <c r="CL277" s="500">
        <v>10</v>
      </c>
      <c r="CM277" s="491">
        <f t="shared" si="636"/>
        <v>10</v>
      </c>
      <c r="CN277" s="371"/>
      <c r="CO277" s="232">
        <f t="shared" si="637"/>
        <v>80</v>
      </c>
      <c r="CP277" s="232" t="str">
        <f t="shared" si="638"/>
        <v/>
      </c>
      <c r="CQ277" s="232" t="str">
        <f t="shared" si="639"/>
        <v/>
      </c>
      <c r="CR277" s="232">
        <f t="shared" si="649"/>
        <v>1</v>
      </c>
      <c r="CS277" s="232"/>
      <c r="CT277" s="371"/>
      <c r="CU277" s="296"/>
      <c r="CV277" s="246"/>
      <c r="CW277" s="264"/>
    </row>
    <row r="278" spans="1:101" x14ac:dyDescent="0.2">
      <c r="A278" s="264"/>
      <c r="B278" s="264"/>
      <c r="C278" s="202"/>
      <c r="D278" s="271">
        <v>7</v>
      </c>
      <c r="E278" s="166" t="s">
        <v>201</v>
      </c>
      <c r="F278" s="468">
        <v>2</v>
      </c>
      <c r="G278" s="472"/>
      <c r="H278" s="473">
        <v>1</v>
      </c>
      <c r="I278" s="170" t="str">
        <f t="shared" si="600"/>
        <v>x</v>
      </c>
      <c r="J278" s="387" t="str">
        <f t="shared" si="601"/>
        <v/>
      </c>
      <c r="K278" s="388" t="str">
        <f t="shared" si="602"/>
        <v/>
      </c>
      <c r="L278" s="299"/>
      <c r="M278" s="375"/>
      <c r="N278" s="379"/>
      <c r="O278" s="236"/>
      <c r="P278" s="236"/>
      <c r="Q278" s="480">
        <v>50</v>
      </c>
      <c r="R278" s="481">
        <v>30</v>
      </c>
      <c r="S278" s="482">
        <f t="shared" si="640"/>
        <v>20</v>
      </c>
      <c r="T278" s="371"/>
      <c r="U278" s="232">
        <f t="shared" si="603"/>
        <v>50</v>
      </c>
      <c r="V278" s="232" t="str">
        <f t="shared" si="604"/>
        <v/>
      </c>
      <c r="W278" s="232" t="str">
        <f t="shared" si="605"/>
        <v/>
      </c>
      <c r="X278" s="232">
        <f t="shared" si="641"/>
        <v>1</v>
      </c>
      <c r="Y278" s="371"/>
      <c r="Z278" s="495">
        <v>80</v>
      </c>
      <c r="AA278" s="496">
        <v>10</v>
      </c>
      <c r="AB278" s="482">
        <f t="shared" si="606"/>
        <v>10</v>
      </c>
      <c r="AC278" s="371"/>
      <c r="AD278" s="232">
        <f t="shared" si="607"/>
        <v>80</v>
      </c>
      <c r="AE278" s="232" t="str">
        <f t="shared" si="608"/>
        <v/>
      </c>
      <c r="AF278" s="232" t="str">
        <f t="shared" si="609"/>
        <v/>
      </c>
      <c r="AG278" s="232">
        <f t="shared" si="642"/>
        <v>1</v>
      </c>
      <c r="AH278" s="371"/>
      <c r="AI278" s="495">
        <v>70</v>
      </c>
      <c r="AJ278" s="496">
        <v>20</v>
      </c>
      <c r="AK278" s="482">
        <f t="shared" si="610"/>
        <v>10</v>
      </c>
      <c r="AL278" s="371"/>
      <c r="AM278" s="232">
        <f t="shared" si="611"/>
        <v>70</v>
      </c>
      <c r="AN278" s="232" t="str">
        <f t="shared" si="612"/>
        <v/>
      </c>
      <c r="AO278" s="232" t="str">
        <f t="shared" si="613"/>
        <v/>
      </c>
      <c r="AP278" s="232">
        <f t="shared" si="643"/>
        <v>1</v>
      </c>
      <c r="AQ278" s="371"/>
      <c r="AR278" s="495">
        <v>30</v>
      </c>
      <c r="AS278" s="496">
        <v>40</v>
      </c>
      <c r="AT278" s="482">
        <f t="shared" si="614"/>
        <v>30</v>
      </c>
      <c r="AU278" s="371"/>
      <c r="AV278" s="232">
        <f t="shared" si="615"/>
        <v>30</v>
      </c>
      <c r="AW278" s="232" t="str">
        <f t="shared" si="616"/>
        <v/>
      </c>
      <c r="AX278" s="232" t="str">
        <f t="shared" si="617"/>
        <v/>
      </c>
      <c r="AY278" s="232" t="str">
        <f t="shared" si="644"/>
        <v/>
      </c>
      <c r="AZ278" s="371"/>
      <c r="BA278" s="495">
        <v>80</v>
      </c>
      <c r="BB278" s="496">
        <v>10</v>
      </c>
      <c r="BC278" s="482">
        <f t="shared" si="618"/>
        <v>10</v>
      </c>
      <c r="BD278" s="371"/>
      <c r="BE278" s="232">
        <f t="shared" si="619"/>
        <v>80</v>
      </c>
      <c r="BF278" s="232" t="str">
        <f t="shared" si="620"/>
        <v/>
      </c>
      <c r="BG278" s="232" t="str">
        <f t="shared" si="621"/>
        <v/>
      </c>
      <c r="BH278" s="232">
        <f t="shared" si="645"/>
        <v>1</v>
      </c>
      <c r="BI278" s="371"/>
      <c r="BJ278" s="495">
        <v>10</v>
      </c>
      <c r="BK278" s="496">
        <v>10</v>
      </c>
      <c r="BL278" s="482">
        <f t="shared" si="622"/>
        <v>80</v>
      </c>
      <c r="BM278" s="371"/>
      <c r="BN278" s="232">
        <f t="shared" si="623"/>
        <v>10</v>
      </c>
      <c r="BO278" s="232" t="str">
        <f t="shared" si="624"/>
        <v/>
      </c>
      <c r="BP278" s="232" t="str">
        <f t="shared" si="625"/>
        <v/>
      </c>
      <c r="BQ278" s="232" t="str">
        <f t="shared" si="646"/>
        <v/>
      </c>
      <c r="BR278" s="371"/>
      <c r="BS278" s="495">
        <v>30</v>
      </c>
      <c r="BT278" s="496">
        <v>50</v>
      </c>
      <c r="BU278" s="482">
        <f t="shared" si="626"/>
        <v>20</v>
      </c>
      <c r="BV278" s="371"/>
      <c r="BW278" s="232">
        <f t="shared" si="627"/>
        <v>30</v>
      </c>
      <c r="BX278" s="232" t="str">
        <f t="shared" si="628"/>
        <v/>
      </c>
      <c r="BY278" s="232" t="str">
        <f t="shared" si="629"/>
        <v/>
      </c>
      <c r="BZ278" s="232" t="str">
        <f t="shared" si="647"/>
        <v/>
      </c>
      <c r="CA278" s="371"/>
      <c r="CB278" s="501">
        <f t="shared" si="630"/>
        <v>50</v>
      </c>
      <c r="CC278" s="502">
        <f t="shared" si="631"/>
        <v>20</v>
      </c>
      <c r="CD278" s="503">
        <f t="shared" si="632"/>
        <v>30</v>
      </c>
      <c r="CE278" s="371"/>
      <c r="CF278" s="232">
        <f t="shared" si="633"/>
        <v>50</v>
      </c>
      <c r="CG278" s="232" t="str">
        <f t="shared" si="634"/>
        <v/>
      </c>
      <c r="CH278" s="232" t="str">
        <f t="shared" si="635"/>
        <v/>
      </c>
      <c r="CI278" s="232">
        <f t="shared" si="648"/>
        <v>1</v>
      </c>
      <c r="CJ278" s="232"/>
      <c r="CK278" s="495">
        <v>80</v>
      </c>
      <c r="CL278" s="496">
        <v>10</v>
      </c>
      <c r="CM278" s="482">
        <f t="shared" si="636"/>
        <v>10</v>
      </c>
      <c r="CN278" s="371"/>
      <c r="CO278" s="232">
        <f t="shared" si="637"/>
        <v>80</v>
      </c>
      <c r="CP278" s="232" t="str">
        <f t="shared" si="638"/>
        <v/>
      </c>
      <c r="CQ278" s="232" t="str">
        <f t="shared" si="639"/>
        <v/>
      </c>
      <c r="CR278" s="232">
        <f t="shared" si="649"/>
        <v>1</v>
      </c>
      <c r="CS278" s="232"/>
      <c r="CT278" s="371"/>
      <c r="CU278" s="300"/>
      <c r="CV278" s="246"/>
      <c r="CW278" s="264"/>
    </row>
    <row r="279" spans="1:101" x14ac:dyDescent="0.2">
      <c r="A279" s="264"/>
      <c r="B279" s="264"/>
      <c r="C279" s="202"/>
      <c r="D279" s="271">
        <v>8</v>
      </c>
      <c r="E279" s="167" t="s">
        <v>202</v>
      </c>
      <c r="F279" s="469">
        <v>3</v>
      </c>
      <c r="G279" s="474"/>
      <c r="H279" s="475">
        <v>2</v>
      </c>
      <c r="I279" s="389" t="str">
        <f t="shared" si="600"/>
        <v>x</v>
      </c>
      <c r="J279" s="390" t="str">
        <f t="shared" si="601"/>
        <v/>
      </c>
      <c r="K279" s="391" t="str">
        <f t="shared" si="602"/>
        <v/>
      </c>
      <c r="L279" s="299"/>
      <c r="M279" s="375"/>
      <c r="N279" s="379"/>
      <c r="O279" s="236"/>
      <c r="P279" s="236"/>
      <c r="Q279" s="483">
        <v>50</v>
      </c>
      <c r="R279" s="484">
        <v>30</v>
      </c>
      <c r="S279" s="485">
        <f t="shared" si="640"/>
        <v>20</v>
      </c>
      <c r="T279" s="371"/>
      <c r="U279" s="232">
        <f t="shared" si="603"/>
        <v>50</v>
      </c>
      <c r="V279" s="232" t="str">
        <f t="shared" si="604"/>
        <v/>
      </c>
      <c r="W279" s="232" t="str">
        <f t="shared" si="605"/>
        <v/>
      </c>
      <c r="X279" s="232">
        <f t="shared" si="641"/>
        <v>1</v>
      </c>
      <c r="Y279" s="371"/>
      <c r="Z279" s="497">
        <v>80</v>
      </c>
      <c r="AA279" s="498">
        <v>10</v>
      </c>
      <c r="AB279" s="485">
        <f t="shared" si="606"/>
        <v>10</v>
      </c>
      <c r="AC279" s="371"/>
      <c r="AD279" s="232">
        <f t="shared" si="607"/>
        <v>80</v>
      </c>
      <c r="AE279" s="232" t="str">
        <f t="shared" si="608"/>
        <v/>
      </c>
      <c r="AF279" s="232" t="str">
        <f t="shared" si="609"/>
        <v/>
      </c>
      <c r="AG279" s="232">
        <f t="shared" si="642"/>
        <v>1</v>
      </c>
      <c r="AH279" s="371"/>
      <c r="AI279" s="497">
        <v>60</v>
      </c>
      <c r="AJ279" s="498">
        <v>20</v>
      </c>
      <c r="AK279" s="485">
        <f t="shared" si="610"/>
        <v>20</v>
      </c>
      <c r="AL279" s="371"/>
      <c r="AM279" s="232">
        <f t="shared" si="611"/>
        <v>60</v>
      </c>
      <c r="AN279" s="232" t="str">
        <f t="shared" si="612"/>
        <v/>
      </c>
      <c r="AO279" s="232" t="str">
        <f t="shared" si="613"/>
        <v/>
      </c>
      <c r="AP279" s="232">
        <f t="shared" si="643"/>
        <v>1</v>
      </c>
      <c r="AQ279" s="371"/>
      <c r="AR279" s="497">
        <v>60</v>
      </c>
      <c r="AS279" s="498">
        <v>30</v>
      </c>
      <c r="AT279" s="485">
        <f t="shared" si="614"/>
        <v>10</v>
      </c>
      <c r="AU279" s="371"/>
      <c r="AV279" s="232">
        <f t="shared" si="615"/>
        <v>60</v>
      </c>
      <c r="AW279" s="232" t="str">
        <f t="shared" si="616"/>
        <v/>
      </c>
      <c r="AX279" s="232" t="str">
        <f t="shared" si="617"/>
        <v/>
      </c>
      <c r="AY279" s="232">
        <f t="shared" si="644"/>
        <v>1</v>
      </c>
      <c r="AZ279" s="371"/>
      <c r="BA279" s="497">
        <v>80</v>
      </c>
      <c r="BB279" s="498">
        <v>10</v>
      </c>
      <c r="BC279" s="485">
        <f t="shared" si="618"/>
        <v>10</v>
      </c>
      <c r="BD279" s="371"/>
      <c r="BE279" s="232">
        <f t="shared" si="619"/>
        <v>80</v>
      </c>
      <c r="BF279" s="232" t="str">
        <f t="shared" si="620"/>
        <v/>
      </c>
      <c r="BG279" s="232" t="str">
        <f t="shared" si="621"/>
        <v/>
      </c>
      <c r="BH279" s="232">
        <f t="shared" si="645"/>
        <v>1</v>
      </c>
      <c r="BI279" s="371"/>
      <c r="BJ279" s="497">
        <v>30</v>
      </c>
      <c r="BK279" s="498">
        <v>40</v>
      </c>
      <c r="BL279" s="485">
        <f t="shared" si="622"/>
        <v>30</v>
      </c>
      <c r="BM279" s="371"/>
      <c r="BN279" s="232">
        <f t="shared" si="623"/>
        <v>30</v>
      </c>
      <c r="BO279" s="232" t="str">
        <f t="shared" si="624"/>
        <v/>
      </c>
      <c r="BP279" s="232" t="str">
        <f t="shared" si="625"/>
        <v/>
      </c>
      <c r="BQ279" s="232" t="str">
        <f t="shared" si="646"/>
        <v/>
      </c>
      <c r="BR279" s="371"/>
      <c r="BS279" s="497">
        <v>50</v>
      </c>
      <c r="BT279" s="498">
        <v>20</v>
      </c>
      <c r="BU279" s="485">
        <f t="shared" si="626"/>
        <v>30</v>
      </c>
      <c r="BV279" s="371"/>
      <c r="BW279" s="232">
        <f t="shared" si="627"/>
        <v>50</v>
      </c>
      <c r="BX279" s="232" t="str">
        <f t="shared" si="628"/>
        <v/>
      </c>
      <c r="BY279" s="232" t="str">
        <f t="shared" si="629"/>
        <v/>
      </c>
      <c r="BZ279" s="232">
        <f t="shared" si="647"/>
        <v>1</v>
      </c>
      <c r="CA279" s="371"/>
      <c r="CB279" s="504">
        <f t="shared" si="630"/>
        <v>60</v>
      </c>
      <c r="CC279" s="505">
        <f t="shared" si="631"/>
        <v>20</v>
      </c>
      <c r="CD279" s="506">
        <f t="shared" si="632"/>
        <v>20</v>
      </c>
      <c r="CE279" s="371"/>
      <c r="CF279" s="232">
        <f t="shared" si="633"/>
        <v>60</v>
      </c>
      <c r="CG279" s="232" t="str">
        <f t="shared" si="634"/>
        <v/>
      </c>
      <c r="CH279" s="232" t="str">
        <f t="shared" si="635"/>
        <v/>
      </c>
      <c r="CI279" s="232">
        <f t="shared" si="648"/>
        <v>1</v>
      </c>
      <c r="CJ279" s="232"/>
      <c r="CK279" s="497">
        <v>80</v>
      </c>
      <c r="CL279" s="498">
        <v>10</v>
      </c>
      <c r="CM279" s="485">
        <f t="shared" si="636"/>
        <v>10</v>
      </c>
      <c r="CN279" s="371"/>
      <c r="CO279" s="232">
        <f t="shared" si="637"/>
        <v>80</v>
      </c>
      <c r="CP279" s="232" t="str">
        <f t="shared" si="638"/>
        <v/>
      </c>
      <c r="CQ279" s="232" t="str">
        <f t="shared" si="639"/>
        <v/>
      </c>
      <c r="CR279" s="232">
        <f t="shared" si="649"/>
        <v>1</v>
      </c>
      <c r="CS279" s="232"/>
      <c r="CT279" s="371"/>
      <c r="CU279" s="300"/>
      <c r="CV279" s="246"/>
      <c r="CW279" s="264"/>
    </row>
    <row r="280" spans="1:101" ht="13.5" thickBot="1" x14ac:dyDescent="0.25">
      <c r="A280" s="264"/>
      <c r="B280" s="264"/>
      <c r="C280" s="202"/>
      <c r="D280" s="271">
        <v>9</v>
      </c>
      <c r="E280" s="168" t="s">
        <v>203</v>
      </c>
      <c r="F280" s="470">
        <v>3</v>
      </c>
      <c r="G280" s="476"/>
      <c r="H280" s="477">
        <v>1</v>
      </c>
      <c r="I280" s="392" t="str">
        <f t="shared" si="600"/>
        <v>x</v>
      </c>
      <c r="J280" s="393" t="str">
        <f t="shared" si="601"/>
        <v/>
      </c>
      <c r="K280" s="394" t="str">
        <f t="shared" si="602"/>
        <v/>
      </c>
      <c r="L280" s="299"/>
      <c r="M280" s="375"/>
      <c r="N280" s="379"/>
      <c r="O280" s="236"/>
      <c r="P280" s="236"/>
      <c r="Q280" s="489">
        <v>40</v>
      </c>
      <c r="R280" s="490">
        <v>30</v>
      </c>
      <c r="S280" s="491">
        <f t="shared" si="640"/>
        <v>30</v>
      </c>
      <c r="T280" s="371"/>
      <c r="U280" s="232">
        <f t="shared" si="603"/>
        <v>40</v>
      </c>
      <c r="V280" s="232" t="str">
        <f t="shared" si="604"/>
        <v/>
      </c>
      <c r="W280" s="232" t="str">
        <f t="shared" si="605"/>
        <v/>
      </c>
      <c r="X280" s="232">
        <f t="shared" si="641"/>
        <v>1</v>
      </c>
      <c r="Y280" s="371"/>
      <c r="Z280" s="499">
        <v>80</v>
      </c>
      <c r="AA280" s="500">
        <v>10</v>
      </c>
      <c r="AB280" s="491">
        <f t="shared" si="606"/>
        <v>10</v>
      </c>
      <c r="AC280" s="371"/>
      <c r="AD280" s="232">
        <f t="shared" si="607"/>
        <v>80</v>
      </c>
      <c r="AE280" s="232" t="str">
        <f t="shared" si="608"/>
        <v/>
      </c>
      <c r="AF280" s="232" t="str">
        <f t="shared" si="609"/>
        <v/>
      </c>
      <c r="AG280" s="232">
        <f t="shared" si="642"/>
        <v>1</v>
      </c>
      <c r="AH280" s="371"/>
      <c r="AI280" s="499">
        <v>10</v>
      </c>
      <c r="AJ280" s="500">
        <v>10</v>
      </c>
      <c r="AK280" s="491">
        <f t="shared" si="610"/>
        <v>80</v>
      </c>
      <c r="AL280" s="371"/>
      <c r="AM280" s="232">
        <f t="shared" si="611"/>
        <v>10</v>
      </c>
      <c r="AN280" s="232" t="str">
        <f t="shared" si="612"/>
        <v/>
      </c>
      <c r="AO280" s="232" t="str">
        <f t="shared" si="613"/>
        <v/>
      </c>
      <c r="AP280" s="232" t="str">
        <f t="shared" si="643"/>
        <v/>
      </c>
      <c r="AQ280" s="371"/>
      <c r="AR280" s="499">
        <v>10</v>
      </c>
      <c r="AS280" s="500">
        <v>30</v>
      </c>
      <c r="AT280" s="491">
        <f t="shared" si="614"/>
        <v>60</v>
      </c>
      <c r="AU280" s="371"/>
      <c r="AV280" s="232">
        <f t="shared" si="615"/>
        <v>10</v>
      </c>
      <c r="AW280" s="232" t="str">
        <f t="shared" si="616"/>
        <v/>
      </c>
      <c r="AX280" s="232" t="str">
        <f t="shared" si="617"/>
        <v/>
      </c>
      <c r="AY280" s="232" t="str">
        <f t="shared" si="644"/>
        <v/>
      </c>
      <c r="AZ280" s="371"/>
      <c r="BA280" s="499">
        <v>10</v>
      </c>
      <c r="BB280" s="500">
        <v>10</v>
      </c>
      <c r="BC280" s="491">
        <f t="shared" si="618"/>
        <v>80</v>
      </c>
      <c r="BD280" s="371"/>
      <c r="BE280" s="232">
        <f t="shared" si="619"/>
        <v>10</v>
      </c>
      <c r="BF280" s="232" t="str">
        <f t="shared" si="620"/>
        <v/>
      </c>
      <c r="BG280" s="232" t="str">
        <f t="shared" si="621"/>
        <v/>
      </c>
      <c r="BH280" s="232" t="str">
        <f t="shared" si="645"/>
        <v/>
      </c>
      <c r="BI280" s="371"/>
      <c r="BJ280" s="499">
        <v>10</v>
      </c>
      <c r="BK280" s="500">
        <v>10</v>
      </c>
      <c r="BL280" s="491">
        <f t="shared" si="622"/>
        <v>80</v>
      </c>
      <c r="BM280" s="371"/>
      <c r="BN280" s="232">
        <f t="shared" si="623"/>
        <v>10</v>
      </c>
      <c r="BO280" s="232" t="str">
        <f t="shared" si="624"/>
        <v/>
      </c>
      <c r="BP280" s="232" t="str">
        <f t="shared" si="625"/>
        <v/>
      </c>
      <c r="BQ280" s="232" t="str">
        <f t="shared" si="646"/>
        <v/>
      </c>
      <c r="BR280" s="371"/>
      <c r="BS280" s="499">
        <v>40</v>
      </c>
      <c r="BT280" s="500">
        <v>20</v>
      </c>
      <c r="BU280" s="491">
        <f t="shared" si="626"/>
        <v>40</v>
      </c>
      <c r="BV280" s="371"/>
      <c r="BW280" s="232">
        <f t="shared" si="627"/>
        <v>40</v>
      </c>
      <c r="BX280" s="232" t="str">
        <f t="shared" si="628"/>
        <v/>
      </c>
      <c r="BY280" s="232" t="str">
        <f t="shared" si="629"/>
        <v/>
      </c>
      <c r="BZ280" s="232">
        <f t="shared" si="647"/>
        <v>1</v>
      </c>
      <c r="CA280" s="371"/>
      <c r="CB280" s="507">
        <f t="shared" si="630"/>
        <v>30</v>
      </c>
      <c r="CC280" s="508">
        <f t="shared" si="631"/>
        <v>10</v>
      </c>
      <c r="CD280" s="509">
        <f t="shared" si="632"/>
        <v>60</v>
      </c>
      <c r="CE280" s="371"/>
      <c r="CF280" s="232">
        <f t="shared" si="633"/>
        <v>30</v>
      </c>
      <c r="CG280" s="232" t="str">
        <f t="shared" si="634"/>
        <v/>
      </c>
      <c r="CH280" s="232" t="str">
        <f t="shared" si="635"/>
        <v/>
      </c>
      <c r="CI280" s="232" t="str">
        <f t="shared" si="648"/>
        <v/>
      </c>
      <c r="CJ280" s="232"/>
      <c r="CK280" s="499">
        <v>10</v>
      </c>
      <c r="CL280" s="500">
        <v>80</v>
      </c>
      <c r="CM280" s="491">
        <f t="shared" si="636"/>
        <v>10</v>
      </c>
      <c r="CN280" s="371"/>
      <c r="CO280" s="232">
        <f t="shared" si="637"/>
        <v>10</v>
      </c>
      <c r="CP280" s="232" t="str">
        <f t="shared" si="638"/>
        <v/>
      </c>
      <c r="CQ280" s="232" t="str">
        <f t="shared" si="639"/>
        <v/>
      </c>
      <c r="CR280" s="232" t="str">
        <f t="shared" si="649"/>
        <v/>
      </c>
      <c r="CS280" s="232"/>
      <c r="CT280" s="371"/>
      <c r="CU280" s="300"/>
      <c r="CV280" s="246"/>
      <c r="CW280" s="264"/>
    </row>
    <row r="281" spans="1:101" x14ac:dyDescent="0.2">
      <c r="A281" s="264"/>
      <c r="B281" s="264"/>
      <c r="C281" s="202"/>
      <c r="D281" s="271">
        <v>10</v>
      </c>
      <c r="E281" s="169" t="s">
        <v>204</v>
      </c>
      <c r="F281" s="471">
        <v>2</v>
      </c>
      <c r="G281" s="478"/>
      <c r="H281" s="479">
        <v>3</v>
      </c>
      <c r="I281" s="170" t="str">
        <f t="shared" si="600"/>
        <v/>
      </c>
      <c r="J281" s="387" t="str">
        <f t="shared" si="601"/>
        <v/>
      </c>
      <c r="K281" s="388" t="str">
        <f t="shared" si="602"/>
        <v>x</v>
      </c>
      <c r="L281" s="299"/>
      <c r="M281" s="375"/>
      <c r="N281" s="379"/>
      <c r="O281" s="236"/>
      <c r="P281" s="236"/>
      <c r="Q281" s="492">
        <v>20</v>
      </c>
      <c r="R281" s="493">
        <v>30</v>
      </c>
      <c r="S281" s="494">
        <f t="shared" si="640"/>
        <v>50</v>
      </c>
      <c r="T281" s="371"/>
      <c r="U281" s="232" t="str">
        <f t="shared" si="603"/>
        <v/>
      </c>
      <c r="V281" s="232" t="str">
        <f t="shared" si="604"/>
        <v/>
      </c>
      <c r="W281" s="232">
        <f t="shared" si="605"/>
        <v>50</v>
      </c>
      <c r="X281" s="232">
        <f t="shared" si="641"/>
        <v>1</v>
      </c>
      <c r="Y281" s="371"/>
      <c r="Z281" s="495">
        <v>10</v>
      </c>
      <c r="AA281" s="496">
        <v>10</v>
      </c>
      <c r="AB281" s="494">
        <f t="shared" si="606"/>
        <v>80</v>
      </c>
      <c r="AC281" s="371"/>
      <c r="AD281" s="232" t="str">
        <f t="shared" si="607"/>
        <v/>
      </c>
      <c r="AE281" s="232" t="str">
        <f t="shared" si="608"/>
        <v/>
      </c>
      <c r="AF281" s="232">
        <f t="shared" si="609"/>
        <v>80</v>
      </c>
      <c r="AG281" s="232">
        <f t="shared" si="642"/>
        <v>1</v>
      </c>
      <c r="AH281" s="371"/>
      <c r="AI281" s="495">
        <v>70</v>
      </c>
      <c r="AJ281" s="496">
        <v>10</v>
      </c>
      <c r="AK281" s="494">
        <f t="shared" si="610"/>
        <v>20</v>
      </c>
      <c r="AL281" s="371"/>
      <c r="AM281" s="232" t="str">
        <f t="shared" si="611"/>
        <v/>
      </c>
      <c r="AN281" s="232" t="str">
        <f t="shared" si="612"/>
        <v/>
      </c>
      <c r="AO281" s="232">
        <f t="shared" si="613"/>
        <v>20</v>
      </c>
      <c r="AP281" s="232" t="str">
        <f t="shared" si="643"/>
        <v/>
      </c>
      <c r="AQ281" s="371"/>
      <c r="AR281" s="495">
        <v>10</v>
      </c>
      <c r="AS281" s="496">
        <v>30</v>
      </c>
      <c r="AT281" s="494">
        <f t="shared" si="614"/>
        <v>60</v>
      </c>
      <c r="AU281" s="371"/>
      <c r="AV281" s="232" t="str">
        <f t="shared" si="615"/>
        <v/>
      </c>
      <c r="AW281" s="232" t="str">
        <f t="shared" si="616"/>
        <v/>
      </c>
      <c r="AX281" s="232">
        <f t="shared" si="617"/>
        <v>60</v>
      </c>
      <c r="AY281" s="232">
        <f t="shared" si="644"/>
        <v>1</v>
      </c>
      <c r="AZ281" s="371"/>
      <c r="BA281" s="495">
        <v>10</v>
      </c>
      <c r="BB281" s="496">
        <v>10</v>
      </c>
      <c r="BC281" s="494">
        <f t="shared" si="618"/>
        <v>80</v>
      </c>
      <c r="BD281" s="371"/>
      <c r="BE281" s="232" t="str">
        <f t="shared" si="619"/>
        <v/>
      </c>
      <c r="BF281" s="232" t="str">
        <f t="shared" si="620"/>
        <v/>
      </c>
      <c r="BG281" s="232">
        <f t="shared" si="621"/>
        <v>80</v>
      </c>
      <c r="BH281" s="232">
        <f t="shared" si="645"/>
        <v>1</v>
      </c>
      <c r="BI281" s="371"/>
      <c r="BJ281" s="495">
        <v>10</v>
      </c>
      <c r="BK281" s="496">
        <v>10</v>
      </c>
      <c r="BL281" s="494">
        <f t="shared" si="622"/>
        <v>80</v>
      </c>
      <c r="BM281" s="371"/>
      <c r="BN281" s="232" t="str">
        <f t="shared" si="623"/>
        <v/>
      </c>
      <c r="BO281" s="232" t="str">
        <f t="shared" si="624"/>
        <v/>
      </c>
      <c r="BP281" s="232">
        <f t="shared" si="625"/>
        <v>80</v>
      </c>
      <c r="BQ281" s="232">
        <f t="shared" si="646"/>
        <v>1</v>
      </c>
      <c r="BR281" s="371"/>
      <c r="BS281" s="495">
        <v>20</v>
      </c>
      <c r="BT281" s="496">
        <v>30</v>
      </c>
      <c r="BU281" s="494">
        <f t="shared" si="626"/>
        <v>50</v>
      </c>
      <c r="BV281" s="371"/>
      <c r="BW281" s="232" t="str">
        <f t="shared" si="627"/>
        <v/>
      </c>
      <c r="BX281" s="232" t="str">
        <f t="shared" si="628"/>
        <v/>
      </c>
      <c r="BY281" s="232">
        <f t="shared" si="629"/>
        <v>50</v>
      </c>
      <c r="BZ281" s="232">
        <f t="shared" si="647"/>
        <v>1</v>
      </c>
      <c r="CA281" s="371"/>
      <c r="CB281" s="501">
        <f t="shared" si="630"/>
        <v>30</v>
      </c>
      <c r="CC281" s="502">
        <f t="shared" si="631"/>
        <v>10</v>
      </c>
      <c r="CD281" s="503">
        <f t="shared" si="632"/>
        <v>60</v>
      </c>
      <c r="CE281" s="371"/>
      <c r="CF281" s="232" t="str">
        <f t="shared" si="633"/>
        <v/>
      </c>
      <c r="CG281" s="232" t="str">
        <f t="shared" si="634"/>
        <v/>
      </c>
      <c r="CH281" s="232">
        <f t="shared" si="635"/>
        <v>60</v>
      </c>
      <c r="CI281" s="232">
        <f t="shared" si="648"/>
        <v>1</v>
      </c>
      <c r="CJ281" s="232"/>
      <c r="CK281" s="495">
        <v>10</v>
      </c>
      <c r="CL281" s="496">
        <v>10</v>
      </c>
      <c r="CM281" s="494">
        <f t="shared" si="636"/>
        <v>80</v>
      </c>
      <c r="CN281" s="371"/>
      <c r="CO281" s="232" t="str">
        <f t="shared" si="637"/>
        <v/>
      </c>
      <c r="CP281" s="232" t="str">
        <f t="shared" si="638"/>
        <v/>
      </c>
      <c r="CQ281" s="232">
        <f t="shared" si="639"/>
        <v>80</v>
      </c>
      <c r="CR281" s="232">
        <f t="shared" si="649"/>
        <v>1</v>
      </c>
      <c r="CS281" s="232"/>
      <c r="CT281" s="371"/>
      <c r="CU281" s="300"/>
      <c r="CV281" s="246"/>
      <c r="CW281" s="264"/>
    </row>
    <row r="282" spans="1:101" x14ac:dyDescent="0.2">
      <c r="A282" s="264"/>
      <c r="B282" s="264"/>
      <c r="C282" s="202"/>
      <c r="D282" s="271">
        <v>11</v>
      </c>
      <c r="E282" s="167" t="s">
        <v>205</v>
      </c>
      <c r="F282" s="469">
        <v>3</v>
      </c>
      <c r="G282" s="474"/>
      <c r="H282" s="475">
        <v>2</v>
      </c>
      <c r="I282" s="389" t="str">
        <f t="shared" si="600"/>
        <v>x</v>
      </c>
      <c r="J282" s="390" t="str">
        <f t="shared" si="601"/>
        <v/>
      </c>
      <c r="K282" s="391" t="str">
        <f t="shared" si="602"/>
        <v/>
      </c>
      <c r="L282" s="299"/>
      <c r="M282" s="375"/>
      <c r="N282" s="379"/>
      <c r="O282" s="236"/>
      <c r="P282" s="236"/>
      <c r="Q282" s="483">
        <v>40</v>
      </c>
      <c r="R282" s="484">
        <v>30</v>
      </c>
      <c r="S282" s="485">
        <f t="shared" si="640"/>
        <v>30</v>
      </c>
      <c r="T282" s="371"/>
      <c r="U282" s="232">
        <f t="shared" si="603"/>
        <v>40</v>
      </c>
      <c r="V282" s="232" t="str">
        <f t="shared" si="604"/>
        <v/>
      </c>
      <c r="W282" s="232" t="str">
        <f t="shared" si="605"/>
        <v/>
      </c>
      <c r="X282" s="232">
        <f t="shared" si="641"/>
        <v>1</v>
      </c>
      <c r="Y282" s="371"/>
      <c r="Z282" s="497">
        <v>40</v>
      </c>
      <c r="AA282" s="498">
        <v>10</v>
      </c>
      <c r="AB282" s="485">
        <f t="shared" si="606"/>
        <v>50</v>
      </c>
      <c r="AC282" s="371"/>
      <c r="AD282" s="232">
        <f t="shared" si="607"/>
        <v>40</v>
      </c>
      <c r="AE282" s="232" t="str">
        <f t="shared" si="608"/>
        <v/>
      </c>
      <c r="AF282" s="232" t="str">
        <f t="shared" si="609"/>
        <v/>
      </c>
      <c r="AG282" s="232" t="str">
        <f t="shared" si="642"/>
        <v/>
      </c>
      <c r="AH282" s="371"/>
      <c r="AI282" s="497">
        <v>60</v>
      </c>
      <c r="AJ282" s="498">
        <v>20</v>
      </c>
      <c r="AK282" s="485">
        <f t="shared" si="610"/>
        <v>20</v>
      </c>
      <c r="AL282" s="371"/>
      <c r="AM282" s="232">
        <f t="shared" si="611"/>
        <v>60</v>
      </c>
      <c r="AN282" s="232" t="str">
        <f t="shared" si="612"/>
        <v/>
      </c>
      <c r="AO282" s="232" t="str">
        <f t="shared" si="613"/>
        <v/>
      </c>
      <c r="AP282" s="232">
        <f t="shared" si="643"/>
        <v>1</v>
      </c>
      <c r="AQ282" s="371"/>
      <c r="AR282" s="497">
        <v>50</v>
      </c>
      <c r="AS282" s="498">
        <v>40</v>
      </c>
      <c r="AT282" s="485">
        <f t="shared" si="614"/>
        <v>10</v>
      </c>
      <c r="AU282" s="371"/>
      <c r="AV282" s="232">
        <f t="shared" si="615"/>
        <v>50</v>
      </c>
      <c r="AW282" s="232" t="str">
        <f t="shared" si="616"/>
        <v/>
      </c>
      <c r="AX282" s="232" t="str">
        <f t="shared" si="617"/>
        <v/>
      </c>
      <c r="AY282" s="232">
        <f t="shared" si="644"/>
        <v>1</v>
      </c>
      <c r="AZ282" s="371"/>
      <c r="BA282" s="497">
        <v>40</v>
      </c>
      <c r="BB282" s="498">
        <v>40</v>
      </c>
      <c r="BC282" s="485">
        <f t="shared" si="618"/>
        <v>20</v>
      </c>
      <c r="BD282" s="371"/>
      <c r="BE282" s="232">
        <f t="shared" si="619"/>
        <v>40</v>
      </c>
      <c r="BF282" s="232" t="str">
        <f t="shared" si="620"/>
        <v/>
      </c>
      <c r="BG282" s="232" t="str">
        <f t="shared" si="621"/>
        <v/>
      </c>
      <c r="BH282" s="232">
        <f t="shared" si="645"/>
        <v>1</v>
      </c>
      <c r="BI282" s="371"/>
      <c r="BJ282" s="497">
        <v>80</v>
      </c>
      <c r="BK282" s="498">
        <v>10</v>
      </c>
      <c r="BL282" s="485">
        <f t="shared" si="622"/>
        <v>10</v>
      </c>
      <c r="BM282" s="371"/>
      <c r="BN282" s="232">
        <f t="shared" si="623"/>
        <v>80</v>
      </c>
      <c r="BO282" s="232" t="str">
        <f t="shared" si="624"/>
        <v/>
      </c>
      <c r="BP282" s="232" t="str">
        <f t="shared" si="625"/>
        <v/>
      </c>
      <c r="BQ282" s="232">
        <f t="shared" si="646"/>
        <v>1</v>
      </c>
      <c r="BR282" s="371"/>
      <c r="BS282" s="497">
        <v>40</v>
      </c>
      <c r="BT282" s="498">
        <v>30</v>
      </c>
      <c r="BU282" s="485">
        <f t="shared" si="626"/>
        <v>30</v>
      </c>
      <c r="BV282" s="371"/>
      <c r="BW282" s="232">
        <f t="shared" si="627"/>
        <v>40</v>
      </c>
      <c r="BX282" s="232" t="str">
        <f t="shared" si="628"/>
        <v/>
      </c>
      <c r="BY282" s="232" t="str">
        <f t="shared" si="629"/>
        <v/>
      </c>
      <c r="BZ282" s="232">
        <f t="shared" si="647"/>
        <v>1</v>
      </c>
      <c r="CA282" s="371"/>
      <c r="CB282" s="504">
        <f t="shared" si="630"/>
        <v>50</v>
      </c>
      <c r="CC282" s="505">
        <f t="shared" si="631"/>
        <v>20</v>
      </c>
      <c r="CD282" s="506">
        <f t="shared" si="632"/>
        <v>30</v>
      </c>
      <c r="CE282" s="371"/>
      <c r="CF282" s="232">
        <f t="shared" si="633"/>
        <v>50</v>
      </c>
      <c r="CG282" s="232" t="str">
        <f t="shared" si="634"/>
        <v/>
      </c>
      <c r="CH282" s="232" t="str">
        <f t="shared" si="635"/>
        <v/>
      </c>
      <c r="CI282" s="232">
        <f t="shared" si="648"/>
        <v>1</v>
      </c>
      <c r="CJ282" s="232"/>
      <c r="CK282" s="497">
        <v>70</v>
      </c>
      <c r="CL282" s="498">
        <v>20</v>
      </c>
      <c r="CM282" s="485">
        <f t="shared" si="636"/>
        <v>10</v>
      </c>
      <c r="CN282" s="371"/>
      <c r="CO282" s="232">
        <f t="shared" si="637"/>
        <v>70</v>
      </c>
      <c r="CP282" s="232" t="str">
        <f t="shared" si="638"/>
        <v/>
      </c>
      <c r="CQ282" s="232" t="str">
        <f t="shared" si="639"/>
        <v/>
      </c>
      <c r="CR282" s="232">
        <f t="shared" si="649"/>
        <v>1</v>
      </c>
      <c r="CS282" s="232"/>
      <c r="CT282" s="371"/>
      <c r="CU282" s="300"/>
      <c r="CV282" s="246"/>
      <c r="CW282" s="264"/>
    </row>
    <row r="283" spans="1:101" ht="13.5" thickBot="1" x14ac:dyDescent="0.25">
      <c r="A283" s="264"/>
      <c r="B283" s="264"/>
      <c r="C283" s="202"/>
      <c r="D283" s="271">
        <v>12</v>
      </c>
      <c r="E283" s="168" t="s">
        <v>206</v>
      </c>
      <c r="F283" s="470">
        <v>1</v>
      </c>
      <c r="G283" s="476"/>
      <c r="H283" s="477">
        <v>1</v>
      </c>
      <c r="I283" s="392" t="str">
        <f t="shared" si="600"/>
        <v/>
      </c>
      <c r="J283" s="393" t="str">
        <f t="shared" si="601"/>
        <v>x</v>
      </c>
      <c r="K283" s="394" t="str">
        <f t="shared" si="602"/>
        <v/>
      </c>
      <c r="L283" s="299"/>
      <c r="M283" s="375"/>
      <c r="N283" s="379"/>
      <c r="O283" s="236"/>
      <c r="P283" s="236"/>
      <c r="Q283" s="489">
        <v>40</v>
      </c>
      <c r="R283" s="490">
        <v>30</v>
      </c>
      <c r="S283" s="491">
        <f t="shared" si="640"/>
        <v>30</v>
      </c>
      <c r="T283" s="371"/>
      <c r="U283" s="232" t="str">
        <f t="shared" si="603"/>
        <v/>
      </c>
      <c r="V283" s="232">
        <f t="shared" si="604"/>
        <v>30</v>
      </c>
      <c r="W283" s="232" t="str">
        <f t="shared" si="605"/>
        <v/>
      </c>
      <c r="X283" s="232" t="str">
        <f t="shared" si="641"/>
        <v/>
      </c>
      <c r="Y283" s="371"/>
      <c r="Z283" s="499">
        <v>80</v>
      </c>
      <c r="AA283" s="500">
        <v>10</v>
      </c>
      <c r="AB283" s="491">
        <f t="shared" si="606"/>
        <v>10</v>
      </c>
      <c r="AC283" s="371"/>
      <c r="AD283" s="232" t="str">
        <f t="shared" si="607"/>
        <v/>
      </c>
      <c r="AE283" s="232">
        <f t="shared" si="608"/>
        <v>10</v>
      </c>
      <c r="AF283" s="232" t="str">
        <f t="shared" si="609"/>
        <v/>
      </c>
      <c r="AG283" s="232" t="str">
        <f t="shared" si="642"/>
        <v/>
      </c>
      <c r="AH283" s="371"/>
      <c r="AI283" s="499">
        <v>20</v>
      </c>
      <c r="AJ283" s="500">
        <v>40</v>
      </c>
      <c r="AK283" s="491">
        <f t="shared" si="610"/>
        <v>40</v>
      </c>
      <c r="AL283" s="371"/>
      <c r="AM283" s="232" t="str">
        <f t="shared" si="611"/>
        <v/>
      </c>
      <c r="AN283" s="232">
        <f t="shared" si="612"/>
        <v>40</v>
      </c>
      <c r="AO283" s="232" t="str">
        <f t="shared" si="613"/>
        <v/>
      </c>
      <c r="AP283" s="232">
        <f t="shared" si="643"/>
        <v>1</v>
      </c>
      <c r="AQ283" s="371"/>
      <c r="AR283" s="499">
        <v>20</v>
      </c>
      <c r="AS283" s="500">
        <v>30</v>
      </c>
      <c r="AT283" s="491">
        <f t="shared" si="614"/>
        <v>50</v>
      </c>
      <c r="AU283" s="371"/>
      <c r="AV283" s="232" t="str">
        <f t="shared" si="615"/>
        <v/>
      </c>
      <c r="AW283" s="232">
        <f t="shared" si="616"/>
        <v>30</v>
      </c>
      <c r="AX283" s="232" t="str">
        <f t="shared" si="617"/>
        <v/>
      </c>
      <c r="AY283" s="232" t="str">
        <f t="shared" si="644"/>
        <v/>
      </c>
      <c r="AZ283" s="371"/>
      <c r="BA283" s="499">
        <v>10</v>
      </c>
      <c r="BB283" s="500">
        <v>10</v>
      </c>
      <c r="BC283" s="491">
        <f t="shared" si="618"/>
        <v>80</v>
      </c>
      <c r="BD283" s="371"/>
      <c r="BE283" s="232" t="str">
        <f t="shared" si="619"/>
        <v/>
      </c>
      <c r="BF283" s="232">
        <f t="shared" si="620"/>
        <v>10</v>
      </c>
      <c r="BG283" s="232" t="str">
        <f t="shared" si="621"/>
        <v/>
      </c>
      <c r="BH283" s="232" t="str">
        <f t="shared" si="645"/>
        <v/>
      </c>
      <c r="BI283" s="371"/>
      <c r="BJ283" s="499">
        <v>60</v>
      </c>
      <c r="BK283" s="500">
        <v>30</v>
      </c>
      <c r="BL283" s="491">
        <f t="shared" si="622"/>
        <v>10</v>
      </c>
      <c r="BM283" s="371"/>
      <c r="BN283" s="232" t="str">
        <f t="shared" si="623"/>
        <v/>
      </c>
      <c r="BO283" s="232">
        <f t="shared" si="624"/>
        <v>30</v>
      </c>
      <c r="BP283" s="232" t="str">
        <f t="shared" si="625"/>
        <v/>
      </c>
      <c r="BQ283" s="232" t="str">
        <f t="shared" si="646"/>
        <v/>
      </c>
      <c r="BR283" s="371"/>
      <c r="BS283" s="499">
        <v>50</v>
      </c>
      <c r="BT283" s="500">
        <v>40</v>
      </c>
      <c r="BU283" s="491">
        <f t="shared" si="626"/>
        <v>10</v>
      </c>
      <c r="BV283" s="371"/>
      <c r="BW283" s="232" t="str">
        <f t="shared" si="627"/>
        <v/>
      </c>
      <c r="BX283" s="232">
        <f t="shared" si="628"/>
        <v>40</v>
      </c>
      <c r="BY283" s="232" t="str">
        <f t="shared" si="629"/>
        <v/>
      </c>
      <c r="BZ283" s="232" t="str">
        <f t="shared" si="647"/>
        <v/>
      </c>
      <c r="CA283" s="371"/>
      <c r="CB283" s="507">
        <f t="shared" si="630"/>
        <v>40</v>
      </c>
      <c r="CC283" s="508">
        <f t="shared" si="631"/>
        <v>20</v>
      </c>
      <c r="CD283" s="509">
        <f t="shared" si="632"/>
        <v>40</v>
      </c>
      <c r="CE283" s="371"/>
      <c r="CF283" s="232" t="str">
        <f t="shared" si="633"/>
        <v/>
      </c>
      <c r="CG283" s="232">
        <f t="shared" si="634"/>
        <v>20</v>
      </c>
      <c r="CH283" s="232" t="str">
        <f t="shared" si="635"/>
        <v/>
      </c>
      <c r="CI283" s="232" t="str">
        <f t="shared" si="648"/>
        <v/>
      </c>
      <c r="CJ283" s="232"/>
      <c r="CK283" s="499">
        <v>60</v>
      </c>
      <c r="CL283" s="500">
        <v>30</v>
      </c>
      <c r="CM283" s="491">
        <f t="shared" si="636"/>
        <v>10</v>
      </c>
      <c r="CN283" s="371"/>
      <c r="CO283" s="232" t="str">
        <f t="shared" si="637"/>
        <v/>
      </c>
      <c r="CP283" s="232">
        <f t="shared" si="638"/>
        <v>30</v>
      </c>
      <c r="CQ283" s="232" t="str">
        <f t="shared" si="639"/>
        <v/>
      </c>
      <c r="CR283" s="232" t="str">
        <f t="shared" si="649"/>
        <v/>
      </c>
      <c r="CS283" s="232"/>
      <c r="CT283" s="371"/>
      <c r="CU283" s="300"/>
      <c r="CV283" s="246"/>
      <c r="CW283" s="264"/>
    </row>
    <row r="284" spans="1:101" x14ac:dyDescent="0.2">
      <c r="A284" s="264"/>
      <c r="B284" s="264"/>
      <c r="C284" s="202"/>
      <c r="D284" s="272"/>
      <c r="E284" s="235"/>
      <c r="F284" s="395">
        <f>IF(SUM(F272:F283)=0,"",SUM(F272:F283))</f>
        <v>28</v>
      </c>
      <c r="G284" s="370" t="s">
        <v>49</v>
      </c>
      <c r="H284" s="396">
        <f>IF(SUM(H272:H283)=0,"",SUM(H272:H283))</f>
        <v>22</v>
      </c>
      <c r="I284" s="397">
        <f>IF(COUNTIF(I272:I283,"=x")=0,"",COUNTIF(I272:I283,"=x"))</f>
        <v>8</v>
      </c>
      <c r="J284" s="398">
        <f>IF(COUNTIF(J272:J283,"=x")=0,"",COUNTIF(J272:J283,"=x"))</f>
        <v>1</v>
      </c>
      <c r="K284" s="399">
        <f>IF(COUNTIF(K272:K283,"=x")=0,"",COUNTIF(K272:K283,"=x"))</f>
        <v>3</v>
      </c>
      <c r="L284" s="299"/>
      <c r="M284" s="375"/>
      <c r="N284" s="379"/>
      <c r="O284" s="236"/>
      <c r="P284" s="369"/>
      <c r="Q284" s="466">
        <f>SUM(U272:U283)</f>
        <v>410</v>
      </c>
      <c r="R284" s="466">
        <f>SUM(V272:V283)</f>
        <v>30</v>
      </c>
      <c r="S284" s="466">
        <f>SUM(W272:W283)</f>
        <v>100</v>
      </c>
      <c r="T284" s="368"/>
      <c r="U284" s="232"/>
      <c r="V284" s="232"/>
      <c r="W284" s="232"/>
      <c r="X284" s="232"/>
      <c r="Y284" s="367"/>
      <c r="Z284" s="466">
        <f>SUM(AD272:AD283)</f>
        <v>530</v>
      </c>
      <c r="AA284" s="466">
        <f>SUM(AE272:AE283)</f>
        <v>10</v>
      </c>
      <c r="AB284" s="466">
        <f>SUM(AF272:AF283)</f>
        <v>100</v>
      </c>
      <c r="AC284" s="368"/>
      <c r="AD284" s="232"/>
      <c r="AE284" s="232"/>
      <c r="AF284" s="232"/>
      <c r="AG284" s="232"/>
      <c r="AH284" s="367"/>
      <c r="AI284" s="466">
        <f>SUM(AM272:AM283)</f>
        <v>490</v>
      </c>
      <c r="AJ284" s="466">
        <f>SUM(AN272:AN283)</f>
        <v>40</v>
      </c>
      <c r="AK284" s="466">
        <f>SUM(AO272:AO283)</f>
        <v>60</v>
      </c>
      <c r="AL284" s="368"/>
      <c r="AM284" s="232"/>
      <c r="AN284" s="232"/>
      <c r="AO284" s="232"/>
      <c r="AP284" s="232"/>
      <c r="AQ284" s="367"/>
      <c r="AR284" s="466">
        <f>SUM(AV272:AV283)</f>
        <v>440</v>
      </c>
      <c r="AS284" s="466">
        <f>SUM(AW272:AW283)</f>
        <v>30</v>
      </c>
      <c r="AT284" s="466">
        <f>SUM(AX272:AX283)</f>
        <v>110</v>
      </c>
      <c r="AU284" s="368"/>
      <c r="AV284" s="232"/>
      <c r="AW284" s="232"/>
      <c r="AX284" s="232"/>
      <c r="AY284" s="232"/>
      <c r="AZ284" s="367"/>
      <c r="BA284" s="466">
        <f>SUM(BE272:BE283)</f>
        <v>530</v>
      </c>
      <c r="BB284" s="466">
        <f>SUM(BF272:BF283)</f>
        <v>10</v>
      </c>
      <c r="BC284" s="466">
        <f>SUM(BG272:BG283)</f>
        <v>100</v>
      </c>
      <c r="BD284" s="368"/>
      <c r="BE284" s="232"/>
      <c r="BF284" s="232"/>
      <c r="BG284" s="232"/>
      <c r="BH284" s="232"/>
      <c r="BI284" s="367"/>
      <c r="BJ284" s="466">
        <f>SUM(BN272:BN283)</f>
        <v>340</v>
      </c>
      <c r="BK284" s="466">
        <f>SUM(BO272:BO283)</f>
        <v>30</v>
      </c>
      <c r="BL284" s="466">
        <f>SUM(BP272:BP283)</f>
        <v>100</v>
      </c>
      <c r="BM284" s="368"/>
      <c r="BN284" s="232"/>
      <c r="BO284" s="232"/>
      <c r="BP284" s="232"/>
      <c r="BQ284" s="232"/>
      <c r="BR284" s="367"/>
      <c r="BS284" s="466">
        <f>SUM(BW272:BW283)</f>
        <v>390</v>
      </c>
      <c r="BT284" s="466">
        <f>SUM(BX272:BX283)</f>
        <v>40</v>
      </c>
      <c r="BU284" s="466">
        <f>SUM(BY272:BY283)</f>
        <v>110</v>
      </c>
      <c r="BV284" s="368"/>
      <c r="BW284" s="232"/>
      <c r="BX284" s="232"/>
      <c r="BY284" s="232"/>
      <c r="BZ284" s="232"/>
      <c r="CA284" s="369"/>
      <c r="CB284" s="466">
        <f>SUM(CF272:CF283)</f>
        <v>460</v>
      </c>
      <c r="CC284" s="466">
        <f>SUM(CG272:CG283)</f>
        <v>20</v>
      </c>
      <c r="CD284" s="466">
        <f>SUM(CH272:CH283)</f>
        <v>100</v>
      </c>
      <c r="CE284" s="368"/>
      <c r="CF284" s="232"/>
      <c r="CG284" s="232"/>
      <c r="CH284" s="232"/>
      <c r="CI284" s="232"/>
      <c r="CJ284" s="232"/>
      <c r="CK284" s="466">
        <f>SUM(CO272:CO283)</f>
        <v>510</v>
      </c>
      <c r="CL284" s="466">
        <f>SUM(CP272:CP283)</f>
        <v>30</v>
      </c>
      <c r="CM284" s="466">
        <f>SUM(CQ272:CQ283)</f>
        <v>110</v>
      </c>
      <c r="CN284" s="368"/>
      <c r="CO284" s="232"/>
      <c r="CP284" s="232"/>
      <c r="CQ284" s="232"/>
      <c r="CR284" s="232"/>
      <c r="CS284" s="232"/>
      <c r="CT284" s="232"/>
      <c r="CU284" s="300"/>
      <c r="CV284" s="246"/>
      <c r="CW284" s="265"/>
    </row>
    <row r="285" spans="1:101" ht="13.5" thickBot="1" x14ac:dyDescent="0.25">
      <c r="A285" s="264"/>
      <c r="B285" s="264"/>
      <c r="C285" s="202"/>
      <c r="D285" s="289"/>
      <c r="E285" s="282"/>
      <c r="F285" s="283"/>
      <c r="G285" s="282"/>
      <c r="H285" s="282"/>
      <c r="I285" s="282"/>
      <c r="J285" s="282"/>
      <c r="K285" s="282"/>
      <c r="L285" s="293"/>
      <c r="M285" s="301"/>
      <c r="N285" s="380"/>
      <c r="O285" s="376"/>
      <c r="P285" s="284"/>
      <c r="Q285" s="285"/>
      <c r="R285" s="285"/>
      <c r="S285" s="285"/>
      <c r="T285" s="286"/>
      <c r="U285" s="287"/>
      <c r="V285" s="287"/>
      <c r="W285" s="287"/>
      <c r="X285" s="287"/>
      <c r="Y285" s="284"/>
      <c r="Z285" s="285"/>
      <c r="AA285" s="285"/>
      <c r="AB285" s="285"/>
      <c r="AC285" s="286"/>
      <c r="AD285" s="287"/>
      <c r="AE285" s="287"/>
      <c r="AF285" s="287"/>
      <c r="AG285" s="288"/>
      <c r="AH285" s="284"/>
      <c r="AI285" s="285"/>
      <c r="AJ285" s="285"/>
      <c r="AK285" s="285"/>
      <c r="AL285" s="286"/>
      <c r="AM285" s="287"/>
      <c r="AN285" s="287"/>
      <c r="AO285" s="287"/>
      <c r="AP285" s="288"/>
      <c r="AQ285" s="284"/>
      <c r="AR285" s="285"/>
      <c r="AS285" s="285"/>
      <c r="AT285" s="285"/>
      <c r="AU285" s="286"/>
      <c r="AV285" s="287"/>
      <c r="AW285" s="287"/>
      <c r="AX285" s="287"/>
      <c r="AY285" s="288"/>
      <c r="AZ285" s="284"/>
      <c r="BA285" s="285"/>
      <c r="BB285" s="285"/>
      <c r="BC285" s="285"/>
      <c r="BD285" s="286"/>
      <c r="BE285" s="287"/>
      <c r="BF285" s="287"/>
      <c r="BG285" s="287"/>
      <c r="BH285" s="288"/>
      <c r="BI285" s="284"/>
      <c r="BJ285" s="284"/>
      <c r="BK285" s="284"/>
      <c r="BL285" s="284"/>
      <c r="BM285" s="284"/>
      <c r="BN285" s="284"/>
      <c r="BO285" s="284"/>
      <c r="BP285" s="284"/>
      <c r="BQ285" s="284"/>
      <c r="BR285" s="284"/>
      <c r="BS285" s="284"/>
      <c r="BT285" s="284"/>
      <c r="BU285" s="284"/>
      <c r="BV285" s="284"/>
      <c r="BW285" s="284"/>
      <c r="BX285" s="284"/>
      <c r="BY285" s="284"/>
      <c r="BZ285" s="284"/>
      <c r="CA285" s="284"/>
      <c r="CB285" s="284"/>
      <c r="CC285" s="284"/>
      <c r="CD285" s="284"/>
      <c r="CE285" s="284"/>
      <c r="CF285" s="284"/>
      <c r="CG285" s="284"/>
      <c r="CH285" s="284"/>
      <c r="CI285" s="284"/>
      <c r="CJ285" s="288"/>
      <c r="CK285" s="288"/>
      <c r="CL285" s="288"/>
      <c r="CM285" s="288"/>
      <c r="CN285" s="288"/>
      <c r="CO285" s="288"/>
      <c r="CP285" s="288"/>
      <c r="CQ285" s="288"/>
      <c r="CR285" s="288"/>
      <c r="CS285" s="288"/>
      <c r="CT285" s="282"/>
      <c r="CU285" s="294"/>
      <c r="CV285" s="246"/>
      <c r="CW285" s="265"/>
    </row>
    <row r="286" spans="1:101" ht="14.25" thickTop="1" thickBot="1" x14ac:dyDescent="0.25">
      <c r="A286" s="256"/>
      <c r="B286" s="256"/>
      <c r="C286" s="210"/>
      <c r="D286" s="211"/>
      <c r="E286" s="247"/>
      <c r="F286" s="248"/>
      <c r="G286" s="247"/>
      <c r="H286" s="247"/>
      <c r="I286" s="247"/>
      <c r="J286" s="247"/>
      <c r="K286" s="247"/>
      <c r="L286" s="249"/>
      <c r="M286" s="250"/>
      <c r="N286" s="250"/>
      <c r="O286" s="250"/>
      <c r="P286" s="250"/>
      <c r="Q286" s="247"/>
      <c r="R286" s="247"/>
      <c r="S286" s="247"/>
      <c r="T286" s="251"/>
      <c r="U286" s="252"/>
      <c r="V286" s="252"/>
      <c r="W286" s="252"/>
      <c r="X286" s="252"/>
      <c r="Y286" s="250"/>
      <c r="Z286" s="247"/>
      <c r="AA286" s="247"/>
      <c r="AB286" s="247"/>
      <c r="AC286" s="251"/>
      <c r="AD286" s="252"/>
      <c r="AE286" s="252"/>
      <c r="AF286" s="252"/>
      <c r="AG286" s="247"/>
      <c r="AH286" s="250"/>
      <c r="AI286" s="247"/>
      <c r="AJ286" s="247"/>
      <c r="AK286" s="247"/>
      <c r="AL286" s="251"/>
      <c r="AM286" s="252"/>
      <c r="AN286" s="252"/>
      <c r="AO286" s="252"/>
      <c r="AP286" s="253"/>
      <c r="AQ286" s="250"/>
      <c r="AR286" s="247"/>
      <c r="AS286" s="247"/>
      <c r="AT286" s="247"/>
      <c r="AU286" s="251"/>
      <c r="AV286" s="252"/>
      <c r="AW286" s="252"/>
      <c r="AX286" s="252"/>
      <c r="AY286" s="247"/>
      <c r="AZ286" s="250"/>
      <c r="BA286" s="247"/>
      <c r="BB286" s="247"/>
      <c r="BC286" s="247"/>
      <c r="BD286" s="251"/>
      <c r="BE286" s="252"/>
      <c r="BF286" s="252"/>
      <c r="BG286" s="252"/>
      <c r="BH286" s="247"/>
      <c r="BI286" s="250"/>
      <c r="BJ286" s="247"/>
      <c r="BK286" s="247"/>
      <c r="BL286" s="247"/>
      <c r="BM286" s="251"/>
      <c r="BN286" s="252"/>
      <c r="BO286" s="252"/>
      <c r="BP286" s="252"/>
      <c r="BQ286" s="247"/>
      <c r="BR286" s="212"/>
      <c r="BS286" s="247"/>
      <c r="BT286" s="247"/>
      <c r="BU286" s="247"/>
      <c r="BV286" s="250"/>
      <c r="BW286" s="252"/>
      <c r="BX286" s="252"/>
      <c r="BY286" s="252"/>
      <c r="BZ286" s="247"/>
      <c r="CA286" s="247"/>
      <c r="CB286" s="253"/>
      <c r="CC286" s="253"/>
      <c r="CD286" s="253"/>
      <c r="CE286" s="253"/>
      <c r="CF286" s="247"/>
      <c r="CG286" s="247"/>
      <c r="CH286" s="247"/>
      <c r="CI286" s="247"/>
      <c r="CJ286" s="247"/>
      <c r="CK286" s="247"/>
      <c r="CL286" s="247"/>
      <c r="CM286" s="247"/>
      <c r="CN286" s="247"/>
      <c r="CO286" s="247"/>
      <c r="CP286" s="247"/>
      <c r="CQ286" s="247"/>
      <c r="CR286" s="247"/>
      <c r="CS286" s="247"/>
      <c r="CT286" s="247"/>
      <c r="CU286" s="247"/>
      <c r="CV286" s="254"/>
      <c r="CW286" s="255"/>
    </row>
    <row r="287" spans="1:101" ht="14.25" thickTop="1" thickBot="1" x14ac:dyDescent="0.25">
      <c r="A287" s="255"/>
      <c r="B287" s="255"/>
      <c r="C287" s="255"/>
      <c r="D287" s="255"/>
      <c r="E287" s="255"/>
      <c r="F287" s="255"/>
      <c r="G287" s="255"/>
      <c r="H287" s="255"/>
      <c r="I287" s="255"/>
      <c r="J287" s="255"/>
      <c r="K287" s="255"/>
      <c r="L287" s="255"/>
      <c r="M287" s="255"/>
      <c r="N287" s="255"/>
      <c r="O287" s="255"/>
      <c r="P287" s="255"/>
      <c r="Q287" s="255"/>
      <c r="R287" s="255"/>
      <c r="S287" s="255"/>
      <c r="T287" s="255"/>
      <c r="U287" s="255"/>
      <c r="V287" s="255"/>
      <c r="W287" s="255"/>
      <c r="X287" s="255"/>
      <c r="Y287" s="255"/>
      <c r="Z287" s="255"/>
      <c r="AA287" s="255"/>
      <c r="AB287" s="255"/>
      <c r="AC287" s="255"/>
      <c r="AD287" s="255"/>
      <c r="AE287" s="255"/>
      <c r="AF287" s="255"/>
      <c r="AG287" s="255"/>
      <c r="AH287" s="255"/>
      <c r="AI287" s="255"/>
      <c r="AJ287" s="255"/>
      <c r="AK287" s="255"/>
      <c r="AL287" s="255"/>
      <c r="AM287" s="255"/>
      <c r="AN287" s="255"/>
      <c r="AO287" s="255"/>
      <c r="AP287" s="255"/>
      <c r="AQ287" s="255"/>
      <c r="AR287" s="255"/>
      <c r="AS287" s="255"/>
      <c r="AT287" s="255"/>
      <c r="AU287" s="255"/>
      <c r="AV287" s="255"/>
      <c r="AW287" s="255"/>
      <c r="AX287" s="255"/>
      <c r="AY287" s="255"/>
      <c r="AZ287" s="255"/>
      <c r="BA287" s="255"/>
      <c r="BB287" s="255"/>
      <c r="BC287" s="255"/>
      <c r="BD287" s="255"/>
      <c r="BE287" s="255"/>
      <c r="BF287" s="255"/>
      <c r="BG287" s="255"/>
      <c r="BH287" s="255"/>
      <c r="BI287" s="255"/>
      <c r="BJ287" s="255"/>
      <c r="BK287" s="255"/>
      <c r="BL287" s="255"/>
      <c r="BM287" s="255"/>
      <c r="BN287" s="255"/>
      <c r="BO287" s="255"/>
      <c r="BP287" s="255"/>
      <c r="BQ287" s="255"/>
      <c r="BR287" s="255"/>
      <c r="BS287" s="255"/>
      <c r="BT287" s="255"/>
      <c r="BU287" s="255"/>
      <c r="BV287" s="255"/>
      <c r="BW287" s="255"/>
      <c r="BX287" s="255"/>
      <c r="BY287" s="255"/>
      <c r="BZ287" s="255"/>
      <c r="CA287" s="255"/>
      <c r="CB287" s="436"/>
      <c r="CC287" s="436"/>
      <c r="CD287" s="436"/>
      <c r="CE287" s="436"/>
      <c r="CF287" s="255"/>
      <c r="CG287" s="255"/>
      <c r="CH287" s="255"/>
      <c r="CI287" s="255"/>
      <c r="CJ287" s="255"/>
      <c r="CK287" s="255"/>
      <c r="CL287" s="255"/>
      <c r="CM287" s="255"/>
      <c r="CN287" s="255"/>
      <c r="CO287" s="255"/>
      <c r="CP287" s="255"/>
      <c r="CQ287" s="255"/>
      <c r="CR287" s="255"/>
      <c r="CS287" s="255"/>
      <c r="CT287" s="255"/>
      <c r="CU287" s="255"/>
      <c r="CV287" s="255"/>
      <c r="CW287" s="255"/>
    </row>
    <row r="288" spans="1:101" ht="21" thickTop="1" x14ac:dyDescent="0.3">
      <c r="A288" s="256"/>
      <c r="B288" s="256"/>
      <c r="C288" s="190"/>
      <c r="D288" s="191"/>
      <c r="E288" s="865" t="str">
        <f>$E$2</f>
        <v>STPS 2026</v>
      </c>
      <c r="F288" s="267"/>
      <c r="G288" s="267"/>
      <c r="H288" s="267"/>
      <c r="I288" s="192"/>
      <c r="J288" s="192"/>
      <c r="K288" s="192"/>
      <c r="L288" s="193"/>
      <c r="M288" s="192"/>
      <c r="N288" s="192"/>
      <c r="O288" s="192"/>
      <c r="P288" s="194"/>
      <c r="Q288" s="192"/>
      <c r="R288" s="192"/>
      <c r="S288" s="192"/>
      <c r="T288" s="195"/>
      <c r="U288" s="196"/>
      <c r="V288" s="196"/>
      <c r="W288" s="196"/>
      <c r="X288" s="196"/>
      <c r="Y288" s="194"/>
      <c r="Z288" s="192"/>
      <c r="AA288" s="192"/>
      <c r="AB288" s="192"/>
      <c r="AC288" s="195"/>
      <c r="AD288" s="196"/>
      <c r="AE288" s="196"/>
      <c r="AF288" s="196"/>
      <c r="AG288" s="197"/>
      <c r="AH288" s="194"/>
      <c r="AI288" s="192"/>
      <c r="AJ288" s="237"/>
      <c r="AK288" s="237"/>
      <c r="AL288" s="198"/>
      <c r="AM288" s="238"/>
      <c r="AN288" s="238"/>
      <c r="AO288" s="238"/>
      <c r="AP288" s="197"/>
      <c r="AQ288" s="239"/>
      <c r="AR288" s="240"/>
      <c r="AS288" s="199"/>
      <c r="AT288" s="200"/>
      <c r="AU288" s="198"/>
      <c r="AV288" s="196"/>
      <c r="AW288" s="196"/>
      <c r="AX288" s="196"/>
      <c r="AY288" s="197"/>
      <c r="AZ288" s="239"/>
      <c r="BA288" s="240"/>
      <c r="BB288" s="200"/>
      <c r="BC288" s="237"/>
      <c r="BD288" s="241"/>
      <c r="BE288" s="196"/>
      <c r="BF288" s="196"/>
      <c r="BG288" s="196"/>
      <c r="BH288" s="197"/>
      <c r="BI288" s="242"/>
      <c r="BJ288" s="237"/>
      <c r="BK288" s="237"/>
      <c r="BL288" s="237"/>
      <c r="BM288" s="241"/>
      <c r="BN288" s="196"/>
      <c r="BO288" s="196"/>
      <c r="BP288" s="196"/>
      <c r="BQ288" s="197"/>
      <c r="BR288" s="201"/>
      <c r="BS288" s="237"/>
      <c r="BT288" s="237"/>
      <c r="BU288" s="237"/>
      <c r="BV288" s="242"/>
      <c r="BW288" s="237"/>
      <c r="BX288" s="237"/>
      <c r="BY288" s="237"/>
      <c r="BZ288" s="237"/>
      <c r="CA288" s="237"/>
      <c r="CB288" s="437"/>
      <c r="CC288" s="437"/>
      <c r="CD288" s="437"/>
      <c r="CE288" s="437"/>
      <c r="CF288" s="237"/>
      <c r="CG288" s="237"/>
      <c r="CH288" s="237"/>
      <c r="CI288" s="237"/>
      <c r="CJ288" s="197"/>
      <c r="CK288" s="197"/>
      <c r="CL288" s="197"/>
      <c r="CM288" s="197"/>
      <c r="CN288" s="197"/>
      <c r="CO288" s="197"/>
      <c r="CP288" s="197"/>
      <c r="CQ288" s="197"/>
      <c r="CR288" s="197"/>
      <c r="CS288" s="197"/>
      <c r="CT288" s="401"/>
      <c r="CU288" s="237"/>
      <c r="CV288" s="243"/>
      <c r="CW288" s="255"/>
    </row>
    <row r="289" spans="1:101" ht="13.5" thickBot="1" x14ac:dyDescent="0.25">
      <c r="A289" s="256"/>
      <c r="B289" s="256"/>
      <c r="C289" s="202"/>
      <c r="D289" s="188"/>
      <c r="E289" s="266" t="str">
        <f>E3</f>
        <v>Skorgen Tippelag</v>
      </c>
      <c r="F289" s="406"/>
      <c r="G289" s="406"/>
      <c r="H289" s="406"/>
      <c r="I289" s="406"/>
      <c r="J289" s="406"/>
      <c r="K289" s="406"/>
      <c r="L289" s="406"/>
      <c r="M289" s="406"/>
      <c r="N289" s="406"/>
      <c r="O289" s="406"/>
      <c r="P289" s="406"/>
      <c r="Q289" s="406"/>
      <c r="R289" s="406"/>
      <c r="S289" s="406"/>
      <c r="T289" s="406"/>
      <c r="U289" s="406"/>
      <c r="V289" s="406"/>
      <c r="W289" s="406"/>
      <c r="X289" s="406"/>
      <c r="Y289" s="406"/>
      <c r="Z289" s="406"/>
      <c r="AA289" s="406"/>
      <c r="AB289" s="406"/>
      <c r="AC289" s="406"/>
      <c r="AD289" s="406"/>
      <c r="AE289" s="406"/>
      <c r="AF289" s="406"/>
      <c r="AG289" s="406"/>
      <c r="AH289" s="406"/>
      <c r="AI289" s="406"/>
      <c r="AJ289" s="406"/>
      <c r="AK289" s="406"/>
      <c r="AL289" s="406"/>
      <c r="AM289" s="406"/>
      <c r="AN289" s="406"/>
      <c r="AO289" s="406"/>
      <c r="AP289" s="406"/>
      <c r="AQ289" s="406"/>
      <c r="AR289" s="406"/>
      <c r="AS289" s="406"/>
      <c r="AT289" s="406"/>
      <c r="AU289" s="406"/>
      <c r="AV289" s="406"/>
      <c r="AW289" s="406"/>
      <c r="AX289" s="406"/>
      <c r="AY289" s="406"/>
      <c r="AZ289" s="406"/>
      <c r="BA289" s="406"/>
      <c r="BB289" s="406"/>
      <c r="BC289" s="406"/>
      <c r="BD289" s="406"/>
      <c r="BE289" s="406"/>
      <c r="BF289" s="406"/>
      <c r="BG289" s="406"/>
      <c r="BH289" s="406"/>
      <c r="BI289" s="406"/>
      <c r="BJ289" s="406"/>
      <c r="BK289" s="406"/>
      <c r="BL289" s="406"/>
      <c r="BM289" s="406"/>
      <c r="BN289" s="406"/>
      <c r="BO289" s="406"/>
      <c r="BP289" s="406"/>
      <c r="BQ289" s="406"/>
      <c r="BR289" s="406"/>
      <c r="BS289" s="406"/>
      <c r="BT289" s="406"/>
      <c r="BU289" s="406"/>
      <c r="BV289" s="406"/>
      <c r="BW289" s="406"/>
      <c r="BX289" s="406"/>
      <c r="BY289" s="406"/>
      <c r="BZ289" s="406"/>
      <c r="CA289" s="406"/>
      <c r="CB289" s="438"/>
      <c r="CC289" s="438"/>
      <c r="CD289" s="438"/>
      <c r="CE289" s="438"/>
      <c r="CF289" s="406"/>
      <c r="CG289" s="406"/>
      <c r="CH289" s="406"/>
      <c r="CI289" s="406"/>
      <c r="CJ289" s="406"/>
      <c r="CK289" s="406"/>
      <c r="CL289" s="406"/>
      <c r="CM289" s="406"/>
      <c r="CN289" s="366"/>
      <c r="CO289" s="366"/>
      <c r="CP289" s="366"/>
      <c r="CQ289" s="366"/>
      <c r="CR289" s="366"/>
      <c r="CS289" s="366"/>
      <c r="CT289" s="187"/>
      <c r="CU289" s="310"/>
      <c r="CV289" s="246"/>
      <c r="CW289" s="255"/>
    </row>
    <row r="290" spans="1:101" ht="18.75" thickTop="1" x14ac:dyDescent="0.2">
      <c r="A290" s="256"/>
      <c r="B290" s="256"/>
      <c r="C290" s="209"/>
      <c r="D290" s="290"/>
      <c r="E290" s="273"/>
      <c r="F290" s="274"/>
      <c r="G290" s="273"/>
      <c r="H290" s="273"/>
      <c r="I290" s="803" t="s">
        <v>39</v>
      </c>
      <c r="J290" s="805"/>
      <c r="K290" s="805"/>
      <c r="L290" s="291"/>
      <c r="M290" s="302"/>
      <c r="N290" s="242"/>
      <c r="O290" s="275"/>
      <c r="P290" s="275"/>
      <c r="Q290" s="808">
        <f>IF($F294="","",SUM(Q306:S306)-S292)</f>
        <v>610</v>
      </c>
      <c r="R290" s="808"/>
      <c r="S290" s="808"/>
      <c r="T290" s="276"/>
      <c r="U290" s="277"/>
      <c r="V290" s="277"/>
      <c r="W290" s="277"/>
      <c r="X290" s="277"/>
      <c r="Y290" s="275"/>
      <c r="Z290" s="808">
        <f>IF($F294="","",SUM(Z306:AB306)-AB292)</f>
        <v>610</v>
      </c>
      <c r="AA290" s="808"/>
      <c r="AB290" s="808"/>
      <c r="AC290" s="276"/>
      <c r="AD290" s="277"/>
      <c r="AE290" s="277"/>
      <c r="AF290" s="277"/>
      <c r="AG290" s="273"/>
      <c r="AH290" s="275"/>
      <c r="AI290" s="808">
        <f>IF($F294="","",SUM(AI306:AK306)-AK292)</f>
        <v>500</v>
      </c>
      <c r="AJ290" s="808"/>
      <c r="AK290" s="808"/>
      <c r="AL290" s="276"/>
      <c r="AM290" s="277"/>
      <c r="AN290" s="277"/>
      <c r="AO290" s="277"/>
      <c r="AP290" s="273"/>
      <c r="AQ290" s="275"/>
      <c r="AR290" s="808">
        <f>IF($F294="","",SUM(AR306:AT306)-AT292)</f>
        <v>550</v>
      </c>
      <c r="AS290" s="808"/>
      <c r="AT290" s="808"/>
      <c r="AU290" s="278"/>
      <c r="AV290" s="277"/>
      <c r="AW290" s="277"/>
      <c r="AX290" s="277"/>
      <c r="AY290" s="279"/>
      <c r="AZ290" s="280"/>
      <c r="BA290" s="808">
        <f>IF($F294="","",SUM(BA306:BC306)-BC292)</f>
        <v>580</v>
      </c>
      <c r="BB290" s="808"/>
      <c r="BC290" s="808"/>
      <c r="BD290" s="278"/>
      <c r="BE290" s="277"/>
      <c r="BF290" s="277"/>
      <c r="BG290" s="277"/>
      <c r="BH290" s="279"/>
      <c r="BI290" s="280"/>
      <c r="BJ290" s="808">
        <f>IF($F294="","",SUM(BJ306:BL306)-BL292)</f>
        <v>490</v>
      </c>
      <c r="BK290" s="808"/>
      <c r="BL290" s="808"/>
      <c r="BM290" s="278"/>
      <c r="BN290" s="277"/>
      <c r="BO290" s="277"/>
      <c r="BP290" s="277"/>
      <c r="BQ290" s="279"/>
      <c r="BR290" s="281"/>
      <c r="BS290" s="808">
        <f>IF($F294="","",SUM(BS306:BU306)-BU292)</f>
        <v>580</v>
      </c>
      <c r="BT290" s="808"/>
      <c r="BU290" s="808"/>
      <c r="BV290" s="280"/>
      <c r="BW290" s="279"/>
      <c r="BX290" s="279"/>
      <c r="BY290" s="279"/>
      <c r="BZ290" s="279"/>
      <c r="CA290" s="281"/>
      <c r="CB290" s="808">
        <f>IF($F294="","",SUM(CB306:CD306)-CD292)</f>
        <v>570</v>
      </c>
      <c r="CC290" s="808"/>
      <c r="CD290" s="808"/>
      <c r="CE290" s="280"/>
      <c r="CF290" s="279"/>
      <c r="CG290" s="279"/>
      <c r="CH290" s="279"/>
      <c r="CI290" s="279"/>
      <c r="CJ290" s="273"/>
      <c r="CK290" s="808">
        <f>IF($F294="","",SUM(CK306:CM306))</f>
        <v>450</v>
      </c>
      <c r="CL290" s="808"/>
      <c r="CM290" s="808"/>
      <c r="CN290" s="280"/>
      <c r="CO290" s="279"/>
      <c r="CP290" s="279"/>
      <c r="CQ290" s="279"/>
      <c r="CR290" s="273"/>
      <c r="CS290" s="273"/>
      <c r="CT290" s="273"/>
      <c r="CU290" s="292"/>
      <c r="CV290" s="246"/>
      <c r="CW290" s="255"/>
    </row>
    <row r="291" spans="1:101" x14ac:dyDescent="0.2">
      <c r="A291" s="256"/>
      <c r="B291" s="256"/>
      <c r="C291" s="209"/>
      <c r="D291" s="916">
        <v>49</v>
      </c>
      <c r="E291" s="588">
        <f>IF(D291="","",DATE($D$4,1,1)+(D291-1)*7+(6-WEEKDAY(DATE($D$4,1,1),2)))</f>
        <v>45997</v>
      </c>
      <c r="F291" s="213"/>
      <c r="G291" s="214"/>
      <c r="H291" s="214"/>
      <c r="I291" s="804">
        <f>IF(ISERROR(AVERAGE(Q290,Z290,AI290,AR290,BA290,BJ290,BS290,CB290,CK290)),"",AVERAGE(Q290,Z290,AI290,AR290,BA290,BJ290,BS290,CB290,CK290))</f>
        <v>548.88888888888891</v>
      </c>
      <c r="J291" s="806"/>
      <c r="K291" s="806"/>
      <c r="L291" s="295"/>
      <c r="M291" s="372"/>
      <c r="N291" s="245"/>
      <c r="O291" s="215"/>
      <c r="P291" s="215"/>
      <c r="Q291" s="710">
        <f>IF(Q290="","",Q290/Data!$X$1)</f>
        <v>0.5083333333333333</v>
      </c>
      <c r="R291" s="710"/>
      <c r="S291" s="711">
        <f>IF(SUM(X294:X305)=0,"",SUM(X294:X305))</f>
        <v>10</v>
      </c>
      <c r="T291" s="216"/>
      <c r="U291" s="217"/>
      <c r="V291" s="217"/>
      <c r="W291" s="217"/>
      <c r="X291" s="217"/>
      <c r="Y291" s="215"/>
      <c r="Z291" s="710">
        <f>IF(Z290="","",Z290/Data!$X$1)</f>
        <v>0.5083333333333333</v>
      </c>
      <c r="AA291" s="710"/>
      <c r="AB291" s="711">
        <f>IF(SUM(AG294:AG305)=0,"",SUM(AG294:AG305))</f>
        <v>7</v>
      </c>
      <c r="AC291" s="216"/>
      <c r="AD291" s="217"/>
      <c r="AE291" s="217"/>
      <c r="AF291" s="217"/>
      <c r="AG291" s="217"/>
      <c r="AH291" s="215"/>
      <c r="AI291" s="710">
        <f>IF(AI290="","",AI290/Data!$X$1)</f>
        <v>0.41666666666666669</v>
      </c>
      <c r="AJ291" s="710"/>
      <c r="AK291" s="711">
        <f>IF(SUM(AP294:AP305)=0,"",SUM(AP294:AP305))</f>
        <v>6</v>
      </c>
      <c r="AL291" s="216"/>
      <c r="AM291" s="217"/>
      <c r="AN291" s="217"/>
      <c r="AO291" s="217"/>
      <c r="AP291" s="217"/>
      <c r="AQ291" s="215"/>
      <c r="AR291" s="710">
        <f>IF(AR290="","",AR290/Data!$X$1)</f>
        <v>0.45833333333333331</v>
      </c>
      <c r="AS291" s="710"/>
      <c r="AT291" s="711">
        <f>IF(SUM(AY294:AY305)=0,"",SUM(AY294:AY305))</f>
        <v>7</v>
      </c>
      <c r="AU291" s="218"/>
      <c r="AV291" s="217"/>
      <c r="AW291" s="217"/>
      <c r="AX291" s="217"/>
      <c r="AY291" s="217"/>
      <c r="AZ291" s="219"/>
      <c r="BA291" s="710">
        <f>IF(BA290="","",BA290/Data!$X$1)</f>
        <v>0.48333333333333334</v>
      </c>
      <c r="BB291" s="710"/>
      <c r="BC291" s="711">
        <f>IF(SUM(BH294:BH305)=0,"",SUM(BH294:BH305))</f>
        <v>7</v>
      </c>
      <c r="BD291" s="218"/>
      <c r="BE291" s="217"/>
      <c r="BF291" s="217"/>
      <c r="BG291" s="217"/>
      <c r="BH291" s="217"/>
      <c r="BI291" s="219"/>
      <c r="BJ291" s="710">
        <f>IF(BJ290="","",BJ290/Data!$X$1)</f>
        <v>0.40833333333333333</v>
      </c>
      <c r="BK291" s="710"/>
      <c r="BL291" s="711">
        <f>IF(SUM(BQ294:BQ305)=0,"",SUM(BQ294:BQ305))</f>
        <v>5</v>
      </c>
      <c r="BM291" s="218"/>
      <c r="BN291" s="217"/>
      <c r="BO291" s="217"/>
      <c r="BP291" s="217"/>
      <c r="BQ291" s="217"/>
      <c r="BR291" s="220"/>
      <c r="BS291" s="710">
        <f>IF(BS290="","",BS290/Data!$X$1)</f>
        <v>0.48333333333333334</v>
      </c>
      <c r="BT291" s="710"/>
      <c r="BU291" s="711">
        <f>IF(SUM(BZ294:BZ305)=0,"",SUM(BZ294:BZ305))</f>
        <v>8</v>
      </c>
      <c r="BV291" s="219"/>
      <c r="BW291" s="217"/>
      <c r="BX291" s="217"/>
      <c r="BY291" s="217"/>
      <c r="BZ291" s="217"/>
      <c r="CA291" s="220"/>
      <c r="CB291" s="710">
        <f>IF(CB290="","",CB290/Data!$X$1)</f>
        <v>0.47499999999999998</v>
      </c>
      <c r="CC291" s="710"/>
      <c r="CD291" s="711">
        <f>IF(SUM(CI294:CI305)=0,"",SUM(CI294:CI305))</f>
        <v>7</v>
      </c>
      <c r="CE291" s="219"/>
      <c r="CF291" s="217"/>
      <c r="CG291" s="217"/>
      <c r="CH291" s="217"/>
      <c r="CI291" s="217"/>
      <c r="CJ291" s="217"/>
      <c r="CK291" s="710">
        <f>IF(CK290="","",CK290/Data!$X$1)</f>
        <v>0.375</v>
      </c>
      <c r="CL291" s="710"/>
      <c r="CM291" s="711">
        <f>IF(SUM(CR294:CR305)=0,"",SUM(CR294:CR305))</f>
        <v>5</v>
      </c>
      <c r="CN291" s="219"/>
      <c r="CO291" s="217"/>
      <c r="CP291" s="217"/>
      <c r="CQ291" s="217"/>
      <c r="CR291" s="217"/>
      <c r="CS291" s="217"/>
      <c r="CT291" s="217"/>
      <c r="CU291" s="296"/>
      <c r="CV291" s="246"/>
      <c r="CW291" s="255"/>
    </row>
    <row r="292" spans="1:101" ht="13.5" thickBot="1" x14ac:dyDescent="0.25">
      <c r="A292" s="256"/>
      <c r="B292" s="256"/>
      <c r="C292" s="209"/>
      <c r="D292" s="269">
        <f>D270+1</f>
        <v>14</v>
      </c>
      <c r="E292" s="402" t="str">
        <f>IF(E291="","Sett inn dato over her",TEXT(E291,"dddd"))</f>
        <v>lørdag</v>
      </c>
      <c r="F292" s="221"/>
      <c r="G292" s="222"/>
      <c r="H292" s="222"/>
      <c r="I292" s="802"/>
      <c r="J292" s="807"/>
      <c r="K292" s="807"/>
      <c r="L292" s="297"/>
      <c r="M292" s="373"/>
      <c r="N292" s="377"/>
      <c r="O292" s="222"/>
      <c r="P292" s="222"/>
      <c r="Q292" s="385" t="str">
        <f>Data!$E$11</f>
        <v>AHH</v>
      </c>
      <c r="R292" s="386">
        <f>IF($F305="","",RANK(Q290,$Q290:$CL290))</f>
        <v>1</v>
      </c>
      <c r="S292" s="510"/>
      <c r="T292" s="216">
        <v>0</v>
      </c>
      <c r="U292" s="217"/>
      <c r="V292" s="217"/>
      <c r="W292" s="217"/>
      <c r="X292" s="217"/>
      <c r="Y292" s="215"/>
      <c r="Z292" s="385" t="str">
        <f>Data!$E$12</f>
        <v>RB</v>
      </c>
      <c r="AA292" s="386">
        <f>IF($F305="","",RANK(Z290,$Q290:$CL290))</f>
        <v>1</v>
      </c>
      <c r="AB292" s="510"/>
      <c r="AC292" s="216"/>
      <c r="AD292" s="217"/>
      <c r="AE292" s="217"/>
      <c r="AF292" s="217"/>
      <c r="AG292" s="217"/>
      <c r="AH292" s="215"/>
      <c r="AI292" s="385" t="str">
        <f>Data!$E$13</f>
        <v>EB</v>
      </c>
      <c r="AJ292" s="386">
        <f>IF($F305="","",RANK(AI290,$Q290:$CL290))</f>
        <v>7</v>
      </c>
      <c r="AK292" s="510"/>
      <c r="AL292" s="216"/>
      <c r="AM292" s="217"/>
      <c r="AN292" s="217"/>
      <c r="AO292" s="217"/>
      <c r="AP292" s="217"/>
      <c r="AQ292" s="215"/>
      <c r="AR292" s="346" t="str">
        <f>Data!$E$14</f>
        <v>KAF</v>
      </c>
      <c r="AS292" s="386">
        <f>IF($F305="","",RANK(AR290,$Q290:$CL290))</f>
        <v>6</v>
      </c>
      <c r="AT292" s="510"/>
      <c r="AU292" s="216"/>
      <c r="AV292" s="217"/>
      <c r="AW292" s="217"/>
      <c r="AX292" s="217"/>
      <c r="AY292" s="217"/>
      <c r="AZ292" s="215"/>
      <c r="BA292" s="346" t="str">
        <f>Data!$E$15</f>
        <v>ØG</v>
      </c>
      <c r="BB292" s="386">
        <f>IF($F305="","",RANK(BA290,$Q290:$CL290))</f>
        <v>3</v>
      </c>
      <c r="BC292" s="510"/>
      <c r="BD292" s="216"/>
      <c r="BE292" s="217"/>
      <c r="BF292" s="217"/>
      <c r="BG292" s="217"/>
      <c r="BH292" s="217"/>
      <c r="BI292" s="215"/>
      <c r="BJ292" s="346" t="str">
        <f>Data!$E$16</f>
        <v>JH</v>
      </c>
      <c r="BK292" s="386">
        <f>IF($F305="","",RANK(BJ290,$Q290:$CL290))</f>
        <v>8</v>
      </c>
      <c r="BL292" s="510"/>
      <c r="BM292" s="216"/>
      <c r="BN292" s="217"/>
      <c r="BO292" s="217"/>
      <c r="BP292" s="217"/>
      <c r="BQ292" s="217"/>
      <c r="BR292" s="223"/>
      <c r="BS292" s="346" t="str">
        <f>Data!$E$17</f>
        <v>TOH</v>
      </c>
      <c r="BT292" s="386">
        <f>IF($F305="","",RANK(BS290,$Q290:$CL290))</f>
        <v>3</v>
      </c>
      <c r="BU292" s="510"/>
      <c r="BV292" s="215"/>
      <c r="BW292" s="217"/>
      <c r="BX292" s="217"/>
      <c r="BY292" s="217"/>
      <c r="BZ292" s="217"/>
      <c r="CA292" s="223"/>
      <c r="CB292" s="346" t="s">
        <v>26</v>
      </c>
      <c r="CC292" s="386">
        <f>IF($F305="","",RANK(CB290,$Q290:$CM290))</f>
        <v>5</v>
      </c>
      <c r="CD292" s="511"/>
      <c r="CE292" s="215"/>
      <c r="CF292" s="217"/>
      <c r="CG292" s="217"/>
      <c r="CH292" s="217"/>
      <c r="CI292" s="217"/>
      <c r="CJ292" s="217"/>
      <c r="CK292" s="346" t="s">
        <v>27</v>
      </c>
      <c r="CL292" s="386">
        <f>IF($F305="","",RANK(CK290,$Q290:$CM290))</f>
        <v>9</v>
      </c>
      <c r="CM292" s="798"/>
      <c r="CN292" s="215"/>
      <c r="CO292" s="217"/>
      <c r="CP292" s="217"/>
      <c r="CQ292" s="217"/>
      <c r="CR292" s="217"/>
      <c r="CS292" s="217"/>
      <c r="CT292" s="217"/>
      <c r="CU292" s="296"/>
      <c r="CV292" s="246"/>
      <c r="CW292" s="255"/>
    </row>
    <row r="293" spans="1:101" ht="13.5" thickBot="1" x14ac:dyDescent="0.25">
      <c r="A293" s="264"/>
      <c r="B293" s="264"/>
      <c r="C293" s="202"/>
      <c r="D293" s="270"/>
      <c r="E293" s="224"/>
      <c r="F293" s="225"/>
      <c r="G293" s="226"/>
      <c r="H293" s="226"/>
      <c r="I293" s="227" t="s">
        <v>45</v>
      </c>
      <c r="J293" s="228" t="s">
        <v>46</v>
      </c>
      <c r="K293" s="229" t="s">
        <v>47</v>
      </c>
      <c r="L293" s="298"/>
      <c r="M293" s="374"/>
      <c r="N293" s="378"/>
      <c r="O293" s="230"/>
      <c r="P293" s="230"/>
      <c r="Q293" s="227" t="s">
        <v>45</v>
      </c>
      <c r="R293" s="228" t="s">
        <v>46</v>
      </c>
      <c r="S293" s="229" t="s">
        <v>47</v>
      </c>
      <c r="T293" s="231"/>
      <c r="U293" s="232"/>
      <c r="V293" s="232"/>
      <c r="W293" s="232"/>
      <c r="X293" s="232"/>
      <c r="Y293" s="230"/>
      <c r="Z293" s="227" t="s">
        <v>45</v>
      </c>
      <c r="AA293" s="228" t="s">
        <v>46</v>
      </c>
      <c r="AB293" s="229" t="s">
        <v>47</v>
      </c>
      <c r="AC293" s="231"/>
      <c r="AD293" s="232"/>
      <c r="AE293" s="232"/>
      <c r="AF293" s="232"/>
      <c r="AG293" s="232"/>
      <c r="AH293" s="230"/>
      <c r="AI293" s="227" t="s">
        <v>45</v>
      </c>
      <c r="AJ293" s="228" t="s">
        <v>46</v>
      </c>
      <c r="AK293" s="229" t="s">
        <v>47</v>
      </c>
      <c r="AL293" s="231"/>
      <c r="AM293" s="232"/>
      <c r="AN293" s="232"/>
      <c r="AO293" s="232"/>
      <c r="AP293" s="232"/>
      <c r="AQ293" s="230"/>
      <c r="AR293" s="227" t="s">
        <v>45</v>
      </c>
      <c r="AS293" s="228" t="s">
        <v>46</v>
      </c>
      <c r="AT293" s="229" t="s">
        <v>47</v>
      </c>
      <c r="AU293" s="231"/>
      <c r="AV293" s="232"/>
      <c r="AW293" s="232"/>
      <c r="AX293" s="232"/>
      <c r="AY293" s="232"/>
      <c r="AZ293" s="230"/>
      <c r="BA293" s="227" t="s">
        <v>45</v>
      </c>
      <c r="BB293" s="228" t="s">
        <v>46</v>
      </c>
      <c r="BC293" s="229" t="s">
        <v>47</v>
      </c>
      <c r="BD293" s="231"/>
      <c r="BE293" s="232"/>
      <c r="BF293" s="232"/>
      <c r="BG293" s="232"/>
      <c r="BH293" s="232"/>
      <c r="BI293" s="230"/>
      <c r="BJ293" s="227" t="s">
        <v>45</v>
      </c>
      <c r="BK293" s="228" t="s">
        <v>46</v>
      </c>
      <c r="BL293" s="229" t="s">
        <v>47</v>
      </c>
      <c r="BM293" s="231"/>
      <c r="BN293" s="232"/>
      <c r="BO293" s="232"/>
      <c r="BP293" s="232"/>
      <c r="BQ293" s="232"/>
      <c r="BR293" s="230"/>
      <c r="BS293" s="227" t="s">
        <v>45</v>
      </c>
      <c r="BT293" s="228" t="s">
        <v>46</v>
      </c>
      <c r="BU293" s="229" t="s">
        <v>47</v>
      </c>
      <c r="BV293" s="231"/>
      <c r="BW293" s="232"/>
      <c r="BX293" s="232"/>
      <c r="BY293" s="232"/>
      <c r="BZ293" s="233"/>
      <c r="CA293" s="230"/>
      <c r="CB293" s="227" t="s">
        <v>45</v>
      </c>
      <c r="CC293" s="228" t="s">
        <v>46</v>
      </c>
      <c r="CD293" s="229" t="s">
        <v>47</v>
      </c>
      <c r="CE293" s="231"/>
      <c r="CF293" s="232"/>
      <c r="CG293" s="232"/>
      <c r="CH293" s="232"/>
      <c r="CI293" s="232"/>
      <c r="CJ293" s="232"/>
      <c r="CK293" s="227" t="s">
        <v>45</v>
      </c>
      <c r="CL293" s="228" t="s">
        <v>46</v>
      </c>
      <c r="CM293" s="229" t="s">
        <v>47</v>
      </c>
      <c r="CN293" s="231"/>
      <c r="CO293" s="232"/>
      <c r="CP293" s="232"/>
      <c r="CQ293" s="232"/>
      <c r="CR293" s="232"/>
      <c r="CS293" s="232"/>
      <c r="CT293" s="234"/>
      <c r="CU293" s="296"/>
      <c r="CV293" s="246"/>
      <c r="CW293" s="265"/>
    </row>
    <row r="294" spans="1:101" x14ac:dyDescent="0.2">
      <c r="A294" s="264"/>
      <c r="B294" s="264"/>
      <c r="C294" s="202"/>
      <c r="D294" s="271">
        <v>1</v>
      </c>
      <c r="E294" s="166" t="s">
        <v>207</v>
      </c>
      <c r="F294" s="468">
        <v>3</v>
      </c>
      <c r="G294" s="472"/>
      <c r="H294" s="473">
        <v>1</v>
      </c>
      <c r="I294" s="170" t="str">
        <f t="shared" ref="I294:I305" si="650">IF($F294&gt;$H294,"x","")</f>
        <v>x</v>
      </c>
      <c r="J294" s="387" t="str">
        <f t="shared" ref="J294:J305" si="651">IF(F294&lt;&gt;"",IF(H294&lt;&gt;"",IF(F294=H294,"x",""),""),"")</f>
        <v/>
      </c>
      <c r="K294" s="388" t="str">
        <f t="shared" ref="K294:K305" si="652">IF($F294&lt;$H294,"x","")</f>
        <v/>
      </c>
      <c r="L294" s="299"/>
      <c r="M294" s="375"/>
      <c r="N294" s="379"/>
      <c r="O294" s="236"/>
      <c r="P294" s="236"/>
      <c r="Q294" s="480">
        <v>40</v>
      </c>
      <c r="R294" s="481">
        <v>30</v>
      </c>
      <c r="S294" s="482">
        <f>IF(Q294="","",100-SUM(Q294:R294))</f>
        <v>30</v>
      </c>
      <c r="T294" s="371"/>
      <c r="U294" s="232">
        <f t="shared" ref="U294:U305" si="653">IF($I294="x",Q294,"")</f>
        <v>40</v>
      </c>
      <c r="V294" s="232" t="str">
        <f t="shared" ref="V294:V305" si="654">IF($J294="x",R294,"")</f>
        <v/>
      </c>
      <c r="W294" s="232" t="str">
        <f t="shared" ref="W294:W305" si="655">IF($K294="x",S294,"")</f>
        <v/>
      </c>
      <c r="X294" s="232">
        <f>IF((MAX(U294,V294,W294))=0,"",IF((MAX(U294,V294,W294))=(MAX(Q294,R294,S294)),1,""))</f>
        <v>1</v>
      </c>
      <c r="Y294" s="371"/>
      <c r="Z294" s="495">
        <v>80</v>
      </c>
      <c r="AA294" s="496">
        <v>10</v>
      </c>
      <c r="AB294" s="482">
        <f t="shared" ref="AB294:AB305" si="656">IF(Z294="","",100-SUM(Z294:AA294))</f>
        <v>10</v>
      </c>
      <c r="AC294" s="371"/>
      <c r="AD294" s="232">
        <f t="shared" ref="AD294:AD305" si="657">IF($I294="x",Z294,"")</f>
        <v>80</v>
      </c>
      <c r="AE294" s="232" t="str">
        <f t="shared" ref="AE294:AE305" si="658">IF($J294="x",AA294,"")</f>
        <v/>
      </c>
      <c r="AF294" s="232" t="str">
        <f t="shared" ref="AF294:AF305" si="659">IF($K294="x",AB294,"")</f>
        <v/>
      </c>
      <c r="AG294" s="232">
        <f>IF((MAX(AD294,AE294,AF294))=0,"",IF((MAX(AD294,AE294,AF294))=(MAX(Z294,AA294,AB294)),1,""))</f>
        <v>1</v>
      </c>
      <c r="AH294" s="371"/>
      <c r="AI294" s="495">
        <v>70</v>
      </c>
      <c r="AJ294" s="496">
        <v>20</v>
      </c>
      <c r="AK294" s="482">
        <f t="shared" ref="AK294:AK305" si="660">IF(AI294="","",100-SUM(AI294:AJ294))</f>
        <v>10</v>
      </c>
      <c r="AL294" s="371"/>
      <c r="AM294" s="232">
        <f t="shared" ref="AM294:AM305" si="661">IF($I294="x",AI294,"")</f>
        <v>70</v>
      </c>
      <c r="AN294" s="232" t="str">
        <f t="shared" ref="AN294:AN305" si="662">IF($J294="x",AJ294,"")</f>
        <v/>
      </c>
      <c r="AO294" s="232" t="str">
        <f t="shared" ref="AO294:AO305" si="663">IF($K294="x",AK294,"")</f>
        <v/>
      </c>
      <c r="AP294" s="232">
        <f>IF((MAX(AM294,AN294,AO294))=0,"",IF((MAX(AM294,AN294,AO294))=(MAX(AI294,AJ294,AK294)),1,""))</f>
        <v>1</v>
      </c>
      <c r="AQ294" s="371"/>
      <c r="AR294" s="495">
        <v>80</v>
      </c>
      <c r="AS294" s="496">
        <v>10</v>
      </c>
      <c r="AT294" s="482">
        <f t="shared" ref="AT294:AT305" si="664">IF(AR294="","",100-SUM(AR294:AS294))</f>
        <v>10</v>
      </c>
      <c r="AU294" s="371"/>
      <c r="AV294" s="232">
        <f t="shared" ref="AV294:AV305" si="665">IF($I294="x",AR294,"")</f>
        <v>80</v>
      </c>
      <c r="AW294" s="232" t="str">
        <f t="shared" ref="AW294:AW305" si="666">IF($J294="x",AS294,"")</f>
        <v/>
      </c>
      <c r="AX294" s="232" t="str">
        <f t="shared" ref="AX294:AX305" si="667">IF($K294="x",AT294,"")</f>
        <v/>
      </c>
      <c r="AY294" s="232">
        <f>IF((MAX(AV294,AW294,AX294))=0,"",IF((MAX(AV294,AW294,AX294))=(MAX(AR294,AS294,AT294)),1,""))</f>
        <v>1</v>
      </c>
      <c r="AZ294" s="371"/>
      <c r="BA294" s="495">
        <v>80</v>
      </c>
      <c r="BB294" s="496">
        <v>10</v>
      </c>
      <c r="BC294" s="482">
        <f t="shared" ref="BC294:BC305" si="668">IF(BA294="","",100-SUM(BA294:BB294))</f>
        <v>10</v>
      </c>
      <c r="BD294" s="371"/>
      <c r="BE294" s="232">
        <f t="shared" ref="BE294:BE305" si="669">IF($I294="x",BA294,"")</f>
        <v>80</v>
      </c>
      <c r="BF294" s="232" t="str">
        <f t="shared" ref="BF294:BF305" si="670">IF($J294="x",BB294,"")</f>
        <v/>
      </c>
      <c r="BG294" s="232" t="str">
        <f t="shared" ref="BG294:BG305" si="671">IF($K294="x",BC294,"")</f>
        <v/>
      </c>
      <c r="BH294" s="232">
        <f>IF((MAX(BE294,BF294,BG294))=0,"",IF((MAX(BE294,BF294,BG294))=(MAX(BA294,BB294,BC294)),1,""))</f>
        <v>1</v>
      </c>
      <c r="BI294" s="371"/>
      <c r="BJ294" s="495">
        <v>80</v>
      </c>
      <c r="BK294" s="496">
        <v>10</v>
      </c>
      <c r="BL294" s="482">
        <f t="shared" ref="BL294:BL305" si="672">IF(BJ294="","",100-SUM(BJ294:BK294))</f>
        <v>10</v>
      </c>
      <c r="BM294" s="371"/>
      <c r="BN294" s="232">
        <f t="shared" ref="BN294:BN305" si="673">IF($I294="x",BJ294,"")</f>
        <v>80</v>
      </c>
      <c r="BO294" s="232" t="str">
        <f t="shared" ref="BO294:BO305" si="674">IF($J294="x",BK294,"")</f>
        <v/>
      </c>
      <c r="BP294" s="232" t="str">
        <f t="shared" ref="BP294:BP305" si="675">IF($K294="x",BL294,"")</f>
        <v/>
      </c>
      <c r="BQ294" s="232">
        <f>IF((MAX(BN294,BO294,BP294))=0,"",IF((MAX(BN294,BO294,BP294))=(MAX(BJ294,BK294,BL294)),1,""))</f>
        <v>1</v>
      </c>
      <c r="BR294" s="371"/>
      <c r="BS294" s="495">
        <v>70</v>
      </c>
      <c r="BT294" s="496">
        <v>10</v>
      </c>
      <c r="BU294" s="482">
        <f t="shared" ref="BU294:BU305" si="676">IF(BS294="","",100-SUM(BS294:BT294))</f>
        <v>20</v>
      </c>
      <c r="BV294" s="371"/>
      <c r="BW294" s="232">
        <f t="shared" ref="BW294:BW305" si="677">IF($I294="x",BS294,"")</f>
        <v>70</v>
      </c>
      <c r="BX294" s="232" t="str">
        <f t="shared" ref="BX294:BX305" si="678">IF($J294="x",BT294,"")</f>
        <v/>
      </c>
      <c r="BY294" s="232" t="str">
        <f t="shared" ref="BY294:BY305" si="679">IF($K294="x",BU294,"")</f>
        <v/>
      </c>
      <c r="BZ294" s="232">
        <f>IF((MAX(BW294,BX294,BY294))=0,"",IF((MAX(BW294,BX294,BY294))=(MAX(BS294,BT294,BU294)),1,""))</f>
        <v>1</v>
      </c>
      <c r="CA294" s="371"/>
      <c r="CB294" s="501">
        <f t="shared" ref="CB294:CB305" si="680">IFERROR(ROUNDUP((SUM(Q294,Z294,AI294,AR294,BA294,BJ294,BS294)/SUM($Q294:$S294,$Z294:$AB294,$AI294:$AK294,$AR294:$AT294,$BA294:$BC294,$BJ294:$BL294,$BS294:$BU294))*100,-1),"")</f>
        <v>80</v>
      </c>
      <c r="CC294" s="502">
        <f t="shared" ref="CC294:CC305" si="681">IFERROR(ROUNDDOWN((SUM(R294,AA294,AJ294,AS294,BB294,BK294,BT294)/SUM($Q294:$S294,$Z294:$AB294,$AI294:$AK294,$AR294:$AT294,$BA294:$BC294,$BJ294:$BL294,$BS294:$BU294))*100,-1),"")</f>
        <v>10</v>
      </c>
      <c r="CD294" s="503">
        <f t="shared" ref="CD294:CD305" si="682">IF(CB294="","",100-SUM(CB294:CC294))</f>
        <v>10</v>
      </c>
      <c r="CE294" s="371"/>
      <c r="CF294" s="232">
        <f t="shared" ref="CF294:CF305" si="683">IF($I294="x",CB294,"")</f>
        <v>80</v>
      </c>
      <c r="CG294" s="232" t="str">
        <f t="shared" ref="CG294:CG305" si="684">IF($J294="x",CC294,"")</f>
        <v/>
      </c>
      <c r="CH294" s="232" t="str">
        <f t="shared" ref="CH294:CH305" si="685">IF($K294="x",CD294,"")</f>
        <v/>
      </c>
      <c r="CI294" s="232">
        <f>IF((MAX(CF294,CG294,CH294))=0,"",IF((MAX(CF294,CG294,CH294))=(MAX(CB294,CC294,CD294)),1,""))</f>
        <v>1</v>
      </c>
      <c r="CJ294" s="232"/>
      <c r="CK294" s="495">
        <v>20</v>
      </c>
      <c r="CL294" s="496">
        <v>20</v>
      </c>
      <c r="CM294" s="482">
        <f t="shared" ref="CM294:CM305" si="686">IF(CK294="","",100-SUM(CK294:CL294))</f>
        <v>60</v>
      </c>
      <c r="CN294" s="371"/>
      <c r="CO294" s="232">
        <f t="shared" ref="CO294:CO305" si="687">IF($I294="x",CK294,"")</f>
        <v>20</v>
      </c>
      <c r="CP294" s="232" t="str">
        <f t="shared" ref="CP294:CP305" si="688">IF($J294="x",CL294,"")</f>
        <v/>
      </c>
      <c r="CQ294" s="232" t="str">
        <f t="shared" ref="CQ294:CQ305" si="689">IF($K294="x",CM294,"")</f>
        <v/>
      </c>
      <c r="CR294" s="232" t="str">
        <f>IF((MAX(CO294,CP294,CQ294))=0,"",IF((MAX(CO294,CP294,CQ294))=(MAX(CK294,CL294,CM294)),1,""))</f>
        <v/>
      </c>
      <c r="CS294" s="232"/>
      <c r="CT294" s="371"/>
      <c r="CU294" s="296"/>
      <c r="CV294" s="246"/>
      <c r="CW294" s="264"/>
    </row>
    <row r="295" spans="1:101" x14ac:dyDescent="0.2">
      <c r="A295" s="264"/>
      <c r="B295" s="264"/>
      <c r="C295" s="202"/>
      <c r="D295" s="271">
        <v>2</v>
      </c>
      <c r="E295" s="167" t="s">
        <v>208</v>
      </c>
      <c r="F295" s="469">
        <v>3</v>
      </c>
      <c r="G295" s="474"/>
      <c r="H295" s="475">
        <v>3</v>
      </c>
      <c r="I295" s="389" t="str">
        <f t="shared" si="650"/>
        <v/>
      </c>
      <c r="J295" s="390" t="str">
        <f t="shared" si="651"/>
        <v>x</v>
      </c>
      <c r="K295" s="391" t="str">
        <f t="shared" si="652"/>
        <v/>
      </c>
      <c r="L295" s="299"/>
      <c r="M295" s="375"/>
      <c r="N295" s="379"/>
      <c r="O295" s="236"/>
      <c r="P295" s="236"/>
      <c r="Q295" s="483">
        <v>20</v>
      </c>
      <c r="R295" s="484">
        <v>20</v>
      </c>
      <c r="S295" s="485">
        <f t="shared" ref="S295:S305" si="690">IF(Q295="","",100-SUM(Q295:R295))</f>
        <v>60</v>
      </c>
      <c r="T295" s="371"/>
      <c r="U295" s="232" t="str">
        <f t="shared" si="653"/>
        <v/>
      </c>
      <c r="V295" s="232">
        <f t="shared" si="654"/>
        <v>20</v>
      </c>
      <c r="W295" s="232" t="str">
        <f t="shared" si="655"/>
        <v/>
      </c>
      <c r="X295" s="232" t="str">
        <f t="shared" ref="X295:X305" si="691">IF((MAX(U295,V295,W295))=0,"",IF((MAX(U295,V295,W295))=(MAX(Q295,R295,S295)),1,""))</f>
        <v/>
      </c>
      <c r="Y295" s="371"/>
      <c r="Z295" s="497">
        <v>10</v>
      </c>
      <c r="AA295" s="498">
        <v>10</v>
      </c>
      <c r="AB295" s="485">
        <f t="shared" si="656"/>
        <v>80</v>
      </c>
      <c r="AC295" s="371"/>
      <c r="AD295" s="232" t="str">
        <f t="shared" si="657"/>
        <v/>
      </c>
      <c r="AE295" s="232">
        <f t="shared" si="658"/>
        <v>10</v>
      </c>
      <c r="AF295" s="232" t="str">
        <f t="shared" si="659"/>
        <v/>
      </c>
      <c r="AG295" s="232" t="str">
        <f t="shared" ref="AG295:AG305" si="692">IF((MAX(AD295,AE295,AF295))=0,"",IF((MAX(AD295,AE295,AF295))=(MAX(Z295,AA295,AB295)),1,""))</f>
        <v/>
      </c>
      <c r="AH295" s="371"/>
      <c r="AI295" s="497">
        <v>40</v>
      </c>
      <c r="AJ295" s="498">
        <v>20</v>
      </c>
      <c r="AK295" s="485">
        <f t="shared" si="660"/>
        <v>40</v>
      </c>
      <c r="AL295" s="371"/>
      <c r="AM295" s="232" t="str">
        <f t="shared" si="661"/>
        <v/>
      </c>
      <c r="AN295" s="232">
        <f t="shared" si="662"/>
        <v>20</v>
      </c>
      <c r="AO295" s="232" t="str">
        <f t="shared" si="663"/>
        <v/>
      </c>
      <c r="AP295" s="232" t="str">
        <f t="shared" ref="AP295:AP305" si="693">IF((MAX(AM295,AN295,AO295))=0,"",IF((MAX(AM295,AN295,AO295))=(MAX(AI295,AJ295,AK295)),1,""))</f>
        <v/>
      </c>
      <c r="AQ295" s="371"/>
      <c r="AR295" s="497">
        <v>30</v>
      </c>
      <c r="AS295" s="498">
        <v>10</v>
      </c>
      <c r="AT295" s="485">
        <f t="shared" si="664"/>
        <v>60</v>
      </c>
      <c r="AU295" s="371"/>
      <c r="AV295" s="232" t="str">
        <f t="shared" si="665"/>
        <v/>
      </c>
      <c r="AW295" s="232">
        <f t="shared" si="666"/>
        <v>10</v>
      </c>
      <c r="AX295" s="232" t="str">
        <f t="shared" si="667"/>
        <v/>
      </c>
      <c r="AY295" s="232" t="str">
        <f t="shared" ref="AY295:AY305" si="694">IF((MAX(AV295,AW295,AX295))=0,"",IF((MAX(AV295,AW295,AX295))=(MAX(AR295,AS295,AT295)),1,""))</f>
        <v/>
      </c>
      <c r="AZ295" s="371"/>
      <c r="BA295" s="497">
        <v>10</v>
      </c>
      <c r="BB295" s="498">
        <v>10</v>
      </c>
      <c r="BC295" s="485">
        <f t="shared" si="668"/>
        <v>80</v>
      </c>
      <c r="BD295" s="371"/>
      <c r="BE295" s="232" t="str">
        <f t="shared" si="669"/>
        <v/>
      </c>
      <c r="BF295" s="232">
        <f t="shared" si="670"/>
        <v>10</v>
      </c>
      <c r="BG295" s="232" t="str">
        <f t="shared" si="671"/>
        <v/>
      </c>
      <c r="BH295" s="232" t="str">
        <f t="shared" ref="BH295:BH305" si="695">IF((MAX(BE295,BF295,BG295))=0,"",IF((MAX(BE295,BF295,BG295))=(MAX(BA295,BB295,BC295)),1,""))</f>
        <v/>
      </c>
      <c r="BI295" s="371"/>
      <c r="BJ295" s="497">
        <v>10</v>
      </c>
      <c r="BK295" s="498">
        <v>10</v>
      </c>
      <c r="BL295" s="485">
        <f t="shared" si="672"/>
        <v>80</v>
      </c>
      <c r="BM295" s="371"/>
      <c r="BN295" s="232" t="str">
        <f t="shared" si="673"/>
        <v/>
      </c>
      <c r="BO295" s="232">
        <f t="shared" si="674"/>
        <v>10</v>
      </c>
      <c r="BP295" s="232" t="str">
        <f t="shared" si="675"/>
        <v/>
      </c>
      <c r="BQ295" s="232" t="str">
        <f t="shared" ref="BQ295:BQ305" si="696">IF((MAX(BN295,BO295,BP295))=0,"",IF((MAX(BN295,BO295,BP295))=(MAX(BJ295,BK295,BL295)),1,""))</f>
        <v/>
      </c>
      <c r="BR295" s="371"/>
      <c r="BS295" s="497">
        <v>30</v>
      </c>
      <c r="BT295" s="498">
        <v>20</v>
      </c>
      <c r="BU295" s="485">
        <f t="shared" si="676"/>
        <v>50</v>
      </c>
      <c r="BV295" s="371"/>
      <c r="BW295" s="232" t="str">
        <f t="shared" si="677"/>
        <v/>
      </c>
      <c r="BX295" s="232">
        <f t="shared" si="678"/>
        <v>20</v>
      </c>
      <c r="BY295" s="232" t="str">
        <f t="shared" si="679"/>
        <v/>
      </c>
      <c r="BZ295" s="232" t="str">
        <f t="shared" ref="BZ295:BZ305" si="697">IF((MAX(BW295,BX295,BY295))=0,"",IF((MAX(BW295,BX295,BY295))=(MAX(BS295,BT295,BU295)),1,""))</f>
        <v/>
      </c>
      <c r="CA295" s="371"/>
      <c r="CB295" s="504">
        <f t="shared" si="680"/>
        <v>30</v>
      </c>
      <c r="CC295" s="505">
        <f t="shared" si="681"/>
        <v>10</v>
      </c>
      <c r="CD295" s="506">
        <f t="shared" si="682"/>
        <v>60</v>
      </c>
      <c r="CE295" s="371"/>
      <c r="CF295" s="232" t="str">
        <f t="shared" si="683"/>
        <v/>
      </c>
      <c r="CG295" s="232">
        <f t="shared" si="684"/>
        <v>10</v>
      </c>
      <c r="CH295" s="232" t="str">
        <f t="shared" si="685"/>
        <v/>
      </c>
      <c r="CI295" s="232" t="str">
        <f t="shared" ref="CI295:CI305" si="698">IF((MAX(CF295,CG295,CH295))=0,"",IF((MAX(CF295,CG295,CH295))=(MAX(CB295,CC295,CD295)),1,""))</f>
        <v/>
      </c>
      <c r="CJ295" s="232"/>
      <c r="CK295" s="497">
        <v>30</v>
      </c>
      <c r="CL295" s="498">
        <v>10</v>
      </c>
      <c r="CM295" s="485">
        <f t="shared" si="686"/>
        <v>60</v>
      </c>
      <c r="CN295" s="371"/>
      <c r="CO295" s="232" t="str">
        <f t="shared" si="687"/>
        <v/>
      </c>
      <c r="CP295" s="232">
        <f t="shared" si="688"/>
        <v>10</v>
      </c>
      <c r="CQ295" s="232" t="str">
        <f t="shared" si="689"/>
        <v/>
      </c>
      <c r="CR295" s="232" t="str">
        <f t="shared" ref="CR295:CR305" si="699">IF((MAX(CO295,CP295,CQ295))=0,"",IF((MAX(CO295,CP295,CQ295))=(MAX(CK295,CL295,CM295)),1,""))</f>
        <v/>
      </c>
      <c r="CS295" s="232"/>
      <c r="CT295" s="371"/>
      <c r="CU295" s="296"/>
      <c r="CV295" s="246"/>
      <c r="CW295" s="264"/>
    </row>
    <row r="296" spans="1:101" ht="13.5" thickBot="1" x14ac:dyDescent="0.25">
      <c r="A296" s="264"/>
      <c r="B296" s="264"/>
      <c r="C296" s="202"/>
      <c r="D296" s="271">
        <v>3</v>
      </c>
      <c r="E296" s="168" t="s">
        <v>209</v>
      </c>
      <c r="F296" s="470">
        <v>0</v>
      </c>
      <c r="G296" s="476"/>
      <c r="H296" s="477">
        <v>0</v>
      </c>
      <c r="I296" s="392" t="str">
        <f t="shared" si="650"/>
        <v/>
      </c>
      <c r="J296" s="393" t="str">
        <f t="shared" si="651"/>
        <v>x</v>
      </c>
      <c r="K296" s="394" t="str">
        <f t="shared" si="652"/>
        <v/>
      </c>
      <c r="L296" s="299"/>
      <c r="M296" s="375"/>
      <c r="N296" s="379"/>
      <c r="O296" s="236"/>
      <c r="P296" s="236"/>
      <c r="Q296" s="486">
        <v>10</v>
      </c>
      <c r="R296" s="487">
        <v>80</v>
      </c>
      <c r="S296" s="488">
        <f t="shared" si="690"/>
        <v>10</v>
      </c>
      <c r="T296" s="371"/>
      <c r="U296" s="232" t="str">
        <f t="shared" si="653"/>
        <v/>
      </c>
      <c r="V296" s="232">
        <f t="shared" si="654"/>
        <v>80</v>
      </c>
      <c r="W296" s="232" t="str">
        <f t="shared" si="655"/>
        <v/>
      </c>
      <c r="X296" s="232">
        <f t="shared" si="691"/>
        <v>1</v>
      </c>
      <c r="Y296" s="371"/>
      <c r="Z296" s="499">
        <v>10</v>
      </c>
      <c r="AA296" s="500">
        <v>10</v>
      </c>
      <c r="AB296" s="488">
        <f t="shared" si="656"/>
        <v>80</v>
      </c>
      <c r="AC296" s="371"/>
      <c r="AD296" s="232" t="str">
        <f t="shared" si="657"/>
        <v/>
      </c>
      <c r="AE296" s="232">
        <f t="shared" si="658"/>
        <v>10</v>
      </c>
      <c r="AF296" s="232" t="str">
        <f t="shared" si="659"/>
        <v/>
      </c>
      <c r="AG296" s="232" t="str">
        <f t="shared" si="692"/>
        <v/>
      </c>
      <c r="AH296" s="371"/>
      <c r="AI296" s="499">
        <v>30</v>
      </c>
      <c r="AJ296" s="500">
        <v>20</v>
      </c>
      <c r="AK296" s="488">
        <f t="shared" si="660"/>
        <v>50</v>
      </c>
      <c r="AL296" s="371"/>
      <c r="AM296" s="232" t="str">
        <f t="shared" si="661"/>
        <v/>
      </c>
      <c r="AN296" s="232">
        <f t="shared" si="662"/>
        <v>20</v>
      </c>
      <c r="AO296" s="232" t="str">
        <f t="shared" si="663"/>
        <v/>
      </c>
      <c r="AP296" s="232" t="str">
        <f t="shared" si="693"/>
        <v/>
      </c>
      <c r="AQ296" s="371"/>
      <c r="AR296" s="499">
        <v>10</v>
      </c>
      <c r="AS296" s="500">
        <v>10</v>
      </c>
      <c r="AT296" s="488">
        <f t="shared" si="664"/>
        <v>80</v>
      </c>
      <c r="AU296" s="371"/>
      <c r="AV296" s="232" t="str">
        <f t="shared" si="665"/>
        <v/>
      </c>
      <c r="AW296" s="232">
        <f t="shared" si="666"/>
        <v>10</v>
      </c>
      <c r="AX296" s="232" t="str">
        <f t="shared" si="667"/>
        <v/>
      </c>
      <c r="AY296" s="232" t="str">
        <f t="shared" si="694"/>
        <v/>
      </c>
      <c r="AZ296" s="371"/>
      <c r="BA296" s="499">
        <v>80</v>
      </c>
      <c r="BB296" s="500">
        <v>10</v>
      </c>
      <c r="BC296" s="488">
        <f t="shared" si="668"/>
        <v>10</v>
      </c>
      <c r="BD296" s="371"/>
      <c r="BE296" s="232" t="str">
        <f t="shared" si="669"/>
        <v/>
      </c>
      <c r="BF296" s="232">
        <f t="shared" si="670"/>
        <v>10</v>
      </c>
      <c r="BG296" s="232" t="str">
        <f t="shared" si="671"/>
        <v/>
      </c>
      <c r="BH296" s="232" t="str">
        <f t="shared" si="695"/>
        <v/>
      </c>
      <c r="BI296" s="371"/>
      <c r="BJ296" s="499">
        <v>10</v>
      </c>
      <c r="BK296" s="500">
        <v>10</v>
      </c>
      <c r="BL296" s="488">
        <f t="shared" si="672"/>
        <v>80</v>
      </c>
      <c r="BM296" s="371"/>
      <c r="BN296" s="232" t="str">
        <f t="shared" si="673"/>
        <v/>
      </c>
      <c r="BO296" s="232">
        <f t="shared" si="674"/>
        <v>10</v>
      </c>
      <c r="BP296" s="232" t="str">
        <f t="shared" si="675"/>
        <v/>
      </c>
      <c r="BQ296" s="232" t="str">
        <f t="shared" si="696"/>
        <v/>
      </c>
      <c r="BR296" s="371"/>
      <c r="BS296" s="499">
        <v>20</v>
      </c>
      <c r="BT296" s="500">
        <v>60</v>
      </c>
      <c r="BU296" s="488">
        <f t="shared" si="676"/>
        <v>20</v>
      </c>
      <c r="BV296" s="371"/>
      <c r="BW296" s="232" t="str">
        <f t="shared" si="677"/>
        <v/>
      </c>
      <c r="BX296" s="232">
        <f t="shared" si="678"/>
        <v>60</v>
      </c>
      <c r="BY296" s="232" t="str">
        <f t="shared" si="679"/>
        <v/>
      </c>
      <c r="BZ296" s="232">
        <f t="shared" si="697"/>
        <v>1</v>
      </c>
      <c r="CA296" s="371"/>
      <c r="CB296" s="507">
        <f t="shared" si="680"/>
        <v>30</v>
      </c>
      <c r="CC296" s="508">
        <f t="shared" si="681"/>
        <v>20</v>
      </c>
      <c r="CD296" s="509">
        <f t="shared" si="682"/>
        <v>50</v>
      </c>
      <c r="CE296" s="371"/>
      <c r="CF296" s="232" t="str">
        <f t="shared" si="683"/>
        <v/>
      </c>
      <c r="CG296" s="232">
        <f t="shared" si="684"/>
        <v>20</v>
      </c>
      <c r="CH296" s="232" t="str">
        <f t="shared" si="685"/>
        <v/>
      </c>
      <c r="CI296" s="232" t="str">
        <f t="shared" si="698"/>
        <v/>
      </c>
      <c r="CJ296" s="232"/>
      <c r="CK296" s="499">
        <v>20</v>
      </c>
      <c r="CL296" s="500">
        <v>20</v>
      </c>
      <c r="CM296" s="488">
        <f t="shared" si="686"/>
        <v>60</v>
      </c>
      <c r="CN296" s="371"/>
      <c r="CO296" s="232" t="str">
        <f t="shared" si="687"/>
        <v/>
      </c>
      <c r="CP296" s="232">
        <f t="shared" si="688"/>
        <v>20</v>
      </c>
      <c r="CQ296" s="232" t="str">
        <f t="shared" si="689"/>
        <v/>
      </c>
      <c r="CR296" s="232" t="str">
        <f t="shared" si="699"/>
        <v/>
      </c>
      <c r="CS296" s="232"/>
      <c r="CT296" s="371"/>
      <c r="CU296" s="296"/>
      <c r="CV296" s="246"/>
      <c r="CW296" s="264"/>
    </row>
    <row r="297" spans="1:101" x14ac:dyDescent="0.2">
      <c r="A297" s="264"/>
      <c r="B297" s="264"/>
      <c r="C297" s="202"/>
      <c r="D297" s="271">
        <v>4</v>
      </c>
      <c r="E297" s="166" t="s">
        <v>210</v>
      </c>
      <c r="F297" s="468">
        <v>3</v>
      </c>
      <c r="G297" s="472"/>
      <c r="H297" s="473">
        <v>0</v>
      </c>
      <c r="I297" s="170" t="str">
        <f t="shared" si="650"/>
        <v>x</v>
      </c>
      <c r="J297" s="387" t="str">
        <f t="shared" si="651"/>
        <v/>
      </c>
      <c r="K297" s="388" t="str">
        <f t="shared" si="652"/>
        <v/>
      </c>
      <c r="L297" s="299"/>
      <c r="M297" s="375"/>
      <c r="N297" s="379"/>
      <c r="O297" s="236"/>
      <c r="P297" s="236"/>
      <c r="Q297" s="480">
        <v>50</v>
      </c>
      <c r="R297" s="481">
        <v>30</v>
      </c>
      <c r="S297" s="482">
        <f t="shared" si="690"/>
        <v>20</v>
      </c>
      <c r="T297" s="371"/>
      <c r="U297" s="232">
        <f t="shared" si="653"/>
        <v>50</v>
      </c>
      <c r="V297" s="232" t="str">
        <f t="shared" si="654"/>
        <v/>
      </c>
      <c r="W297" s="232" t="str">
        <f t="shared" si="655"/>
        <v/>
      </c>
      <c r="X297" s="232">
        <f t="shared" si="691"/>
        <v>1</v>
      </c>
      <c r="Y297" s="371"/>
      <c r="Z297" s="495">
        <v>80</v>
      </c>
      <c r="AA297" s="496">
        <v>10</v>
      </c>
      <c r="AB297" s="482">
        <f t="shared" si="656"/>
        <v>10</v>
      </c>
      <c r="AC297" s="371"/>
      <c r="AD297" s="232">
        <f t="shared" si="657"/>
        <v>80</v>
      </c>
      <c r="AE297" s="232" t="str">
        <f t="shared" si="658"/>
        <v/>
      </c>
      <c r="AF297" s="232" t="str">
        <f t="shared" si="659"/>
        <v/>
      </c>
      <c r="AG297" s="232">
        <f t="shared" si="692"/>
        <v>1</v>
      </c>
      <c r="AH297" s="371"/>
      <c r="AI297" s="495">
        <v>50</v>
      </c>
      <c r="AJ297" s="496">
        <v>30</v>
      </c>
      <c r="AK297" s="482">
        <f t="shared" si="660"/>
        <v>20</v>
      </c>
      <c r="AL297" s="371"/>
      <c r="AM297" s="232">
        <f t="shared" si="661"/>
        <v>50</v>
      </c>
      <c r="AN297" s="232" t="str">
        <f t="shared" si="662"/>
        <v/>
      </c>
      <c r="AO297" s="232" t="str">
        <f t="shared" si="663"/>
        <v/>
      </c>
      <c r="AP297" s="232">
        <f t="shared" si="693"/>
        <v>1</v>
      </c>
      <c r="AQ297" s="371"/>
      <c r="AR297" s="495">
        <v>60</v>
      </c>
      <c r="AS297" s="496">
        <v>30</v>
      </c>
      <c r="AT297" s="482">
        <f t="shared" si="664"/>
        <v>10</v>
      </c>
      <c r="AU297" s="371"/>
      <c r="AV297" s="232">
        <f t="shared" si="665"/>
        <v>60</v>
      </c>
      <c r="AW297" s="232" t="str">
        <f t="shared" si="666"/>
        <v/>
      </c>
      <c r="AX297" s="232" t="str">
        <f t="shared" si="667"/>
        <v/>
      </c>
      <c r="AY297" s="232">
        <f t="shared" si="694"/>
        <v>1</v>
      </c>
      <c r="AZ297" s="371"/>
      <c r="BA297" s="495">
        <v>50</v>
      </c>
      <c r="BB297" s="496">
        <v>40</v>
      </c>
      <c r="BC297" s="482">
        <f t="shared" si="668"/>
        <v>10</v>
      </c>
      <c r="BD297" s="371"/>
      <c r="BE297" s="232">
        <f t="shared" si="669"/>
        <v>50</v>
      </c>
      <c r="BF297" s="232" t="str">
        <f t="shared" si="670"/>
        <v/>
      </c>
      <c r="BG297" s="232" t="str">
        <f t="shared" si="671"/>
        <v/>
      </c>
      <c r="BH297" s="232">
        <f t="shared" si="695"/>
        <v>1</v>
      </c>
      <c r="BI297" s="371"/>
      <c r="BJ297" s="495">
        <v>80</v>
      </c>
      <c r="BK297" s="496">
        <v>10</v>
      </c>
      <c r="BL297" s="482">
        <f t="shared" si="672"/>
        <v>10</v>
      </c>
      <c r="BM297" s="371"/>
      <c r="BN297" s="232">
        <f t="shared" si="673"/>
        <v>80</v>
      </c>
      <c r="BO297" s="232" t="str">
        <f t="shared" si="674"/>
        <v/>
      </c>
      <c r="BP297" s="232" t="str">
        <f t="shared" si="675"/>
        <v/>
      </c>
      <c r="BQ297" s="232">
        <f t="shared" si="696"/>
        <v>1</v>
      </c>
      <c r="BR297" s="371"/>
      <c r="BS297" s="495">
        <v>40</v>
      </c>
      <c r="BT297" s="496">
        <v>30</v>
      </c>
      <c r="BU297" s="482">
        <f t="shared" si="676"/>
        <v>30</v>
      </c>
      <c r="BV297" s="371"/>
      <c r="BW297" s="232">
        <f t="shared" si="677"/>
        <v>40</v>
      </c>
      <c r="BX297" s="232" t="str">
        <f t="shared" si="678"/>
        <v/>
      </c>
      <c r="BY297" s="232" t="str">
        <f t="shared" si="679"/>
        <v/>
      </c>
      <c r="BZ297" s="232">
        <f t="shared" si="697"/>
        <v>1</v>
      </c>
      <c r="CA297" s="371"/>
      <c r="CB297" s="501">
        <f t="shared" si="680"/>
        <v>60</v>
      </c>
      <c r="CC297" s="502">
        <f t="shared" si="681"/>
        <v>20</v>
      </c>
      <c r="CD297" s="503">
        <f t="shared" si="682"/>
        <v>20</v>
      </c>
      <c r="CE297" s="371"/>
      <c r="CF297" s="232">
        <f t="shared" si="683"/>
        <v>60</v>
      </c>
      <c r="CG297" s="232" t="str">
        <f t="shared" si="684"/>
        <v/>
      </c>
      <c r="CH297" s="232" t="str">
        <f t="shared" si="685"/>
        <v/>
      </c>
      <c r="CI297" s="232">
        <f t="shared" si="698"/>
        <v>1</v>
      </c>
      <c r="CJ297" s="232"/>
      <c r="CK297" s="495">
        <v>60</v>
      </c>
      <c r="CL297" s="496">
        <v>30</v>
      </c>
      <c r="CM297" s="482">
        <f t="shared" si="686"/>
        <v>10</v>
      </c>
      <c r="CN297" s="371"/>
      <c r="CO297" s="232">
        <f t="shared" si="687"/>
        <v>60</v>
      </c>
      <c r="CP297" s="232" t="str">
        <f t="shared" si="688"/>
        <v/>
      </c>
      <c r="CQ297" s="232" t="str">
        <f t="shared" si="689"/>
        <v/>
      </c>
      <c r="CR297" s="232">
        <f t="shared" si="699"/>
        <v>1</v>
      </c>
      <c r="CS297" s="232"/>
      <c r="CT297" s="371"/>
      <c r="CU297" s="296"/>
      <c r="CV297" s="246"/>
      <c r="CW297" s="264"/>
    </row>
    <row r="298" spans="1:101" x14ac:dyDescent="0.2">
      <c r="A298" s="264"/>
      <c r="B298" s="264"/>
      <c r="C298" s="202"/>
      <c r="D298" s="271">
        <v>5</v>
      </c>
      <c r="E298" s="167" t="s">
        <v>211</v>
      </c>
      <c r="F298" s="469">
        <v>3</v>
      </c>
      <c r="G298" s="474"/>
      <c r="H298" s="475">
        <v>0</v>
      </c>
      <c r="I298" s="389" t="str">
        <f t="shared" si="650"/>
        <v>x</v>
      </c>
      <c r="J298" s="390" t="str">
        <f t="shared" si="651"/>
        <v/>
      </c>
      <c r="K298" s="391" t="str">
        <f t="shared" si="652"/>
        <v/>
      </c>
      <c r="L298" s="299"/>
      <c r="M298" s="375"/>
      <c r="N298" s="379"/>
      <c r="O298" s="236"/>
      <c r="P298" s="236"/>
      <c r="Q298" s="483">
        <v>80</v>
      </c>
      <c r="R298" s="484">
        <v>10</v>
      </c>
      <c r="S298" s="485">
        <f t="shared" si="690"/>
        <v>10</v>
      </c>
      <c r="T298" s="371"/>
      <c r="U298" s="232">
        <f t="shared" si="653"/>
        <v>80</v>
      </c>
      <c r="V298" s="232" t="str">
        <f t="shared" si="654"/>
        <v/>
      </c>
      <c r="W298" s="232" t="str">
        <f t="shared" si="655"/>
        <v/>
      </c>
      <c r="X298" s="232">
        <f t="shared" si="691"/>
        <v>1</v>
      </c>
      <c r="Y298" s="371"/>
      <c r="Z298" s="497">
        <v>80</v>
      </c>
      <c r="AA298" s="498">
        <v>10</v>
      </c>
      <c r="AB298" s="485">
        <f t="shared" si="656"/>
        <v>10</v>
      </c>
      <c r="AC298" s="371"/>
      <c r="AD298" s="232">
        <f t="shared" si="657"/>
        <v>80</v>
      </c>
      <c r="AE298" s="232" t="str">
        <f t="shared" si="658"/>
        <v/>
      </c>
      <c r="AF298" s="232" t="str">
        <f t="shared" si="659"/>
        <v/>
      </c>
      <c r="AG298" s="232">
        <f t="shared" si="692"/>
        <v>1</v>
      </c>
      <c r="AH298" s="371"/>
      <c r="AI298" s="497">
        <v>80</v>
      </c>
      <c r="AJ298" s="498">
        <v>10</v>
      </c>
      <c r="AK298" s="485">
        <f t="shared" si="660"/>
        <v>10</v>
      </c>
      <c r="AL298" s="371"/>
      <c r="AM298" s="232">
        <f t="shared" si="661"/>
        <v>80</v>
      </c>
      <c r="AN298" s="232" t="str">
        <f t="shared" si="662"/>
        <v/>
      </c>
      <c r="AO298" s="232" t="str">
        <f t="shared" si="663"/>
        <v/>
      </c>
      <c r="AP298" s="232">
        <f t="shared" si="693"/>
        <v>1</v>
      </c>
      <c r="AQ298" s="371"/>
      <c r="AR298" s="497">
        <v>80</v>
      </c>
      <c r="AS298" s="498">
        <v>10</v>
      </c>
      <c r="AT298" s="485">
        <f t="shared" si="664"/>
        <v>10</v>
      </c>
      <c r="AU298" s="371"/>
      <c r="AV298" s="232">
        <f t="shared" si="665"/>
        <v>80</v>
      </c>
      <c r="AW298" s="232" t="str">
        <f t="shared" si="666"/>
        <v/>
      </c>
      <c r="AX298" s="232" t="str">
        <f t="shared" si="667"/>
        <v/>
      </c>
      <c r="AY298" s="232">
        <f t="shared" si="694"/>
        <v>1</v>
      </c>
      <c r="AZ298" s="371"/>
      <c r="BA298" s="497">
        <v>80</v>
      </c>
      <c r="BB298" s="498">
        <v>10</v>
      </c>
      <c r="BC298" s="485">
        <f t="shared" si="668"/>
        <v>10</v>
      </c>
      <c r="BD298" s="371"/>
      <c r="BE298" s="232">
        <f t="shared" si="669"/>
        <v>80</v>
      </c>
      <c r="BF298" s="232" t="str">
        <f t="shared" si="670"/>
        <v/>
      </c>
      <c r="BG298" s="232" t="str">
        <f t="shared" si="671"/>
        <v/>
      </c>
      <c r="BH298" s="232">
        <f t="shared" si="695"/>
        <v>1</v>
      </c>
      <c r="BI298" s="371"/>
      <c r="BJ298" s="497">
        <v>80</v>
      </c>
      <c r="BK298" s="498">
        <v>10</v>
      </c>
      <c r="BL298" s="485">
        <f t="shared" si="672"/>
        <v>10</v>
      </c>
      <c r="BM298" s="371"/>
      <c r="BN298" s="232">
        <f t="shared" si="673"/>
        <v>80</v>
      </c>
      <c r="BO298" s="232" t="str">
        <f t="shared" si="674"/>
        <v/>
      </c>
      <c r="BP298" s="232" t="str">
        <f t="shared" si="675"/>
        <v/>
      </c>
      <c r="BQ298" s="232">
        <f t="shared" si="696"/>
        <v>1</v>
      </c>
      <c r="BR298" s="371"/>
      <c r="BS298" s="497">
        <v>60</v>
      </c>
      <c r="BT298" s="498">
        <v>20</v>
      </c>
      <c r="BU298" s="485">
        <f t="shared" si="676"/>
        <v>20</v>
      </c>
      <c r="BV298" s="371"/>
      <c r="BW298" s="232">
        <f t="shared" si="677"/>
        <v>60</v>
      </c>
      <c r="BX298" s="232" t="str">
        <f t="shared" si="678"/>
        <v/>
      </c>
      <c r="BY298" s="232" t="str">
        <f t="shared" si="679"/>
        <v/>
      </c>
      <c r="BZ298" s="232">
        <f t="shared" si="697"/>
        <v>1</v>
      </c>
      <c r="CA298" s="371"/>
      <c r="CB298" s="504">
        <f t="shared" si="680"/>
        <v>80</v>
      </c>
      <c r="CC298" s="505">
        <f t="shared" si="681"/>
        <v>10</v>
      </c>
      <c r="CD298" s="506">
        <f t="shared" si="682"/>
        <v>10</v>
      </c>
      <c r="CE298" s="371"/>
      <c r="CF298" s="232">
        <f t="shared" si="683"/>
        <v>80</v>
      </c>
      <c r="CG298" s="232" t="str">
        <f t="shared" si="684"/>
        <v/>
      </c>
      <c r="CH298" s="232" t="str">
        <f t="shared" si="685"/>
        <v/>
      </c>
      <c r="CI298" s="232">
        <f t="shared" si="698"/>
        <v>1</v>
      </c>
      <c r="CJ298" s="232"/>
      <c r="CK298" s="497">
        <v>80</v>
      </c>
      <c r="CL298" s="498">
        <v>10</v>
      </c>
      <c r="CM298" s="485">
        <f t="shared" si="686"/>
        <v>10</v>
      </c>
      <c r="CN298" s="371"/>
      <c r="CO298" s="232">
        <f t="shared" si="687"/>
        <v>80</v>
      </c>
      <c r="CP298" s="232" t="str">
        <f t="shared" si="688"/>
        <v/>
      </c>
      <c r="CQ298" s="232" t="str">
        <f t="shared" si="689"/>
        <v/>
      </c>
      <c r="CR298" s="232">
        <f t="shared" si="699"/>
        <v>1</v>
      </c>
      <c r="CS298" s="232"/>
      <c r="CT298" s="371"/>
      <c r="CU298" s="296"/>
      <c r="CV298" s="246"/>
      <c r="CW298" s="264"/>
    </row>
    <row r="299" spans="1:101" ht="13.5" thickBot="1" x14ac:dyDescent="0.25">
      <c r="A299" s="264"/>
      <c r="B299" s="264"/>
      <c r="C299" s="202"/>
      <c r="D299" s="271">
        <v>6</v>
      </c>
      <c r="E299" s="168" t="s">
        <v>212</v>
      </c>
      <c r="F299" s="470">
        <v>2</v>
      </c>
      <c r="G299" s="476"/>
      <c r="H299" s="477">
        <v>1</v>
      </c>
      <c r="I299" s="392" t="str">
        <f t="shared" si="650"/>
        <v>x</v>
      </c>
      <c r="J299" s="393" t="str">
        <f t="shared" si="651"/>
        <v/>
      </c>
      <c r="K299" s="394" t="str">
        <f t="shared" si="652"/>
        <v/>
      </c>
      <c r="L299" s="299"/>
      <c r="M299" s="375"/>
      <c r="N299" s="379"/>
      <c r="O299" s="236"/>
      <c r="P299" s="236"/>
      <c r="Q299" s="489">
        <v>70</v>
      </c>
      <c r="R299" s="490">
        <v>20</v>
      </c>
      <c r="S299" s="491">
        <f t="shared" si="690"/>
        <v>10</v>
      </c>
      <c r="T299" s="371"/>
      <c r="U299" s="232">
        <f t="shared" si="653"/>
        <v>70</v>
      </c>
      <c r="V299" s="232" t="str">
        <f t="shared" si="654"/>
        <v/>
      </c>
      <c r="W299" s="232" t="str">
        <f t="shared" si="655"/>
        <v/>
      </c>
      <c r="X299" s="232">
        <f t="shared" si="691"/>
        <v>1</v>
      </c>
      <c r="Y299" s="371"/>
      <c r="Z299" s="499">
        <v>80</v>
      </c>
      <c r="AA299" s="500">
        <v>10</v>
      </c>
      <c r="AB299" s="491">
        <f t="shared" si="656"/>
        <v>10</v>
      </c>
      <c r="AC299" s="371"/>
      <c r="AD299" s="232">
        <f t="shared" si="657"/>
        <v>80</v>
      </c>
      <c r="AE299" s="232" t="str">
        <f t="shared" si="658"/>
        <v/>
      </c>
      <c r="AF299" s="232" t="str">
        <f t="shared" si="659"/>
        <v/>
      </c>
      <c r="AG299" s="232">
        <f t="shared" si="692"/>
        <v>1</v>
      </c>
      <c r="AH299" s="371"/>
      <c r="AI299" s="499">
        <v>70</v>
      </c>
      <c r="AJ299" s="500">
        <v>20</v>
      </c>
      <c r="AK299" s="491">
        <f t="shared" si="660"/>
        <v>10</v>
      </c>
      <c r="AL299" s="371"/>
      <c r="AM299" s="232">
        <f t="shared" si="661"/>
        <v>70</v>
      </c>
      <c r="AN299" s="232" t="str">
        <f t="shared" si="662"/>
        <v/>
      </c>
      <c r="AO299" s="232" t="str">
        <f t="shared" si="663"/>
        <v/>
      </c>
      <c r="AP299" s="232">
        <f t="shared" si="693"/>
        <v>1</v>
      </c>
      <c r="AQ299" s="371"/>
      <c r="AR299" s="499">
        <v>80</v>
      </c>
      <c r="AS299" s="500">
        <v>10</v>
      </c>
      <c r="AT299" s="491">
        <f t="shared" si="664"/>
        <v>10</v>
      </c>
      <c r="AU299" s="371"/>
      <c r="AV299" s="232">
        <f t="shared" si="665"/>
        <v>80</v>
      </c>
      <c r="AW299" s="232" t="str">
        <f t="shared" si="666"/>
        <v/>
      </c>
      <c r="AX299" s="232" t="str">
        <f t="shared" si="667"/>
        <v/>
      </c>
      <c r="AY299" s="232">
        <f t="shared" si="694"/>
        <v>1</v>
      </c>
      <c r="AZ299" s="371"/>
      <c r="BA299" s="499">
        <v>80</v>
      </c>
      <c r="BB299" s="500">
        <v>10</v>
      </c>
      <c r="BC299" s="491">
        <f t="shared" si="668"/>
        <v>10</v>
      </c>
      <c r="BD299" s="371"/>
      <c r="BE299" s="232">
        <f t="shared" si="669"/>
        <v>80</v>
      </c>
      <c r="BF299" s="232" t="str">
        <f t="shared" si="670"/>
        <v/>
      </c>
      <c r="BG299" s="232" t="str">
        <f t="shared" si="671"/>
        <v/>
      </c>
      <c r="BH299" s="232">
        <f t="shared" si="695"/>
        <v>1</v>
      </c>
      <c r="BI299" s="371"/>
      <c r="BJ299" s="499">
        <v>80</v>
      </c>
      <c r="BK299" s="500">
        <v>10</v>
      </c>
      <c r="BL299" s="491">
        <f t="shared" si="672"/>
        <v>10</v>
      </c>
      <c r="BM299" s="371"/>
      <c r="BN299" s="232">
        <f t="shared" si="673"/>
        <v>80</v>
      </c>
      <c r="BO299" s="232" t="str">
        <f t="shared" si="674"/>
        <v/>
      </c>
      <c r="BP299" s="232" t="str">
        <f t="shared" si="675"/>
        <v/>
      </c>
      <c r="BQ299" s="232">
        <f t="shared" si="696"/>
        <v>1</v>
      </c>
      <c r="BR299" s="371"/>
      <c r="BS299" s="499">
        <v>80</v>
      </c>
      <c r="BT299" s="500">
        <v>10</v>
      </c>
      <c r="BU299" s="491">
        <f t="shared" si="676"/>
        <v>10</v>
      </c>
      <c r="BV299" s="371"/>
      <c r="BW299" s="232">
        <f t="shared" si="677"/>
        <v>80</v>
      </c>
      <c r="BX299" s="232" t="str">
        <f t="shared" si="678"/>
        <v/>
      </c>
      <c r="BY299" s="232" t="str">
        <f t="shared" si="679"/>
        <v/>
      </c>
      <c r="BZ299" s="232">
        <f t="shared" si="697"/>
        <v>1</v>
      </c>
      <c r="CA299" s="371"/>
      <c r="CB299" s="507">
        <f t="shared" si="680"/>
        <v>80</v>
      </c>
      <c r="CC299" s="508">
        <f t="shared" si="681"/>
        <v>10</v>
      </c>
      <c r="CD299" s="509">
        <f t="shared" si="682"/>
        <v>10</v>
      </c>
      <c r="CE299" s="371"/>
      <c r="CF299" s="232">
        <f t="shared" si="683"/>
        <v>80</v>
      </c>
      <c r="CG299" s="232" t="str">
        <f t="shared" si="684"/>
        <v/>
      </c>
      <c r="CH299" s="232" t="str">
        <f t="shared" si="685"/>
        <v/>
      </c>
      <c r="CI299" s="232">
        <f t="shared" si="698"/>
        <v>1</v>
      </c>
      <c r="CJ299" s="232"/>
      <c r="CK299" s="499">
        <v>80</v>
      </c>
      <c r="CL299" s="500">
        <v>10</v>
      </c>
      <c r="CM299" s="491">
        <f t="shared" si="686"/>
        <v>10</v>
      </c>
      <c r="CN299" s="371"/>
      <c r="CO299" s="232">
        <f t="shared" si="687"/>
        <v>80</v>
      </c>
      <c r="CP299" s="232" t="str">
        <f t="shared" si="688"/>
        <v/>
      </c>
      <c r="CQ299" s="232" t="str">
        <f t="shared" si="689"/>
        <v/>
      </c>
      <c r="CR299" s="232">
        <f t="shared" si="699"/>
        <v>1</v>
      </c>
      <c r="CS299" s="232"/>
      <c r="CT299" s="371"/>
      <c r="CU299" s="296"/>
      <c r="CV299" s="246"/>
      <c r="CW299" s="264"/>
    </row>
    <row r="300" spans="1:101" x14ac:dyDescent="0.2">
      <c r="A300" s="264"/>
      <c r="B300" s="264"/>
      <c r="C300" s="202"/>
      <c r="D300" s="271">
        <v>7</v>
      </c>
      <c r="E300" s="166" t="s">
        <v>213</v>
      </c>
      <c r="F300" s="468">
        <v>2</v>
      </c>
      <c r="G300" s="472"/>
      <c r="H300" s="473">
        <v>0</v>
      </c>
      <c r="I300" s="170" t="str">
        <f t="shared" si="650"/>
        <v>x</v>
      </c>
      <c r="J300" s="387" t="str">
        <f t="shared" si="651"/>
        <v/>
      </c>
      <c r="K300" s="388" t="str">
        <f t="shared" si="652"/>
        <v/>
      </c>
      <c r="L300" s="299"/>
      <c r="M300" s="375"/>
      <c r="N300" s="379"/>
      <c r="O300" s="236"/>
      <c r="P300" s="236"/>
      <c r="Q300" s="480">
        <v>40</v>
      </c>
      <c r="R300" s="481">
        <v>30</v>
      </c>
      <c r="S300" s="482">
        <f t="shared" si="690"/>
        <v>30</v>
      </c>
      <c r="T300" s="371"/>
      <c r="U300" s="232">
        <f t="shared" si="653"/>
        <v>40</v>
      </c>
      <c r="V300" s="232" t="str">
        <f t="shared" si="654"/>
        <v/>
      </c>
      <c r="W300" s="232" t="str">
        <f t="shared" si="655"/>
        <v/>
      </c>
      <c r="X300" s="232">
        <f t="shared" si="691"/>
        <v>1</v>
      </c>
      <c r="Y300" s="371"/>
      <c r="Z300" s="495">
        <v>80</v>
      </c>
      <c r="AA300" s="496">
        <v>10</v>
      </c>
      <c r="AB300" s="482">
        <f t="shared" si="656"/>
        <v>10</v>
      </c>
      <c r="AC300" s="371"/>
      <c r="AD300" s="232">
        <f t="shared" si="657"/>
        <v>80</v>
      </c>
      <c r="AE300" s="232" t="str">
        <f t="shared" si="658"/>
        <v/>
      </c>
      <c r="AF300" s="232" t="str">
        <f t="shared" si="659"/>
        <v/>
      </c>
      <c r="AG300" s="232">
        <f t="shared" si="692"/>
        <v>1</v>
      </c>
      <c r="AH300" s="371"/>
      <c r="AI300" s="495">
        <v>30</v>
      </c>
      <c r="AJ300" s="496">
        <v>30</v>
      </c>
      <c r="AK300" s="482">
        <f t="shared" si="660"/>
        <v>40</v>
      </c>
      <c r="AL300" s="371"/>
      <c r="AM300" s="232">
        <f t="shared" si="661"/>
        <v>30</v>
      </c>
      <c r="AN300" s="232" t="str">
        <f t="shared" si="662"/>
        <v/>
      </c>
      <c r="AO300" s="232" t="str">
        <f t="shared" si="663"/>
        <v/>
      </c>
      <c r="AP300" s="232" t="str">
        <f t="shared" si="693"/>
        <v/>
      </c>
      <c r="AQ300" s="371"/>
      <c r="AR300" s="495">
        <v>50</v>
      </c>
      <c r="AS300" s="496">
        <v>30</v>
      </c>
      <c r="AT300" s="482">
        <f t="shared" si="664"/>
        <v>20</v>
      </c>
      <c r="AU300" s="371"/>
      <c r="AV300" s="232">
        <f t="shared" si="665"/>
        <v>50</v>
      </c>
      <c r="AW300" s="232" t="str">
        <f t="shared" si="666"/>
        <v/>
      </c>
      <c r="AX300" s="232" t="str">
        <f t="shared" si="667"/>
        <v/>
      </c>
      <c r="AY300" s="232">
        <f t="shared" si="694"/>
        <v>1</v>
      </c>
      <c r="AZ300" s="371"/>
      <c r="BA300" s="495">
        <v>80</v>
      </c>
      <c r="BB300" s="496">
        <v>10</v>
      </c>
      <c r="BC300" s="482">
        <f t="shared" si="668"/>
        <v>10</v>
      </c>
      <c r="BD300" s="371"/>
      <c r="BE300" s="232">
        <f t="shared" si="669"/>
        <v>80</v>
      </c>
      <c r="BF300" s="232" t="str">
        <f t="shared" si="670"/>
        <v/>
      </c>
      <c r="BG300" s="232" t="str">
        <f t="shared" si="671"/>
        <v/>
      </c>
      <c r="BH300" s="232">
        <f t="shared" si="695"/>
        <v>1</v>
      </c>
      <c r="BI300" s="371"/>
      <c r="BJ300" s="495">
        <v>30</v>
      </c>
      <c r="BK300" s="496">
        <v>40</v>
      </c>
      <c r="BL300" s="482">
        <f t="shared" si="672"/>
        <v>30</v>
      </c>
      <c r="BM300" s="371"/>
      <c r="BN300" s="232">
        <f t="shared" si="673"/>
        <v>30</v>
      </c>
      <c r="BO300" s="232" t="str">
        <f t="shared" si="674"/>
        <v/>
      </c>
      <c r="BP300" s="232" t="str">
        <f t="shared" si="675"/>
        <v/>
      </c>
      <c r="BQ300" s="232" t="str">
        <f t="shared" si="696"/>
        <v/>
      </c>
      <c r="BR300" s="371"/>
      <c r="BS300" s="495">
        <v>40</v>
      </c>
      <c r="BT300" s="496">
        <v>10</v>
      </c>
      <c r="BU300" s="482">
        <f t="shared" si="676"/>
        <v>50</v>
      </c>
      <c r="BV300" s="371"/>
      <c r="BW300" s="232">
        <f t="shared" si="677"/>
        <v>40</v>
      </c>
      <c r="BX300" s="232" t="str">
        <f t="shared" si="678"/>
        <v/>
      </c>
      <c r="BY300" s="232" t="str">
        <f t="shared" si="679"/>
        <v/>
      </c>
      <c r="BZ300" s="232" t="str">
        <f t="shared" si="697"/>
        <v/>
      </c>
      <c r="CA300" s="371"/>
      <c r="CB300" s="501">
        <f t="shared" si="680"/>
        <v>50</v>
      </c>
      <c r="CC300" s="502">
        <f t="shared" si="681"/>
        <v>20</v>
      </c>
      <c r="CD300" s="503">
        <f t="shared" si="682"/>
        <v>30</v>
      </c>
      <c r="CE300" s="371"/>
      <c r="CF300" s="232">
        <f t="shared" si="683"/>
        <v>50</v>
      </c>
      <c r="CG300" s="232" t="str">
        <f t="shared" si="684"/>
        <v/>
      </c>
      <c r="CH300" s="232" t="str">
        <f t="shared" si="685"/>
        <v/>
      </c>
      <c r="CI300" s="232">
        <f t="shared" si="698"/>
        <v>1</v>
      </c>
      <c r="CJ300" s="232"/>
      <c r="CK300" s="495">
        <v>30</v>
      </c>
      <c r="CL300" s="496">
        <v>40</v>
      </c>
      <c r="CM300" s="482">
        <f t="shared" si="686"/>
        <v>30</v>
      </c>
      <c r="CN300" s="371"/>
      <c r="CO300" s="232">
        <f t="shared" si="687"/>
        <v>30</v>
      </c>
      <c r="CP300" s="232" t="str">
        <f t="shared" si="688"/>
        <v/>
      </c>
      <c r="CQ300" s="232" t="str">
        <f t="shared" si="689"/>
        <v/>
      </c>
      <c r="CR300" s="232" t="str">
        <f t="shared" si="699"/>
        <v/>
      </c>
      <c r="CS300" s="232"/>
      <c r="CT300" s="371"/>
      <c r="CU300" s="300"/>
      <c r="CV300" s="246"/>
      <c r="CW300" s="264"/>
    </row>
    <row r="301" spans="1:101" x14ac:dyDescent="0.2">
      <c r="A301" s="264"/>
      <c r="B301" s="264"/>
      <c r="C301" s="202"/>
      <c r="D301" s="271">
        <v>8</v>
      </c>
      <c r="E301" s="167" t="s">
        <v>214</v>
      </c>
      <c r="F301" s="469">
        <v>3</v>
      </c>
      <c r="G301" s="474"/>
      <c r="H301" s="475">
        <v>0</v>
      </c>
      <c r="I301" s="389" t="str">
        <f t="shared" si="650"/>
        <v>x</v>
      </c>
      <c r="J301" s="390" t="str">
        <f t="shared" si="651"/>
        <v/>
      </c>
      <c r="K301" s="391" t="str">
        <f t="shared" si="652"/>
        <v/>
      </c>
      <c r="L301" s="299"/>
      <c r="M301" s="375"/>
      <c r="N301" s="379"/>
      <c r="O301" s="236"/>
      <c r="P301" s="236"/>
      <c r="Q301" s="483">
        <v>80</v>
      </c>
      <c r="R301" s="484">
        <v>10</v>
      </c>
      <c r="S301" s="485">
        <f t="shared" si="690"/>
        <v>10</v>
      </c>
      <c r="T301" s="371"/>
      <c r="U301" s="232">
        <f t="shared" si="653"/>
        <v>80</v>
      </c>
      <c r="V301" s="232" t="str">
        <f t="shared" si="654"/>
        <v/>
      </c>
      <c r="W301" s="232" t="str">
        <f t="shared" si="655"/>
        <v/>
      </c>
      <c r="X301" s="232">
        <f t="shared" si="691"/>
        <v>1</v>
      </c>
      <c r="Y301" s="371"/>
      <c r="Z301" s="497">
        <v>80</v>
      </c>
      <c r="AA301" s="498">
        <v>10</v>
      </c>
      <c r="AB301" s="485">
        <f t="shared" si="656"/>
        <v>10</v>
      </c>
      <c r="AC301" s="371"/>
      <c r="AD301" s="232">
        <f t="shared" si="657"/>
        <v>80</v>
      </c>
      <c r="AE301" s="232" t="str">
        <f t="shared" si="658"/>
        <v/>
      </c>
      <c r="AF301" s="232" t="str">
        <f t="shared" si="659"/>
        <v/>
      </c>
      <c r="AG301" s="232">
        <f t="shared" si="692"/>
        <v>1</v>
      </c>
      <c r="AH301" s="371"/>
      <c r="AI301" s="497">
        <v>20</v>
      </c>
      <c r="AJ301" s="498">
        <v>10</v>
      </c>
      <c r="AK301" s="485">
        <f t="shared" si="660"/>
        <v>70</v>
      </c>
      <c r="AL301" s="371"/>
      <c r="AM301" s="232">
        <f t="shared" si="661"/>
        <v>20</v>
      </c>
      <c r="AN301" s="232" t="str">
        <f t="shared" si="662"/>
        <v/>
      </c>
      <c r="AO301" s="232" t="str">
        <f t="shared" si="663"/>
        <v/>
      </c>
      <c r="AP301" s="232" t="str">
        <f t="shared" si="693"/>
        <v/>
      </c>
      <c r="AQ301" s="371"/>
      <c r="AR301" s="497">
        <v>10</v>
      </c>
      <c r="AS301" s="498">
        <v>40</v>
      </c>
      <c r="AT301" s="485">
        <f t="shared" si="664"/>
        <v>50</v>
      </c>
      <c r="AU301" s="371"/>
      <c r="AV301" s="232">
        <f t="shared" si="665"/>
        <v>10</v>
      </c>
      <c r="AW301" s="232" t="str">
        <f t="shared" si="666"/>
        <v/>
      </c>
      <c r="AX301" s="232" t="str">
        <f t="shared" si="667"/>
        <v/>
      </c>
      <c r="AY301" s="232" t="str">
        <f t="shared" si="694"/>
        <v/>
      </c>
      <c r="AZ301" s="371"/>
      <c r="BA301" s="497">
        <v>10</v>
      </c>
      <c r="BB301" s="498">
        <v>10</v>
      </c>
      <c r="BC301" s="485">
        <f t="shared" si="668"/>
        <v>80</v>
      </c>
      <c r="BD301" s="371"/>
      <c r="BE301" s="232">
        <f t="shared" si="669"/>
        <v>10</v>
      </c>
      <c r="BF301" s="232" t="str">
        <f t="shared" si="670"/>
        <v/>
      </c>
      <c r="BG301" s="232" t="str">
        <f t="shared" si="671"/>
        <v/>
      </c>
      <c r="BH301" s="232" t="str">
        <f t="shared" si="695"/>
        <v/>
      </c>
      <c r="BI301" s="371"/>
      <c r="BJ301" s="497">
        <v>10</v>
      </c>
      <c r="BK301" s="498">
        <v>10</v>
      </c>
      <c r="BL301" s="485">
        <f t="shared" si="672"/>
        <v>80</v>
      </c>
      <c r="BM301" s="371"/>
      <c r="BN301" s="232">
        <f t="shared" si="673"/>
        <v>10</v>
      </c>
      <c r="BO301" s="232" t="str">
        <f t="shared" si="674"/>
        <v/>
      </c>
      <c r="BP301" s="232" t="str">
        <f t="shared" si="675"/>
        <v/>
      </c>
      <c r="BQ301" s="232" t="str">
        <f t="shared" si="696"/>
        <v/>
      </c>
      <c r="BR301" s="371"/>
      <c r="BS301" s="497">
        <v>70</v>
      </c>
      <c r="BT301" s="498">
        <v>20</v>
      </c>
      <c r="BU301" s="485">
        <f t="shared" si="676"/>
        <v>10</v>
      </c>
      <c r="BV301" s="371"/>
      <c r="BW301" s="232">
        <f t="shared" si="677"/>
        <v>70</v>
      </c>
      <c r="BX301" s="232" t="str">
        <f t="shared" si="678"/>
        <v/>
      </c>
      <c r="BY301" s="232" t="str">
        <f t="shared" si="679"/>
        <v/>
      </c>
      <c r="BZ301" s="232">
        <f t="shared" si="697"/>
        <v>1</v>
      </c>
      <c r="CA301" s="371"/>
      <c r="CB301" s="504">
        <f t="shared" si="680"/>
        <v>40</v>
      </c>
      <c r="CC301" s="505">
        <f t="shared" si="681"/>
        <v>10</v>
      </c>
      <c r="CD301" s="506">
        <f t="shared" si="682"/>
        <v>50</v>
      </c>
      <c r="CE301" s="371"/>
      <c r="CF301" s="232">
        <f t="shared" si="683"/>
        <v>40</v>
      </c>
      <c r="CG301" s="232" t="str">
        <f t="shared" si="684"/>
        <v/>
      </c>
      <c r="CH301" s="232" t="str">
        <f t="shared" si="685"/>
        <v/>
      </c>
      <c r="CI301" s="232" t="str">
        <f t="shared" si="698"/>
        <v/>
      </c>
      <c r="CJ301" s="232"/>
      <c r="CK301" s="497">
        <v>10</v>
      </c>
      <c r="CL301" s="498">
        <v>10</v>
      </c>
      <c r="CM301" s="485">
        <f t="shared" si="686"/>
        <v>80</v>
      </c>
      <c r="CN301" s="371"/>
      <c r="CO301" s="232">
        <f t="shared" si="687"/>
        <v>10</v>
      </c>
      <c r="CP301" s="232" t="str">
        <f t="shared" si="688"/>
        <v/>
      </c>
      <c r="CQ301" s="232" t="str">
        <f t="shared" si="689"/>
        <v/>
      </c>
      <c r="CR301" s="232" t="str">
        <f t="shared" si="699"/>
        <v/>
      </c>
      <c r="CS301" s="232"/>
      <c r="CT301" s="371"/>
      <c r="CU301" s="300"/>
      <c r="CV301" s="246"/>
      <c r="CW301" s="264"/>
    </row>
    <row r="302" spans="1:101" ht="13.5" thickBot="1" x14ac:dyDescent="0.25">
      <c r="A302" s="264"/>
      <c r="B302" s="264"/>
      <c r="C302" s="202"/>
      <c r="D302" s="271">
        <v>9</v>
      </c>
      <c r="E302" s="168" t="s">
        <v>215</v>
      </c>
      <c r="F302" s="470">
        <v>1</v>
      </c>
      <c r="G302" s="476"/>
      <c r="H302" s="477">
        <v>1</v>
      </c>
      <c r="I302" s="392" t="str">
        <f t="shared" si="650"/>
        <v/>
      </c>
      <c r="J302" s="393" t="str">
        <f t="shared" si="651"/>
        <v>x</v>
      </c>
      <c r="K302" s="394" t="str">
        <f t="shared" si="652"/>
        <v/>
      </c>
      <c r="L302" s="299"/>
      <c r="M302" s="375"/>
      <c r="N302" s="379"/>
      <c r="O302" s="236"/>
      <c r="P302" s="236"/>
      <c r="Q302" s="489">
        <v>50</v>
      </c>
      <c r="R302" s="490">
        <v>30</v>
      </c>
      <c r="S302" s="491">
        <f t="shared" si="690"/>
        <v>20</v>
      </c>
      <c r="T302" s="371"/>
      <c r="U302" s="232" t="str">
        <f t="shared" si="653"/>
        <v/>
      </c>
      <c r="V302" s="232">
        <f t="shared" si="654"/>
        <v>30</v>
      </c>
      <c r="W302" s="232" t="str">
        <f t="shared" si="655"/>
        <v/>
      </c>
      <c r="X302" s="232" t="str">
        <f t="shared" si="691"/>
        <v/>
      </c>
      <c r="Y302" s="371"/>
      <c r="Z302" s="499">
        <v>80</v>
      </c>
      <c r="AA302" s="500">
        <v>10</v>
      </c>
      <c r="AB302" s="491">
        <f t="shared" si="656"/>
        <v>10</v>
      </c>
      <c r="AC302" s="371"/>
      <c r="AD302" s="232" t="str">
        <f t="shared" si="657"/>
        <v/>
      </c>
      <c r="AE302" s="232">
        <f t="shared" si="658"/>
        <v>10</v>
      </c>
      <c r="AF302" s="232" t="str">
        <f t="shared" si="659"/>
        <v/>
      </c>
      <c r="AG302" s="232" t="str">
        <f t="shared" si="692"/>
        <v/>
      </c>
      <c r="AH302" s="371"/>
      <c r="AI302" s="499">
        <v>30</v>
      </c>
      <c r="AJ302" s="500">
        <v>50</v>
      </c>
      <c r="AK302" s="491">
        <f t="shared" si="660"/>
        <v>20</v>
      </c>
      <c r="AL302" s="371"/>
      <c r="AM302" s="232" t="str">
        <f t="shared" si="661"/>
        <v/>
      </c>
      <c r="AN302" s="232">
        <f t="shared" si="662"/>
        <v>50</v>
      </c>
      <c r="AO302" s="232" t="str">
        <f t="shared" si="663"/>
        <v/>
      </c>
      <c r="AP302" s="232">
        <f t="shared" si="693"/>
        <v>1</v>
      </c>
      <c r="AQ302" s="371"/>
      <c r="AR302" s="499">
        <v>40</v>
      </c>
      <c r="AS302" s="500">
        <v>30</v>
      </c>
      <c r="AT302" s="491">
        <f t="shared" si="664"/>
        <v>30</v>
      </c>
      <c r="AU302" s="371"/>
      <c r="AV302" s="232" t="str">
        <f t="shared" si="665"/>
        <v/>
      </c>
      <c r="AW302" s="232">
        <f t="shared" si="666"/>
        <v>30</v>
      </c>
      <c r="AX302" s="232" t="str">
        <f t="shared" si="667"/>
        <v/>
      </c>
      <c r="AY302" s="232" t="str">
        <f t="shared" si="694"/>
        <v/>
      </c>
      <c r="AZ302" s="371"/>
      <c r="BA302" s="499">
        <v>80</v>
      </c>
      <c r="BB302" s="500">
        <v>10</v>
      </c>
      <c r="BC302" s="491">
        <f t="shared" si="668"/>
        <v>10</v>
      </c>
      <c r="BD302" s="371"/>
      <c r="BE302" s="232" t="str">
        <f t="shared" si="669"/>
        <v/>
      </c>
      <c r="BF302" s="232">
        <f t="shared" si="670"/>
        <v>10</v>
      </c>
      <c r="BG302" s="232" t="str">
        <f t="shared" si="671"/>
        <v/>
      </c>
      <c r="BH302" s="232" t="str">
        <f t="shared" si="695"/>
        <v/>
      </c>
      <c r="BI302" s="371"/>
      <c r="BJ302" s="499">
        <v>40</v>
      </c>
      <c r="BK302" s="500">
        <v>40</v>
      </c>
      <c r="BL302" s="491">
        <f t="shared" si="672"/>
        <v>20</v>
      </c>
      <c r="BM302" s="371"/>
      <c r="BN302" s="232" t="str">
        <f t="shared" si="673"/>
        <v/>
      </c>
      <c r="BO302" s="232">
        <f t="shared" si="674"/>
        <v>40</v>
      </c>
      <c r="BP302" s="232" t="str">
        <f t="shared" si="675"/>
        <v/>
      </c>
      <c r="BQ302" s="232">
        <f t="shared" si="696"/>
        <v>1</v>
      </c>
      <c r="BR302" s="371"/>
      <c r="BS302" s="499">
        <v>40</v>
      </c>
      <c r="BT302" s="500">
        <v>20</v>
      </c>
      <c r="BU302" s="491">
        <f t="shared" si="676"/>
        <v>40</v>
      </c>
      <c r="BV302" s="371"/>
      <c r="BW302" s="232" t="str">
        <f t="shared" si="677"/>
        <v/>
      </c>
      <c r="BX302" s="232">
        <f t="shared" si="678"/>
        <v>20</v>
      </c>
      <c r="BY302" s="232" t="str">
        <f t="shared" si="679"/>
        <v/>
      </c>
      <c r="BZ302" s="232" t="str">
        <f t="shared" si="697"/>
        <v/>
      </c>
      <c r="CA302" s="371"/>
      <c r="CB302" s="507">
        <f t="shared" si="680"/>
        <v>60</v>
      </c>
      <c r="CC302" s="508">
        <f t="shared" si="681"/>
        <v>20</v>
      </c>
      <c r="CD302" s="509">
        <f t="shared" si="682"/>
        <v>20</v>
      </c>
      <c r="CE302" s="371"/>
      <c r="CF302" s="232" t="str">
        <f t="shared" si="683"/>
        <v/>
      </c>
      <c r="CG302" s="232">
        <f t="shared" si="684"/>
        <v>20</v>
      </c>
      <c r="CH302" s="232" t="str">
        <f t="shared" si="685"/>
        <v/>
      </c>
      <c r="CI302" s="232" t="str">
        <f t="shared" si="698"/>
        <v/>
      </c>
      <c r="CJ302" s="232"/>
      <c r="CK302" s="499">
        <v>40</v>
      </c>
      <c r="CL302" s="500">
        <v>40</v>
      </c>
      <c r="CM302" s="491">
        <f t="shared" si="686"/>
        <v>20</v>
      </c>
      <c r="CN302" s="371"/>
      <c r="CO302" s="232" t="str">
        <f t="shared" si="687"/>
        <v/>
      </c>
      <c r="CP302" s="232">
        <f t="shared" si="688"/>
        <v>40</v>
      </c>
      <c r="CQ302" s="232" t="str">
        <f t="shared" si="689"/>
        <v/>
      </c>
      <c r="CR302" s="232">
        <f t="shared" si="699"/>
        <v>1</v>
      </c>
      <c r="CS302" s="232"/>
      <c r="CT302" s="371"/>
      <c r="CU302" s="300"/>
      <c r="CV302" s="246"/>
      <c r="CW302" s="264"/>
    </row>
    <row r="303" spans="1:101" x14ac:dyDescent="0.2">
      <c r="A303" s="264"/>
      <c r="B303" s="264"/>
      <c r="C303" s="202"/>
      <c r="D303" s="271">
        <v>10</v>
      </c>
      <c r="E303" s="169" t="s">
        <v>216</v>
      </c>
      <c r="F303" s="471">
        <v>3</v>
      </c>
      <c r="G303" s="478"/>
      <c r="H303" s="479">
        <v>1</v>
      </c>
      <c r="I303" s="170" t="str">
        <f t="shared" si="650"/>
        <v>x</v>
      </c>
      <c r="J303" s="387" t="str">
        <f t="shared" si="651"/>
        <v/>
      </c>
      <c r="K303" s="388" t="str">
        <f t="shared" si="652"/>
        <v/>
      </c>
      <c r="L303" s="299"/>
      <c r="M303" s="375"/>
      <c r="N303" s="379"/>
      <c r="O303" s="236"/>
      <c r="P303" s="236"/>
      <c r="Q303" s="492">
        <v>40</v>
      </c>
      <c r="R303" s="493">
        <v>30</v>
      </c>
      <c r="S303" s="494">
        <f t="shared" si="690"/>
        <v>30</v>
      </c>
      <c r="T303" s="371"/>
      <c r="U303" s="232">
        <f t="shared" si="653"/>
        <v>40</v>
      </c>
      <c r="V303" s="232" t="str">
        <f t="shared" si="654"/>
        <v/>
      </c>
      <c r="W303" s="232" t="str">
        <f t="shared" si="655"/>
        <v/>
      </c>
      <c r="X303" s="232">
        <f t="shared" si="691"/>
        <v>1</v>
      </c>
      <c r="Y303" s="371"/>
      <c r="Z303" s="495">
        <v>10</v>
      </c>
      <c r="AA303" s="496">
        <v>80</v>
      </c>
      <c r="AB303" s="494">
        <f t="shared" si="656"/>
        <v>10</v>
      </c>
      <c r="AC303" s="371"/>
      <c r="AD303" s="232">
        <f t="shared" si="657"/>
        <v>10</v>
      </c>
      <c r="AE303" s="232" t="str">
        <f t="shared" si="658"/>
        <v/>
      </c>
      <c r="AF303" s="232" t="str">
        <f t="shared" si="659"/>
        <v/>
      </c>
      <c r="AG303" s="232" t="str">
        <f t="shared" si="692"/>
        <v/>
      </c>
      <c r="AH303" s="371"/>
      <c r="AI303" s="495">
        <v>40</v>
      </c>
      <c r="AJ303" s="496">
        <v>20</v>
      </c>
      <c r="AK303" s="494">
        <f t="shared" si="660"/>
        <v>40</v>
      </c>
      <c r="AL303" s="371"/>
      <c r="AM303" s="232">
        <f t="shared" si="661"/>
        <v>40</v>
      </c>
      <c r="AN303" s="232" t="str">
        <f t="shared" si="662"/>
        <v/>
      </c>
      <c r="AO303" s="232" t="str">
        <f t="shared" si="663"/>
        <v/>
      </c>
      <c r="AP303" s="232">
        <f t="shared" si="693"/>
        <v>1</v>
      </c>
      <c r="AQ303" s="371"/>
      <c r="AR303" s="495">
        <v>30</v>
      </c>
      <c r="AS303" s="496">
        <v>30</v>
      </c>
      <c r="AT303" s="494">
        <f t="shared" si="664"/>
        <v>40</v>
      </c>
      <c r="AU303" s="371"/>
      <c r="AV303" s="232">
        <f t="shared" si="665"/>
        <v>30</v>
      </c>
      <c r="AW303" s="232" t="str">
        <f t="shared" si="666"/>
        <v/>
      </c>
      <c r="AX303" s="232" t="str">
        <f t="shared" si="667"/>
        <v/>
      </c>
      <c r="AY303" s="232" t="str">
        <f t="shared" si="694"/>
        <v/>
      </c>
      <c r="AZ303" s="371"/>
      <c r="BA303" s="495">
        <v>80</v>
      </c>
      <c r="BB303" s="496">
        <v>10</v>
      </c>
      <c r="BC303" s="494">
        <f t="shared" si="668"/>
        <v>10</v>
      </c>
      <c r="BD303" s="371"/>
      <c r="BE303" s="232">
        <f t="shared" si="669"/>
        <v>80</v>
      </c>
      <c r="BF303" s="232" t="str">
        <f t="shared" si="670"/>
        <v/>
      </c>
      <c r="BG303" s="232" t="str">
        <f t="shared" si="671"/>
        <v/>
      </c>
      <c r="BH303" s="232">
        <f t="shared" si="695"/>
        <v>1</v>
      </c>
      <c r="BI303" s="371"/>
      <c r="BJ303" s="495">
        <v>30</v>
      </c>
      <c r="BK303" s="496">
        <v>40</v>
      </c>
      <c r="BL303" s="494">
        <f t="shared" si="672"/>
        <v>30</v>
      </c>
      <c r="BM303" s="371"/>
      <c r="BN303" s="232">
        <f t="shared" si="673"/>
        <v>30</v>
      </c>
      <c r="BO303" s="232" t="str">
        <f t="shared" si="674"/>
        <v/>
      </c>
      <c r="BP303" s="232" t="str">
        <f t="shared" si="675"/>
        <v/>
      </c>
      <c r="BQ303" s="232" t="str">
        <f t="shared" si="696"/>
        <v/>
      </c>
      <c r="BR303" s="371"/>
      <c r="BS303" s="495">
        <v>50</v>
      </c>
      <c r="BT303" s="496">
        <v>30</v>
      </c>
      <c r="BU303" s="494">
        <f t="shared" si="676"/>
        <v>20</v>
      </c>
      <c r="BV303" s="371"/>
      <c r="BW303" s="232">
        <f t="shared" si="677"/>
        <v>50</v>
      </c>
      <c r="BX303" s="232" t="str">
        <f t="shared" si="678"/>
        <v/>
      </c>
      <c r="BY303" s="232" t="str">
        <f t="shared" si="679"/>
        <v/>
      </c>
      <c r="BZ303" s="232">
        <f t="shared" si="697"/>
        <v>1</v>
      </c>
      <c r="CA303" s="371"/>
      <c r="CB303" s="501">
        <f t="shared" si="680"/>
        <v>40</v>
      </c>
      <c r="CC303" s="502">
        <f t="shared" si="681"/>
        <v>30</v>
      </c>
      <c r="CD303" s="503">
        <f t="shared" si="682"/>
        <v>30</v>
      </c>
      <c r="CE303" s="371"/>
      <c r="CF303" s="232">
        <f t="shared" si="683"/>
        <v>40</v>
      </c>
      <c r="CG303" s="232" t="str">
        <f t="shared" si="684"/>
        <v/>
      </c>
      <c r="CH303" s="232" t="str">
        <f t="shared" si="685"/>
        <v/>
      </c>
      <c r="CI303" s="232">
        <f t="shared" si="698"/>
        <v>1</v>
      </c>
      <c r="CJ303" s="232"/>
      <c r="CK303" s="495">
        <v>30</v>
      </c>
      <c r="CL303" s="496">
        <v>40</v>
      </c>
      <c r="CM303" s="494">
        <f t="shared" si="686"/>
        <v>30</v>
      </c>
      <c r="CN303" s="371"/>
      <c r="CO303" s="232">
        <f t="shared" si="687"/>
        <v>30</v>
      </c>
      <c r="CP303" s="232" t="str">
        <f t="shared" si="688"/>
        <v/>
      </c>
      <c r="CQ303" s="232" t="str">
        <f t="shared" si="689"/>
        <v/>
      </c>
      <c r="CR303" s="232" t="str">
        <f t="shared" si="699"/>
        <v/>
      </c>
      <c r="CS303" s="232"/>
      <c r="CT303" s="371"/>
      <c r="CU303" s="300"/>
      <c r="CV303" s="246"/>
      <c r="CW303" s="264"/>
    </row>
    <row r="304" spans="1:101" x14ac:dyDescent="0.2">
      <c r="A304" s="264"/>
      <c r="B304" s="264"/>
      <c r="C304" s="202"/>
      <c r="D304" s="271">
        <v>11</v>
      </c>
      <c r="E304" s="167" t="s">
        <v>217</v>
      </c>
      <c r="F304" s="469">
        <v>4</v>
      </c>
      <c r="G304" s="474"/>
      <c r="H304" s="475">
        <v>0</v>
      </c>
      <c r="I304" s="389" t="str">
        <f t="shared" si="650"/>
        <v>x</v>
      </c>
      <c r="J304" s="390" t="str">
        <f t="shared" si="651"/>
        <v/>
      </c>
      <c r="K304" s="391" t="str">
        <f t="shared" si="652"/>
        <v/>
      </c>
      <c r="L304" s="299"/>
      <c r="M304" s="375"/>
      <c r="N304" s="379"/>
      <c r="O304" s="236"/>
      <c r="P304" s="236"/>
      <c r="Q304" s="483">
        <v>40</v>
      </c>
      <c r="R304" s="484">
        <v>30</v>
      </c>
      <c r="S304" s="485">
        <f t="shared" si="690"/>
        <v>30</v>
      </c>
      <c r="T304" s="371"/>
      <c r="U304" s="232">
        <f t="shared" si="653"/>
        <v>40</v>
      </c>
      <c r="V304" s="232" t="str">
        <f t="shared" si="654"/>
        <v/>
      </c>
      <c r="W304" s="232" t="str">
        <f t="shared" si="655"/>
        <v/>
      </c>
      <c r="X304" s="232">
        <f t="shared" si="691"/>
        <v>1</v>
      </c>
      <c r="Y304" s="371"/>
      <c r="Z304" s="497">
        <v>80</v>
      </c>
      <c r="AA304" s="498">
        <v>10</v>
      </c>
      <c r="AB304" s="485">
        <f t="shared" si="656"/>
        <v>10</v>
      </c>
      <c r="AC304" s="371"/>
      <c r="AD304" s="232">
        <f t="shared" si="657"/>
        <v>80</v>
      </c>
      <c r="AE304" s="232" t="str">
        <f t="shared" si="658"/>
        <v/>
      </c>
      <c r="AF304" s="232" t="str">
        <f t="shared" si="659"/>
        <v/>
      </c>
      <c r="AG304" s="232">
        <f t="shared" si="692"/>
        <v>1</v>
      </c>
      <c r="AH304" s="371"/>
      <c r="AI304" s="497">
        <v>20</v>
      </c>
      <c r="AJ304" s="498">
        <v>20</v>
      </c>
      <c r="AK304" s="485">
        <f t="shared" si="660"/>
        <v>60</v>
      </c>
      <c r="AL304" s="371"/>
      <c r="AM304" s="232">
        <f t="shared" si="661"/>
        <v>20</v>
      </c>
      <c r="AN304" s="232" t="str">
        <f t="shared" si="662"/>
        <v/>
      </c>
      <c r="AO304" s="232" t="str">
        <f t="shared" si="663"/>
        <v/>
      </c>
      <c r="AP304" s="232" t="str">
        <f t="shared" si="693"/>
        <v/>
      </c>
      <c r="AQ304" s="371"/>
      <c r="AR304" s="497">
        <v>50</v>
      </c>
      <c r="AS304" s="498">
        <v>30</v>
      </c>
      <c r="AT304" s="485">
        <f t="shared" si="664"/>
        <v>20</v>
      </c>
      <c r="AU304" s="371"/>
      <c r="AV304" s="232">
        <f t="shared" si="665"/>
        <v>50</v>
      </c>
      <c r="AW304" s="232" t="str">
        <f t="shared" si="666"/>
        <v/>
      </c>
      <c r="AX304" s="232" t="str">
        <f t="shared" si="667"/>
        <v/>
      </c>
      <c r="AY304" s="232">
        <f t="shared" si="694"/>
        <v>1</v>
      </c>
      <c r="AZ304" s="371"/>
      <c r="BA304" s="497">
        <v>10</v>
      </c>
      <c r="BB304" s="498">
        <v>10</v>
      </c>
      <c r="BC304" s="485">
        <f t="shared" si="668"/>
        <v>80</v>
      </c>
      <c r="BD304" s="371"/>
      <c r="BE304" s="232">
        <f t="shared" si="669"/>
        <v>10</v>
      </c>
      <c r="BF304" s="232" t="str">
        <f t="shared" si="670"/>
        <v/>
      </c>
      <c r="BG304" s="232" t="str">
        <f t="shared" si="671"/>
        <v/>
      </c>
      <c r="BH304" s="232" t="str">
        <f t="shared" si="695"/>
        <v/>
      </c>
      <c r="BI304" s="371"/>
      <c r="BJ304" s="497">
        <v>10</v>
      </c>
      <c r="BK304" s="498">
        <v>10</v>
      </c>
      <c r="BL304" s="485">
        <f t="shared" si="672"/>
        <v>80</v>
      </c>
      <c r="BM304" s="371"/>
      <c r="BN304" s="232">
        <f t="shared" si="673"/>
        <v>10</v>
      </c>
      <c r="BO304" s="232" t="str">
        <f t="shared" si="674"/>
        <v/>
      </c>
      <c r="BP304" s="232" t="str">
        <f t="shared" si="675"/>
        <v/>
      </c>
      <c r="BQ304" s="232" t="str">
        <f t="shared" si="696"/>
        <v/>
      </c>
      <c r="BR304" s="371"/>
      <c r="BS304" s="497">
        <v>10</v>
      </c>
      <c r="BT304" s="498">
        <v>10</v>
      </c>
      <c r="BU304" s="485">
        <f t="shared" si="676"/>
        <v>80</v>
      </c>
      <c r="BV304" s="371"/>
      <c r="BW304" s="232">
        <f t="shared" si="677"/>
        <v>10</v>
      </c>
      <c r="BX304" s="232" t="str">
        <f t="shared" si="678"/>
        <v/>
      </c>
      <c r="BY304" s="232" t="str">
        <f t="shared" si="679"/>
        <v/>
      </c>
      <c r="BZ304" s="232" t="str">
        <f t="shared" si="697"/>
        <v/>
      </c>
      <c r="CA304" s="371"/>
      <c r="CB304" s="504">
        <f t="shared" si="680"/>
        <v>40</v>
      </c>
      <c r="CC304" s="505">
        <f t="shared" si="681"/>
        <v>10</v>
      </c>
      <c r="CD304" s="506">
        <f t="shared" si="682"/>
        <v>50</v>
      </c>
      <c r="CE304" s="371"/>
      <c r="CF304" s="232">
        <f t="shared" si="683"/>
        <v>40</v>
      </c>
      <c r="CG304" s="232" t="str">
        <f t="shared" si="684"/>
        <v/>
      </c>
      <c r="CH304" s="232" t="str">
        <f t="shared" si="685"/>
        <v/>
      </c>
      <c r="CI304" s="232" t="str">
        <f t="shared" si="698"/>
        <v/>
      </c>
      <c r="CJ304" s="232"/>
      <c r="CK304" s="497">
        <v>30</v>
      </c>
      <c r="CL304" s="498">
        <v>10</v>
      </c>
      <c r="CM304" s="485">
        <f t="shared" si="686"/>
        <v>60</v>
      </c>
      <c r="CN304" s="371"/>
      <c r="CO304" s="232">
        <f t="shared" si="687"/>
        <v>30</v>
      </c>
      <c r="CP304" s="232" t="str">
        <f t="shared" si="688"/>
        <v/>
      </c>
      <c r="CQ304" s="232" t="str">
        <f t="shared" si="689"/>
        <v/>
      </c>
      <c r="CR304" s="232" t="str">
        <f t="shared" si="699"/>
        <v/>
      </c>
      <c r="CS304" s="232"/>
      <c r="CT304" s="371"/>
      <c r="CU304" s="300"/>
      <c r="CV304" s="246"/>
      <c r="CW304" s="264"/>
    </row>
    <row r="305" spans="1:101" ht="13.5" thickBot="1" x14ac:dyDescent="0.25">
      <c r="A305" s="264"/>
      <c r="B305" s="264"/>
      <c r="C305" s="202"/>
      <c r="D305" s="271">
        <v>12</v>
      </c>
      <c r="E305" s="168" t="s">
        <v>218</v>
      </c>
      <c r="F305" s="470">
        <v>3</v>
      </c>
      <c r="G305" s="476"/>
      <c r="H305" s="477">
        <v>1</v>
      </c>
      <c r="I305" s="392" t="str">
        <f t="shared" si="650"/>
        <v>x</v>
      </c>
      <c r="J305" s="393" t="str">
        <f t="shared" si="651"/>
        <v/>
      </c>
      <c r="K305" s="394" t="str">
        <f t="shared" si="652"/>
        <v/>
      </c>
      <c r="L305" s="299"/>
      <c r="M305" s="375"/>
      <c r="N305" s="379"/>
      <c r="O305" s="236"/>
      <c r="P305" s="236"/>
      <c r="Q305" s="489">
        <v>40</v>
      </c>
      <c r="R305" s="490">
        <v>30</v>
      </c>
      <c r="S305" s="491">
        <f t="shared" si="690"/>
        <v>30</v>
      </c>
      <c r="T305" s="371"/>
      <c r="U305" s="232">
        <f t="shared" si="653"/>
        <v>40</v>
      </c>
      <c r="V305" s="232" t="str">
        <f t="shared" si="654"/>
        <v/>
      </c>
      <c r="W305" s="232" t="str">
        <f t="shared" si="655"/>
        <v/>
      </c>
      <c r="X305" s="232">
        <f t="shared" si="691"/>
        <v>1</v>
      </c>
      <c r="Y305" s="371"/>
      <c r="Z305" s="499">
        <v>10</v>
      </c>
      <c r="AA305" s="500">
        <v>80</v>
      </c>
      <c r="AB305" s="491">
        <f t="shared" si="656"/>
        <v>10</v>
      </c>
      <c r="AC305" s="371"/>
      <c r="AD305" s="232">
        <f t="shared" si="657"/>
        <v>10</v>
      </c>
      <c r="AE305" s="232" t="str">
        <f t="shared" si="658"/>
        <v/>
      </c>
      <c r="AF305" s="232" t="str">
        <f t="shared" si="659"/>
        <v/>
      </c>
      <c r="AG305" s="232" t="str">
        <f t="shared" si="692"/>
        <v/>
      </c>
      <c r="AH305" s="371"/>
      <c r="AI305" s="499">
        <v>30</v>
      </c>
      <c r="AJ305" s="500">
        <v>40</v>
      </c>
      <c r="AK305" s="491">
        <f t="shared" si="660"/>
        <v>30</v>
      </c>
      <c r="AL305" s="371"/>
      <c r="AM305" s="232">
        <f t="shared" si="661"/>
        <v>30</v>
      </c>
      <c r="AN305" s="232" t="str">
        <f t="shared" si="662"/>
        <v/>
      </c>
      <c r="AO305" s="232" t="str">
        <f t="shared" si="663"/>
        <v/>
      </c>
      <c r="AP305" s="232" t="str">
        <f t="shared" si="693"/>
        <v/>
      </c>
      <c r="AQ305" s="371"/>
      <c r="AR305" s="499">
        <v>60</v>
      </c>
      <c r="AS305" s="500">
        <v>30</v>
      </c>
      <c r="AT305" s="491">
        <f t="shared" si="664"/>
        <v>10</v>
      </c>
      <c r="AU305" s="371"/>
      <c r="AV305" s="232">
        <f t="shared" si="665"/>
        <v>60</v>
      </c>
      <c r="AW305" s="232" t="str">
        <f t="shared" si="666"/>
        <v/>
      </c>
      <c r="AX305" s="232" t="str">
        <f t="shared" si="667"/>
        <v/>
      </c>
      <c r="AY305" s="232">
        <f t="shared" si="694"/>
        <v>1</v>
      </c>
      <c r="AZ305" s="371"/>
      <c r="BA305" s="499">
        <v>80</v>
      </c>
      <c r="BB305" s="500">
        <v>10</v>
      </c>
      <c r="BC305" s="491">
        <f t="shared" si="668"/>
        <v>10</v>
      </c>
      <c r="BD305" s="371"/>
      <c r="BE305" s="232">
        <f t="shared" si="669"/>
        <v>80</v>
      </c>
      <c r="BF305" s="232" t="str">
        <f t="shared" si="670"/>
        <v/>
      </c>
      <c r="BG305" s="232" t="str">
        <f t="shared" si="671"/>
        <v/>
      </c>
      <c r="BH305" s="232">
        <f t="shared" si="695"/>
        <v>1</v>
      </c>
      <c r="BI305" s="371"/>
      <c r="BJ305" s="499">
        <v>30</v>
      </c>
      <c r="BK305" s="500">
        <v>40</v>
      </c>
      <c r="BL305" s="491">
        <f t="shared" si="672"/>
        <v>30</v>
      </c>
      <c r="BM305" s="371"/>
      <c r="BN305" s="232">
        <f t="shared" si="673"/>
        <v>30</v>
      </c>
      <c r="BO305" s="232" t="str">
        <f t="shared" si="674"/>
        <v/>
      </c>
      <c r="BP305" s="232" t="str">
        <f t="shared" si="675"/>
        <v/>
      </c>
      <c r="BQ305" s="232" t="str">
        <f t="shared" si="696"/>
        <v/>
      </c>
      <c r="BR305" s="371"/>
      <c r="BS305" s="499">
        <v>60</v>
      </c>
      <c r="BT305" s="500">
        <v>20</v>
      </c>
      <c r="BU305" s="491">
        <f t="shared" si="676"/>
        <v>20</v>
      </c>
      <c r="BV305" s="371"/>
      <c r="BW305" s="232">
        <f t="shared" si="677"/>
        <v>60</v>
      </c>
      <c r="BX305" s="232" t="str">
        <f t="shared" si="678"/>
        <v/>
      </c>
      <c r="BY305" s="232" t="str">
        <f t="shared" si="679"/>
        <v/>
      </c>
      <c r="BZ305" s="232">
        <f t="shared" si="697"/>
        <v>1</v>
      </c>
      <c r="CA305" s="371"/>
      <c r="CB305" s="507">
        <f t="shared" si="680"/>
        <v>50</v>
      </c>
      <c r="CC305" s="508">
        <f t="shared" si="681"/>
        <v>30</v>
      </c>
      <c r="CD305" s="509">
        <f t="shared" si="682"/>
        <v>20</v>
      </c>
      <c r="CE305" s="371"/>
      <c r="CF305" s="232">
        <f t="shared" si="683"/>
        <v>50</v>
      </c>
      <c r="CG305" s="232" t="str">
        <f t="shared" si="684"/>
        <v/>
      </c>
      <c r="CH305" s="232" t="str">
        <f t="shared" si="685"/>
        <v/>
      </c>
      <c r="CI305" s="232">
        <f t="shared" si="698"/>
        <v>1</v>
      </c>
      <c r="CJ305" s="232"/>
      <c r="CK305" s="499">
        <v>40</v>
      </c>
      <c r="CL305" s="500">
        <v>40</v>
      </c>
      <c r="CM305" s="491">
        <f t="shared" si="686"/>
        <v>20</v>
      </c>
      <c r="CN305" s="371"/>
      <c r="CO305" s="232">
        <f t="shared" si="687"/>
        <v>40</v>
      </c>
      <c r="CP305" s="232" t="str">
        <f t="shared" si="688"/>
        <v/>
      </c>
      <c r="CQ305" s="232" t="str">
        <f t="shared" si="689"/>
        <v/>
      </c>
      <c r="CR305" s="232">
        <f t="shared" si="699"/>
        <v>1</v>
      </c>
      <c r="CS305" s="232"/>
      <c r="CT305" s="371"/>
      <c r="CU305" s="300"/>
      <c r="CV305" s="246"/>
      <c r="CW305" s="264"/>
    </row>
    <row r="306" spans="1:101" x14ac:dyDescent="0.2">
      <c r="A306" s="264"/>
      <c r="B306" s="264"/>
      <c r="C306" s="202"/>
      <c r="D306" s="272"/>
      <c r="E306" s="235"/>
      <c r="F306" s="395">
        <f>IF(SUM(F294:F305)=0,"",SUM(F294:F305))</f>
        <v>30</v>
      </c>
      <c r="G306" s="370" t="s">
        <v>49</v>
      </c>
      <c r="H306" s="396">
        <f>IF(SUM(H294:H305)=0,"",SUM(H294:H305))</f>
        <v>8</v>
      </c>
      <c r="I306" s="397">
        <f>IF(COUNTIF(I294:I305,"=x")=0,"",COUNTIF(I294:I305,"=x"))</f>
        <v>9</v>
      </c>
      <c r="J306" s="398">
        <f>IF(COUNTIF(J294:J305,"=x")=0,"",COUNTIF(J294:J305,"=x"))</f>
        <v>3</v>
      </c>
      <c r="K306" s="399" t="str">
        <f>IF(COUNTIF(K294:K305,"=x")=0,"",COUNTIF(K294:K305,"=x"))</f>
        <v/>
      </c>
      <c r="L306" s="299"/>
      <c r="M306" s="375"/>
      <c r="N306" s="379"/>
      <c r="O306" s="236"/>
      <c r="P306" s="369"/>
      <c r="Q306" s="466">
        <f>SUM(U294:U305)</f>
        <v>480</v>
      </c>
      <c r="R306" s="466">
        <f>SUM(V294:V305)</f>
        <v>130</v>
      </c>
      <c r="S306" s="466">
        <f>SUM(W294:W305)</f>
        <v>0</v>
      </c>
      <c r="T306" s="368"/>
      <c r="U306" s="232"/>
      <c r="V306" s="232"/>
      <c r="W306" s="232"/>
      <c r="X306" s="232"/>
      <c r="Y306" s="367"/>
      <c r="Z306" s="466">
        <f>SUM(AD294:AD305)</f>
        <v>580</v>
      </c>
      <c r="AA306" s="466">
        <f>SUM(AE294:AE305)</f>
        <v>30</v>
      </c>
      <c r="AB306" s="466">
        <f>SUM(AF294:AF305)</f>
        <v>0</v>
      </c>
      <c r="AC306" s="368"/>
      <c r="AD306" s="232"/>
      <c r="AE306" s="232"/>
      <c r="AF306" s="232"/>
      <c r="AG306" s="232"/>
      <c r="AH306" s="367"/>
      <c r="AI306" s="466">
        <f>SUM(AM294:AM305)</f>
        <v>410</v>
      </c>
      <c r="AJ306" s="466">
        <f>SUM(AN294:AN305)</f>
        <v>90</v>
      </c>
      <c r="AK306" s="466">
        <f>SUM(AO294:AO305)</f>
        <v>0</v>
      </c>
      <c r="AL306" s="368"/>
      <c r="AM306" s="232"/>
      <c r="AN306" s="232"/>
      <c r="AO306" s="232"/>
      <c r="AP306" s="232"/>
      <c r="AQ306" s="367"/>
      <c r="AR306" s="466">
        <f>SUM(AV294:AV305)</f>
        <v>500</v>
      </c>
      <c r="AS306" s="466">
        <f>SUM(AW294:AW305)</f>
        <v>50</v>
      </c>
      <c r="AT306" s="466">
        <f>SUM(AX294:AX305)</f>
        <v>0</v>
      </c>
      <c r="AU306" s="368"/>
      <c r="AV306" s="232"/>
      <c r="AW306" s="232"/>
      <c r="AX306" s="232"/>
      <c r="AY306" s="232"/>
      <c r="AZ306" s="367"/>
      <c r="BA306" s="466">
        <f>SUM(BE294:BE305)</f>
        <v>550</v>
      </c>
      <c r="BB306" s="466">
        <f>SUM(BF294:BF305)</f>
        <v>30</v>
      </c>
      <c r="BC306" s="466">
        <f>SUM(BG294:BG305)</f>
        <v>0</v>
      </c>
      <c r="BD306" s="368"/>
      <c r="BE306" s="232"/>
      <c r="BF306" s="232"/>
      <c r="BG306" s="232"/>
      <c r="BH306" s="232"/>
      <c r="BI306" s="367"/>
      <c r="BJ306" s="466">
        <f>SUM(BN294:BN305)</f>
        <v>430</v>
      </c>
      <c r="BK306" s="466">
        <f>SUM(BO294:BO305)</f>
        <v>60</v>
      </c>
      <c r="BL306" s="466">
        <f>SUM(BP294:BP305)</f>
        <v>0</v>
      </c>
      <c r="BM306" s="368"/>
      <c r="BN306" s="232"/>
      <c r="BO306" s="232"/>
      <c r="BP306" s="232"/>
      <c r="BQ306" s="232"/>
      <c r="BR306" s="367"/>
      <c r="BS306" s="466">
        <f>SUM(BW294:BW305)</f>
        <v>480</v>
      </c>
      <c r="BT306" s="466">
        <f>SUM(BX294:BX305)</f>
        <v>100</v>
      </c>
      <c r="BU306" s="466">
        <f>SUM(BY294:BY305)</f>
        <v>0</v>
      </c>
      <c r="BV306" s="368"/>
      <c r="BW306" s="232"/>
      <c r="BX306" s="232"/>
      <c r="BY306" s="232"/>
      <c r="BZ306" s="232"/>
      <c r="CA306" s="369"/>
      <c r="CB306" s="466">
        <f>SUM(CF294:CF305)</f>
        <v>520</v>
      </c>
      <c r="CC306" s="466">
        <f>SUM(CG294:CG305)</f>
        <v>50</v>
      </c>
      <c r="CD306" s="466">
        <f>SUM(CH294:CH305)</f>
        <v>0</v>
      </c>
      <c r="CE306" s="368"/>
      <c r="CF306" s="232"/>
      <c r="CG306" s="232"/>
      <c r="CH306" s="232"/>
      <c r="CI306" s="232"/>
      <c r="CJ306" s="232"/>
      <c r="CK306" s="466">
        <f>SUM(CO294:CO305)</f>
        <v>380</v>
      </c>
      <c r="CL306" s="466">
        <f>SUM(CP294:CP305)</f>
        <v>70</v>
      </c>
      <c r="CM306" s="466">
        <f>SUM(CQ294:CQ305)</f>
        <v>0</v>
      </c>
      <c r="CN306" s="368"/>
      <c r="CO306" s="232"/>
      <c r="CP306" s="232"/>
      <c r="CQ306" s="232"/>
      <c r="CR306" s="232"/>
      <c r="CS306" s="232"/>
      <c r="CT306" s="232"/>
      <c r="CU306" s="300"/>
      <c r="CV306" s="246"/>
      <c r="CW306" s="265"/>
    </row>
    <row r="307" spans="1:101" ht="13.5" thickBot="1" x14ac:dyDescent="0.25">
      <c r="A307" s="264"/>
      <c r="B307" s="264"/>
      <c r="C307" s="202"/>
      <c r="D307" s="289"/>
      <c r="E307" s="282"/>
      <c r="F307" s="283"/>
      <c r="G307" s="282"/>
      <c r="H307" s="282"/>
      <c r="I307" s="282"/>
      <c r="J307" s="282"/>
      <c r="K307" s="282"/>
      <c r="L307" s="293"/>
      <c r="M307" s="301"/>
      <c r="N307" s="380"/>
      <c r="O307" s="376"/>
      <c r="P307" s="284"/>
      <c r="Q307" s="285"/>
      <c r="R307" s="285"/>
      <c r="S307" s="285"/>
      <c r="T307" s="286"/>
      <c r="U307" s="287"/>
      <c r="V307" s="287"/>
      <c r="W307" s="287"/>
      <c r="X307" s="287"/>
      <c r="Y307" s="284"/>
      <c r="Z307" s="285"/>
      <c r="AA307" s="285"/>
      <c r="AB307" s="285"/>
      <c r="AC307" s="286"/>
      <c r="AD307" s="287"/>
      <c r="AE307" s="287"/>
      <c r="AF307" s="287"/>
      <c r="AG307" s="288"/>
      <c r="AH307" s="284"/>
      <c r="AI307" s="285"/>
      <c r="AJ307" s="285"/>
      <c r="AK307" s="285"/>
      <c r="AL307" s="286"/>
      <c r="AM307" s="287"/>
      <c r="AN307" s="287"/>
      <c r="AO307" s="287"/>
      <c r="AP307" s="288"/>
      <c r="AQ307" s="284"/>
      <c r="AR307" s="285"/>
      <c r="AS307" s="285"/>
      <c r="AT307" s="285"/>
      <c r="AU307" s="286"/>
      <c r="AV307" s="287"/>
      <c r="AW307" s="287"/>
      <c r="AX307" s="287"/>
      <c r="AY307" s="288"/>
      <c r="AZ307" s="284"/>
      <c r="BA307" s="285"/>
      <c r="BB307" s="285"/>
      <c r="BC307" s="285"/>
      <c r="BD307" s="286"/>
      <c r="BE307" s="287"/>
      <c r="BF307" s="287"/>
      <c r="BG307" s="287"/>
      <c r="BH307" s="288"/>
      <c r="BI307" s="284"/>
      <c r="BJ307" s="284"/>
      <c r="BK307" s="284"/>
      <c r="BL307" s="284"/>
      <c r="BM307" s="284"/>
      <c r="BN307" s="284"/>
      <c r="BO307" s="284"/>
      <c r="BP307" s="284"/>
      <c r="BQ307" s="284"/>
      <c r="BR307" s="284"/>
      <c r="BS307" s="284"/>
      <c r="BT307" s="284"/>
      <c r="BU307" s="284"/>
      <c r="BV307" s="284"/>
      <c r="BW307" s="284"/>
      <c r="BX307" s="284"/>
      <c r="BY307" s="284"/>
      <c r="BZ307" s="284"/>
      <c r="CA307" s="284"/>
      <c r="CB307" s="284"/>
      <c r="CC307" s="284"/>
      <c r="CD307" s="284"/>
      <c r="CE307" s="284"/>
      <c r="CF307" s="284"/>
      <c r="CG307" s="284"/>
      <c r="CH307" s="284"/>
      <c r="CI307" s="284"/>
      <c r="CJ307" s="288"/>
      <c r="CK307" s="288"/>
      <c r="CL307" s="288"/>
      <c r="CM307" s="288"/>
      <c r="CN307" s="288"/>
      <c r="CO307" s="288"/>
      <c r="CP307" s="288"/>
      <c r="CQ307" s="288"/>
      <c r="CR307" s="288"/>
      <c r="CS307" s="288"/>
      <c r="CT307" s="282"/>
      <c r="CU307" s="294"/>
      <c r="CV307" s="246"/>
      <c r="CW307" s="265"/>
    </row>
    <row r="308" spans="1:101" ht="14.25" thickTop="1" thickBot="1" x14ac:dyDescent="0.25">
      <c r="A308" s="256"/>
      <c r="B308" s="256"/>
      <c r="C308" s="210"/>
      <c r="D308" s="211"/>
      <c r="E308" s="247"/>
      <c r="F308" s="248"/>
      <c r="G308" s="247"/>
      <c r="H308" s="247"/>
      <c r="I308" s="247"/>
      <c r="J308" s="247"/>
      <c r="K308" s="247"/>
      <c r="L308" s="249"/>
      <c r="M308" s="250"/>
      <c r="N308" s="250"/>
      <c r="O308" s="250"/>
      <c r="P308" s="250"/>
      <c r="Q308" s="247"/>
      <c r="R308" s="247"/>
      <c r="S308" s="247"/>
      <c r="T308" s="251"/>
      <c r="U308" s="252"/>
      <c r="V308" s="252"/>
      <c r="W308" s="252"/>
      <c r="X308" s="252"/>
      <c r="Y308" s="250"/>
      <c r="Z308" s="247"/>
      <c r="AA308" s="247"/>
      <c r="AB308" s="247"/>
      <c r="AC308" s="251"/>
      <c r="AD308" s="252"/>
      <c r="AE308" s="252"/>
      <c r="AF308" s="252"/>
      <c r="AG308" s="247"/>
      <c r="AH308" s="250"/>
      <c r="AI308" s="247"/>
      <c r="AJ308" s="247"/>
      <c r="AK308" s="247"/>
      <c r="AL308" s="251"/>
      <c r="AM308" s="252"/>
      <c r="AN308" s="252"/>
      <c r="AO308" s="252"/>
      <c r="AP308" s="253"/>
      <c r="AQ308" s="250"/>
      <c r="AR308" s="247"/>
      <c r="AS308" s="247"/>
      <c r="AT308" s="247"/>
      <c r="AU308" s="251"/>
      <c r="AV308" s="252"/>
      <c r="AW308" s="252"/>
      <c r="AX308" s="252"/>
      <c r="AY308" s="247"/>
      <c r="AZ308" s="250"/>
      <c r="BA308" s="247"/>
      <c r="BB308" s="247"/>
      <c r="BC308" s="247"/>
      <c r="BD308" s="251"/>
      <c r="BE308" s="252"/>
      <c r="BF308" s="252"/>
      <c r="BG308" s="252"/>
      <c r="BH308" s="247"/>
      <c r="BI308" s="250"/>
      <c r="BJ308" s="247"/>
      <c r="BK308" s="247"/>
      <c r="BL308" s="247"/>
      <c r="BM308" s="251"/>
      <c r="BN308" s="252"/>
      <c r="BO308" s="252"/>
      <c r="BP308" s="252"/>
      <c r="BQ308" s="247"/>
      <c r="BR308" s="212"/>
      <c r="BS308" s="247"/>
      <c r="BT308" s="247"/>
      <c r="BU308" s="247"/>
      <c r="BV308" s="250"/>
      <c r="BW308" s="252"/>
      <c r="BX308" s="252"/>
      <c r="BY308" s="252"/>
      <c r="BZ308" s="247"/>
      <c r="CA308" s="247"/>
      <c r="CB308" s="253"/>
      <c r="CC308" s="253"/>
      <c r="CD308" s="253"/>
      <c r="CE308" s="253"/>
      <c r="CF308" s="247"/>
      <c r="CG308" s="247"/>
      <c r="CH308" s="247"/>
      <c r="CI308" s="247"/>
      <c r="CJ308" s="247"/>
      <c r="CK308" s="247"/>
      <c r="CL308" s="247"/>
      <c r="CM308" s="247"/>
      <c r="CN308" s="247"/>
      <c r="CO308" s="247"/>
      <c r="CP308" s="247"/>
      <c r="CQ308" s="247"/>
      <c r="CR308" s="247"/>
      <c r="CS308" s="247"/>
      <c r="CT308" s="247"/>
      <c r="CU308" s="247"/>
      <c r="CV308" s="254"/>
      <c r="CW308" s="255"/>
    </row>
    <row r="309" spans="1:101" ht="14.25" thickTop="1" thickBot="1" x14ac:dyDescent="0.25">
      <c r="A309" s="255"/>
      <c r="B309" s="255"/>
      <c r="C309" s="255"/>
      <c r="D309" s="255"/>
      <c r="E309" s="255"/>
      <c r="F309" s="255"/>
      <c r="G309" s="255"/>
      <c r="H309" s="255"/>
      <c r="I309" s="255"/>
      <c r="J309" s="255"/>
      <c r="K309" s="255"/>
      <c r="L309" s="255"/>
      <c r="M309" s="255"/>
      <c r="N309" s="255"/>
      <c r="O309" s="255"/>
      <c r="P309" s="255"/>
      <c r="Q309" s="255"/>
      <c r="R309" s="255"/>
      <c r="S309" s="255"/>
      <c r="T309" s="255"/>
      <c r="U309" s="255"/>
      <c r="V309" s="255"/>
      <c r="W309" s="255"/>
      <c r="X309" s="255"/>
      <c r="Y309" s="255"/>
      <c r="Z309" s="255"/>
      <c r="AA309" s="255"/>
      <c r="AB309" s="255"/>
      <c r="AC309" s="255"/>
      <c r="AD309" s="255"/>
      <c r="AE309" s="255"/>
      <c r="AF309" s="255"/>
      <c r="AG309" s="255"/>
      <c r="AH309" s="255"/>
      <c r="AI309" s="255"/>
      <c r="AJ309" s="255"/>
      <c r="AK309" s="255"/>
      <c r="AL309" s="255"/>
      <c r="AM309" s="255"/>
      <c r="AN309" s="255"/>
      <c r="AO309" s="255"/>
      <c r="AP309" s="255"/>
      <c r="AQ309" s="255"/>
      <c r="AR309" s="255"/>
      <c r="AS309" s="255"/>
      <c r="AT309" s="255"/>
      <c r="AU309" s="255"/>
      <c r="AV309" s="255"/>
      <c r="AW309" s="255"/>
      <c r="AX309" s="255"/>
      <c r="AY309" s="255"/>
      <c r="AZ309" s="255"/>
      <c r="BA309" s="255"/>
      <c r="BB309" s="255"/>
      <c r="BC309" s="255"/>
      <c r="BD309" s="255"/>
      <c r="BE309" s="255"/>
      <c r="BF309" s="255"/>
      <c r="BG309" s="255"/>
      <c r="BH309" s="255"/>
      <c r="BI309" s="255"/>
      <c r="BJ309" s="255"/>
      <c r="BK309" s="255"/>
      <c r="BL309" s="255"/>
      <c r="BM309" s="255"/>
      <c r="BN309" s="255"/>
      <c r="BO309" s="255"/>
      <c r="BP309" s="255"/>
      <c r="BQ309" s="255"/>
      <c r="BR309" s="255"/>
      <c r="BS309" s="255"/>
      <c r="BT309" s="255"/>
      <c r="BU309" s="255"/>
      <c r="BV309" s="255"/>
      <c r="BW309" s="255"/>
      <c r="BX309" s="255"/>
      <c r="BY309" s="255"/>
      <c r="BZ309" s="255"/>
      <c r="CA309" s="255"/>
      <c r="CB309" s="436"/>
      <c r="CC309" s="436"/>
      <c r="CD309" s="436"/>
      <c r="CE309" s="436"/>
      <c r="CF309" s="255"/>
      <c r="CG309" s="255"/>
      <c r="CH309" s="255"/>
      <c r="CI309" s="255"/>
      <c r="CJ309" s="255"/>
      <c r="CK309" s="255"/>
      <c r="CL309" s="255"/>
      <c r="CM309" s="255"/>
      <c r="CN309" s="255"/>
      <c r="CO309" s="255"/>
      <c r="CP309" s="255"/>
      <c r="CQ309" s="255"/>
      <c r="CR309" s="255"/>
      <c r="CS309" s="255"/>
      <c r="CT309" s="255"/>
      <c r="CU309" s="255"/>
      <c r="CV309" s="255"/>
      <c r="CW309" s="255"/>
    </row>
    <row r="310" spans="1:101" ht="21" thickTop="1" x14ac:dyDescent="0.3">
      <c r="A310" s="256"/>
      <c r="B310" s="256"/>
      <c r="C310" s="190"/>
      <c r="D310" s="191"/>
      <c r="E310" s="865" t="str">
        <f>$E$2</f>
        <v>STPS 2026</v>
      </c>
      <c r="F310" s="267"/>
      <c r="G310" s="267"/>
      <c r="H310" s="267"/>
      <c r="I310" s="192"/>
      <c r="J310" s="192"/>
      <c r="K310" s="192"/>
      <c r="L310" s="193"/>
      <c r="M310" s="192"/>
      <c r="N310" s="192"/>
      <c r="O310" s="192"/>
      <c r="P310" s="194"/>
      <c r="Q310" s="192"/>
      <c r="R310" s="192"/>
      <c r="S310" s="192"/>
      <c r="T310" s="195"/>
      <c r="U310" s="196"/>
      <c r="V310" s="196"/>
      <c r="W310" s="196"/>
      <c r="X310" s="196"/>
      <c r="Y310" s="194"/>
      <c r="Z310" s="192"/>
      <c r="AA310" s="192"/>
      <c r="AB310" s="192"/>
      <c r="AC310" s="195"/>
      <c r="AD310" s="196"/>
      <c r="AE310" s="196"/>
      <c r="AF310" s="196"/>
      <c r="AG310" s="197"/>
      <c r="AH310" s="194"/>
      <c r="AI310" s="192"/>
      <c r="AJ310" s="237"/>
      <c r="AK310" s="237"/>
      <c r="AL310" s="198"/>
      <c r="AM310" s="238"/>
      <c r="AN310" s="238"/>
      <c r="AO310" s="238"/>
      <c r="AP310" s="197"/>
      <c r="AQ310" s="239"/>
      <c r="AR310" s="240"/>
      <c r="AS310" s="199"/>
      <c r="AT310" s="200"/>
      <c r="AU310" s="198"/>
      <c r="AV310" s="196"/>
      <c r="AW310" s="196"/>
      <c r="AX310" s="196"/>
      <c r="AY310" s="197"/>
      <c r="AZ310" s="239"/>
      <c r="BA310" s="240"/>
      <c r="BB310" s="200"/>
      <c r="BC310" s="237"/>
      <c r="BD310" s="241"/>
      <c r="BE310" s="196"/>
      <c r="BF310" s="196"/>
      <c r="BG310" s="196"/>
      <c r="BH310" s="197"/>
      <c r="BI310" s="242"/>
      <c r="BJ310" s="237"/>
      <c r="BK310" s="237"/>
      <c r="BL310" s="237"/>
      <c r="BM310" s="241"/>
      <c r="BN310" s="196"/>
      <c r="BO310" s="196"/>
      <c r="BP310" s="196"/>
      <c r="BQ310" s="197"/>
      <c r="BR310" s="201"/>
      <c r="BS310" s="237"/>
      <c r="BT310" s="237"/>
      <c r="BU310" s="237"/>
      <c r="BV310" s="242"/>
      <c r="BW310" s="237"/>
      <c r="BX310" s="237"/>
      <c r="BY310" s="237"/>
      <c r="BZ310" s="237"/>
      <c r="CA310" s="237"/>
      <c r="CB310" s="437"/>
      <c r="CC310" s="437"/>
      <c r="CD310" s="437"/>
      <c r="CE310" s="437"/>
      <c r="CF310" s="237"/>
      <c r="CG310" s="237"/>
      <c r="CH310" s="237"/>
      <c r="CI310" s="237"/>
      <c r="CJ310" s="197"/>
      <c r="CK310" s="197"/>
      <c r="CL310" s="197"/>
      <c r="CM310" s="197"/>
      <c r="CN310" s="197"/>
      <c r="CO310" s="197"/>
      <c r="CP310" s="197"/>
      <c r="CQ310" s="197"/>
      <c r="CR310" s="197"/>
      <c r="CS310" s="197"/>
      <c r="CT310" s="401"/>
      <c r="CU310" s="237"/>
      <c r="CV310" s="243"/>
      <c r="CW310" s="255"/>
    </row>
    <row r="311" spans="1:101" ht="13.5" thickBot="1" x14ac:dyDescent="0.25">
      <c r="A311" s="256"/>
      <c r="B311" s="256"/>
      <c r="C311" s="202"/>
      <c r="D311" s="188"/>
      <c r="E311" s="266" t="str">
        <f>E3</f>
        <v>Skorgen Tippelag</v>
      </c>
      <c r="F311" s="406"/>
      <c r="G311" s="406"/>
      <c r="H311" s="406"/>
      <c r="I311" s="406"/>
      <c r="J311" s="406"/>
      <c r="K311" s="406"/>
      <c r="L311" s="406"/>
      <c r="M311" s="406"/>
      <c r="N311" s="406"/>
      <c r="O311" s="406"/>
      <c r="P311" s="406"/>
      <c r="Q311" s="406"/>
      <c r="R311" s="406"/>
      <c r="S311" s="406"/>
      <c r="T311" s="406"/>
      <c r="U311" s="406"/>
      <c r="V311" s="406"/>
      <c r="W311" s="406"/>
      <c r="X311" s="406"/>
      <c r="Y311" s="406"/>
      <c r="Z311" s="406"/>
      <c r="AA311" s="406"/>
      <c r="AB311" s="406"/>
      <c r="AC311" s="406"/>
      <c r="AD311" s="406"/>
      <c r="AE311" s="406"/>
      <c r="AF311" s="406"/>
      <c r="AG311" s="406"/>
      <c r="AH311" s="406"/>
      <c r="AI311" s="406"/>
      <c r="AJ311" s="406"/>
      <c r="AK311" s="406"/>
      <c r="AL311" s="406"/>
      <c r="AM311" s="406"/>
      <c r="AN311" s="406"/>
      <c r="AO311" s="406"/>
      <c r="AP311" s="406"/>
      <c r="AQ311" s="406"/>
      <c r="AR311" s="406"/>
      <c r="AS311" s="406"/>
      <c r="AT311" s="406"/>
      <c r="AU311" s="406"/>
      <c r="AV311" s="406"/>
      <c r="AW311" s="406"/>
      <c r="AX311" s="406"/>
      <c r="AY311" s="406"/>
      <c r="AZ311" s="406"/>
      <c r="BA311" s="406"/>
      <c r="BB311" s="406"/>
      <c r="BC311" s="406"/>
      <c r="BD311" s="406"/>
      <c r="BE311" s="406"/>
      <c r="BF311" s="406"/>
      <c r="BG311" s="406"/>
      <c r="BH311" s="406"/>
      <c r="BI311" s="406"/>
      <c r="BJ311" s="406"/>
      <c r="BK311" s="406"/>
      <c r="BL311" s="406"/>
      <c r="BM311" s="406"/>
      <c r="BN311" s="406"/>
      <c r="BO311" s="406"/>
      <c r="BP311" s="406"/>
      <c r="BQ311" s="406"/>
      <c r="BR311" s="406"/>
      <c r="BS311" s="406"/>
      <c r="BT311" s="406"/>
      <c r="BU311" s="406"/>
      <c r="BV311" s="406"/>
      <c r="BW311" s="406"/>
      <c r="BX311" s="406"/>
      <c r="BY311" s="406"/>
      <c r="BZ311" s="406"/>
      <c r="CA311" s="406"/>
      <c r="CB311" s="438"/>
      <c r="CC311" s="438"/>
      <c r="CD311" s="438"/>
      <c r="CE311" s="438"/>
      <c r="CF311" s="406"/>
      <c r="CG311" s="406"/>
      <c r="CH311" s="406"/>
      <c r="CI311" s="406"/>
      <c r="CJ311" s="406"/>
      <c r="CK311" s="406"/>
      <c r="CL311" s="406"/>
      <c r="CM311" s="406"/>
      <c r="CN311" s="366"/>
      <c r="CO311" s="366"/>
      <c r="CP311" s="366"/>
      <c r="CQ311" s="366"/>
      <c r="CR311" s="366"/>
      <c r="CS311" s="366"/>
      <c r="CT311" s="187"/>
      <c r="CU311" s="310"/>
      <c r="CV311" s="246"/>
      <c r="CW311" s="255"/>
    </row>
    <row r="312" spans="1:101" ht="18.75" thickTop="1" x14ac:dyDescent="0.2">
      <c r="A312" s="256"/>
      <c r="B312" s="256"/>
      <c r="C312" s="209"/>
      <c r="D312" s="290"/>
      <c r="E312" s="273"/>
      <c r="F312" s="274"/>
      <c r="G312" s="273"/>
      <c r="H312" s="273"/>
      <c r="I312" s="803" t="s">
        <v>39</v>
      </c>
      <c r="J312" s="805"/>
      <c r="K312" s="805"/>
      <c r="L312" s="291"/>
      <c r="M312" s="302"/>
      <c r="N312" s="242"/>
      <c r="O312" s="275"/>
      <c r="P312" s="275"/>
      <c r="Q312" s="808">
        <f>IF($F316="","",SUM(Q328:S328)-S314)</f>
        <v>520</v>
      </c>
      <c r="R312" s="808"/>
      <c r="S312" s="808"/>
      <c r="T312" s="276"/>
      <c r="U312" s="277"/>
      <c r="V312" s="277"/>
      <c r="W312" s="277"/>
      <c r="X312" s="277"/>
      <c r="Y312" s="275"/>
      <c r="Z312" s="808">
        <f>IF($F316="","",SUM(Z328:AB328)-AB314)</f>
        <v>680</v>
      </c>
      <c r="AA312" s="808"/>
      <c r="AB312" s="808"/>
      <c r="AC312" s="276"/>
      <c r="AD312" s="277"/>
      <c r="AE312" s="277"/>
      <c r="AF312" s="277"/>
      <c r="AG312" s="273"/>
      <c r="AH312" s="275"/>
      <c r="AI312" s="808">
        <f>IF($F316="","",SUM(AI328:AK328)-AK314)</f>
        <v>540</v>
      </c>
      <c r="AJ312" s="808"/>
      <c r="AK312" s="808"/>
      <c r="AL312" s="276"/>
      <c r="AM312" s="277"/>
      <c r="AN312" s="277"/>
      <c r="AO312" s="277"/>
      <c r="AP312" s="273"/>
      <c r="AQ312" s="275"/>
      <c r="AR312" s="808">
        <f>IF($F316="","",SUM(AR328:AT328)-AT314)</f>
        <v>630</v>
      </c>
      <c r="AS312" s="808"/>
      <c r="AT312" s="808"/>
      <c r="AU312" s="278"/>
      <c r="AV312" s="277"/>
      <c r="AW312" s="277"/>
      <c r="AX312" s="277"/>
      <c r="AY312" s="279"/>
      <c r="AZ312" s="280"/>
      <c r="BA312" s="808">
        <f>IF($F316="","",SUM(BA328:BC328)-BC314)</f>
        <v>540</v>
      </c>
      <c r="BB312" s="808"/>
      <c r="BC312" s="808"/>
      <c r="BD312" s="278"/>
      <c r="BE312" s="277"/>
      <c r="BF312" s="277"/>
      <c r="BG312" s="277"/>
      <c r="BH312" s="279"/>
      <c r="BI312" s="280"/>
      <c r="BJ312" s="808">
        <f>IF($F316="","",SUM(BJ328:BL328)-BL314)</f>
        <v>630</v>
      </c>
      <c r="BK312" s="808"/>
      <c r="BL312" s="808"/>
      <c r="BM312" s="278"/>
      <c r="BN312" s="277"/>
      <c r="BO312" s="277"/>
      <c r="BP312" s="277"/>
      <c r="BQ312" s="279"/>
      <c r="BR312" s="281"/>
      <c r="BS312" s="808">
        <f>IF($F316="","",SUM(BS328:BU328)-BU314)</f>
        <v>620</v>
      </c>
      <c r="BT312" s="808"/>
      <c r="BU312" s="808"/>
      <c r="BV312" s="280"/>
      <c r="BW312" s="279"/>
      <c r="BX312" s="279"/>
      <c r="BY312" s="279"/>
      <c r="BZ312" s="279"/>
      <c r="CA312" s="281"/>
      <c r="CB312" s="808">
        <f>IF($F316="","",SUM(CB328:CD328)-CD314)</f>
        <v>630</v>
      </c>
      <c r="CC312" s="808"/>
      <c r="CD312" s="808"/>
      <c r="CE312" s="280"/>
      <c r="CF312" s="279"/>
      <c r="CG312" s="279"/>
      <c r="CH312" s="279"/>
      <c r="CI312" s="279"/>
      <c r="CJ312" s="273"/>
      <c r="CK312" s="808">
        <f>IF($F316="","",SUM(CK328:CM328))</f>
        <v>590</v>
      </c>
      <c r="CL312" s="808"/>
      <c r="CM312" s="808"/>
      <c r="CN312" s="280"/>
      <c r="CO312" s="279"/>
      <c r="CP312" s="279"/>
      <c r="CQ312" s="279"/>
      <c r="CR312" s="273"/>
      <c r="CS312" s="273"/>
      <c r="CT312" s="273"/>
      <c r="CU312" s="292"/>
      <c r="CV312" s="246"/>
      <c r="CW312" s="255"/>
    </row>
    <row r="313" spans="1:101" x14ac:dyDescent="0.2">
      <c r="A313" s="256"/>
      <c r="B313" s="256"/>
      <c r="C313" s="209"/>
      <c r="D313" s="916">
        <v>50</v>
      </c>
      <c r="E313" s="588">
        <f>IF(D313="","",DATE($D$4,1,1)+(D313-1)*7+(6-WEEKDAY(DATE($D$4,1,1),2)))</f>
        <v>46004</v>
      </c>
      <c r="F313" s="213"/>
      <c r="G313" s="214"/>
      <c r="H313" s="214"/>
      <c r="I313" s="804">
        <f>IF(ISERROR(AVERAGE(Q312,Z312,AI312,AR312,BA312,BJ312,BS312,CB312,CK312)),"",AVERAGE(Q312,Z312,AI312,AR312,BA312,BJ312,BS312,CB312,CK312))</f>
        <v>597.77777777777783</v>
      </c>
      <c r="J313" s="806"/>
      <c r="K313" s="806"/>
      <c r="L313" s="295"/>
      <c r="M313" s="372"/>
      <c r="N313" s="245"/>
      <c r="O313" s="215"/>
      <c r="P313" s="215"/>
      <c r="Q313" s="710">
        <f>IF(Q312="","",Q312/Data!$X$1)</f>
        <v>0.43333333333333335</v>
      </c>
      <c r="R313" s="710"/>
      <c r="S313" s="711">
        <f>IF(SUM(X316:X327)=0,"",SUM(X316:X327))</f>
        <v>7</v>
      </c>
      <c r="T313" s="216"/>
      <c r="U313" s="217"/>
      <c r="V313" s="217"/>
      <c r="W313" s="217"/>
      <c r="X313" s="217"/>
      <c r="Y313" s="215"/>
      <c r="Z313" s="710">
        <f>IF(Z312="","",Z312/Data!$X$1)</f>
        <v>0.56666666666666665</v>
      </c>
      <c r="AA313" s="710"/>
      <c r="AB313" s="711">
        <f>IF(SUM(AG316:AG327)=0,"",SUM(AG316:AG327))</f>
        <v>8</v>
      </c>
      <c r="AC313" s="216"/>
      <c r="AD313" s="217"/>
      <c r="AE313" s="217"/>
      <c r="AF313" s="217"/>
      <c r="AG313" s="217"/>
      <c r="AH313" s="215"/>
      <c r="AI313" s="710">
        <f>IF(AI312="","",AI312/Data!$X$1)</f>
        <v>0.45</v>
      </c>
      <c r="AJ313" s="710"/>
      <c r="AK313" s="711">
        <f>IF(SUM(AP316:AP327)=0,"",SUM(AP316:AP327))</f>
        <v>6</v>
      </c>
      <c r="AL313" s="216"/>
      <c r="AM313" s="217"/>
      <c r="AN313" s="217"/>
      <c r="AO313" s="217"/>
      <c r="AP313" s="217"/>
      <c r="AQ313" s="215"/>
      <c r="AR313" s="710">
        <f>IF(AR312="","",AR312/Data!$X$1)</f>
        <v>0.52500000000000002</v>
      </c>
      <c r="AS313" s="710"/>
      <c r="AT313" s="711">
        <f>IF(SUM(AY316:AY327)=0,"",SUM(AY316:AY327))</f>
        <v>9</v>
      </c>
      <c r="AU313" s="218"/>
      <c r="AV313" s="217"/>
      <c r="AW313" s="217"/>
      <c r="AX313" s="217"/>
      <c r="AY313" s="217"/>
      <c r="AZ313" s="219"/>
      <c r="BA313" s="710">
        <f>IF(BA312="","",BA312/Data!$X$1)</f>
        <v>0.45</v>
      </c>
      <c r="BB313" s="710"/>
      <c r="BC313" s="711">
        <f>IF(SUM(BH316:BH327)=0,"",SUM(BH316:BH327))</f>
        <v>6</v>
      </c>
      <c r="BD313" s="218"/>
      <c r="BE313" s="217"/>
      <c r="BF313" s="217"/>
      <c r="BG313" s="217"/>
      <c r="BH313" s="217"/>
      <c r="BI313" s="219"/>
      <c r="BJ313" s="710">
        <f>IF(BJ312="","",BJ312/Data!$X$1)</f>
        <v>0.52500000000000002</v>
      </c>
      <c r="BK313" s="710"/>
      <c r="BL313" s="711">
        <f>IF(SUM(BQ316:BQ327)=0,"",SUM(BQ316:BQ327))</f>
        <v>7</v>
      </c>
      <c r="BM313" s="218"/>
      <c r="BN313" s="217"/>
      <c r="BO313" s="217"/>
      <c r="BP313" s="217"/>
      <c r="BQ313" s="217"/>
      <c r="BR313" s="220"/>
      <c r="BS313" s="710">
        <f>IF(BS312="","",BS312/Data!$X$1)</f>
        <v>0.51666666666666672</v>
      </c>
      <c r="BT313" s="710"/>
      <c r="BU313" s="711">
        <f>IF(SUM(BZ316:BZ327)=0,"",SUM(BZ316:BZ327))</f>
        <v>11</v>
      </c>
      <c r="BV313" s="219"/>
      <c r="BW313" s="217"/>
      <c r="BX313" s="217"/>
      <c r="BY313" s="217"/>
      <c r="BZ313" s="217"/>
      <c r="CA313" s="220"/>
      <c r="CB313" s="710">
        <f>IF(CB312="","",CB312/Data!$X$1)</f>
        <v>0.52500000000000002</v>
      </c>
      <c r="CC313" s="710"/>
      <c r="CD313" s="711">
        <f>IF(SUM(CI316:CI327)=0,"",SUM(CI316:CI327))</f>
        <v>8</v>
      </c>
      <c r="CE313" s="219"/>
      <c r="CF313" s="217"/>
      <c r="CG313" s="217"/>
      <c r="CH313" s="217"/>
      <c r="CI313" s="217"/>
      <c r="CJ313" s="217"/>
      <c r="CK313" s="710">
        <f>IF(CK312="","",CK312/Data!$X$1)</f>
        <v>0.49166666666666664</v>
      </c>
      <c r="CL313" s="710"/>
      <c r="CM313" s="711">
        <f>IF(SUM(CR316:CR327)=0,"",SUM(CR316:CR327))</f>
        <v>7</v>
      </c>
      <c r="CN313" s="219"/>
      <c r="CO313" s="217"/>
      <c r="CP313" s="217"/>
      <c r="CQ313" s="217"/>
      <c r="CR313" s="217"/>
      <c r="CS313" s="217"/>
      <c r="CT313" s="217"/>
      <c r="CU313" s="296"/>
      <c r="CV313" s="246"/>
      <c r="CW313" s="255"/>
    </row>
    <row r="314" spans="1:101" ht="13.5" thickBot="1" x14ac:dyDescent="0.25">
      <c r="A314" s="256"/>
      <c r="B314" s="256"/>
      <c r="C314" s="209"/>
      <c r="D314" s="269">
        <f>D292+1</f>
        <v>15</v>
      </c>
      <c r="E314" s="402" t="str">
        <f>IF(E313="","Sett inn dato over her",TEXT(E313,"dddd"))</f>
        <v>lørdag</v>
      </c>
      <c r="F314" s="221"/>
      <c r="G314" s="222"/>
      <c r="H314" s="222"/>
      <c r="I314" s="802"/>
      <c r="J314" s="807"/>
      <c r="K314" s="807"/>
      <c r="L314" s="297"/>
      <c r="M314" s="373"/>
      <c r="N314" s="377"/>
      <c r="O314" s="222"/>
      <c r="P314" s="222"/>
      <c r="Q314" s="385" t="str">
        <f>Data!$E$11</f>
        <v>AHH</v>
      </c>
      <c r="R314" s="386">
        <f>IF($F327="","",RANK(Q312,$Q312:$CL312))</f>
        <v>9</v>
      </c>
      <c r="S314" s="510"/>
      <c r="T314" s="216">
        <v>0</v>
      </c>
      <c r="U314" s="217"/>
      <c r="V314" s="217"/>
      <c r="W314" s="217"/>
      <c r="X314" s="217"/>
      <c r="Y314" s="215"/>
      <c r="Z314" s="385" t="str">
        <f>Data!$E$12</f>
        <v>RB</v>
      </c>
      <c r="AA314" s="386">
        <f>IF($F327="","",RANK(Z312,$Q312:$CL312))</f>
        <v>1</v>
      </c>
      <c r="AB314" s="510"/>
      <c r="AC314" s="216"/>
      <c r="AD314" s="217"/>
      <c r="AE314" s="217"/>
      <c r="AF314" s="217"/>
      <c r="AG314" s="217"/>
      <c r="AH314" s="215"/>
      <c r="AI314" s="385" t="str">
        <f>Data!$E$13</f>
        <v>EB</v>
      </c>
      <c r="AJ314" s="386">
        <f>IF($F327="","",RANK(AI312,$Q312:$CL312))</f>
        <v>7</v>
      </c>
      <c r="AK314" s="510"/>
      <c r="AL314" s="216"/>
      <c r="AM314" s="217"/>
      <c r="AN314" s="217"/>
      <c r="AO314" s="217"/>
      <c r="AP314" s="217"/>
      <c r="AQ314" s="215"/>
      <c r="AR314" s="346" t="str">
        <f>Data!$E$14</f>
        <v>KAF</v>
      </c>
      <c r="AS314" s="386">
        <f>IF($F327="","",RANK(AR312,$Q312:$CL312))</f>
        <v>2</v>
      </c>
      <c r="AT314" s="510"/>
      <c r="AU314" s="216"/>
      <c r="AV314" s="217"/>
      <c r="AW314" s="217"/>
      <c r="AX314" s="217"/>
      <c r="AY314" s="217"/>
      <c r="AZ314" s="215"/>
      <c r="BA314" s="346" t="str">
        <f>Data!$E$15</f>
        <v>ØG</v>
      </c>
      <c r="BB314" s="386">
        <f>IF($F327="","",RANK(BA312,$Q312:$CL312))</f>
        <v>7</v>
      </c>
      <c r="BC314" s="510"/>
      <c r="BD314" s="216"/>
      <c r="BE314" s="217"/>
      <c r="BF314" s="217"/>
      <c r="BG314" s="217"/>
      <c r="BH314" s="217"/>
      <c r="BI314" s="215"/>
      <c r="BJ314" s="346" t="str">
        <f>Data!$E$16</f>
        <v>JH</v>
      </c>
      <c r="BK314" s="386">
        <f>IF($F327="","",RANK(BJ312,$Q312:$CL312))</f>
        <v>2</v>
      </c>
      <c r="BL314" s="510"/>
      <c r="BM314" s="216"/>
      <c r="BN314" s="217"/>
      <c r="BO314" s="217"/>
      <c r="BP314" s="217"/>
      <c r="BQ314" s="217"/>
      <c r="BR314" s="223"/>
      <c r="BS314" s="346" t="str">
        <f>Data!$E$17</f>
        <v>TOH</v>
      </c>
      <c r="BT314" s="386">
        <f>IF($F327="","",RANK(BS312,$Q312:$CL312))</f>
        <v>5</v>
      </c>
      <c r="BU314" s="510"/>
      <c r="BV314" s="215"/>
      <c r="BW314" s="217"/>
      <c r="BX314" s="217"/>
      <c r="BY314" s="217"/>
      <c r="BZ314" s="217"/>
      <c r="CA314" s="223"/>
      <c r="CB314" s="346" t="s">
        <v>26</v>
      </c>
      <c r="CC314" s="386">
        <f>IF($F327="","",RANK(CB312,$Q312:$CM312))</f>
        <v>2</v>
      </c>
      <c r="CD314" s="511"/>
      <c r="CE314" s="215"/>
      <c r="CF314" s="217"/>
      <c r="CG314" s="217"/>
      <c r="CH314" s="217"/>
      <c r="CI314" s="217"/>
      <c r="CJ314" s="217"/>
      <c r="CK314" s="346" t="s">
        <v>27</v>
      </c>
      <c r="CL314" s="386">
        <f>IF($F327="","",RANK(CK312,$Q312:$CM312))</f>
        <v>6</v>
      </c>
      <c r="CM314" s="798"/>
      <c r="CN314" s="215"/>
      <c r="CO314" s="217"/>
      <c r="CP314" s="217"/>
      <c r="CQ314" s="217"/>
      <c r="CR314" s="217"/>
      <c r="CS314" s="217"/>
      <c r="CT314" s="217"/>
      <c r="CU314" s="296"/>
      <c r="CV314" s="246"/>
      <c r="CW314" s="255"/>
    </row>
    <row r="315" spans="1:101" ht="13.5" thickBot="1" x14ac:dyDescent="0.25">
      <c r="A315" s="264"/>
      <c r="B315" s="264"/>
      <c r="C315" s="202"/>
      <c r="D315" s="270"/>
      <c r="E315" s="224"/>
      <c r="F315" s="225"/>
      <c r="G315" s="226"/>
      <c r="H315" s="226"/>
      <c r="I315" s="227" t="s">
        <v>45</v>
      </c>
      <c r="J315" s="228" t="s">
        <v>46</v>
      </c>
      <c r="K315" s="229" t="s">
        <v>47</v>
      </c>
      <c r="L315" s="298"/>
      <c r="M315" s="374"/>
      <c r="N315" s="378"/>
      <c r="O315" s="230"/>
      <c r="P315" s="230"/>
      <c r="Q315" s="227" t="s">
        <v>45</v>
      </c>
      <c r="R315" s="228" t="s">
        <v>46</v>
      </c>
      <c r="S315" s="229" t="s">
        <v>47</v>
      </c>
      <c r="T315" s="231"/>
      <c r="U315" s="232"/>
      <c r="V315" s="232"/>
      <c r="W315" s="232"/>
      <c r="X315" s="232"/>
      <c r="Y315" s="230"/>
      <c r="Z315" s="227" t="s">
        <v>45</v>
      </c>
      <c r="AA315" s="228" t="s">
        <v>46</v>
      </c>
      <c r="AB315" s="229" t="s">
        <v>47</v>
      </c>
      <c r="AC315" s="231"/>
      <c r="AD315" s="232"/>
      <c r="AE315" s="232"/>
      <c r="AF315" s="232"/>
      <c r="AG315" s="232"/>
      <c r="AH315" s="230"/>
      <c r="AI315" s="227" t="s">
        <v>45</v>
      </c>
      <c r="AJ315" s="228" t="s">
        <v>46</v>
      </c>
      <c r="AK315" s="229" t="s">
        <v>47</v>
      </c>
      <c r="AL315" s="231"/>
      <c r="AM315" s="232"/>
      <c r="AN315" s="232"/>
      <c r="AO315" s="232"/>
      <c r="AP315" s="232"/>
      <c r="AQ315" s="230"/>
      <c r="AR315" s="227" t="s">
        <v>45</v>
      </c>
      <c r="AS315" s="228" t="s">
        <v>46</v>
      </c>
      <c r="AT315" s="229" t="s">
        <v>47</v>
      </c>
      <c r="AU315" s="231"/>
      <c r="AV315" s="232"/>
      <c r="AW315" s="232"/>
      <c r="AX315" s="232"/>
      <c r="AY315" s="232"/>
      <c r="AZ315" s="230"/>
      <c r="BA315" s="227" t="s">
        <v>45</v>
      </c>
      <c r="BB315" s="228" t="s">
        <v>46</v>
      </c>
      <c r="BC315" s="229" t="s">
        <v>47</v>
      </c>
      <c r="BD315" s="231"/>
      <c r="BE315" s="232"/>
      <c r="BF315" s="232"/>
      <c r="BG315" s="232"/>
      <c r="BH315" s="232"/>
      <c r="BI315" s="230"/>
      <c r="BJ315" s="227" t="s">
        <v>45</v>
      </c>
      <c r="BK315" s="228" t="s">
        <v>46</v>
      </c>
      <c r="BL315" s="229" t="s">
        <v>47</v>
      </c>
      <c r="BM315" s="231"/>
      <c r="BN315" s="232"/>
      <c r="BO315" s="232"/>
      <c r="BP315" s="232"/>
      <c r="BQ315" s="232"/>
      <c r="BR315" s="230"/>
      <c r="BS315" s="227" t="s">
        <v>45</v>
      </c>
      <c r="BT315" s="228" t="s">
        <v>46</v>
      </c>
      <c r="BU315" s="229" t="s">
        <v>47</v>
      </c>
      <c r="BV315" s="231"/>
      <c r="BW315" s="232"/>
      <c r="BX315" s="232"/>
      <c r="BY315" s="232"/>
      <c r="BZ315" s="233"/>
      <c r="CA315" s="230"/>
      <c r="CB315" s="227" t="s">
        <v>45</v>
      </c>
      <c r="CC315" s="228" t="s">
        <v>46</v>
      </c>
      <c r="CD315" s="229" t="s">
        <v>47</v>
      </c>
      <c r="CE315" s="231"/>
      <c r="CF315" s="232"/>
      <c r="CG315" s="232"/>
      <c r="CH315" s="232"/>
      <c r="CI315" s="232"/>
      <c r="CJ315" s="232"/>
      <c r="CK315" s="227" t="s">
        <v>45</v>
      </c>
      <c r="CL315" s="228" t="s">
        <v>46</v>
      </c>
      <c r="CM315" s="229" t="s">
        <v>47</v>
      </c>
      <c r="CN315" s="231"/>
      <c r="CO315" s="232"/>
      <c r="CP315" s="232"/>
      <c r="CQ315" s="232"/>
      <c r="CR315" s="232"/>
      <c r="CS315" s="232"/>
      <c r="CT315" s="234"/>
      <c r="CU315" s="296"/>
      <c r="CV315" s="246"/>
      <c r="CW315" s="265"/>
    </row>
    <row r="316" spans="1:101" x14ac:dyDescent="0.2">
      <c r="A316" s="264"/>
      <c r="B316" s="264"/>
      <c r="C316" s="202"/>
      <c r="D316" s="271">
        <v>1</v>
      </c>
      <c r="E316" s="166" t="s">
        <v>219</v>
      </c>
      <c r="F316" s="468">
        <v>2</v>
      </c>
      <c r="G316" s="472"/>
      <c r="H316" s="473">
        <v>1</v>
      </c>
      <c r="I316" s="170" t="str">
        <f t="shared" ref="I316:I327" si="700">IF($F316&gt;$H316,"x","")</f>
        <v>x</v>
      </c>
      <c r="J316" s="387" t="str">
        <f t="shared" ref="J316:J327" si="701">IF(F316&lt;&gt;"",IF(H316&lt;&gt;"",IF(F316=H316,"x",""),""),"")</f>
        <v/>
      </c>
      <c r="K316" s="388" t="str">
        <f t="shared" ref="K316:K327" si="702">IF($F316&lt;$H316,"x","")</f>
        <v/>
      </c>
      <c r="L316" s="299"/>
      <c r="M316" s="375"/>
      <c r="N316" s="379"/>
      <c r="O316" s="236"/>
      <c r="P316" s="236"/>
      <c r="Q316" s="480">
        <v>80</v>
      </c>
      <c r="R316" s="481">
        <v>10</v>
      </c>
      <c r="S316" s="482">
        <f>IF(Q316="","",100-SUM(Q316:R316))</f>
        <v>10</v>
      </c>
      <c r="T316" s="371"/>
      <c r="U316" s="232">
        <f t="shared" ref="U316:U327" si="703">IF($I316="x",Q316,"")</f>
        <v>80</v>
      </c>
      <c r="V316" s="232" t="str">
        <f t="shared" ref="V316:V327" si="704">IF($J316="x",R316,"")</f>
        <v/>
      </c>
      <c r="W316" s="232" t="str">
        <f t="shared" ref="W316:W327" si="705">IF($K316="x",S316,"")</f>
        <v/>
      </c>
      <c r="X316" s="232">
        <f>IF((MAX(U316,V316,W316))=0,"",IF((MAX(U316,V316,W316))=(MAX(Q316,R316,S316)),1,""))</f>
        <v>1</v>
      </c>
      <c r="Y316" s="371"/>
      <c r="Z316" s="495">
        <v>80</v>
      </c>
      <c r="AA316" s="496">
        <v>10</v>
      </c>
      <c r="AB316" s="482">
        <f t="shared" ref="AB316:AB327" si="706">IF(Z316="","",100-SUM(Z316:AA316))</f>
        <v>10</v>
      </c>
      <c r="AC316" s="371"/>
      <c r="AD316" s="232">
        <f t="shared" ref="AD316:AD327" si="707">IF($I316="x",Z316,"")</f>
        <v>80</v>
      </c>
      <c r="AE316" s="232" t="str">
        <f t="shared" ref="AE316:AE327" si="708">IF($J316="x",AA316,"")</f>
        <v/>
      </c>
      <c r="AF316" s="232" t="str">
        <f t="shared" ref="AF316:AF327" si="709">IF($K316="x",AB316,"")</f>
        <v/>
      </c>
      <c r="AG316" s="232">
        <f>IF((MAX(AD316,AE316,AF316))=0,"",IF((MAX(AD316,AE316,AF316))=(MAX(Z316,AA316,AB316)),1,""))</f>
        <v>1</v>
      </c>
      <c r="AH316" s="371"/>
      <c r="AI316" s="495">
        <v>80</v>
      </c>
      <c r="AJ316" s="496">
        <v>10</v>
      </c>
      <c r="AK316" s="482">
        <f t="shared" ref="AK316:AK327" si="710">IF(AI316="","",100-SUM(AI316:AJ316))</f>
        <v>10</v>
      </c>
      <c r="AL316" s="371"/>
      <c r="AM316" s="232">
        <f t="shared" ref="AM316:AM327" si="711">IF($I316="x",AI316,"")</f>
        <v>80</v>
      </c>
      <c r="AN316" s="232" t="str">
        <f t="shared" ref="AN316:AN327" si="712">IF($J316="x",AJ316,"")</f>
        <v/>
      </c>
      <c r="AO316" s="232" t="str">
        <f t="shared" ref="AO316:AO327" si="713">IF($K316="x",AK316,"")</f>
        <v/>
      </c>
      <c r="AP316" s="232">
        <f>IF((MAX(AM316,AN316,AO316))=0,"",IF((MAX(AM316,AN316,AO316))=(MAX(AI316,AJ316,AK316)),1,""))</f>
        <v>1</v>
      </c>
      <c r="AQ316" s="371"/>
      <c r="AR316" s="495">
        <v>80</v>
      </c>
      <c r="AS316" s="496">
        <v>10</v>
      </c>
      <c r="AT316" s="482">
        <f t="shared" ref="AT316:AT327" si="714">IF(AR316="","",100-SUM(AR316:AS316))</f>
        <v>10</v>
      </c>
      <c r="AU316" s="371"/>
      <c r="AV316" s="232">
        <f t="shared" ref="AV316:AV327" si="715">IF($I316="x",AR316,"")</f>
        <v>80</v>
      </c>
      <c r="AW316" s="232" t="str">
        <f t="shared" ref="AW316:AW327" si="716">IF($J316="x",AS316,"")</f>
        <v/>
      </c>
      <c r="AX316" s="232" t="str">
        <f t="shared" ref="AX316:AX327" si="717">IF($K316="x",AT316,"")</f>
        <v/>
      </c>
      <c r="AY316" s="232">
        <f>IF((MAX(AV316,AW316,AX316))=0,"",IF((MAX(AV316,AW316,AX316))=(MAX(AR316,AS316,AT316)),1,""))</f>
        <v>1</v>
      </c>
      <c r="AZ316" s="371"/>
      <c r="BA316" s="495">
        <v>80</v>
      </c>
      <c r="BB316" s="496">
        <v>10</v>
      </c>
      <c r="BC316" s="482">
        <f t="shared" ref="BC316:BC327" si="718">IF(BA316="","",100-SUM(BA316:BB316))</f>
        <v>10</v>
      </c>
      <c r="BD316" s="371"/>
      <c r="BE316" s="232">
        <f t="shared" ref="BE316:BE327" si="719">IF($I316="x",BA316,"")</f>
        <v>80</v>
      </c>
      <c r="BF316" s="232" t="str">
        <f t="shared" ref="BF316:BF327" si="720">IF($J316="x",BB316,"")</f>
        <v/>
      </c>
      <c r="BG316" s="232" t="str">
        <f t="shared" ref="BG316:BG327" si="721">IF($K316="x",BC316,"")</f>
        <v/>
      </c>
      <c r="BH316" s="232">
        <f>IF((MAX(BE316,BF316,BG316))=0,"",IF((MAX(BE316,BF316,BG316))=(MAX(BA316,BB316,BC316)),1,""))</f>
        <v>1</v>
      </c>
      <c r="BI316" s="371"/>
      <c r="BJ316" s="495">
        <v>80</v>
      </c>
      <c r="BK316" s="496">
        <v>10</v>
      </c>
      <c r="BL316" s="482">
        <f t="shared" ref="BL316:BL327" si="722">IF(BJ316="","",100-SUM(BJ316:BK316))</f>
        <v>10</v>
      </c>
      <c r="BM316" s="371"/>
      <c r="BN316" s="232">
        <f t="shared" ref="BN316:BN327" si="723">IF($I316="x",BJ316,"")</f>
        <v>80</v>
      </c>
      <c r="BO316" s="232" t="str">
        <f t="shared" ref="BO316:BO327" si="724">IF($J316="x",BK316,"")</f>
        <v/>
      </c>
      <c r="BP316" s="232" t="str">
        <f t="shared" ref="BP316:BP327" si="725">IF($K316="x",BL316,"")</f>
        <v/>
      </c>
      <c r="BQ316" s="232">
        <f>IF((MAX(BN316,BO316,BP316))=0,"",IF((MAX(BN316,BO316,BP316))=(MAX(BJ316,BK316,BL316)),1,""))</f>
        <v>1</v>
      </c>
      <c r="BR316" s="371"/>
      <c r="BS316" s="495">
        <v>80</v>
      </c>
      <c r="BT316" s="496">
        <v>10</v>
      </c>
      <c r="BU316" s="482">
        <f t="shared" ref="BU316:BU327" si="726">IF(BS316="","",100-SUM(BS316:BT316))</f>
        <v>10</v>
      </c>
      <c r="BV316" s="371"/>
      <c r="BW316" s="232">
        <f t="shared" ref="BW316:BW327" si="727">IF($I316="x",BS316,"")</f>
        <v>80</v>
      </c>
      <c r="BX316" s="232" t="str">
        <f t="shared" ref="BX316:BX327" si="728">IF($J316="x",BT316,"")</f>
        <v/>
      </c>
      <c r="BY316" s="232" t="str">
        <f t="shared" ref="BY316:BY327" si="729">IF($K316="x",BU316,"")</f>
        <v/>
      </c>
      <c r="BZ316" s="232">
        <f>IF((MAX(BW316,BX316,BY316))=0,"",IF((MAX(BW316,BX316,BY316))=(MAX(BS316,BT316,BU316)),1,""))</f>
        <v>1</v>
      </c>
      <c r="CA316" s="371"/>
      <c r="CB316" s="501">
        <f t="shared" ref="CB316:CB327" si="730">IFERROR(ROUNDUP((SUM(Q316,Z316,AI316,AR316,BA316,BJ316,BS316)/SUM($Q316:$S316,$Z316:$AB316,$AI316:$AK316,$AR316:$AT316,$BA316:$BC316,$BJ316:$BL316,$BS316:$BU316))*100,-1),"")</f>
        <v>80</v>
      </c>
      <c r="CC316" s="502">
        <f t="shared" ref="CC316:CC327" si="731">IFERROR(ROUNDDOWN((SUM(R316,AA316,AJ316,AS316,BB316,BK316,BT316)/SUM($Q316:$S316,$Z316:$AB316,$AI316:$AK316,$AR316:$AT316,$BA316:$BC316,$BJ316:$BL316,$BS316:$BU316))*100,-1),"")</f>
        <v>10</v>
      </c>
      <c r="CD316" s="503">
        <f t="shared" ref="CD316:CD327" si="732">IF(CB316="","",100-SUM(CB316:CC316))</f>
        <v>10</v>
      </c>
      <c r="CE316" s="371"/>
      <c r="CF316" s="232">
        <f t="shared" ref="CF316:CF327" si="733">IF($I316="x",CB316,"")</f>
        <v>80</v>
      </c>
      <c r="CG316" s="232" t="str">
        <f t="shared" ref="CG316:CG327" si="734">IF($J316="x",CC316,"")</f>
        <v/>
      </c>
      <c r="CH316" s="232" t="str">
        <f t="shared" ref="CH316:CH327" si="735">IF($K316="x",CD316,"")</f>
        <v/>
      </c>
      <c r="CI316" s="232">
        <f>IF((MAX(CF316,CG316,CH316))=0,"",IF((MAX(CF316,CG316,CH316))=(MAX(CB316,CC316,CD316)),1,""))</f>
        <v>1</v>
      </c>
      <c r="CJ316" s="232"/>
      <c r="CK316" s="495">
        <v>80</v>
      </c>
      <c r="CL316" s="496">
        <v>10</v>
      </c>
      <c r="CM316" s="482">
        <f t="shared" ref="CM316:CM327" si="736">IF(CK316="","",100-SUM(CK316:CL316))</f>
        <v>10</v>
      </c>
      <c r="CN316" s="371"/>
      <c r="CO316" s="232">
        <f t="shared" ref="CO316:CO327" si="737">IF($I316="x",CK316,"")</f>
        <v>80</v>
      </c>
      <c r="CP316" s="232" t="str">
        <f t="shared" ref="CP316:CP327" si="738">IF($J316="x",CL316,"")</f>
        <v/>
      </c>
      <c r="CQ316" s="232" t="str">
        <f t="shared" ref="CQ316:CQ327" si="739">IF($K316="x",CM316,"")</f>
        <v/>
      </c>
      <c r="CR316" s="232">
        <f>IF((MAX(CO316,CP316,CQ316))=0,"",IF((MAX(CO316,CP316,CQ316))=(MAX(CK316,CL316,CM316)),1,""))</f>
        <v>1</v>
      </c>
      <c r="CS316" s="232"/>
      <c r="CT316" s="371"/>
      <c r="CU316" s="296"/>
      <c r="CV316" s="246"/>
      <c r="CW316" s="264"/>
    </row>
    <row r="317" spans="1:101" x14ac:dyDescent="0.2">
      <c r="A317" s="264"/>
      <c r="B317" s="264"/>
      <c r="C317" s="202"/>
      <c r="D317" s="271">
        <v>2</v>
      </c>
      <c r="E317" s="167" t="s">
        <v>220</v>
      </c>
      <c r="F317" s="469">
        <v>2</v>
      </c>
      <c r="G317" s="474"/>
      <c r="H317" s="475">
        <v>3</v>
      </c>
      <c r="I317" s="389" t="str">
        <f t="shared" si="700"/>
        <v/>
      </c>
      <c r="J317" s="390" t="str">
        <f t="shared" si="701"/>
        <v/>
      </c>
      <c r="K317" s="391" t="str">
        <f t="shared" si="702"/>
        <v>x</v>
      </c>
      <c r="L317" s="299"/>
      <c r="M317" s="375"/>
      <c r="N317" s="379"/>
      <c r="O317" s="236"/>
      <c r="P317" s="236"/>
      <c r="Q317" s="483">
        <v>80</v>
      </c>
      <c r="R317" s="484">
        <v>10</v>
      </c>
      <c r="S317" s="485">
        <f t="shared" ref="S317:S327" si="740">IF(Q317="","",100-SUM(Q317:R317))</f>
        <v>10</v>
      </c>
      <c r="T317" s="371"/>
      <c r="U317" s="232" t="str">
        <f t="shared" si="703"/>
        <v/>
      </c>
      <c r="V317" s="232" t="str">
        <f t="shared" si="704"/>
        <v/>
      </c>
      <c r="W317" s="232">
        <f t="shared" si="705"/>
        <v>10</v>
      </c>
      <c r="X317" s="232" t="str">
        <f t="shared" ref="X317:X327" si="741">IF((MAX(U317,V317,W317))=0,"",IF((MAX(U317,V317,W317))=(MAX(Q317,R317,S317)),1,""))</f>
        <v/>
      </c>
      <c r="Y317" s="371"/>
      <c r="Z317" s="497">
        <v>10</v>
      </c>
      <c r="AA317" s="498">
        <v>10</v>
      </c>
      <c r="AB317" s="485">
        <f t="shared" si="706"/>
        <v>80</v>
      </c>
      <c r="AC317" s="371"/>
      <c r="AD317" s="232" t="str">
        <f t="shared" si="707"/>
        <v/>
      </c>
      <c r="AE317" s="232" t="str">
        <f t="shared" si="708"/>
        <v/>
      </c>
      <c r="AF317" s="232">
        <f t="shared" si="709"/>
        <v>80</v>
      </c>
      <c r="AG317" s="232">
        <f t="shared" ref="AG317:AG327" si="742">IF((MAX(AD317,AE317,AF317))=0,"",IF((MAX(AD317,AE317,AF317))=(MAX(Z317,AA317,AB317)),1,""))</f>
        <v>1</v>
      </c>
      <c r="AH317" s="371"/>
      <c r="AI317" s="497">
        <v>40</v>
      </c>
      <c r="AJ317" s="498">
        <v>30</v>
      </c>
      <c r="AK317" s="485">
        <f t="shared" si="710"/>
        <v>30</v>
      </c>
      <c r="AL317" s="371"/>
      <c r="AM317" s="232" t="str">
        <f t="shared" si="711"/>
        <v/>
      </c>
      <c r="AN317" s="232" t="str">
        <f t="shared" si="712"/>
        <v/>
      </c>
      <c r="AO317" s="232">
        <f t="shared" si="713"/>
        <v>30</v>
      </c>
      <c r="AP317" s="232" t="str">
        <f t="shared" ref="AP317:AP327" si="743">IF((MAX(AM317,AN317,AO317))=0,"",IF((MAX(AM317,AN317,AO317))=(MAX(AI317,AJ317,AK317)),1,""))</f>
        <v/>
      </c>
      <c r="AQ317" s="371"/>
      <c r="AR317" s="497">
        <v>10</v>
      </c>
      <c r="AS317" s="498">
        <v>30</v>
      </c>
      <c r="AT317" s="485">
        <f t="shared" si="714"/>
        <v>60</v>
      </c>
      <c r="AU317" s="371"/>
      <c r="AV317" s="232" t="str">
        <f t="shared" si="715"/>
        <v/>
      </c>
      <c r="AW317" s="232" t="str">
        <f t="shared" si="716"/>
        <v/>
      </c>
      <c r="AX317" s="232">
        <f t="shared" si="717"/>
        <v>60</v>
      </c>
      <c r="AY317" s="232">
        <f t="shared" ref="AY317:AY327" si="744">IF((MAX(AV317,AW317,AX317))=0,"",IF((MAX(AV317,AW317,AX317))=(MAX(AR317,AS317,AT317)),1,""))</f>
        <v>1</v>
      </c>
      <c r="AZ317" s="371"/>
      <c r="BA317" s="497">
        <v>80</v>
      </c>
      <c r="BB317" s="498">
        <v>10</v>
      </c>
      <c r="BC317" s="485">
        <f t="shared" si="718"/>
        <v>10</v>
      </c>
      <c r="BD317" s="371"/>
      <c r="BE317" s="232" t="str">
        <f t="shared" si="719"/>
        <v/>
      </c>
      <c r="BF317" s="232" t="str">
        <f t="shared" si="720"/>
        <v/>
      </c>
      <c r="BG317" s="232">
        <f t="shared" si="721"/>
        <v>10</v>
      </c>
      <c r="BH317" s="232" t="str">
        <f t="shared" ref="BH317:BH327" si="745">IF((MAX(BE317,BF317,BG317))=0,"",IF((MAX(BE317,BF317,BG317))=(MAX(BA317,BB317,BC317)),1,""))</f>
        <v/>
      </c>
      <c r="BI317" s="371"/>
      <c r="BJ317" s="497">
        <v>10</v>
      </c>
      <c r="BK317" s="498">
        <v>10</v>
      </c>
      <c r="BL317" s="485">
        <f t="shared" si="722"/>
        <v>80</v>
      </c>
      <c r="BM317" s="371"/>
      <c r="BN317" s="232" t="str">
        <f t="shared" si="723"/>
        <v/>
      </c>
      <c r="BO317" s="232" t="str">
        <f t="shared" si="724"/>
        <v/>
      </c>
      <c r="BP317" s="232">
        <f t="shared" si="725"/>
        <v>80</v>
      </c>
      <c r="BQ317" s="232">
        <f t="shared" ref="BQ317:BQ327" si="746">IF((MAX(BN317,BO317,BP317))=0,"",IF((MAX(BN317,BO317,BP317))=(MAX(BJ317,BK317,BL317)),1,""))</f>
        <v>1</v>
      </c>
      <c r="BR317" s="371"/>
      <c r="BS317" s="497">
        <v>20</v>
      </c>
      <c r="BT317" s="498">
        <v>30</v>
      </c>
      <c r="BU317" s="485">
        <f t="shared" si="726"/>
        <v>50</v>
      </c>
      <c r="BV317" s="371"/>
      <c r="BW317" s="232" t="str">
        <f t="shared" si="727"/>
        <v/>
      </c>
      <c r="BX317" s="232" t="str">
        <f t="shared" si="728"/>
        <v/>
      </c>
      <c r="BY317" s="232">
        <f t="shared" si="729"/>
        <v>50</v>
      </c>
      <c r="BZ317" s="232">
        <f t="shared" ref="BZ317:BZ327" si="747">IF((MAX(BW317,BX317,BY317))=0,"",IF((MAX(BW317,BX317,BY317))=(MAX(BS317,BT317,BU317)),1,""))</f>
        <v>1</v>
      </c>
      <c r="CA317" s="371"/>
      <c r="CB317" s="504">
        <f t="shared" si="730"/>
        <v>40</v>
      </c>
      <c r="CC317" s="505">
        <f t="shared" si="731"/>
        <v>10</v>
      </c>
      <c r="CD317" s="506">
        <f t="shared" si="732"/>
        <v>50</v>
      </c>
      <c r="CE317" s="371"/>
      <c r="CF317" s="232" t="str">
        <f t="shared" si="733"/>
        <v/>
      </c>
      <c r="CG317" s="232" t="str">
        <f t="shared" si="734"/>
        <v/>
      </c>
      <c r="CH317" s="232">
        <f t="shared" si="735"/>
        <v>50</v>
      </c>
      <c r="CI317" s="232">
        <f t="shared" ref="CI317:CI327" si="748">IF((MAX(CF317,CG317,CH317))=0,"",IF((MAX(CF317,CG317,CH317))=(MAX(CB317,CC317,CD317)),1,""))</f>
        <v>1</v>
      </c>
      <c r="CJ317" s="232"/>
      <c r="CK317" s="497">
        <v>80</v>
      </c>
      <c r="CL317" s="498">
        <v>10</v>
      </c>
      <c r="CM317" s="485">
        <f t="shared" si="736"/>
        <v>10</v>
      </c>
      <c r="CN317" s="371"/>
      <c r="CO317" s="232" t="str">
        <f t="shared" si="737"/>
        <v/>
      </c>
      <c r="CP317" s="232" t="str">
        <f t="shared" si="738"/>
        <v/>
      </c>
      <c r="CQ317" s="232">
        <f t="shared" si="739"/>
        <v>10</v>
      </c>
      <c r="CR317" s="232" t="str">
        <f t="shared" ref="CR317:CR327" si="749">IF((MAX(CO317,CP317,CQ317))=0,"",IF((MAX(CO317,CP317,CQ317))=(MAX(CK317,CL317,CM317)),1,""))</f>
        <v/>
      </c>
      <c r="CS317" s="232"/>
      <c r="CT317" s="371"/>
      <c r="CU317" s="296"/>
      <c r="CV317" s="246"/>
      <c r="CW317" s="264"/>
    </row>
    <row r="318" spans="1:101" ht="13.5" thickBot="1" x14ac:dyDescent="0.25">
      <c r="A318" s="264"/>
      <c r="B318" s="264"/>
      <c r="C318" s="202"/>
      <c r="D318" s="271">
        <v>3</v>
      </c>
      <c r="E318" s="168" t="s">
        <v>221</v>
      </c>
      <c r="F318" s="470">
        <v>2</v>
      </c>
      <c r="G318" s="476"/>
      <c r="H318" s="477">
        <v>0</v>
      </c>
      <c r="I318" s="392" t="str">
        <f t="shared" si="700"/>
        <v>x</v>
      </c>
      <c r="J318" s="393" t="str">
        <f t="shared" si="701"/>
        <v/>
      </c>
      <c r="K318" s="394" t="str">
        <f t="shared" si="702"/>
        <v/>
      </c>
      <c r="L318" s="299"/>
      <c r="M318" s="375"/>
      <c r="N318" s="379"/>
      <c r="O318" s="236"/>
      <c r="P318" s="236"/>
      <c r="Q318" s="486">
        <v>80</v>
      </c>
      <c r="R318" s="487">
        <v>10</v>
      </c>
      <c r="S318" s="488">
        <f t="shared" si="740"/>
        <v>10</v>
      </c>
      <c r="T318" s="371"/>
      <c r="U318" s="232">
        <f t="shared" si="703"/>
        <v>80</v>
      </c>
      <c r="V318" s="232" t="str">
        <f t="shared" si="704"/>
        <v/>
      </c>
      <c r="W318" s="232" t="str">
        <f t="shared" si="705"/>
        <v/>
      </c>
      <c r="X318" s="232">
        <f t="shared" si="741"/>
        <v>1</v>
      </c>
      <c r="Y318" s="371"/>
      <c r="Z318" s="499">
        <v>80</v>
      </c>
      <c r="AA318" s="500">
        <v>10</v>
      </c>
      <c r="AB318" s="488">
        <f t="shared" si="706"/>
        <v>10</v>
      </c>
      <c r="AC318" s="371"/>
      <c r="AD318" s="232">
        <f t="shared" si="707"/>
        <v>80</v>
      </c>
      <c r="AE318" s="232" t="str">
        <f t="shared" si="708"/>
        <v/>
      </c>
      <c r="AF318" s="232" t="str">
        <f t="shared" si="709"/>
        <v/>
      </c>
      <c r="AG318" s="232">
        <f t="shared" si="742"/>
        <v>1</v>
      </c>
      <c r="AH318" s="371"/>
      <c r="AI318" s="499">
        <v>80</v>
      </c>
      <c r="AJ318" s="500">
        <v>10</v>
      </c>
      <c r="AK318" s="488">
        <f t="shared" si="710"/>
        <v>10</v>
      </c>
      <c r="AL318" s="371"/>
      <c r="AM318" s="232">
        <f t="shared" si="711"/>
        <v>80</v>
      </c>
      <c r="AN318" s="232" t="str">
        <f t="shared" si="712"/>
        <v/>
      </c>
      <c r="AO318" s="232" t="str">
        <f t="shared" si="713"/>
        <v/>
      </c>
      <c r="AP318" s="232">
        <f t="shared" si="743"/>
        <v>1</v>
      </c>
      <c r="AQ318" s="371"/>
      <c r="AR318" s="499">
        <v>60</v>
      </c>
      <c r="AS318" s="500">
        <v>30</v>
      </c>
      <c r="AT318" s="488">
        <f t="shared" si="714"/>
        <v>10</v>
      </c>
      <c r="AU318" s="371"/>
      <c r="AV318" s="232">
        <f t="shared" si="715"/>
        <v>60</v>
      </c>
      <c r="AW318" s="232" t="str">
        <f t="shared" si="716"/>
        <v/>
      </c>
      <c r="AX318" s="232" t="str">
        <f t="shared" si="717"/>
        <v/>
      </c>
      <c r="AY318" s="232">
        <f t="shared" si="744"/>
        <v>1</v>
      </c>
      <c r="AZ318" s="371"/>
      <c r="BA318" s="499">
        <v>80</v>
      </c>
      <c r="BB318" s="500">
        <v>10</v>
      </c>
      <c r="BC318" s="488">
        <f t="shared" si="718"/>
        <v>10</v>
      </c>
      <c r="BD318" s="371"/>
      <c r="BE318" s="232">
        <f t="shared" si="719"/>
        <v>80</v>
      </c>
      <c r="BF318" s="232" t="str">
        <f t="shared" si="720"/>
        <v/>
      </c>
      <c r="BG318" s="232" t="str">
        <f t="shared" si="721"/>
        <v/>
      </c>
      <c r="BH318" s="232">
        <f t="shared" si="745"/>
        <v>1</v>
      </c>
      <c r="BI318" s="371"/>
      <c r="BJ318" s="499">
        <v>30</v>
      </c>
      <c r="BK318" s="500">
        <v>40</v>
      </c>
      <c r="BL318" s="488">
        <f t="shared" si="722"/>
        <v>30</v>
      </c>
      <c r="BM318" s="371"/>
      <c r="BN318" s="232">
        <f t="shared" si="723"/>
        <v>30</v>
      </c>
      <c r="BO318" s="232" t="str">
        <f t="shared" si="724"/>
        <v/>
      </c>
      <c r="BP318" s="232" t="str">
        <f t="shared" si="725"/>
        <v/>
      </c>
      <c r="BQ318" s="232" t="str">
        <f t="shared" si="746"/>
        <v/>
      </c>
      <c r="BR318" s="371"/>
      <c r="BS318" s="499">
        <v>70</v>
      </c>
      <c r="BT318" s="500">
        <v>20</v>
      </c>
      <c r="BU318" s="488">
        <f t="shared" si="726"/>
        <v>10</v>
      </c>
      <c r="BV318" s="371"/>
      <c r="BW318" s="232">
        <f t="shared" si="727"/>
        <v>70</v>
      </c>
      <c r="BX318" s="232" t="str">
        <f t="shared" si="728"/>
        <v/>
      </c>
      <c r="BY318" s="232" t="str">
        <f t="shared" si="729"/>
        <v/>
      </c>
      <c r="BZ318" s="232">
        <f t="shared" si="747"/>
        <v>1</v>
      </c>
      <c r="CA318" s="371"/>
      <c r="CB318" s="507">
        <f t="shared" si="730"/>
        <v>70</v>
      </c>
      <c r="CC318" s="508">
        <f t="shared" si="731"/>
        <v>10</v>
      </c>
      <c r="CD318" s="509">
        <f t="shared" si="732"/>
        <v>20</v>
      </c>
      <c r="CE318" s="371"/>
      <c r="CF318" s="232">
        <f t="shared" si="733"/>
        <v>70</v>
      </c>
      <c r="CG318" s="232" t="str">
        <f t="shared" si="734"/>
        <v/>
      </c>
      <c r="CH318" s="232" t="str">
        <f t="shared" si="735"/>
        <v/>
      </c>
      <c r="CI318" s="232">
        <f t="shared" si="748"/>
        <v>1</v>
      </c>
      <c r="CJ318" s="232"/>
      <c r="CK318" s="499">
        <v>80</v>
      </c>
      <c r="CL318" s="500">
        <v>10</v>
      </c>
      <c r="CM318" s="488">
        <f t="shared" si="736"/>
        <v>10</v>
      </c>
      <c r="CN318" s="371"/>
      <c r="CO318" s="232">
        <f t="shared" si="737"/>
        <v>80</v>
      </c>
      <c r="CP318" s="232" t="str">
        <f t="shared" si="738"/>
        <v/>
      </c>
      <c r="CQ318" s="232" t="str">
        <f t="shared" si="739"/>
        <v/>
      </c>
      <c r="CR318" s="232">
        <f t="shared" si="749"/>
        <v>1</v>
      </c>
      <c r="CS318" s="232"/>
      <c r="CT318" s="371"/>
      <c r="CU318" s="296"/>
      <c r="CV318" s="246"/>
      <c r="CW318" s="264"/>
    </row>
    <row r="319" spans="1:101" x14ac:dyDescent="0.2">
      <c r="A319" s="264"/>
      <c r="B319" s="264"/>
      <c r="C319" s="202"/>
      <c r="D319" s="271">
        <v>4</v>
      </c>
      <c r="E319" s="166" t="s">
        <v>222</v>
      </c>
      <c r="F319" s="468">
        <v>2</v>
      </c>
      <c r="G319" s="472"/>
      <c r="H319" s="473">
        <v>0</v>
      </c>
      <c r="I319" s="170" t="str">
        <f t="shared" si="700"/>
        <v>x</v>
      </c>
      <c r="J319" s="387" t="str">
        <f t="shared" si="701"/>
        <v/>
      </c>
      <c r="K319" s="388" t="str">
        <f t="shared" si="702"/>
        <v/>
      </c>
      <c r="L319" s="299"/>
      <c r="M319" s="375"/>
      <c r="N319" s="379"/>
      <c r="O319" s="236"/>
      <c r="P319" s="236"/>
      <c r="Q319" s="480">
        <v>60</v>
      </c>
      <c r="R319" s="481">
        <v>20</v>
      </c>
      <c r="S319" s="482">
        <f t="shared" si="740"/>
        <v>20</v>
      </c>
      <c r="T319" s="371"/>
      <c r="U319" s="232">
        <f t="shared" si="703"/>
        <v>60</v>
      </c>
      <c r="V319" s="232" t="str">
        <f t="shared" si="704"/>
        <v/>
      </c>
      <c r="W319" s="232" t="str">
        <f t="shared" si="705"/>
        <v/>
      </c>
      <c r="X319" s="232">
        <f t="shared" si="741"/>
        <v>1</v>
      </c>
      <c r="Y319" s="371"/>
      <c r="Z319" s="495">
        <v>80</v>
      </c>
      <c r="AA319" s="496">
        <v>10</v>
      </c>
      <c r="AB319" s="482">
        <f t="shared" si="706"/>
        <v>10</v>
      </c>
      <c r="AC319" s="371"/>
      <c r="AD319" s="232">
        <f t="shared" si="707"/>
        <v>80</v>
      </c>
      <c r="AE319" s="232" t="str">
        <f t="shared" si="708"/>
        <v/>
      </c>
      <c r="AF319" s="232" t="str">
        <f t="shared" si="709"/>
        <v/>
      </c>
      <c r="AG319" s="232">
        <f t="shared" si="742"/>
        <v>1</v>
      </c>
      <c r="AH319" s="371"/>
      <c r="AI319" s="495">
        <v>80</v>
      </c>
      <c r="AJ319" s="496">
        <v>10</v>
      </c>
      <c r="AK319" s="482">
        <f t="shared" si="710"/>
        <v>10</v>
      </c>
      <c r="AL319" s="371"/>
      <c r="AM319" s="232">
        <f t="shared" si="711"/>
        <v>80</v>
      </c>
      <c r="AN319" s="232" t="str">
        <f t="shared" si="712"/>
        <v/>
      </c>
      <c r="AO319" s="232" t="str">
        <f t="shared" si="713"/>
        <v/>
      </c>
      <c r="AP319" s="232">
        <f t="shared" si="743"/>
        <v>1</v>
      </c>
      <c r="AQ319" s="371"/>
      <c r="AR319" s="495">
        <v>80</v>
      </c>
      <c r="AS319" s="496">
        <v>10</v>
      </c>
      <c r="AT319" s="482">
        <f t="shared" si="714"/>
        <v>10</v>
      </c>
      <c r="AU319" s="371"/>
      <c r="AV319" s="232">
        <f t="shared" si="715"/>
        <v>80</v>
      </c>
      <c r="AW319" s="232" t="str">
        <f t="shared" si="716"/>
        <v/>
      </c>
      <c r="AX319" s="232" t="str">
        <f t="shared" si="717"/>
        <v/>
      </c>
      <c r="AY319" s="232">
        <f t="shared" si="744"/>
        <v>1</v>
      </c>
      <c r="AZ319" s="371"/>
      <c r="BA319" s="495">
        <v>80</v>
      </c>
      <c r="BB319" s="496">
        <v>10</v>
      </c>
      <c r="BC319" s="482">
        <f t="shared" si="718"/>
        <v>10</v>
      </c>
      <c r="BD319" s="371"/>
      <c r="BE319" s="232">
        <f t="shared" si="719"/>
        <v>80</v>
      </c>
      <c r="BF319" s="232" t="str">
        <f t="shared" si="720"/>
        <v/>
      </c>
      <c r="BG319" s="232" t="str">
        <f t="shared" si="721"/>
        <v/>
      </c>
      <c r="BH319" s="232">
        <f t="shared" si="745"/>
        <v>1</v>
      </c>
      <c r="BI319" s="371"/>
      <c r="BJ319" s="495">
        <v>80</v>
      </c>
      <c r="BK319" s="496">
        <v>10</v>
      </c>
      <c r="BL319" s="482">
        <f t="shared" si="722"/>
        <v>10</v>
      </c>
      <c r="BM319" s="371"/>
      <c r="BN319" s="232">
        <f t="shared" si="723"/>
        <v>80</v>
      </c>
      <c r="BO319" s="232" t="str">
        <f t="shared" si="724"/>
        <v/>
      </c>
      <c r="BP319" s="232" t="str">
        <f t="shared" si="725"/>
        <v/>
      </c>
      <c r="BQ319" s="232">
        <f t="shared" si="746"/>
        <v>1</v>
      </c>
      <c r="BR319" s="371"/>
      <c r="BS319" s="495">
        <v>50</v>
      </c>
      <c r="BT319" s="496">
        <v>30</v>
      </c>
      <c r="BU319" s="482">
        <f t="shared" si="726"/>
        <v>20</v>
      </c>
      <c r="BV319" s="371"/>
      <c r="BW319" s="232">
        <f t="shared" si="727"/>
        <v>50</v>
      </c>
      <c r="BX319" s="232" t="str">
        <f t="shared" si="728"/>
        <v/>
      </c>
      <c r="BY319" s="232" t="str">
        <f t="shared" si="729"/>
        <v/>
      </c>
      <c r="BZ319" s="232">
        <f t="shared" si="747"/>
        <v>1</v>
      </c>
      <c r="CA319" s="371"/>
      <c r="CB319" s="501">
        <f t="shared" si="730"/>
        <v>80</v>
      </c>
      <c r="CC319" s="502">
        <f t="shared" si="731"/>
        <v>10</v>
      </c>
      <c r="CD319" s="503">
        <f t="shared" si="732"/>
        <v>10</v>
      </c>
      <c r="CE319" s="371"/>
      <c r="CF319" s="232">
        <f t="shared" si="733"/>
        <v>80</v>
      </c>
      <c r="CG319" s="232" t="str">
        <f t="shared" si="734"/>
        <v/>
      </c>
      <c r="CH319" s="232" t="str">
        <f t="shared" si="735"/>
        <v/>
      </c>
      <c r="CI319" s="232">
        <f t="shared" si="748"/>
        <v>1</v>
      </c>
      <c r="CJ319" s="232"/>
      <c r="CK319" s="495">
        <v>80</v>
      </c>
      <c r="CL319" s="496">
        <v>10</v>
      </c>
      <c r="CM319" s="482">
        <f t="shared" si="736"/>
        <v>10</v>
      </c>
      <c r="CN319" s="371"/>
      <c r="CO319" s="232">
        <f t="shared" si="737"/>
        <v>80</v>
      </c>
      <c r="CP319" s="232" t="str">
        <f t="shared" si="738"/>
        <v/>
      </c>
      <c r="CQ319" s="232" t="str">
        <f t="shared" si="739"/>
        <v/>
      </c>
      <c r="CR319" s="232">
        <f t="shared" si="749"/>
        <v>1</v>
      </c>
      <c r="CS319" s="232"/>
      <c r="CT319" s="371"/>
      <c r="CU319" s="296"/>
      <c r="CV319" s="246"/>
      <c r="CW319" s="264"/>
    </row>
    <row r="320" spans="1:101" x14ac:dyDescent="0.2">
      <c r="A320" s="264"/>
      <c r="B320" s="264"/>
      <c r="C320" s="202"/>
      <c r="D320" s="271">
        <v>5</v>
      </c>
      <c r="E320" s="167" t="s">
        <v>223</v>
      </c>
      <c r="F320" s="469">
        <v>1</v>
      </c>
      <c r="G320" s="474"/>
      <c r="H320" s="475">
        <v>1</v>
      </c>
      <c r="I320" s="389" t="str">
        <f t="shared" si="700"/>
        <v/>
      </c>
      <c r="J320" s="390" t="str">
        <f t="shared" si="701"/>
        <v>x</v>
      </c>
      <c r="K320" s="391" t="str">
        <f t="shared" si="702"/>
        <v/>
      </c>
      <c r="L320" s="299"/>
      <c r="M320" s="375"/>
      <c r="N320" s="379"/>
      <c r="O320" s="236"/>
      <c r="P320" s="236"/>
      <c r="Q320" s="483">
        <v>60</v>
      </c>
      <c r="R320" s="484">
        <v>20</v>
      </c>
      <c r="S320" s="485">
        <f t="shared" si="740"/>
        <v>20</v>
      </c>
      <c r="T320" s="371"/>
      <c r="U320" s="232" t="str">
        <f t="shared" si="703"/>
        <v/>
      </c>
      <c r="V320" s="232">
        <f t="shared" si="704"/>
        <v>20</v>
      </c>
      <c r="W320" s="232" t="str">
        <f t="shared" si="705"/>
        <v/>
      </c>
      <c r="X320" s="232" t="str">
        <f t="shared" si="741"/>
        <v/>
      </c>
      <c r="Y320" s="371"/>
      <c r="Z320" s="497">
        <v>80</v>
      </c>
      <c r="AA320" s="498">
        <v>10</v>
      </c>
      <c r="AB320" s="485">
        <f t="shared" si="706"/>
        <v>10</v>
      </c>
      <c r="AC320" s="371"/>
      <c r="AD320" s="232" t="str">
        <f t="shared" si="707"/>
        <v/>
      </c>
      <c r="AE320" s="232">
        <f t="shared" si="708"/>
        <v>10</v>
      </c>
      <c r="AF320" s="232" t="str">
        <f t="shared" si="709"/>
        <v/>
      </c>
      <c r="AG320" s="232" t="str">
        <f t="shared" si="742"/>
        <v/>
      </c>
      <c r="AH320" s="371"/>
      <c r="AI320" s="497">
        <v>50</v>
      </c>
      <c r="AJ320" s="498">
        <v>30</v>
      </c>
      <c r="AK320" s="485">
        <f t="shared" si="710"/>
        <v>20</v>
      </c>
      <c r="AL320" s="371"/>
      <c r="AM320" s="232" t="str">
        <f t="shared" si="711"/>
        <v/>
      </c>
      <c r="AN320" s="232">
        <f t="shared" si="712"/>
        <v>30</v>
      </c>
      <c r="AO320" s="232" t="str">
        <f t="shared" si="713"/>
        <v/>
      </c>
      <c r="AP320" s="232" t="str">
        <f t="shared" si="743"/>
        <v/>
      </c>
      <c r="AQ320" s="371"/>
      <c r="AR320" s="497">
        <v>80</v>
      </c>
      <c r="AS320" s="498">
        <v>10</v>
      </c>
      <c r="AT320" s="485">
        <f t="shared" si="714"/>
        <v>10</v>
      </c>
      <c r="AU320" s="371"/>
      <c r="AV320" s="232" t="str">
        <f t="shared" si="715"/>
        <v/>
      </c>
      <c r="AW320" s="232">
        <f t="shared" si="716"/>
        <v>10</v>
      </c>
      <c r="AX320" s="232" t="str">
        <f t="shared" si="717"/>
        <v/>
      </c>
      <c r="AY320" s="232" t="str">
        <f t="shared" si="744"/>
        <v/>
      </c>
      <c r="AZ320" s="371"/>
      <c r="BA320" s="497">
        <v>80</v>
      </c>
      <c r="BB320" s="498">
        <v>10</v>
      </c>
      <c r="BC320" s="485">
        <f t="shared" si="718"/>
        <v>10</v>
      </c>
      <c r="BD320" s="371"/>
      <c r="BE320" s="232" t="str">
        <f t="shared" si="719"/>
        <v/>
      </c>
      <c r="BF320" s="232">
        <f t="shared" si="720"/>
        <v>10</v>
      </c>
      <c r="BG320" s="232" t="str">
        <f t="shared" si="721"/>
        <v/>
      </c>
      <c r="BH320" s="232" t="str">
        <f t="shared" si="745"/>
        <v/>
      </c>
      <c r="BI320" s="371"/>
      <c r="BJ320" s="497">
        <v>80</v>
      </c>
      <c r="BK320" s="498">
        <v>10</v>
      </c>
      <c r="BL320" s="485">
        <f t="shared" si="722"/>
        <v>10</v>
      </c>
      <c r="BM320" s="371"/>
      <c r="BN320" s="232" t="str">
        <f t="shared" si="723"/>
        <v/>
      </c>
      <c r="BO320" s="232">
        <f t="shared" si="724"/>
        <v>10</v>
      </c>
      <c r="BP320" s="232" t="str">
        <f t="shared" si="725"/>
        <v/>
      </c>
      <c r="BQ320" s="232" t="str">
        <f t="shared" si="746"/>
        <v/>
      </c>
      <c r="BR320" s="371"/>
      <c r="BS320" s="497">
        <v>60</v>
      </c>
      <c r="BT320" s="498">
        <v>20</v>
      </c>
      <c r="BU320" s="485">
        <f t="shared" si="726"/>
        <v>20</v>
      </c>
      <c r="BV320" s="371"/>
      <c r="BW320" s="232" t="str">
        <f t="shared" si="727"/>
        <v/>
      </c>
      <c r="BX320" s="232">
        <f t="shared" si="728"/>
        <v>20</v>
      </c>
      <c r="BY320" s="232" t="str">
        <f t="shared" si="729"/>
        <v/>
      </c>
      <c r="BZ320" s="232" t="str">
        <f t="shared" si="747"/>
        <v/>
      </c>
      <c r="CA320" s="371"/>
      <c r="CB320" s="504">
        <f t="shared" si="730"/>
        <v>70</v>
      </c>
      <c r="CC320" s="505">
        <f t="shared" si="731"/>
        <v>10</v>
      </c>
      <c r="CD320" s="506">
        <f t="shared" si="732"/>
        <v>20</v>
      </c>
      <c r="CE320" s="371"/>
      <c r="CF320" s="232" t="str">
        <f t="shared" si="733"/>
        <v/>
      </c>
      <c r="CG320" s="232">
        <f t="shared" si="734"/>
        <v>10</v>
      </c>
      <c r="CH320" s="232" t="str">
        <f t="shared" si="735"/>
        <v/>
      </c>
      <c r="CI320" s="232" t="str">
        <f t="shared" si="748"/>
        <v/>
      </c>
      <c r="CJ320" s="232"/>
      <c r="CK320" s="497">
        <v>70</v>
      </c>
      <c r="CL320" s="498">
        <v>10</v>
      </c>
      <c r="CM320" s="485">
        <f t="shared" si="736"/>
        <v>20</v>
      </c>
      <c r="CN320" s="371"/>
      <c r="CO320" s="232" t="str">
        <f t="shared" si="737"/>
        <v/>
      </c>
      <c r="CP320" s="232">
        <f t="shared" si="738"/>
        <v>10</v>
      </c>
      <c r="CQ320" s="232" t="str">
        <f t="shared" si="739"/>
        <v/>
      </c>
      <c r="CR320" s="232" t="str">
        <f t="shared" si="749"/>
        <v/>
      </c>
      <c r="CS320" s="232"/>
      <c r="CT320" s="371"/>
      <c r="CU320" s="296"/>
      <c r="CV320" s="246"/>
      <c r="CW320" s="264"/>
    </row>
    <row r="321" spans="1:101" ht="13.5" thickBot="1" x14ac:dyDescent="0.25">
      <c r="A321" s="264"/>
      <c r="B321" s="264"/>
      <c r="C321" s="202"/>
      <c r="D321" s="271">
        <v>6</v>
      </c>
      <c r="E321" s="168" t="s">
        <v>224</v>
      </c>
      <c r="F321" s="470">
        <v>1</v>
      </c>
      <c r="G321" s="476"/>
      <c r="H321" s="477">
        <v>0</v>
      </c>
      <c r="I321" s="392" t="str">
        <f t="shared" si="700"/>
        <v>x</v>
      </c>
      <c r="J321" s="393" t="str">
        <f t="shared" si="701"/>
        <v/>
      </c>
      <c r="K321" s="394" t="str">
        <f t="shared" si="702"/>
        <v/>
      </c>
      <c r="L321" s="299"/>
      <c r="M321" s="375"/>
      <c r="N321" s="379"/>
      <c r="O321" s="236"/>
      <c r="P321" s="236"/>
      <c r="Q321" s="489">
        <v>80</v>
      </c>
      <c r="R321" s="490">
        <v>10</v>
      </c>
      <c r="S321" s="491">
        <f t="shared" si="740"/>
        <v>10</v>
      </c>
      <c r="T321" s="371"/>
      <c r="U321" s="232">
        <f t="shared" si="703"/>
        <v>80</v>
      </c>
      <c r="V321" s="232" t="str">
        <f t="shared" si="704"/>
        <v/>
      </c>
      <c r="W321" s="232" t="str">
        <f t="shared" si="705"/>
        <v/>
      </c>
      <c r="X321" s="232">
        <f t="shared" si="741"/>
        <v>1</v>
      </c>
      <c r="Y321" s="371"/>
      <c r="Z321" s="499">
        <v>80</v>
      </c>
      <c r="AA321" s="500">
        <v>10</v>
      </c>
      <c r="AB321" s="491">
        <f t="shared" si="706"/>
        <v>10</v>
      </c>
      <c r="AC321" s="371"/>
      <c r="AD321" s="232">
        <f t="shared" si="707"/>
        <v>80</v>
      </c>
      <c r="AE321" s="232" t="str">
        <f t="shared" si="708"/>
        <v/>
      </c>
      <c r="AF321" s="232" t="str">
        <f t="shared" si="709"/>
        <v/>
      </c>
      <c r="AG321" s="232">
        <f t="shared" si="742"/>
        <v>1</v>
      </c>
      <c r="AH321" s="371"/>
      <c r="AI321" s="499">
        <v>80</v>
      </c>
      <c r="AJ321" s="500">
        <v>10</v>
      </c>
      <c r="AK321" s="491">
        <f t="shared" si="710"/>
        <v>10</v>
      </c>
      <c r="AL321" s="371"/>
      <c r="AM321" s="232">
        <f t="shared" si="711"/>
        <v>80</v>
      </c>
      <c r="AN321" s="232" t="str">
        <f t="shared" si="712"/>
        <v/>
      </c>
      <c r="AO321" s="232" t="str">
        <f t="shared" si="713"/>
        <v/>
      </c>
      <c r="AP321" s="232">
        <f t="shared" si="743"/>
        <v>1</v>
      </c>
      <c r="AQ321" s="371"/>
      <c r="AR321" s="499">
        <v>60</v>
      </c>
      <c r="AS321" s="500">
        <v>30</v>
      </c>
      <c r="AT321" s="491">
        <f t="shared" si="714"/>
        <v>10</v>
      </c>
      <c r="AU321" s="371"/>
      <c r="AV321" s="232">
        <f t="shared" si="715"/>
        <v>60</v>
      </c>
      <c r="AW321" s="232" t="str">
        <f t="shared" si="716"/>
        <v/>
      </c>
      <c r="AX321" s="232" t="str">
        <f t="shared" si="717"/>
        <v/>
      </c>
      <c r="AY321" s="232">
        <f t="shared" si="744"/>
        <v>1</v>
      </c>
      <c r="AZ321" s="371"/>
      <c r="BA321" s="499">
        <v>80</v>
      </c>
      <c r="BB321" s="500">
        <v>10</v>
      </c>
      <c r="BC321" s="491">
        <f t="shared" si="718"/>
        <v>10</v>
      </c>
      <c r="BD321" s="371"/>
      <c r="BE321" s="232">
        <f t="shared" si="719"/>
        <v>80</v>
      </c>
      <c r="BF321" s="232" t="str">
        <f t="shared" si="720"/>
        <v/>
      </c>
      <c r="BG321" s="232" t="str">
        <f t="shared" si="721"/>
        <v/>
      </c>
      <c r="BH321" s="232">
        <f t="shared" si="745"/>
        <v>1</v>
      </c>
      <c r="BI321" s="371"/>
      <c r="BJ321" s="499">
        <v>80</v>
      </c>
      <c r="BK321" s="500">
        <v>10</v>
      </c>
      <c r="BL321" s="491">
        <f t="shared" si="722"/>
        <v>10</v>
      </c>
      <c r="BM321" s="371"/>
      <c r="BN321" s="232">
        <f t="shared" si="723"/>
        <v>80</v>
      </c>
      <c r="BO321" s="232" t="str">
        <f t="shared" si="724"/>
        <v/>
      </c>
      <c r="BP321" s="232" t="str">
        <f t="shared" si="725"/>
        <v/>
      </c>
      <c r="BQ321" s="232">
        <f t="shared" si="746"/>
        <v>1</v>
      </c>
      <c r="BR321" s="371"/>
      <c r="BS321" s="499">
        <v>50</v>
      </c>
      <c r="BT321" s="500">
        <v>40</v>
      </c>
      <c r="BU321" s="491">
        <f t="shared" si="726"/>
        <v>10</v>
      </c>
      <c r="BV321" s="371"/>
      <c r="BW321" s="232">
        <f t="shared" si="727"/>
        <v>50</v>
      </c>
      <c r="BX321" s="232" t="str">
        <f t="shared" si="728"/>
        <v/>
      </c>
      <c r="BY321" s="232" t="str">
        <f t="shared" si="729"/>
        <v/>
      </c>
      <c r="BZ321" s="232">
        <f t="shared" si="747"/>
        <v>1</v>
      </c>
      <c r="CA321" s="371"/>
      <c r="CB321" s="507">
        <f t="shared" si="730"/>
        <v>80</v>
      </c>
      <c r="CC321" s="508">
        <f t="shared" si="731"/>
        <v>10</v>
      </c>
      <c r="CD321" s="509">
        <f t="shared" si="732"/>
        <v>10</v>
      </c>
      <c r="CE321" s="371"/>
      <c r="CF321" s="232">
        <f t="shared" si="733"/>
        <v>80</v>
      </c>
      <c r="CG321" s="232" t="str">
        <f t="shared" si="734"/>
        <v/>
      </c>
      <c r="CH321" s="232" t="str">
        <f t="shared" si="735"/>
        <v/>
      </c>
      <c r="CI321" s="232">
        <f t="shared" si="748"/>
        <v>1</v>
      </c>
      <c r="CJ321" s="232"/>
      <c r="CK321" s="499">
        <v>80</v>
      </c>
      <c r="CL321" s="500">
        <v>10</v>
      </c>
      <c r="CM321" s="491">
        <f t="shared" si="736"/>
        <v>10</v>
      </c>
      <c r="CN321" s="371"/>
      <c r="CO321" s="232">
        <f t="shared" si="737"/>
        <v>80</v>
      </c>
      <c r="CP321" s="232" t="str">
        <f t="shared" si="738"/>
        <v/>
      </c>
      <c r="CQ321" s="232" t="str">
        <f t="shared" si="739"/>
        <v/>
      </c>
      <c r="CR321" s="232">
        <f t="shared" si="749"/>
        <v>1</v>
      </c>
      <c r="CS321" s="232"/>
      <c r="CT321" s="371"/>
      <c r="CU321" s="296"/>
      <c r="CV321" s="246"/>
      <c r="CW321" s="264"/>
    </row>
    <row r="322" spans="1:101" x14ac:dyDescent="0.2">
      <c r="A322" s="264"/>
      <c r="B322" s="264"/>
      <c r="C322" s="202"/>
      <c r="D322" s="271">
        <v>7</v>
      </c>
      <c r="E322" s="166" t="s">
        <v>225</v>
      </c>
      <c r="F322" s="468">
        <v>3</v>
      </c>
      <c r="G322" s="472"/>
      <c r="H322" s="473">
        <v>1</v>
      </c>
      <c r="I322" s="170" t="str">
        <f t="shared" si="700"/>
        <v>x</v>
      </c>
      <c r="J322" s="387" t="str">
        <f t="shared" si="701"/>
        <v/>
      </c>
      <c r="K322" s="388" t="str">
        <f t="shared" si="702"/>
        <v/>
      </c>
      <c r="L322" s="299"/>
      <c r="M322" s="375"/>
      <c r="N322" s="379"/>
      <c r="O322" s="236"/>
      <c r="P322" s="236"/>
      <c r="Q322" s="480">
        <v>40</v>
      </c>
      <c r="R322" s="481">
        <v>30</v>
      </c>
      <c r="S322" s="482">
        <f t="shared" si="740"/>
        <v>30</v>
      </c>
      <c r="T322" s="371"/>
      <c r="U322" s="232">
        <f t="shared" si="703"/>
        <v>40</v>
      </c>
      <c r="V322" s="232" t="str">
        <f t="shared" si="704"/>
        <v/>
      </c>
      <c r="W322" s="232" t="str">
        <f t="shared" si="705"/>
        <v/>
      </c>
      <c r="X322" s="232">
        <f t="shared" si="741"/>
        <v>1</v>
      </c>
      <c r="Y322" s="371"/>
      <c r="Z322" s="495">
        <v>80</v>
      </c>
      <c r="AA322" s="496">
        <v>10</v>
      </c>
      <c r="AB322" s="482">
        <f t="shared" si="706"/>
        <v>10</v>
      </c>
      <c r="AC322" s="371"/>
      <c r="AD322" s="232">
        <f t="shared" si="707"/>
        <v>80</v>
      </c>
      <c r="AE322" s="232" t="str">
        <f t="shared" si="708"/>
        <v/>
      </c>
      <c r="AF322" s="232" t="str">
        <f t="shared" si="709"/>
        <v/>
      </c>
      <c r="AG322" s="232">
        <f t="shared" si="742"/>
        <v>1</v>
      </c>
      <c r="AH322" s="371"/>
      <c r="AI322" s="495">
        <v>20</v>
      </c>
      <c r="AJ322" s="496">
        <v>30</v>
      </c>
      <c r="AK322" s="482">
        <f t="shared" si="710"/>
        <v>50</v>
      </c>
      <c r="AL322" s="371"/>
      <c r="AM322" s="232">
        <f t="shared" si="711"/>
        <v>20</v>
      </c>
      <c r="AN322" s="232" t="str">
        <f t="shared" si="712"/>
        <v/>
      </c>
      <c r="AO322" s="232" t="str">
        <f t="shared" si="713"/>
        <v/>
      </c>
      <c r="AP322" s="232" t="str">
        <f t="shared" si="743"/>
        <v/>
      </c>
      <c r="AQ322" s="371"/>
      <c r="AR322" s="495">
        <v>60</v>
      </c>
      <c r="AS322" s="496">
        <v>30</v>
      </c>
      <c r="AT322" s="482">
        <f t="shared" si="714"/>
        <v>10</v>
      </c>
      <c r="AU322" s="371"/>
      <c r="AV322" s="232">
        <f t="shared" si="715"/>
        <v>60</v>
      </c>
      <c r="AW322" s="232" t="str">
        <f t="shared" si="716"/>
        <v/>
      </c>
      <c r="AX322" s="232" t="str">
        <f t="shared" si="717"/>
        <v/>
      </c>
      <c r="AY322" s="232">
        <f t="shared" si="744"/>
        <v>1</v>
      </c>
      <c r="AZ322" s="371"/>
      <c r="BA322" s="495">
        <v>10</v>
      </c>
      <c r="BB322" s="496">
        <v>10</v>
      </c>
      <c r="BC322" s="482">
        <f t="shared" si="718"/>
        <v>80</v>
      </c>
      <c r="BD322" s="371"/>
      <c r="BE322" s="232">
        <f t="shared" si="719"/>
        <v>10</v>
      </c>
      <c r="BF322" s="232" t="str">
        <f t="shared" si="720"/>
        <v/>
      </c>
      <c r="BG322" s="232" t="str">
        <f t="shared" si="721"/>
        <v/>
      </c>
      <c r="BH322" s="232" t="str">
        <f t="shared" si="745"/>
        <v/>
      </c>
      <c r="BI322" s="371"/>
      <c r="BJ322" s="495">
        <v>10</v>
      </c>
      <c r="BK322" s="496">
        <v>10</v>
      </c>
      <c r="BL322" s="482">
        <f t="shared" si="722"/>
        <v>80</v>
      </c>
      <c r="BM322" s="371"/>
      <c r="BN322" s="232">
        <f t="shared" si="723"/>
        <v>10</v>
      </c>
      <c r="BO322" s="232" t="str">
        <f t="shared" si="724"/>
        <v/>
      </c>
      <c r="BP322" s="232" t="str">
        <f t="shared" si="725"/>
        <v/>
      </c>
      <c r="BQ322" s="232" t="str">
        <f t="shared" si="746"/>
        <v/>
      </c>
      <c r="BR322" s="371"/>
      <c r="BS322" s="495">
        <v>40</v>
      </c>
      <c r="BT322" s="496">
        <v>30</v>
      </c>
      <c r="BU322" s="482">
        <f t="shared" si="726"/>
        <v>30</v>
      </c>
      <c r="BV322" s="371"/>
      <c r="BW322" s="232">
        <f t="shared" si="727"/>
        <v>40</v>
      </c>
      <c r="BX322" s="232" t="str">
        <f t="shared" si="728"/>
        <v/>
      </c>
      <c r="BY322" s="232" t="str">
        <f t="shared" si="729"/>
        <v/>
      </c>
      <c r="BZ322" s="232">
        <f t="shared" si="747"/>
        <v>1</v>
      </c>
      <c r="CA322" s="371"/>
      <c r="CB322" s="501">
        <f t="shared" si="730"/>
        <v>40</v>
      </c>
      <c r="CC322" s="502">
        <f t="shared" si="731"/>
        <v>20</v>
      </c>
      <c r="CD322" s="503">
        <f t="shared" si="732"/>
        <v>40</v>
      </c>
      <c r="CE322" s="371"/>
      <c r="CF322" s="232">
        <f t="shared" si="733"/>
        <v>40</v>
      </c>
      <c r="CG322" s="232" t="str">
        <f t="shared" si="734"/>
        <v/>
      </c>
      <c r="CH322" s="232" t="str">
        <f t="shared" si="735"/>
        <v/>
      </c>
      <c r="CI322" s="232">
        <f t="shared" si="748"/>
        <v>1</v>
      </c>
      <c r="CJ322" s="232"/>
      <c r="CK322" s="495">
        <v>60</v>
      </c>
      <c r="CL322" s="496">
        <v>30</v>
      </c>
      <c r="CM322" s="482">
        <f t="shared" si="736"/>
        <v>10</v>
      </c>
      <c r="CN322" s="371"/>
      <c r="CO322" s="232">
        <f t="shared" si="737"/>
        <v>60</v>
      </c>
      <c r="CP322" s="232" t="str">
        <f t="shared" si="738"/>
        <v/>
      </c>
      <c r="CQ322" s="232" t="str">
        <f t="shared" si="739"/>
        <v/>
      </c>
      <c r="CR322" s="232">
        <f t="shared" si="749"/>
        <v>1</v>
      </c>
      <c r="CS322" s="232"/>
      <c r="CT322" s="371"/>
      <c r="CU322" s="300"/>
      <c r="CV322" s="246"/>
      <c r="CW322" s="264"/>
    </row>
    <row r="323" spans="1:101" x14ac:dyDescent="0.2">
      <c r="A323" s="264"/>
      <c r="B323" s="264"/>
      <c r="C323" s="202"/>
      <c r="D323" s="271">
        <v>8</v>
      </c>
      <c r="E323" s="167" t="s">
        <v>226</v>
      </c>
      <c r="F323" s="469">
        <v>3</v>
      </c>
      <c r="G323" s="474"/>
      <c r="H323" s="475">
        <v>1</v>
      </c>
      <c r="I323" s="389" t="str">
        <f t="shared" si="700"/>
        <v>x</v>
      </c>
      <c r="J323" s="390" t="str">
        <f t="shared" si="701"/>
        <v/>
      </c>
      <c r="K323" s="391" t="str">
        <f t="shared" si="702"/>
        <v/>
      </c>
      <c r="L323" s="299"/>
      <c r="M323" s="375"/>
      <c r="N323" s="379"/>
      <c r="O323" s="236"/>
      <c r="P323" s="236"/>
      <c r="Q323" s="483">
        <v>20</v>
      </c>
      <c r="R323" s="484">
        <v>60</v>
      </c>
      <c r="S323" s="485">
        <f t="shared" si="740"/>
        <v>20</v>
      </c>
      <c r="T323" s="371"/>
      <c r="U323" s="232">
        <f t="shared" si="703"/>
        <v>20</v>
      </c>
      <c r="V323" s="232" t="str">
        <f t="shared" si="704"/>
        <v/>
      </c>
      <c r="W323" s="232" t="str">
        <f t="shared" si="705"/>
        <v/>
      </c>
      <c r="X323" s="232" t="str">
        <f t="shared" si="741"/>
        <v/>
      </c>
      <c r="Y323" s="371"/>
      <c r="Z323" s="497">
        <v>80</v>
      </c>
      <c r="AA323" s="498">
        <v>10</v>
      </c>
      <c r="AB323" s="485">
        <f t="shared" si="706"/>
        <v>10</v>
      </c>
      <c r="AC323" s="371"/>
      <c r="AD323" s="232">
        <f t="shared" si="707"/>
        <v>80</v>
      </c>
      <c r="AE323" s="232" t="str">
        <f t="shared" si="708"/>
        <v/>
      </c>
      <c r="AF323" s="232" t="str">
        <f t="shared" si="709"/>
        <v/>
      </c>
      <c r="AG323" s="232">
        <f t="shared" si="742"/>
        <v>1</v>
      </c>
      <c r="AH323" s="371"/>
      <c r="AI323" s="497">
        <v>40</v>
      </c>
      <c r="AJ323" s="498">
        <v>40</v>
      </c>
      <c r="AK323" s="485">
        <f t="shared" si="710"/>
        <v>20</v>
      </c>
      <c r="AL323" s="371"/>
      <c r="AM323" s="232">
        <f t="shared" si="711"/>
        <v>40</v>
      </c>
      <c r="AN323" s="232" t="str">
        <f t="shared" si="712"/>
        <v/>
      </c>
      <c r="AO323" s="232" t="str">
        <f t="shared" si="713"/>
        <v/>
      </c>
      <c r="AP323" s="232">
        <f t="shared" si="743"/>
        <v>1</v>
      </c>
      <c r="AQ323" s="371"/>
      <c r="AR323" s="497">
        <v>60</v>
      </c>
      <c r="AS323" s="498">
        <v>30</v>
      </c>
      <c r="AT323" s="485">
        <f t="shared" si="714"/>
        <v>10</v>
      </c>
      <c r="AU323" s="371"/>
      <c r="AV323" s="232">
        <f t="shared" si="715"/>
        <v>60</v>
      </c>
      <c r="AW323" s="232" t="str">
        <f t="shared" si="716"/>
        <v/>
      </c>
      <c r="AX323" s="232" t="str">
        <f t="shared" si="717"/>
        <v/>
      </c>
      <c r="AY323" s="232">
        <f t="shared" si="744"/>
        <v>1</v>
      </c>
      <c r="AZ323" s="371"/>
      <c r="BA323" s="497">
        <v>80</v>
      </c>
      <c r="BB323" s="498">
        <v>10</v>
      </c>
      <c r="BC323" s="485">
        <f t="shared" si="718"/>
        <v>10</v>
      </c>
      <c r="BD323" s="371"/>
      <c r="BE323" s="232">
        <f t="shared" si="719"/>
        <v>80</v>
      </c>
      <c r="BF323" s="232" t="str">
        <f t="shared" si="720"/>
        <v/>
      </c>
      <c r="BG323" s="232" t="str">
        <f t="shared" si="721"/>
        <v/>
      </c>
      <c r="BH323" s="232">
        <f t="shared" si="745"/>
        <v>1</v>
      </c>
      <c r="BI323" s="371"/>
      <c r="BJ323" s="497">
        <v>80</v>
      </c>
      <c r="BK323" s="498">
        <v>10</v>
      </c>
      <c r="BL323" s="485">
        <f t="shared" si="722"/>
        <v>10</v>
      </c>
      <c r="BM323" s="371"/>
      <c r="BN323" s="232">
        <f t="shared" si="723"/>
        <v>80</v>
      </c>
      <c r="BO323" s="232" t="str">
        <f t="shared" si="724"/>
        <v/>
      </c>
      <c r="BP323" s="232" t="str">
        <f t="shared" si="725"/>
        <v/>
      </c>
      <c r="BQ323" s="232">
        <f t="shared" si="746"/>
        <v>1</v>
      </c>
      <c r="BR323" s="371"/>
      <c r="BS323" s="497">
        <v>70</v>
      </c>
      <c r="BT323" s="498">
        <v>10</v>
      </c>
      <c r="BU323" s="485">
        <f t="shared" si="726"/>
        <v>20</v>
      </c>
      <c r="BV323" s="371"/>
      <c r="BW323" s="232">
        <f t="shared" si="727"/>
        <v>70</v>
      </c>
      <c r="BX323" s="232" t="str">
        <f t="shared" si="728"/>
        <v/>
      </c>
      <c r="BY323" s="232" t="str">
        <f t="shared" si="729"/>
        <v/>
      </c>
      <c r="BZ323" s="232">
        <f t="shared" si="747"/>
        <v>1</v>
      </c>
      <c r="CA323" s="371"/>
      <c r="CB323" s="504">
        <f t="shared" si="730"/>
        <v>70</v>
      </c>
      <c r="CC323" s="505">
        <f t="shared" si="731"/>
        <v>20</v>
      </c>
      <c r="CD323" s="506">
        <f t="shared" si="732"/>
        <v>10</v>
      </c>
      <c r="CE323" s="371"/>
      <c r="CF323" s="232">
        <f t="shared" si="733"/>
        <v>70</v>
      </c>
      <c r="CG323" s="232" t="str">
        <f t="shared" si="734"/>
        <v/>
      </c>
      <c r="CH323" s="232" t="str">
        <f t="shared" si="735"/>
        <v/>
      </c>
      <c r="CI323" s="232">
        <f t="shared" si="748"/>
        <v>1</v>
      </c>
      <c r="CJ323" s="232"/>
      <c r="CK323" s="497">
        <v>80</v>
      </c>
      <c r="CL323" s="498">
        <v>10</v>
      </c>
      <c r="CM323" s="485">
        <f t="shared" si="736"/>
        <v>10</v>
      </c>
      <c r="CN323" s="371"/>
      <c r="CO323" s="232">
        <f t="shared" si="737"/>
        <v>80</v>
      </c>
      <c r="CP323" s="232" t="str">
        <f t="shared" si="738"/>
        <v/>
      </c>
      <c r="CQ323" s="232" t="str">
        <f t="shared" si="739"/>
        <v/>
      </c>
      <c r="CR323" s="232">
        <f t="shared" si="749"/>
        <v>1</v>
      </c>
      <c r="CS323" s="232"/>
      <c r="CT323" s="371"/>
      <c r="CU323" s="300"/>
      <c r="CV323" s="246"/>
      <c r="CW323" s="264"/>
    </row>
    <row r="324" spans="1:101" ht="13.5" thickBot="1" x14ac:dyDescent="0.25">
      <c r="A324" s="264"/>
      <c r="B324" s="264"/>
      <c r="C324" s="202"/>
      <c r="D324" s="271">
        <v>9</v>
      </c>
      <c r="E324" s="168" t="s">
        <v>227</v>
      </c>
      <c r="F324" s="470">
        <v>1</v>
      </c>
      <c r="G324" s="476"/>
      <c r="H324" s="477">
        <v>3</v>
      </c>
      <c r="I324" s="392" t="str">
        <f t="shared" si="700"/>
        <v/>
      </c>
      <c r="J324" s="393" t="str">
        <f t="shared" si="701"/>
        <v/>
      </c>
      <c r="K324" s="394" t="str">
        <f t="shared" si="702"/>
        <v>x</v>
      </c>
      <c r="L324" s="299"/>
      <c r="M324" s="375"/>
      <c r="N324" s="379"/>
      <c r="O324" s="236"/>
      <c r="P324" s="236"/>
      <c r="Q324" s="489">
        <v>10</v>
      </c>
      <c r="R324" s="490">
        <v>80</v>
      </c>
      <c r="S324" s="491">
        <f t="shared" si="740"/>
        <v>10</v>
      </c>
      <c r="T324" s="371"/>
      <c r="U324" s="232" t="str">
        <f t="shared" si="703"/>
        <v/>
      </c>
      <c r="V324" s="232" t="str">
        <f t="shared" si="704"/>
        <v/>
      </c>
      <c r="W324" s="232">
        <f t="shared" si="705"/>
        <v>10</v>
      </c>
      <c r="X324" s="232" t="str">
        <f t="shared" si="741"/>
        <v/>
      </c>
      <c r="Y324" s="371"/>
      <c r="Z324" s="499">
        <v>80</v>
      </c>
      <c r="AA324" s="500">
        <v>10</v>
      </c>
      <c r="AB324" s="491">
        <f t="shared" si="706"/>
        <v>10</v>
      </c>
      <c r="AC324" s="371"/>
      <c r="AD324" s="232" t="str">
        <f t="shared" si="707"/>
        <v/>
      </c>
      <c r="AE324" s="232" t="str">
        <f t="shared" si="708"/>
        <v/>
      </c>
      <c r="AF324" s="232">
        <f t="shared" si="709"/>
        <v>10</v>
      </c>
      <c r="AG324" s="232" t="str">
        <f t="shared" si="742"/>
        <v/>
      </c>
      <c r="AH324" s="371"/>
      <c r="AI324" s="499">
        <v>50</v>
      </c>
      <c r="AJ324" s="500">
        <v>40</v>
      </c>
      <c r="AK324" s="491">
        <f t="shared" si="710"/>
        <v>10</v>
      </c>
      <c r="AL324" s="371"/>
      <c r="AM324" s="232" t="str">
        <f t="shared" si="711"/>
        <v/>
      </c>
      <c r="AN324" s="232" t="str">
        <f t="shared" si="712"/>
        <v/>
      </c>
      <c r="AO324" s="232">
        <f t="shared" si="713"/>
        <v>10</v>
      </c>
      <c r="AP324" s="232" t="str">
        <f t="shared" si="743"/>
        <v/>
      </c>
      <c r="AQ324" s="371"/>
      <c r="AR324" s="499">
        <v>60</v>
      </c>
      <c r="AS324" s="500">
        <v>30</v>
      </c>
      <c r="AT324" s="491">
        <f t="shared" si="714"/>
        <v>10</v>
      </c>
      <c r="AU324" s="371"/>
      <c r="AV324" s="232" t="str">
        <f t="shared" si="715"/>
        <v/>
      </c>
      <c r="AW324" s="232" t="str">
        <f t="shared" si="716"/>
        <v/>
      </c>
      <c r="AX324" s="232">
        <f t="shared" si="717"/>
        <v>10</v>
      </c>
      <c r="AY324" s="232" t="str">
        <f t="shared" si="744"/>
        <v/>
      </c>
      <c r="AZ324" s="371"/>
      <c r="BA324" s="499">
        <v>80</v>
      </c>
      <c r="BB324" s="500">
        <v>10</v>
      </c>
      <c r="BC324" s="491">
        <f t="shared" si="718"/>
        <v>10</v>
      </c>
      <c r="BD324" s="371"/>
      <c r="BE324" s="232" t="str">
        <f t="shared" si="719"/>
        <v/>
      </c>
      <c r="BF324" s="232" t="str">
        <f t="shared" si="720"/>
        <v/>
      </c>
      <c r="BG324" s="232">
        <f t="shared" si="721"/>
        <v>10</v>
      </c>
      <c r="BH324" s="232" t="str">
        <f t="shared" si="745"/>
        <v/>
      </c>
      <c r="BI324" s="371"/>
      <c r="BJ324" s="499">
        <v>80</v>
      </c>
      <c r="BK324" s="500">
        <v>10</v>
      </c>
      <c r="BL324" s="491">
        <f t="shared" si="722"/>
        <v>10</v>
      </c>
      <c r="BM324" s="371"/>
      <c r="BN324" s="232" t="str">
        <f t="shared" si="723"/>
        <v/>
      </c>
      <c r="BO324" s="232" t="str">
        <f t="shared" si="724"/>
        <v/>
      </c>
      <c r="BP324" s="232">
        <f t="shared" si="725"/>
        <v>10</v>
      </c>
      <c r="BQ324" s="232" t="str">
        <f t="shared" si="746"/>
        <v/>
      </c>
      <c r="BR324" s="371"/>
      <c r="BS324" s="499">
        <v>40</v>
      </c>
      <c r="BT324" s="500">
        <v>20</v>
      </c>
      <c r="BU324" s="491">
        <f t="shared" si="726"/>
        <v>40</v>
      </c>
      <c r="BV324" s="371"/>
      <c r="BW324" s="232" t="str">
        <f t="shared" si="727"/>
        <v/>
      </c>
      <c r="BX324" s="232" t="str">
        <f t="shared" si="728"/>
        <v/>
      </c>
      <c r="BY324" s="232">
        <f t="shared" si="729"/>
        <v>40</v>
      </c>
      <c r="BZ324" s="232">
        <f t="shared" si="747"/>
        <v>1</v>
      </c>
      <c r="CA324" s="371"/>
      <c r="CB324" s="507">
        <f t="shared" si="730"/>
        <v>60</v>
      </c>
      <c r="CC324" s="508">
        <f t="shared" si="731"/>
        <v>20</v>
      </c>
      <c r="CD324" s="509">
        <f t="shared" si="732"/>
        <v>20</v>
      </c>
      <c r="CE324" s="371"/>
      <c r="CF324" s="232" t="str">
        <f t="shared" si="733"/>
        <v/>
      </c>
      <c r="CG324" s="232" t="str">
        <f t="shared" si="734"/>
        <v/>
      </c>
      <c r="CH324" s="232">
        <f t="shared" si="735"/>
        <v>20</v>
      </c>
      <c r="CI324" s="232" t="str">
        <f t="shared" si="748"/>
        <v/>
      </c>
      <c r="CJ324" s="232"/>
      <c r="CK324" s="499">
        <v>80</v>
      </c>
      <c r="CL324" s="500">
        <v>10</v>
      </c>
      <c r="CM324" s="491">
        <f t="shared" si="736"/>
        <v>10</v>
      </c>
      <c r="CN324" s="371"/>
      <c r="CO324" s="232" t="str">
        <f t="shared" si="737"/>
        <v/>
      </c>
      <c r="CP324" s="232" t="str">
        <f t="shared" si="738"/>
        <v/>
      </c>
      <c r="CQ324" s="232">
        <f t="shared" si="739"/>
        <v>10</v>
      </c>
      <c r="CR324" s="232" t="str">
        <f t="shared" si="749"/>
        <v/>
      </c>
      <c r="CS324" s="232"/>
      <c r="CT324" s="371"/>
      <c r="CU324" s="300"/>
      <c r="CV324" s="246"/>
      <c r="CW324" s="264"/>
    </row>
    <row r="325" spans="1:101" x14ac:dyDescent="0.2">
      <c r="A325" s="264"/>
      <c r="B325" s="264"/>
      <c r="C325" s="202"/>
      <c r="D325" s="271">
        <v>10</v>
      </c>
      <c r="E325" s="169" t="s">
        <v>228</v>
      </c>
      <c r="F325" s="471">
        <v>2</v>
      </c>
      <c r="G325" s="478"/>
      <c r="H325" s="479">
        <v>1</v>
      </c>
      <c r="I325" s="170" t="str">
        <f t="shared" si="700"/>
        <v>x</v>
      </c>
      <c r="J325" s="387" t="str">
        <f t="shared" si="701"/>
        <v/>
      </c>
      <c r="K325" s="388" t="str">
        <f t="shared" si="702"/>
        <v/>
      </c>
      <c r="L325" s="299"/>
      <c r="M325" s="375"/>
      <c r="N325" s="379"/>
      <c r="O325" s="236"/>
      <c r="P325" s="236"/>
      <c r="Q325" s="492">
        <v>40</v>
      </c>
      <c r="R325" s="493">
        <v>30</v>
      </c>
      <c r="S325" s="494">
        <f t="shared" si="740"/>
        <v>30</v>
      </c>
      <c r="T325" s="371"/>
      <c r="U325" s="232">
        <f t="shared" si="703"/>
        <v>40</v>
      </c>
      <c r="V325" s="232" t="str">
        <f t="shared" si="704"/>
        <v/>
      </c>
      <c r="W325" s="232" t="str">
        <f t="shared" si="705"/>
        <v/>
      </c>
      <c r="X325" s="232">
        <f t="shared" si="741"/>
        <v>1</v>
      </c>
      <c r="Y325" s="371"/>
      <c r="Z325" s="495">
        <v>10</v>
      </c>
      <c r="AA325" s="496">
        <v>80</v>
      </c>
      <c r="AB325" s="494">
        <f t="shared" si="706"/>
        <v>10</v>
      </c>
      <c r="AC325" s="371"/>
      <c r="AD325" s="232">
        <f t="shared" si="707"/>
        <v>10</v>
      </c>
      <c r="AE325" s="232" t="str">
        <f t="shared" si="708"/>
        <v/>
      </c>
      <c r="AF325" s="232" t="str">
        <f t="shared" si="709"/>
        <v/>
      </c>
      <c r="AG325" s="232" t="str">
        <f t="shared" si="742"/>
        <v/>
      </c>
      <c r="AH325" s="371"/>
      <c r="AI325" s="495">
        <v>20</v>
      </c>
      <c r="AJ325" s="496">
        <v>20</v>
      </c>
      <c r="AK325" s="494">
        <f t="shared" si="710"/>
        <v>60</v>
      </c>
      <c r="AL325" s="371"/>
      <c r="AM325" s="232">
        <f t="shared" si="711"/>
        <v>20</v>
      </c>
      <c r="AN325" s="232" t="str">
        <f t="shared" si="712"/>
        <v/>
      </c>
      <c r="AO325" s="232" t="str">
        <f t="shared" si="713"/>
        <v/>
      </c>
      <c r="AP325" s="232" t="str">
        <f t="shared" si="743"/>
        <v/>
      </c>
      <c r="AQ325" s="371"/>
      <c r="AR325" s="495">
        <v>30</v>
      </c>
      <c r="AS325" s="496">
        <v>40</v>
      </c>
      <c r="AT325" s="494">
        <f t="shared" si="714"/>
        <v>30</v>
      </c>
      <c r="AU325" s="371"/>
      <c r="AV325" s="232">
        <f t="shared" si="715"/>
        <v>30</v>
      </c>
      <c r="AW325" s="232" t="str">
        <f t="shared" si="716"/>
        <v/>
      </c>
      <c r="AX325" s="232" t="str">
        <f t="shared" si="717"/>
        <v/>
      </c>
      <c r="AY325" s="232" t="str">
        <f t="shared" si="744"/>
        <v/>
      </c>
      <c r="AZ325" s="371"/>
      <c r="BA325" s="495">
        <v>10</v>
      </c>
      <c r="BB325" s="496">
        <v>10</v>
      </c>
      <c r="BC325" s="494">
        <f t="shared" si="718"/>
        <v>80</v>
      </c>
      <c r="BD325" s="371"/>
      <c r="BE325" s="232">
        <f t="shared" si="719"/>
        <v>10</v>
      </c>
      <c r="BF325" s="232" t="str">
        <f t="shared" si="720"/>
        <v/>
      </c>
      <c r="BG325" s="232" t="str">
        <f t="shared" si="721"/>
        <v/>
      </c>
      <c r="BH325" s="232" t="str">
        <f t="shared" si="745"/>
        <v/>
      </c>
      <c r="BI325" s="371"/>
      <c r="BJ325" s="495">
        <v>10</v>
      </c>
      <c r="BK325" s="496">
        <v>10</v>
      </c>
      <c r="BL325" s="494">
        <f t="shared" si="722"/>
        <v>80</v>
      </c>
      <c r="BM325" s="371"/>
      <c r="BN325" s="232">
        <f t="shared" si="723"/>
        <v>10</v>
      </c>
      <c r="BO325" s="232" t="str">
        <f t="shared" si="724"/>
        <v/>
      </c>
      <c r="BP325" s="232" t="str">
        <f t="shared" si="725"/>
        <v/>
      </c>
      <c r="BQ325" s="232" t="str">
        <f t="shared" si="746"/>
        <v/>
      </c>
      <c r="BR325" s="371"/>
      <c r="BS325" s="495">
        <v>50</v>
      </c>
      <c r="BT325" s="496">
        <v>40</v>
      </c>
      <c r="BU325" s="494">
        <f t="shared" si="726"/>
        <v>10</v>
      </c>
      <c r="BV325" s="371"/>
      <c r="BW325" s="232">
        <f t="shared" si="727"/>
        <v>50</v>
      </c>
      <c r="BX325" s="232" t="str">
        <f t="shared" si="728"/>
        <v/>
      </c>
      <c r="BY325" s="232" t="str">
        <f t="shared" si="729"/>
        <v/>
      </c>
      <c r="BZ325" s="232">
        <f t="shared" si="747"/>
        <v>1</v>
      </c>
      <c r="CA325" s="371"/>
      <c r="CB325" s="501">
        <f t="shared" si="730"/>
        <v>30</v>
      </c>
      <c r="CC325" s="502">
        <f t="shared" si="731"/>
        <v>30</v>
      </c>
      <c r="CD325" s="503">
        <f t="shared" si="732"/>
        <v>40</v>
      </c>
      <c r="CE325" s="371"/>
      <c r="CF325" s="232">
        <f t="shared" si="733"/>
        <v>30</v>
      </c>
      <c r="CG325" s="232" t="str">
        <f t="shared" si="734"/>
        <v/>
      </c>
      <c r="CH325" s="232" t="str">
        <f t="shared" si="735"/>
        <v/>
      </c>
      <c r="CI325" s="232" t="str">
        <f t="shared" si="748"/>
        <v/>
      </c>
      <c r="CJ325" s="232"/>
      <c r="CK325" s="495">
        <v>10</v>
      </c>
      <c r="CL325" s="496">
        <v>10</v>
      </c>
      <c r="CM325" s="494">
        <f t="shared" si="736"/>
        <v>80</v>
      </c>
      <c r="CN325" s="371"/>
      <c r="CO325" s="232">
        <f t="shared" si="737"/>
        <v>10</v>
      </c>
      <c r="CP325" s="232" t="str">
        <f t="shared" si="738"/>
        <v/>
      </c>
      <c r="CQ325" s="232" t="str">
        <f t="shared" si="739"/>
        <v/>
      </c>
      <c r="CR325" s="232" t="str">
        <f t="shared" si="749"/>
        <v/>
      </c>
      <c r="CS325" s="232"/>
      <c r="CT325" s="371"/>
      <c r="CU325" s="300"/>
      <c r="CV325" s="246"/>
      <c r="CW325" s="264"/>
    </row>
    <row r="326" spans="1:101" x14ac:dyDescent="0.2">
      <c r="A326" s="264"/>
      <c r="B326" s="264"/>
      <c r="C326" s="202"/>
      <c r="D326" s="271">
        <v>11</v>
      </c>
      <c r="E326" s="167" t="s">
        <v>229</v>
      </c>
      <c r="F326" s="469">
        <v>2</v>
      </c>
      <c r="G326" s="474"/>
      <c r="H326" s="475">
        <v>2</v>
      </c>
      <c r="I326" s="389" t="str">
        <f t="shared" si="700"/>
        <v/>
      </c>
      <c r="J326" s="390" t="str">
        <f t="shared" si="701"/>
        <v>x</v>
      </c>
      <c r="K326" s="391" t="str">
        <f t="shared" si="702"/>
        <v/>
      </c>
      <c r="L326" s="299"/>
      <c r="M326" s="375"/>
      <c r="N326" s="379"/>
      <c r="O326" s="236"/>
      <c r="P326" s="236"/>
      <c r="Q326" s="483">
        <v>50</v>
      </c>
      <c r="R326" s="484">
        <v>30</v>
      </c>
      <c r="S326" s="485">
        <f t="shared" si="740"/>
        <v>20</v>
      </c>
      <c r="T326" s="371"/>
      <c r="U326" s="232" t="str">
        <f t="shared" si="703"/>
        <v/>
      </c>
      <c r="V326" s="232">
        <f t="shared" si="704"/>
        <v>30</v>
      </c>
      <c r="W326" s="232" t="str">
        <f t="shared" si="705"/>
        <v/>
      </c>
      <c r="X326" s="232" t="str">
        <f t="shared" si="741"/>
        <v/>
      </c>
      <c r="Y326" s="371"/>
      <c r="Z326" s="497">
        <v>80</v>
      </c>
      <c r="AA326" s="498">
        <v>10</v>
      </c>
      <c r="AB326" s="485">
        <f t="shared" si="706"/>
        <v>10</v>
      </c>
      <c r="AC326" s="371"/>
      <c r="AD326" s="232" t="str">
        <f t="shared" si="707"/>
        <v/>
      </c>
      <c r="AE326" s="232">
        <f t="shared" si="708"/>
        <v>10</v>
      </c>
      <c r="AF326" s="232" t="str">
        <f t="shared" si="709"/>
        <v/>
      </c>
      <c r="AG326" s="232" t="str">
        <f t="shared" si="742"/>
        <v/>
      </c>
      <c r="AH326" s="371"/>
      <c r="AI326" s="497">
        <v>80</v>
      </c>
      <c r="AJ326" s="498">
        <v>10</v>
      </c>
      <c r="AK326" s="485">
        <f t="shared" si="710"/>
        <v>10</v>
      </c>
      <c r="AL326" s="371"/>
      <c r="AM326" s="232" t="str">
        <f t="shared" si="711"/>
        <v/>
      </c>
      <c r="AN326" s="232">
        <f t="shared" si="712"/>
        <v>10</v>
      </c>
      <c r="AO326" s="232" t="str">
        <f t="shared" si="713"/>
        <v/>
      </c>
      <c r="AP326" s="232" t="str">
        <f t="shared" si="743"/>
        <v/>
      </c>
      <c r="AQ326" s="371"/>
      <c r="AR326" s="497">
        <v>30</v>
      </c>
      <c r="AS326" s="498">
        <v>40</v>
      </c>
      <c r="AT326" s="485">
        <f t="shared" si="714"/>
        <v>30</v>
      </c>
      <c r="AU326" s="371"/>
      <c r="AV326" s="232" t="str">
        <f t="shared" si="715"/>
        <v/>
      </c>
      <c r="AW326" s="232">
        <f t="shared" si="716"/>
        <v>40</v>
      </c>
      <c r="AX326" s="232" t="str">
        <f t="shared" si="717"/>
        <v/>
      </c>
      <c r="AY326" s="232">
        <f t="shared" si="744"/>
        <v>1</v>
      </c>
      <c r="AZ326" s="371"/>
      <c r="BA326" s="497">
        <v>80</v>
      </c>
      <c r="BB326" s="498">
        <v>10</v>
      </c>
      <c r="BC326" s="485">
        <f t="shared" si="718"/>
        <v>10</v>
      </c>
      <c r="BD326" s="371"/>
      <c r="BE326" s="232" t="str">
        <f t="shared" si="719"/>
        <v/>
      </c>
      <c r="BF326" s="232">
        <f t="shared" si="720"/>
        <v>10</v>
      </c>
      <c r="BG326" s="232" t="str">
        <f t="shared" si="721"/>
        <v/>
      </c>
      <c r="BH326" s="232" t="str">
        <f t="shared" si="745"/>
        <v/>
      </c>
      <c r="BI326" s="371"/>
      <c r="BJ326" s="497">
        <v>10</v>
      </c>
      <c r="BK326" s="498">
        <v>80</v>
      </c>
      <c r="BL326" s="485">
        <f t="shared" si="722"/>
        <v>10</v>
      </c>
      <c r="BM326" s="371"/>
      <c r="BN326" s="232" t="str">
        <f t="shared" si="723"/>
        <v/>
      </c>
      <c r="BO326" s="232">
        <f t="shared" si="724"/>
        <v>80</v>
      </c>
      <c r="BP326" s="232" t="str">
        <f t="shared" si="725"/>
        <v/>
      </c>
      <c r="BQ326" s="232">
        <f t="shared" si="746"/>
        <v>1</v>
      </c>
      <c r="BR326" s="371"/>
      <c r="BS326" s="497">
        <v>30</v>
      </c>
      <c r="BT326" s="498">
        <v>50</v>
      </c>
      <c r="BU326" s="485">
        <f t="shared" si="726"/>
        <v>20</v>
      </c>
      <c r="BV326" s="371"/>
      <c r="BW326" s="232" t="str">
        <f t="shared" si="727"/>
        <v/>
      </c>
      <c r="BX326" s="232">
        <f t="shared" si="728"/>
        <v>50</v>
      </c>
      <c r="BY326" s="232" t="str">
        <f t="shared" si="729"/>
        <v/>
      </c>
      <c r="BZ326" s="232">
        <f t="shared" si="747"/>
        <v>1</v>
      </c>
      <c r="CA326" s="371"/>
      <c r="CB326" s="504">
        <f t="shared" si="730"/>
        <v>60</v>
      </c>
      <c r="CC326" s="505">
        <f t="shared" si="731"/>
        <v>30</v>
      </c>
      <c r="CD326" s="506">
        <f t="shared" si="732"/>
        <v>10</v>
      </c>
      <c r="CE326" s="371"/>
      <c r="CF326" s="232" t="str">
        <f t="shared" si="733"/>
        <v/>
      </c>
      <c r="CG326" s="232">
        <f t="shared" si="734"/>
        <v>30</v>
      </c>
      <c r="CH326" s="232" t="str">
        <f t="shared" si="735"/>
        <v/>
      </c>
      <c r="CI326" s="232" t="str">
        <f t="shared" si="748"/>
        <v/>
      </c>
      <c r="CJ326" s="232"/>
      <c r="CK326" s="497">
        <v>80</v>
      </c>
      <c r="CL326" s="498">
        <v>10</v>
      </c>
      <c r="CM326" s="485">
        <f t="shared" si="736"/>
        <v>10</v>
      </c>
      <c r="CN326" s="371"/>
      <c r="CO326" s="232" t="str">
        <f t="shared" si="737"/>
        <v/>
      </c>
      <c r="CP326" s="232">
        <f t="shared" si="738"/>
        <v>10</v>
      </c>
      <c r="CQ326" s="232" t="str">
        <f t="shared" si="739"/>
        <v/>
      </c>
      <c r="CR326" s="232" t="str">
        <f t="shared" si="749"/>
        <v/>
      </c>
      <c r="CS326" s="232"/>
      <c r="CT326" s="371"/>
      <c r="CU326" s="300"/>
      <c r="CV326" s="246"/>
      <c r="CW326" s="264"/>
    </row>
    <row r="327" spans="1:101" ht="13.5" thickBot="1" x14ac:dyDescent="0.25">
      <c r="A327" s="264"/>
      <c r="B327" s="264"/>
      <c r="C327" s="202"/>
      <c r="D327" s="271">
        <v>12</v>
      </c>
      <c r="E327" s="168" t="s">
        <v>230</v>
      </c>
      <c r="F327" s="470">
        <v>4</v>
      </c>
      <c r="G327" s="476"/>
      <c r="H327" s="477">
        <v>3</v>
      </c>
      <c r="I327" s="392" t="str">
        <f t="shared" si="700"/>
        <v>x</v>
      </c>
      <c r="J327" s="393" t="str">
        <f t="shared" si="701"/>
        <v/>
      </c>
      <c r="K327" s="394" t="str">
        <f t="shared" si="702"/>
        <v/>
      </c>
      <c r="L327" s="299"/>
      <c r="M327" s="375"/>
      <c r="N327" s="379"/>
      <c r="O327" s="236"/>
      <c r="P327" s="236"/>
      <c r="Q327" s="489">
        <v>50</v>
      </c>
      <c r="R327" s="490">
        <v>30</v>
      </c>
      <c r="S327" s="491">
        <f t="shared" si="740"/>
        <v>20</v>
      </c>
      <c r="T327" s="371"/>
      <c r="U327" s="232">
        <f t="shared" si="703"/>
        <v>50</v>
      </c>
      <c r="V327" s="232" t="str">
        <f t="shared" si="704"/>
        <v/>
      </c>
      <c r="W327" s="232" t="str">
        <f t="shared" si="705"/>
        <v/>
      </c>
      <c r="X327" s="232">
        <f t="shared" si="741"/>
        <v>1</v>
      </c>
      <c r="Y327" s="371"/>
      <c r="Z327" s="499">
        <v>80</v>
      </c>
      <c r="AA327" s="500">
        <v>10</v>
      </c>
      <c r="AB327" s="491">
        <f t="shared" si="706"/>
        <v>10</v>
      </c>
      <c r="AC327" s="371"/>
      <c r="AD327" s="232">
        <f t="shared" si="707"/>
        <v>80</v>
      </c>
      <c r="AE327" s="232" t="str">
        <f t="shared" si="708"/>
        <v/>
      </c>
      <c r="AF327" s="232" t="str">
        <f t="shared" si="709"/>
        <v/>
      </c>
      <c r="AG327" s="232">
        <f t="shared" si="742"/>
        <v>1</v>
      </c>
      <c r="AH327" s="371"/>
      <c r="AI327" s="499">
        <v>60</v>
      </c>
      <c r="AJ327" s="500">
        <v>20</v>
      </c>
      <c r="AK327" s="491">
        <f t="shared" si="710"/>
        <v>20</v>
      </c>
      <c r="AL327" s="371"/>
      <c r="AM327" s="232">
        <f t="shared" si="711"/>
        <v>60</v>
      </c>
      <c r="AN327" s="232" t="str">
        <f t="shared" si="712"/>
        <v/>
      </c>
      <c r="AO327" s="232" t="str">
        <f t="shared" si="713"/>
        <v/>
      </c>
      <c r="AP327" s="232">
        <f t="shared" si="743"/>
        <v>1</v>
      </c>
      <c r="AQ327" s="371"/>
      <c r="AR327" s="499">
        <v>80</v>
      </c>
      <c r="AS327" s="500">
        <v>10</v>
      </c>
      <c r="AT327" s="491">
        <f t="shared" si="714"/>
        <v>10</v>
      </c>
      <c r="AU327" s="371"/>
      <c r="AV327" s="232">
        <f t="shared" si="715"/>
        <v>80</v>
      </c>
      <c r="AW327" s="232" t="str">
        <f t="shared" si="716"/>
        <v/>
      </c>
      <c r="AX327" s="232" t="str">
        <f t="shared" si="717"/>
        <v/>
      </c>
      <c r="AY327" s="232">
        <f t="shared" si="744"/>
        <v>1</v>
      </c>
      <c r="AZ327" s="371"/>
      <c r="BA327" s="499">
        <v>80</v>
      </c>
      <c r="BB327" s="500">
        <v>10</v>
      </c>
      <c r="BC327" s="491">
        <f t="shared" si="718"/>
        <v>10</v>
      </c>
      <c r="BD327" s="371"/>
      <c r="BE327" s="232">
        <f t="shared" si="719"/>
        <v>80</v>
      </c>
      <c r="BF327" s="232" t="str">
        <f t="shared" si="720"/>
        <v/>
      </c>
      <c r="BG327" s="232" t="str">
        <f t="shared" si="721"/>
        <v/>
      </c>
      <c r="BH327" s="232">
        <f t="shared" si="745"/>
        <v>1</v>
      </c>
      <c r="BI327" s="371"/>
      <c r="BJ327" s="499">
        <v>80</v>
      </c>
      <c r="BK327" s="500">
        <v>10</v>
      </c>
      <c r="BL327" s="491">
        <f t="shared" si="722"/>
        <v>10</v>
      </c>
      <c r="BM327" s="371"/>
      <c r="BN327" s="232">
        <f t="shared" si="723"/>
        <v>80</v>
      </c>
      <c r="BO327" s="232" t="str">
        <f t="shared" si="724"/>
        <v/>
      </c>
      <c r="BP327" s="232" t="str">
        <f t="shared" si="725"/>
        <v/>
      </c>
      <c r="BQ327" s="232">
        <f t="shared" si="746"/>
        <v>1</v>
      </c>
      <c r="BR327" s="371"/>
      <c r="BS327" s="499">
        <v>50</v>
      </c>
      <c r="BT327" s="500">
        <v>20</v>
      </c>
      <c r="BU327" s="491">
        <f t="shared" si="726"/>
        <v>30</v>
      </c>
      <c r="BV327" s="371"/>
      <c r="BW327" s="232">
        <f t="shared" si="727"/>
        <v>50</v>
      </c>
      <c r="BX327" s="232" t="str">
        <f t="shared" si="728"/>
        <v/>
      </c>
      <c r="BY327" s="232" t="str">
        <f t="shared" si="729"/>
        <v/>
      </c>
      <c r="BZ327" s="232">
        <f t="shared" si="747"/>
        <v>1</v>
      </c>
      <c r="CA327" s="371"/>
      <c r="CB327" s="507">
        <f t="shared" si="730"/>
        <v>70</v>
      </c>
      <c r="CC327" s="508">
        <f t="shared" si="731"/>
        <v>10</v>
      </c>
      <c r="CD327" s="509">
        <f t="shared" si="732"/>
        <v>20</v>
      </c>
      <c r="CE327" s="371"/>
      <c r="CF327" s="232">
        <f t="shared" si="733"/>
        <v>70</v>
      </c>
      <c r="CG327" s="232" t="str">
        <f t="shared" si="734"/>
        <v/>
      </c>
      <c r="CH327" s="232" t="str">
        <f t="shared" si="735"/>
        <v/>
      </c>
      <c r="CI327" s="232">
        <f t="shared" si="748"/>
        <v>1</v>
      </c>
      <c r="CJ327" s="232"/>
      <c r="CK327" s="499">
        <v>80</v>
      </c>
      <c r="CL327" s="500">
        <v>10</v>
      </c>
      <c r="CM327" s="491">
        <f t="shared" si="736"/>
        <v>10</v>
      </c>
      <c r="CN327" s="371"/>
      <c r="CO327" s="232">
        <f t="shared" si="737"/>
        <v>80</v>
      </c>
      <c r="CP327" s="232" t="str">
        <f t="shared" si="738"/>
        <v/>
      </c>
      <c r="CQ327" s="232" t="str">
        <f t="shared" si="739"/>
        <v/>
      </c>
      <c r="CR327" s="232">
        <f t="shared" si="749"/>
        <v>1</v>
      </c>
      <c r="CS327" s="232"/>
      <c r="CT327" s="371"/>
      <c r="CU327" s="300"/>
      <c r="CV327" s="246"/>
      <c r="CW327" s="264"/>
    </row>
    <row r="328" spans="1:101" x14ac:dyDescent="0.2">
      <c r="A328" s="264"/>
      <c r="B328" s="264"/>
      <c r="C328" s="202"/>
      <c r="D328" s="272"/>
      <c r="E328" s="235"/>
      <c r="F328" s="395">
        <f>IF(SUM(F316:F327)=0,"",SUM(F316:F327))</f>
        <v>25</v>
      </c>
      <c r="G328" s="370" t="s">
        <v>49</v>
      </c>
      <c r="H328" s="396">
        <f>IF(SUM(H316:H327)=0,"",SUM(H316:H327))</f>
        <v>16</v>
      </c>
      <c r="I328" s="397">
        <f>IF(COUNTIF(I316:I327,"=x")=0,"",COUNTIF(I316:I327,"=x"))</f>
        <v>8</v>
      </c>
      <c r="J328" s="398">
        <f>IF(COUNTIF(J316:J327,"=x")=0,"",COUNTIF(J316:J327,"=x"))</f>
        <v>2</v>
      </c>
      <c r="K328" s="399">
        <f>IF(COUNTIF(K316:K327,"=x")=0,"",COUNTIF(K316:K327,"=x"))</f>
        <v>2</v>
      </c>
      <c r="L328" s="299"/>
      <c r="M328" s="375"/>
      <c r="N328" s="379"/>
      <c r="O328" s="236"/>
      <c r="P328" s="369"/>
      <c r="Q328" s="466">
        <f>SUM(U316:U327)</f>
        <v>450</v>
      </c>
      <c r="R328" s="466">
        <f>SUM(V316:V327)</f>
        <v>50</v>
      </c>
      <c r="S328" s="466">
        <f>SUM(W316:W327)</f>
        <v>20</v>
      </c>
      <c r="T328" s="368"/>
      <c r="U328" s="232"/>
      <c r="V328" s="232"/>
      <c r="W328" s="232"/>
      <c r="X328" s="232"/>
      <c r="Y328" s="367"/>
      <c r="Z328" s="466">
        <f>SUM(AD316:AD327)</f>
        <v>570</v>
      </c>
      <c r="AA328" s="466">
        <f>SUM(AE316:AE327)</f>
        <v>20</v>
      </c>
      <c r="AB328" s="466">
        <f>SUM(AF316:AF327)</f>
        <v>90</v>
      </c>
      <c r="AC328" s="368"/>
      <c r="AD328" s="232"/>
      <c r="AE328" s="232"/>
      <c r="AF328" s="232"/>
      <c r="AG328" s="232"/>
      <c r="AH328" s="367"/>
      <c r="AI328" s="466">
        <f>SUM(AM316:AM327)</f>
        <v>460</v>
      </c>
      <c r="AJ328" s="466">
        <f>SUM(AN316:AN327)</f>
        <v>40</v>
      </c>
      <c r="AK328" s="466">
        <f>SUM(AO316:AO327)</f>
        <v>40</v>
      </c>
      <c r="AL328" s="368"/>
      <c r="AM328" s="232"/>
      <c r="AN328" s="232"/>
      <c r="AO328" s="232"/>
      <c r="AP328" s="232"/>
      <c r="AQ328" s="367"/>
      <c r="AR328" s="466">
        <f>SUM(AV316:AV327)</f>
        <v>510</v>
      </c>
      <c r="AS328" s="466">
        <f>SUM(AW316:AW327)</f>
        <v>50</v>
      </c>
      <c r="AT328" s="466">
        <f>SUM(AX316:AX327)</f>
        <v>70</v>
      </c>
      <c r="AU328" s="368"/>
      <c r="AV328" s="232"/>
      <c r="AW328" s="232"/>
      <c r="AX328" s="232"/>
      <c r="AY328" s="232"/>
      <c r="AZ328" s="367"/>
      <c r="BA328" s="466">
        <f>SUM(BE316:BE327)</f>
        <v>500</v>
      </c>
      <c r="BB328" s="466">
        <f>SUM(BF316:BF327)</f>
        <v>20</v>
      </c>
      <c r="BC328" s="466">
        <f>SUM(BG316:BG327)</f>
        <v>20</v>
      </c>
      <c r="BD328" s="368"/>
      <c r="BE328" s="232"/>
      <c r="BF328" s="232"/>
      <c r="BG328" s="232"/>
      <c r="BH328" s="232"/>
      <c r="BI328" s="367"/>
      <c r="BJ328" s="466">
        <f>SUM(BN316:BN327)</f>
        <v>450</v>
      </c>
      <c r="BK328" s="466">
        <f>SUM(BO316:BO327)</f>
        <v>90</v>
      </c>
      <c r="BL328" s="466">
        <f>SUM(BP316:BP327)</f>
        <v>90</v>
      </c>
      <c r="BM328" s="368"/>
      <c r="BN328" s="232"/>
      <c r="BO328" s="232"/>
      <c r="BP328" s="232"/>
      <c r="BQ328" s="232"/>
      <c r="BR328" s="367"/>
      <c r="BS328" s="466">
        <f>SUM(BW316:BW327)</f>
        <v>460</v>
      </c>
      <c r="BT328" s="466">
        <f>SUM(BX316:BX327)</f>
        <v>70</v>
      </c>
      <c r="BU328" s="466">
        <f>SUM(BY316:BY327)</f>
        <v>90</v>
      </c>
      <c r="BV328" s="368"/>
      <c r="BW328" s="232"/>
      <c r="BX328" s="232"/>
      <c r="BY328" s="232"/>
      <c r="BZ328" s="232"/>
      <c r="CA328" s="369"/>
      <c r="CB328" s="466">
        <f>SUM(CF316:CF327)</f>
        <v>520</v>
      </c>
      <c r="CC328" s="466">
        <f>SUM(CG316:CG327)</f>
        <v>40</v>
      </c>
      <c r="CD328" s="466">
        <f>SUM(CH316:CH327)</f>
        <v>70</v>
      </c>
      <c r="CE328" s="368"/>
      <c r="CF328" s="232"/>
      <c r="CG328" s="232"/>
      <c r="CH328" s="232"/>
      <c r="CI328" s="232"/>
      <c r="CJ328" s="232"/>
      <c r="CK328" s="466">
        <f>SUM(CO316:CO327)</f>
        <v>550</v>
      </c>
      <c r="CL328" s="466">
        <f>SUM(CP316:CP327)</f>
        <v>20</v>
      </c>
      <c r="CM328" s="466">
        <f>SUM(CQ316:CQ327)</f>
        <v>20</v>
      </c>
      <c r="CN328" s="368"/>
      <c r="CO328" s="232"/>
      <c r="CP328" s="232"/>
      <c r="CQ328" s="232"/>
      <c r="CR328" s="232"/>
      <c r="CS328" s="232"/>
      <c r="CT328" s="232"/>
      <c r="CU328" s="300"/>
      <c r="CV328" s="246"/>
      <c r="CW328" s="265"/>
    </row>
    <row r="329" spans="1:101" ht="13.5" thickBot="1" x14ac:dyDescent="0.25">
      <c r="A329" s="264"/>
      <c r="B329" s="264"/>
      <c r="C329" s="202"/>
      <c r="D329" s="289"/>
      <c r="E329" s="282"/>
      <c r="F329" s="283"/>
      <c r="G329" s="282"/>
      <c r="H329" s="282"/>
      <c r="I329" s="282"/>
      <c r="J329" s="282"/>
      <c r="K329" s="282"/>
      <c r="L329" s="293"/>
      <c r="M329" s="301"/>
      <c r="N329" s="380"/>
      <c r="O329" s="376"/>
      <c r="P329" s="284"/>
      <c r="Q329" s="285"/>
      <c r="R329" s="285"/>
      <c r="S329" s="285"/>
      <c r="T329" s="286"/>
      <c r="U329" s="287"/>
      <c r="V329" s="287"/>
      <c r="W329" s="287"/>
      <c r="X329" s="287"/>
      <c r="Y329" s="284"/>
      <c r="Z329" s="285"/>
      <c r="AA329" s="285"/>
      <c r="AB329" s="285"/>
      <c r="AC329" s="286"/>
      <c r="AD329" s="287"/>
      <c r="AE329" s="287"/>
      <c r="AF329" s="287"/>
      <c r="AG329" s="288"/>
      <c r="AH329" s="284"/>
      <c r="AI329" s="285"/>
      <c r="AJ329" s="285"/>
      <c r="AK329" s="285"/>
      <c r="AL329" s="286"/>
      <c r="AM329" s="287"/>
      <c r="AN329" s="287"/>
      <c r="AO329" s="287"/>
      <c r="AP329" s="288"/>
      <c r="AQ329" s="284"/>
      <c r="AR329" s="285"/>
      <c r="AS329" s="285"/>
      <c r="AT329" s="285"/>
      <c r="AU329" s="286"/>
      <c r="AV329" s="287"/>
      <c r="AW329" s="287"/>
      <c r="AX329" s="287"/>
      <c r="AY329" s="288"/>
      <c r="AZ329" s="284"/>
      <c r="BA329" s="285"/>
      <c r="BB329" s="285"/>
      <c r="BC329" s="285"/>
      <c r="BD329" s="286"/>
      <c r="BE329" s="287"/>
      <c r="BF329" s="287"/>
      <c r="BG329" s="287"/>
      <c r="BH329" s="288"/>
      <c r="BI329" s="284"/>
      <c r="BJ329" s="284"/>
      <c r="BK329" s="284"/>
      <c r="BL329" s="284"/>
      <c r="BM329" s="284"/>
      <c r="BN329" s="284"/>
      <c r="BO329" s="284"/>
      <c r="BP329" s="284"/>
      <c r="BQ329" s="284"/>
      <c r="BR329" s="284"/>
      <c r="BS329" s="284"/>
      <c r="BT329" s="284"/>
      <c r="BU329" s="284"/>
      <c r="BV329" s="284"/>
      <c r="BW329" s="284"/>
      <c r="BX329" s="284"/>
      <c r="BY329" s="284"/>
      <c r="BZ329" s="284"/>
      <c r="CA329" s="284"/>
      <c r="CB329" s="284"/>
      <c r="CC329" s="284"/>
      <c r="CD329" s="284"/>
      <c r="CE329" s="284"/>
      <c r="CF329" s="284"/>
      <c r="CG329" s="284"/>
      <c r="CH329" s="284"/>
      <c r="CI329" s="284"/>
      <c r="CJ329" s="288"/>
      <c r="CK329" s="288"/>
      <c r="CL329" s="288"/>
      <c r="CM329" s="288"/>
      <c r="CN329" s="288"/>
      <c r="CO329" s="288"/>
      <c r="CP329" s="288"/>
      <c r="CQ329" s="288"/>
      <c r="CR329" s="288"/>
      <c r="CS329" s="288"/>
      <c r="CT329" s="282"/>
      <c r="CU329" s="294"/>
      <c r="CV329" s="246"/>
      <c r="CW329" s="265"/>
    </row>
    <row r="330" spans="1:101" ht="14.25" thickTop="1" thickBot="1" x14ac:dyDescent="0.25">
      <c r="A330" s="256"/>
      <c r="B330" s="256"/>
      <c r="C330" s="210"/>
      <c r="D330" s="211"/>
      <c r="E330" s="247"/>
      <c r="F330" s="248"/>
      <c r="G330" s="247"/>
      <c r="H330" s="247"/>
      <c r="I330" s="247"/>
      <c r="J330" s="247"/>
      <c r="K330" s="247"/>
      <c r="L330" s="249"/>
      <c r="M330" s="250"/>
      <c r="N330" s="250"/>
      <c r="O330" s="250"/>
      <c r="P330" s="250"/>
      <c r="Q330" s="247"/>
      <c r="R330" s="247"/>
      <c r="S330" s="247"/>
      <c r="T330" s="251"/>
      <c r="U330" s="252"/>
      <c r="V330" s="252"/>
      <c r="W330" s="252"/>
      <c r="X330" s="252"/>
      <c r="Y330" s="250"/>
      <c r="Z330" s="247"/>
      <c r="AA330" s="247"/>
      <c r="AB330" s="247"/>
      <c r="AC330" s="251"/>
      <c r="AD330" s="252"/>
      <c r="AE330" s="252"/>
      <c r="AF330" s="252"/>
      <c r="AG330" s="247"/>
      <c r="AH330" s="250"/>
      <c r="AI330" s="247"/>
      <c r="AJ330" s="247"/>
      <c r="AK330" s="247"/>
      <c r="AL330" s="251"/>
      <c r="AM330" s="252"/>
      <c r="AN330" s="252"/>
      <c r="AO330" s="252"/>
      <c r="AP330" s="253"/>
      <c r="AQ330" s="250"/>
      <c r="AR330" s="247"/>
      <c r="AS330" s="247"/>
      <c r="AT330" s="247"/>
      <c r="AU330" s="251"/>
      <c r="AV330" s="252"/>
      <c r="AW330" s="252"/>
      <c r="AX330" s="252"/>
      <c r="AY330" s="247"/>
      <c r="AZ330" s="250"/>
      <c r="BA330" s="247"/>
      <c r="BB330" s="247"/>
      <c r="BC330" s="247"/>
      <c r="BD330" s="251"/>
      <c r="BE330" s="252"/>
      <c r="BF330" s="252"/>
      <c r="BG330" s="252"/>
      <c r="BH330" s="247"/>
      <c r="BI330" s="250"/>
      <c r="BJ330" s="247"/>
      <c r="BK330" s="247"/>
      <c r="BL330" s="247"/>
      <c r="BM330" s="251"/>
      <c r="BN330" s="252"/>
      <c r="BO330" s="252"/>
      <c r="BP330" s="252"/>
      <c r="BQ330" s="247"/>
      <c r="BR330" s="212"/>
      <c r="BS330" s="247"/>
      <c r="BT330" s="247"/>
      <c r="BU330" s="247"/>
      <c r="BV330" s="250"/>
      <c r="BW330" s="252"/>
      <c r="BX330" s="252"/>
      <c r="BY330" s="252"/>
      <c r="BZ330" s="247"/>
      <c r="CA330" s="247"/>
      <c r="CB330" s="253"/>
      <c r="CC330" s="253"/>
      <c r="CD330" s="253"/>
      <c r="CE330" s="253"/>
      <c r="CF330" s="247"/>
      <c r="CG330" s="247"/>
      <c r="CH330" s="247"/>
      <c r="CI330" s="247"/>
      <c r="CJ330" s="247"/>
      <c r="CK330" s="247"/>
      <c r="CL330" s="247"/>
      <c r="CM330" s="247"/>
      <c r="CN330" s="247"/>
      <c r="CO330" s="247"/>
      <c r="CP330" s="247"/>
      <c r="CQ330" s="247"/>
      <c r="CR330" s="247"/>
      <c r="CS330" s="247"/>
      <c r="CT330" s="247"/>
      <c r="CU330" s="247"/>
      <c r="CV330" s="254"/>
      <c r="CW330" s="255"/>
    </row>
    <row r="331" spans="1:101" ht="14.25" thickTop="1" thickBot="1" x14ac:dyDescent="0.25">
      <c r="A331" s="255"/>
      <c r="B331" s="255"/>
      <c r="C331" s="255"/>
      <c r="D331" s="255"/>
      <c r="E331" s="255" t="s">
        <v>231</v>
      </c>
      <c r="F331" s="255"/>
      <c r="G331" s="255"/>
      <c r="H331" s="255"/>
      <c r="I331" s="255"/>
      <c r="J331" s="255"/>
      <c r="K331" s="255"/>
      <c r="L331" s="255"/>
      <c r="M331" s="255"/>
      <c r="N331" s="255"/>
      <c r="O331" s="255"/>
      <c r="P331" s="255"/>
      <c r="Q331" s="255"/>
      <c r="R331" s="255"/>
      <c r="S331" s="255"/>
      <c r="T331" s="255"/>
      <c r="U331" s="255"/>
      <c r="V331" s="255"/>
      <c r="W331" s="255"/>
      <c r="X331" s="255"/>
      <c r="Y331" s="255"/>
      <c r="Z331" s="255"/>
      <c r="AA331" s="255"/>
      <c r="AB331" s="255"/>
      <c r="AC331" s="255"/>
      <c r="AD331" s="255"/>
      <c r="AE331" s="255"/>
      <c r="AF331" s="255"/>
      <c r="AG331" s="255"/>
      <c r="AH331" s="255"/>
      <c r="AI331" s="255"/>
      <c r="AJ331" s="255"/>
      <c r="AK331" s="255"/>
      <c r="AL331" s="255"/>
      <c r="AM331" s="255"/>
      <c r="AN331" s="255"/>
      <c r="AO331" s="255"/>
      <c r="AP331" s="255"/>
      <c r="AQ331" s="255"/>
      <c r="AR331" s="255"/>
      <c r="AS331" s="255"/>
      <c r="AT331" s="255"/>
      <c r="AU331" s="255"/>
      <c r="AV331" s="255"/>
      <c r="AW331" s="255"/>
      <c r="AX331" s="255"/>
      <c r="AY331" s="255"/>
      <c r="AZ331" s="255"/>
      <c r="BA331" s="255"/>
      <c r="BB331" s="255"/>
      <c r="BC331" s="255"/>
      <c r="BD331" s="255"/>
      <c r="BE331" s="255"/>
      <c r="BF331" s="255"/>
      <c r="BG331" s="255"/>
      <c r="BH331" s="255"/>
      <c r="BI331" s="255"/>
      <c r="BJ331" s="255"/>
      <c r="BK331" s="255"/>
      <c r="BL331" s="255"/>
      <c r="BM331" s="255"/>
      <c r="BN331" s="255"/>
      <c r="BO331" s="255"/>
      <c r="BP331" s="255"/>
      <c r="BQ331" s="255"/>
      <c r="BR331" s="255"/>
      <c r="BS331" s="255"/>
      <c r="BT331" s="255"/>
      <c r="BU331" s="255"/>
      <c r="BV331" s="255"/>
      <c r="BW331" s="255"/>
      <c r="BX331" s="255"/>
      <c r="BY331" s="255"/>
      <c r="BZ331" s="255"/>
      <c r="CA331" s="255"/>
      <c r="CB331" s="436"/>
      <c r="CC331" s="436"/>
      <c r="CD331" s="436"/>
      <c r="CE331" s="436"/>
      <c r="CF331" s="255"/>
      <c r="CG331" s="255"/>
      <c r="CH331" s="255"/>
      <c r="CI331" s="255"/>
      <c r="CJ331" s="255"/>
      <c r="CK331" s="255"/>
      <c r="CL331" s="255"/>
      <c r="CM331" s="255"/>
      <c r="CN331" s="255"/>
      <c r="CO331" s="255"/>
      <c r="CP331" s="255"/>
      <c r="CQ331" s="255"/>
      <c r="CR331" s="255"/>
      <c r="CS331" s="255"/>
      <c r="CT331" s="255"/>
      <c r="CU331" s="255"/>
      <c r="CV331" s="255"/>
      <c r="CW331" s="255"/>
    </row>
    <row r="332" spans="1:101" ht="21" thickTop="1" x14ac:dyDescent="0.3">
      <c r="A332" s="256"/>
      <c r="B332" s="256"/>
      <c r="C332" s="190"/>
      <c r="D332" s="191"/>
      <c r="E332" s="865" t="str">
        <f>$E$2</f>
        <v>STPS 2026</v>
      </c>
      <c r="F332" s="267"/>
      <c r="G332" s="267"/>
      <c r="H332" s="267"/>
      <c r="I332" s="192"/>
      <c r="J332" s="192"/>
      <c r="K332" s="192"/>
      <c r="L332" s="193"/>
      <c r="M332" s="192"/>
      <c r="N332" s="192"/>
      <c r="O332" s="192"/>
      <c r="P332" s="194"/>
      <c r="Q332" s="192"/>
      <c r="R332" s="192"/>
      <c r="S332" s="192"/>
      <c r="T332" s="195"/>
      <c r="U332" s="196"/>
      <c r="V332" s="196"/>
      <c r="W332" s="196"/>
      <c r="X332" s="196"/>
      <c r="Y332" s="194"/>
      <c r="Z332" s="192"/>
      <c r="AA332" s="192"/>
      <c r="AB332" s="192"/>
      <c r="AC332" s="195"/>
      <c r="AD332" s="196"/>
      <c r="AE332" s="196"/>
      <c r="AF332" s="196"/>
      <c r="AG332" s="197"/>
      <c r="AH332" s="194"/>
      <c r="AI332" s="192"/>
      <c r="AJ332" s="237"/>
      <c r="AK332" s="237"/>
      <c r="AL332" s="198"/>
      <c r="AM332" s="238"/>
      <c r="AN332" s="238"/>
      <c r="AO332" s="238"/>
      <c r="AP332" s="197"/>
      <c r="AQ332" s="239"/>
      <c r="AR332" s="240"/>
      <c r="AS332" s="199"/>
      <c r="AT332" s="200"/>
      <c r="AU332" s="198"/>
      <c r="AV332" s="196"/>
      <c r="AW332" s="196"/>
      <c r="AX332" s="196"/>
      <c r="AY332" s="197"/>
      <c r="AZ332" s="239"/>
      <c r="BA332" s="240"/>
      <c r="BB332" s="200"/>
      <c r="BC332" s="237"/>
      <c r="BD332" s="241"/>
      <c r="BE332" s="196"/>
      <c r="BF332" s="196"/>
      <c r="BG332" s="196"/>
      <c r="BH332" s="197"/>
      <c r="BI332" s="242"/>
      <c r="BJ332" s="237"/>
      <c r="BK332" s="237"/>
      <c r="BL332" s="237"/>
      <c r="BM332" s="241"/>
      <c r="BN332" s="196"/>
      <c r="BO332" s="196"/>
      <c r="BP332" s="196"/>
      <c r="BQ332" s="197"/>
      <c r="BR332" s="201"/>
      <c r="BS332" s="237"/>
      <c r="BT332" s="237"/>
      <c r="BU332" s="237"/>
      <c r="BV332" s="242"/>
      <c r="BW332" s="237"/>
      <c r="BX332" s="237"/>
      <c r="BY332" s="237"/>
      <c r="BZ332" s="237"/>
      <c r="CA332" s="237"/>
      <c r="CB332" s="437"/>
      <c r="CC332" s="437"/>
      <c r="CD332" s="437"/>
      <c r="CE332" s="437"/>
      <c r="CF332" s="237"/>
      <c r="CG332" s="237"/>
      <c r="CH332" s="237"/>
      <c r="CI332" s="237"/>
      <c r="CJ332" s="197"/>
      <c r="CK332" s="197"/>
      <c r="CL332" s="197"/>
      <c r="CM332" s="197"/>
      <c r="CN332" s="197"/>
      <c r="CO332" s="197"/>
      <c r="CP332" s="197"/>
      <c r="CQ332" s="197"/>
      <c r="CR332" s="197"/>
      <c r="CS332" s="197"/>
      <c r="CT332" s="401"/>
      <c r="CU332" s="237"/>
      <c r="CV332" s="243"/>
      <c r="CW332" s="255"/>
    </row>
    <row r="333" spans="1:101" ht="13.5" thickBot="1" x14ac:dyDescent="0.25">
      <c r="A333" s="256"/>
      <c r="B333" s="256"/>
      <c r="C333" s="202"/>
      <c r="D333" s="188"/>
      <c r="E333" s="266" t="str">
        <f>E3</f>
        <v>Skorgen Tippelag</v>
      </c>
      <c r="F333" s="406"/>
      <c r="G333" s="406"/>
      <c r="H333" s="406"/>
      <c r="I333" s="406"/>
      <c r="J333" s="406"/>
      <c r="K333" s="406"/>
      <c r="L333" s="406"/>
      <c r="M333" s="406"/>
      <c r="N333" s="406"/>
      <c r="O333" s="406"/>
      <c r="P333" s="406"/>
      <c r="Q333" s="406"/>
      <c r="R333" s="406"/>
      <c r="S333" s="406"/>
      <c r="T333" s="406"/>
      <c r="U333" s="406"/>
      <c r="V333" s="406"/>
      <c r="W333" s="406"/>
      <c r="X333" s="406"/>
      <c r="Y333" s="406"/>
      <c r="Z333" s="406"/>
      <c r="AA333" s="406"/>
      <c r="AB333" s="406"/>
      <c r="AC333" s="406"/>
      <c r="AD333" s="406"/>
      <c r="AE333" s="406"/>
      <c r="AF333" s="406"/>
      <c r="AG333" s="406"/>
      <c r="AH333" s="406"/>
      <c r="AI333" s="406"/>
      <c r="AJ333" s="406"/>
      <c r="AK333" s="406"/>
      <c r="AL333" s="406"/>
      <c r="AM333" s="406"/>
      <c r="AN333" s="406"/>
      <c r="AO333" s="406"/>
      <c r="AP333" s="406"/>
      <c r="AQ333" s="406"/>
      <c r="AR333" s="406"/>
      <c r="AS333" s="406"/>
      <c r="AT333" s="406"/>
      <c r="AU333" s="406"/>
      <c r="AV333" s="406"/>
      <c r="AW333" s="406"/>
      <c r="AX333" s="406"/>
      <c r="AY333" s="406"/>
      <c r="AZ333" s="406"/>
      <c r="BA333" s="406"/>
      <c r="BB333" s="406"/>
      <c r="BC333" s="406"/>
      <c r="BD333" s="406"/>
      <c r="BE333" s="406"/>
      <c r="BF333" s="406"/>
      <c r="BG333" s="406"/>
      <c r="BH333" s="406"/>
      <c r="BI333" s="406"/>
      <c r="BJ333" s="406"/>
      <c r="BK333" s="406"/>
      <c r="BL333" s="406"/>
      <c r="BM333" s="406"/>
      <c r="BN333" s="406"/>
      <c r="BO333" s="406"/>
      <c r="BP333" s="406"/>
      <c r="BQ333" s="406"/>
      <c r="BR333" s="406"/>
      <c r="BS333" s="406"/>
      <c r="BT333" s="406"/>
      <c r="BU333" s="406"/>
      <c r="BV333" s="406"/>
      <c r="BW333" s="406"/>
      <c r="BX333" s="406"/>
      <c r="BY333" s="406"/>
      <c r="BZ333" s="406"/>
      <c r="CA333" s="406"/>
      <c r="CB333" s="438"/>
      <c r="CC333" s="438"/>
      <c r="CD333" s="438"/>
      <c r="CE333" s="438"/>
      <c r="CF333" s="406"/>
      <c r="CG333" s="406"/>
      <c r="CH333" s="406"/>
      <c r="CI333" s="406"/>
      <c r="CJ333" s="406"/>
      <c r="CK333" s="406"/>
      <c r="CL333" s="406"/>
      <c r="CM333" s="406"/>
      <c r="CN333" s="366"/>
      <c r="CO333" s="366"/>
      <c r="CP333" s="366"/>
      <c r="CQ333" s="366"/>
      <c r="CR333" s="366"/>
      <c r="CS333" s="366"/>
      <c r="CT333" s="187"/>
      <c r="CU333" s="310"/>
      <c r="CV333" s="246"/>
      <c r="CW333" s="255"/>
    </row>
    <row r="334" spans="1:101" ht="18.75" thickTop="1" x14ac:dyDescent="0.2">
      <c r="A334" s="256"/>
      <c r="B334" s="256"/>
      <c r="C334" s="209"/>
      <c r="D334" s="290"/>
      <c r="E334" s="273"/>
      <c r="F334" s="274"/>
      <c r="G334" s="273"/>
      <c r="H334" s="273"/>
      <c r="I334" s="803" t="s">
        <v>39</v>
      </c>
      <c r="J334" s="805"/>
      <c r="K334" s="805"/>
      <c r="L334" s="291"/>
      <c r="M334" s="302"/>
      <c r="N334" s="242"/>
      <c r="O334" s="275"/>
      <c r="P334" s="275"/>
      <c r="Q334" s="808">
        <f>IF($F338="","",SUM(Q350:S350)-S336)</f>
        <v>570</v>
      </c>
      <c r="R334" s="808"/>
      <c r="S334" s="808"/>
      <c r="T334" s="276"/>
      <c r="U334" s="277"/>
      <c r="V334" s="277"/>
      <c r="W334" s="277"/>
      <c r="X334" s="277"/>
      <c r="Y334" s="275"/>
      <c r="Z334" s="808">
        <f>IF($F338="","",SUM(Z350:AB350)-AB336)</f>
        <v>650</v>
      </c>
      <c r="AA334" s="808"/>
      <c r="AB334" s="808"/>
      <c r="AC334" s="276"/>
      <c r="AD334" s="277"/>
      <c r="AE334" s="277"/>
      <c r="AF334" s="277"/>
      <c r="AG334" s="273"/>
      <c r="AH334" s="275"/>
      <c r="AI334" s="808">
        <f>IF($F338="","",SUM(AI350:AK350)-AK336)</f>
        <v>640</v>
      </c>
      <c r="AJ334" s="808"/>
      <c r="AK334" s="808"/>
      <c r="AL334" s="276"/>
      <c r="AM334" s="277"/>
      <c r="AN334" s="277"/>
      <c r="AO334" s="277"/>
      <c r="AP334" s="273"/>
      <c r="AQ334" s="275"/>
      <c r="AR334" s="808">
        <f>IF($F338="","",SUM(AR350:AT350)-AT336)</f>
        <v>640</v>
      </c>
      <c r="AS334" s="808"/>
      <c r="AT334" s="808"/>
      <c r="AU334" s="278"/>
      <c r="AV334" s="277"/>
      <c r="AW334" s="277"/>
      <c r="AX334" s="277"/>
      <c r="AY334" s="279"/>
      <c r="AZ334" s="280"/>
      <c r="BA334" s="808">
        <f>IF($F338="","",SUM(BA350:BC350)-BC336)</f>
        <v>680</v>
      </c>
      <c r="BB334" s="808"/>
      <c r="BC334" s="808"/>
      <c r="BD334" s="278"/>
      <c r="BE334" s="277"/>
      <c r="BF334" s="277"/>
      <c r="BG334" s="277"/>
      <c r="BH334" s="279"/>
      <c r="BI334" s="280"/>
      <c r="BJ334" s="808">
        <f>IF($F338="","",SUM(BJ350:BL350)-BL336)</f>
        <v>480</v>
      </c>
      <c r="BK334" s="808"/>
      <c r="BL334" s="808"/>
      <c r="BM334" s="278"/>
      <c r="BN334" s="277"/>
      <c r="BO334" s="277"/>
      <c r="BP334" s="277"/>
      <c r="BQ334" s="279"/>
      <c r="BR334" s="281"/>
      <c r="BS334" s="808">
        <f>IF($F338="","",SUM(BS350:BU350)-BU336)</f>
        <v>450</v>
      </c>
      <c r="BT334" s="808"/>
      <c r="BU334" s="808"/>
      <c r="BV334" s="280"/>
      <c r="BW334" s="279"/>
      <c r="BX334" s="279"/>
      <c r="BY334" s="279"/>
      <c r="BZ334" s="279"/>
      <c r="CA334" s="281"/>
      <c r="CB334" s="808">
        <f>IF($F338="","",SUM(CB350:CD350)-CD336)</f>
        <v>600</v>
      </c>
      <c r="CC334" s="808"/>
      <c r="CD334" s="808"/>
      <c r="CE334" s="280"/>
      <c r="CF334" s="279"/>
      <c r="CG334" s="279"/>
      <c r="CH334" s="279"/>
      <c r="CI334" s="279"/>
      <c r="CJ334" s="273"/>
      <c r="CK334" s="808">
        <f>IF($F338="","",SUM(CK350:CM350))</f>
        <v>620</v>
      </c>
      <c r="CL334" s="808"/>
      <c r="CM334" s="808"/>
      <c r="CN334" s="280"/>
      <c r="CO334" s="279"/>
      <c r="CP334" s="279"/>
      <c r="CQ334" s="279"/>
      <c r="CR334" s="273"/>
      <c r="CS334" s="273"/>
      <c r="CT334" s="273"/>
      <c r="CU334" s="292"/>
      <c r="CV334" s="246"/>
      <c r="CW334" s="255"/>
    </row>
    <row r="335" spans="1:101" x14ac:dyDescent="0.2">
      <c r="A335" s="256"/>
      <c r="B335" s="256"/>
      <c r="C335" s="209"/>
      <c r="D335" s="916">
        <v>2</v>
      </c>
      <c r="E335" s="588">
        <f>IF(D335="","",DATE($D$3,1,1)+(D335-1)*7+(6-WEEKDAY(DATE($D$3,1,1),2)))</f>
        <v>46032</v>
      </c>
      <c r="F335" s="213"/>
      <c r="G335" s="214"/>
      <c r="H335" s="214"/>
      <c r="I335" s="804">
        <f>IF(ISERROR(AVERAGE(Q334,Z334,AI334,AR334,BA334,BJ334,BS334,CB334,CK334)),"",AVERAGE(Q334,Z334,AI334,AR334,BA334,BJ334,BS334,CB334,CK334))</f>
        <v>592.22222222222217</v>
      </c>
      <c r="J335" s="806"/>
      <c r="K335" s="806"/>
      <c r="L335" s="295"/>
      <c r="M335" s="372"/>
      <c r="N335" s="245"/>
      <c r="O335" s="215"/>
      <c r="P335" s="215"/>
      <c r="Q335" s="710">
        <f>IF(Q334="","",Q334/Data!$X$1)</f>
        <v>0.47499999999999998</v>
      </c>
      <c r="R335" s="710"/>
      <c r="S335" s="711">
        <f>IF(SUM(X338:X349)=0,"",SUM(X338:X349))</f>
        <v>7</v>
      </c>
      <c r="T335" s="216"/>
      <c r="U335" s="217"/>
      <c r="V335" s="217"/>
      <c r="W335" s="217"/>
      <c r="X335" s="217"/>
      <c r="Y335" s="215"/>
      <c r="Z335" s="710">
        <f>IF(Z334="","",Z334/Data!$X$1)</f>
        <v>0.54166666666666663</v>
      </c>
      <c r="AA335" s="710"/>
      <c r="AB335" s="711">
        <f>IF(SUM(AG338:AG349)=0,"",SUM(AG338:AG349))</f>
        <v>8</v>
      </c>
      <c r="AC335" s="216"/>
      <c r="AD335" s="217"/>
      <c r="AE335" s="217"/>
      <c r="AF335" s="217"/>
      <c r="AG335" s="217"/>
      <c r="AH335" s="215"/>
      <c r="AI335" s="710">
        <f>IF(AI334="","",AI334/Data!$X$1)</f>
        <v>0.53333333333333333</v>
      </c>
      <c r="AJ335" s="710"/>
      <c r="AK335" s="711">
        <f>IF(SUM(AP338:AP349)=0,"",SUM(AP338:AP349))</f>
        <v>8</v>
      </c>
      <c r="AL335" s="216"/>
      <c r="AM335" s="217"/>
      <c r="AN335" s="217"/>
      <c r="AO335" s="217"/>
      <c r="AP335" s="217"/>
      <c r="AQ335" s="215"/>
      <c r="AR335" s="710">
        <f>IF(AR334="","",AR334/Data!$X$1)</f>
        <v>0.53333333333333333</v>
      </c>
      <c r="AS335" s="710"/>
      <c r="AT335" s="711">
        <f>IF(SUM(AY338:AY349)=0,"",SUM(AY338:AY349))</f>
        <v>8</v>
      </c>
      <c r="AU335" s="218"/>
      <c r="AV335" s="217"/>
      <c r="AW335" s="217"/>
      <c r="AX335" s="217"/>
      <c r="AY335" s="217"/>
      <c r="AZ335" s="219"/>
      <c r="BA335" s="710">
        <f>IF(BA334="","",BA334/Data!$X$1)</f>
        <v>0.56666666666666665</v>
      </c>
      <c r="BB335" s="710"/>
      <c r="BC335" s="711">
        <f>IF(SUM(BH338:BH349)=0,"",SUM(BH338:BH349))</f>
        <v>8</v>
      </c>
      <c r="BD335" s="218"/>
      <c r="BE335" s="217"/>
      <c r="BF335" s="217"/>
      <c r="BG335" s="217"/>
      <c r="BH335" s="217"/>
      <c r="BI335" s="219"/>
      <c r="BJ335" s="710">
        <f>IF(BJ334="","",BJ334/Data!$X$1)</f>
        <v>0.4</v>
      </c>
      <c r="BK335" s="710"/>
      <c r="BL335" s="711">
        <f>IF(SUM(BQ338:BQ349)=0,"",SUM(BQ338:BQ349))</f>
        <v>5</v>
      </c>
      <c r="BM335" s="218"/>
      <c r="BN335" s="217"/>
      <c r="BO335" s="217"/>
      <c r="BP335" s="217"/>
      <c r="BQ335" s="217"/>
      <c r="BR335" s="220"/>
      <c r="BS335" s="710">
        <f>IF(BS334="","",BS334/Data!$X$1)</f>
        <v>0.375</v>
      </c>
      <c r="BT335" s="710"/>
      <c r="BU335" s="711">
        <f>IF(SUM(BZ338:BZ349)=0,"",SUM(BZ338:BZ349))</f>
        <v>6</v>
      </c>
      <c r="BV335" s="219"/>
      <c r="BW335" s="217"/>
      <c r="BX335" s="217"/>
      <c r="BY335" s="217"/>
      <c r="BZ335" s="217"/>
      <c r="CA335" s="220"/>
      <c r="CB335" s="710">
        <f>IF(CB334="","",CB334/Data!$X$1)</f>
        <v>0.5</v>
      </c>
      <c r="CC335" s="710"/>
      <c r="CD335" s="711">
        <f>IF(SUM(CI338:CI349)=0,"",SUM(CI338:CI349))</f>
        <v>9</v>
      </c>
      <c r="CE335" s="219"/>
      <c r="CF335" s="217"/>
      <c r="CG335" s="217"/>
      <c r="CH335" s="217"/>
      <c r="CI335" s="217"/>
      <c r="CJ335" s="217"/>
      <c r="CK335" s="710">
        <f>IF(CK334="","",CK334/Data!$X$1)</f>
        <v>0.51666666666666672</v>
      </c>
      <c r="CL335" s="710"/>
      <c r="CM335" s="711">
        <f>IF(SUM(CR338:CR349)=0,"",SUM(CR338:CR349))</f>
        <v>8</v>
      </c>
      <c r="CN335" s="219"/>
      <c r="CO335" s="217"/>
      <c r="CP335" s="217"/>
      <c r="CQ335" s="217"/>
      <c r="CR335" s="217"/>
      <c r="CS335" s="217"/>
      <c r="CT335" s="217"/>
      <c r="CU335" s="296"/>
      <c r="CV335" s="246"/>
      <c r="CW335" s="255"/>
    </row>
    <row r="336" spans="1:101" ht="13.5" thickBot="1" x14ac:dyDescent="0.25">
      <c r="A336" s="256"/>
      <c r="B336" s="256"/>
      <c r="C336" s="209"/>
      <c r="D336" s="269">
        <f>D314+1</f>
        <v>16</v>
      </c>
      <c r="E336" s="402" t="str">
        <f>IF(E335="","Sett inn dato over her",TEXT(E335,"dddd"))</f>
        <v>lørdag</v>
      </c>
      <c r="F336" s="221"/>
      <c r="G336" s="222"/>
      <c r="H336" s="222"/>
      <c r="I336" s="802"/>
      <c r="J336" s="807"/>
      <c r="K336" s="807"/>
      <c r="L336" s="297"/>
      <c r="M336" s="373"/>
      <c r="N336" s="377"/>
      <c r="O336" s="222"/>
      <c r="P336" s="222"/>
      <c r="Q336" s="385" t="str">
        <f>Data!$E$11</f>
        <v>AHH</v>
      </c>
      <c r="R336" s="386">
        <f>IF($F349="","",RANK(Q334,$Q334:$CL334))</f>
        <v>7</v>
      </c>
      <c r="S336" s="510"/>
      <c r="T336" s="216">
        <v>0</v>
      </c>
      <c r="U336" s="217"/>
      <c r="V336" s="217"/>
      <c r="W336" s="217"/>
      <c r="X336" s="217"/>
      <c r="Y336" s="215"/>
      <c r="Z336" s="385" t="str">
        <f>Data!$E$12</f>
        <v>RB</v>
      </c>
      <c r="AA336" s="386">
        <f>IF($F349="","",RANK(Z334,$Q334:$CL334))</f>
        <v>2</v>
      </c>
      <c r="AB336" s="510"/>
      <c r="AC336" s="216"/>
      <c r="AD336" s="217"/>
      <c r="AE336" s="217"/>
      <c r="AF336" s="217"/>
      <c r="AG336" s="217"/>
      <c r="AH336" s="215"/>
      <c r="AI336" s="385" t="str">
        <f>Data!$E$13</f>
        <v>EB</v>
      </c>
      <c r="AJ336" s="386">
        <f>IF($F349="","",RANK(AI334,$Q334:$CL334))</f>
        <v>3</v>
      </c>
      <c r="AK336" s="510"/>
      <c r="AL336" s="216"/>
      <c r="AM336" s="217"/>
      <c r="AN336" s="217"/>
      <c r="AO336" s="217"/>
      <c r="AP336" s="217"/>
      <c r="AQ336" s="215"/>
      <c r="AR336" s="346" t="str">
        <f>Data!$E$14</f>
        <v>KAF</v>
      </c>
      <c r="AS336" s="386">
        <f>IF($F349="","",RANK(AR334,$Q334:$CL334))</f>
        <v>3</v>
      </c>
      <c r="AT336" s="510"/>
      <c r="AU336" s="216"/>
      <c r="AV336" s="217"/>
      <c r="AW336" s="217"/>
      <c r="AX336" s="217"/>
      <c r="AY336" s="217"/>
      <c r="AZ336" s="215"/>
      <c r="BA336" s="346" t="str">
        <f>Data!$E$15</f>
        <v>ØG</v>
      </c>
      <c r="BB336" s="386">
        <f>IF($F349="","",RANK(BA334,$Q334:$CL334))</f>
        <v>1</v>
      </c>
      <c r="BC336" s="510"/>
      <c r="BD336" s="216"/>
      <c r="BE336" s="217"/>
      <c r="BF336" s="217"/>
      <c r="BG336" s="217"/>
      <c r="BH336" s="217"/>
      <c r="BI336" s="215"/>
      <c r="BJ336" s="346" t="str">
        <f>Data!$E$16</f>
        <v>JH</v>
      </c>
      <c r="BK336" s="386">
        <f>IF($F349="","",RANK(BJ334,$Q334:$CL334))</f>
        <v>8</v>
      </c>
      <c r="BL336" s="510"/>
      <c r="BM336" s="216"/>
      <c r="BN336" s="217"/>
      <c r="BO336" s="217"/>
      <c r="BP336" s="217"/>
      <c r="BQ336" s="217"/>
      <c r="BR336" s="223"/>
      <c r="BS336" s="346" t="str">
        <f>Data!$E$17</f>
        <v>TOH</v>
      </c>
      <c r="BT336" s="386">
        <f>IF($F349="","",RANK(BS334,$Q334:$CL334))</f>
        <v>9</v>
      </c>
      <c r="BU336" s="510"/>
      <c r="BV336" s="215"/>
      <c r="BW336" s="217"/>
      <c r="BX336" s="217"/>
      <c r="BY336" s="217"/>
      <c r="BZ336" s="217"/>
      <c r="CA336" s="223"/>
      <c r="CB336" s="346" t="s">
        <v>26</v>
      </c>
      <c r="CC336" s="386">
        <f>IF($F349="","",RANK(CB334,$Q334:$CM334))</f>
        <v>6</v>
      </c>
      <c r="CD336" s="511"/>
      <c r="CE336" s="215"/>
      <c r="CF336" s="217"/>
      <c r="CG336" s="217"/>
      <c r="CH336" s="217"/>
      <c r="CI336" s="217"/>
      <c r="CJ336" s="217"/>
      <c r="CK336" s="346" t="s">
        <v>27</v>
      </c>
      <c r="CL336" s="386">
        <f>IF($F349="","",RANK(CK334,$Q334:$CM334))</f>
        <v>5</v>
      </c>
      <c r="CM336" s="798"/>
      <c r="CN336" s="215"/>
      <c r="CO336" s="217"/>
      <c r="CP336" s="217"/>
      <c r="CQ336" s="217"/>
      <c r="CR336" s="217"/>
      <c r="CS336" s="217"/>
      <c r="CT336" s="217"/>
      <c r="CU336" s="296"/>
      <c r="CV336" s="246"/>
      <c r="CW336" s="255"/>
    </row>
    <row r="337" spans="1:101" ht="13.5" thickBot="1" x14ac:dyDescent="0.25">
      <c r="A337" s="264"/>
      <c r="B337" s="264"/>
      <c r="C337" s="202"/>
      <c r="D337" s="270"/>
      <c r="E337" s="224"/>
      <c r="F337" s="225"/>
      <c r="G337" s="226"/>
      <c r="H337" s="226"/>
      <c r="I337" s="227" t="s">
        <v>45</v>
      </c>
      <c r="J337" s="228" t="s">
        <v>46</v>
      </c>
      <c r="K337" s="229" t="s">
        <v>47</v>
      </c>
      <c r="L337" s="298"/>
      <c r="M337" s="374"/>
      <c r="N337" s="378"/>
      <c r="O337" s="230"/>
      <c r="P337" s="230"/>
      <c r="Q337" s="227" t="s">
        <v>45</v>
      </c>
      <c r="R337" s="228" t="s">
        <v>46</v>
      </c>
      <c r="S337" s="229" t="s">
        <v>47</v>
      </c>
      <c r="T337" s="231"/>
      <c r="U337" s="232"/>
      <c r="V337" s="232"/>
      <c r="W337" s="232"/>
      <c r="X337" s="232"/>
      <c r="Y337" s="230"/>
      <c r="Z337" s="227" t="s">
        <v>45</v>
      </c>
      <c r="AA337" s="228" t="s">
        <v>46</v>
      </c>
      <c r="AB337" s="229" t="s">
        <v>47</v>
      </c>
      <c r="AC337" s="231"/>
      <c r="AD337" s="232"/>
      <c r="AE337" s="232"/>
      <c r="AF337" s="232"/>
      <c r="AG337" s="232"/>
      <c r="AH337" s="230"/>
      <c r="AI337" s="227" t="s">
        <v>45</v>
      </c>
      <c r="AJ337" s="228" t="s">
        <v>46</v>
      </c>
      <c r="AK337" s="229" t="s">
        <v>47</v>
      </c>
      <c r="AL337" s="231"/>
      <c r="AM337" s="232"/>
      <c r="AN337" s="232"/>
      <c r="AO337" s="232"/>
      <c r="AP337" s="232"/>
      <c r="AQ337" s="230"/>
      <c r="AR337" s="227" t="s">
        <v>45</v>
      </c>
      <c r="AS337" s="228" t="s">
        <v>46</v>
      </c>
      <c r="AT337" s="229" t="s">
        <v>47</v>
      </c>
      <c r="AU337" s="231"/>
      <c r="AV337" s="232"/>
      <c r="AW337" s="232"/>
      <c r="AX337" s="232"/>
      <c r="AY337" s="232"/>
      <c r="AZ337" s="230"/>
      <c r="BA337" s="227" t="s">
        <v>45</v>
      </c>
      <c r="BB337" s="228" t="s">
        <v>46</v>
      </c>
      <c r="BC337" s="229" t="s">
        <v>47</v>
      </c>
      <c r="BD337" s="231"/>
      <c r="BE337" s="232"/>
      <c r="BF337" s="232"/>
      <c r="BG337" s="232"/>
      <c r="BH337" s="232"/>
      <c r="BI337" s="230"/>
      <c r="BJ337" s="227" t="s">
        <v>45</v>
      </c>
      <c r="BK337" s="228" t="s">
        <v>46</v>
      </c>
      <c r="BL337" s="229" t="s">
        <v>47</v>
      </c>
      <c r="BM337" s="231"/>
      <c r="BN337" s="232"/>
      <c r="BO337" s="232"/>
      <c r="BP337" s="232"/>
      <c r="BQ337" s="232"/>
      <c r="BR337" s="230"/>
      <c r="BS337" s="227" t="s">
        <v>45</v>
      </c>
      <c r="BT337" s="228" t="s">
        <v>46</v>
      </c>
      <c r="BU337" s="229" t="s">
        <v>47</v>
      </c>
      <c r="BV337" s="231"/>
      <c r="BW337" s="232"/>
      <c r="BX337" s="232"/>
      <c r="BY337" s="232"/>
      <c r="BZ337" s="233"/>
      <c r="CA337" s="230"/>
      <c r="CB337" s="227" t="s">
        <v>45</v>
      </c>
      <c r="CC337" s="228" t="s">
        <v>46</v>
      </c>
      <c r="CD337" s="229" t="s">
        <v>47</v>
      </c>
      <c r="CE337" s="231"/>
      <c r="CF337" s="232"/>
      <c r="CG337" s="232"/>
      <c r="CH337" s="232"/>
      <c r="CI337" s="232"/>
      <c r="CJ337" s="232"/>
      <c r="CK337" s="227" t="s">
        <v>45</v>
      </c>
      <c r="CL337" s="228" t="s">
        <v>46</v>
      </c>
      <c r="CM337" s="229" t="s">
        <v>47</v>
      </c>
      <c r="CN337" s="231"/>
      <c r="CO337" s="232"/>
      <c r="CP337" s="232"/>
      <c r="CQ337" s="232"/>
      <c r="CR337" s="232"/>
      <c r="CS337" s="232"/>
      <c r="CT337" s="234"/>
      <c r="CU337" s="296"/>
      <c r="CV337" s="246"/>
      <c r="CW337" s="265"/>
    </row>
    <row r="338" spans="1:101" x14ac:dyDescent="0.2">
      <c r="A338" s="264"/>
      <c r="B338" s="264"/>
      <c r="C338" s="202"/>
      <c r="D338" s="271">
        <v>1</v>
      </c>
      <c r="E338" s="166" t="s">
        <v>232</v>
      </c>
      <c r="F338" s="468">
        <v>1</v>
      </c>
      <c r="G338" s="472"/>
      <c r="H338" s="473">
        <v>5</v>
      </c>
      <c r="I338" s="170" t="str">
        <f t="shared" ref="I338:I349" si="750">IF($F338&gt;$H338,"x","")</f>
        <v/>
      </c>
      <c r="J338" s="387" t="str">
        <f>IF(F338&lt;&gt;"",IF(H338&lt;&gt;"",IF(F338=H338,"x",""),""),"")</f>
        <v/>
      </c>
      <c r="K338" s="388" t="str">
        <f t="shared" ref="K338:K349" si="751">IF($F338&lt;$H338,"x","")</f>
        <v>x</v>
      </c>
      <c r="L338" s="299"/>
      <c r="M338" s="375"/>
      <c r="N338" s="379"/>
      <c r="O338" s="236"/>
      <c r="P338" s="236"/>
      <c r="Q338" s="480">
        <v>10</v>
      </c>
      <c r="R338" s="481">
        <v>10</v>
      </c>
      <c r="S338" s="482">
        <f>IF(Q338="","",100-SUM(Q338:R338))</f>
        <v>80</v>
      </c>
      <c r="T338" s="371"/>
      <c r="U338" s="232" t="str">
        <f t="shared" ref="U338:U349" si="752">IF($I338="x",Q338,"")</f>
        <v/>
      </c>
      <c r="V338" s="232" t="str">
        <f t="shared" ref="V338:V349" si="753">IF($J338="x",R338,"")</f>
        <v/>
      </c>
      <c r="W338" s="232">
        <f t="shared" ref="W338:W349" si="754">IF($K338="x",S338,"")</f>
        <v>80</v>
      </c>
      <c r="X338" s="232">
        <f>IF((MAX(U338,V338,W338))=0,"",IF((MAX(U338,V338,W338))=(MAX(Q338,R338,S338)),1,""))</f>
        <v>1</v>
      </c>
      <c r="Y338" s="371"/>
      <c r="Z338" s="495">
        <v>10</v>
      </c>
      <c r="AA338" s="496">
        <v>10</v>
      </c>
      <c r="AB338" s="482">
        <f t="shared" ref="AB338:AB349" si="755">IF(Z338="","",100-SUM(Z338:AA338))</f>
        <v>80</v>
      </c>
      <c r="AC338" s="371"/>
      <c r="AD338" s="232" t="str">
        <f t="shared" ref="AD338:AD349" si="756">IF($I338="x",Z338,"")</f>
        <v/>
      </c>
      <c r="AE338" s="232" t="str">
        <f t="shared" ref="AE338:AE349" si="757">IF($J338="x",AA338,"")</f>
        <v/>
      </c>
      <c r="AF338" s="232">
        <f t="shared" ref="AF338:AF349" si="758">IF($K338="x",AB338,"")</f>
        <v>80</v>
      </c>
      <c r="AG338" s="232">
        <f>IF((MAX(AD338,AE338,AF338))=0,"",IF((MAX(AD338,AE338,AF338))=(MAX(Z338,AA338,AB338)),1,""))</f>
        <v>1</v>
      </c>
      <c r="AH338" s="371"/>
      <c r="AI338" s="495">
        <v>20</v>
      </c>
      <c r="AJ338" s="496">
        <v>20</v>
      </c>
      <c r="AK338" s="482">
        <f t="shared" ref="AK338:AK349" si="759">IF(AI338="","",100-SUM(AI338:AJ338))</f>
        <v>60</v>
      </c>
      <c r="AL338" s="371"/>
      <c r="AM338" s="232" t="str">
        <f t="shared" ref="AM338:AM349" si="760">IF($I338="x",AI338,"")</f>
        <v/>
      </c>
      <c r="AN338" s="232" t="str">
        <f t="shared" ref="AN338:AN349" si="761">IF($J338="x",AJ338,"")</f>
        <v/>
      </c>
      <c r="AO338" s="232">
        <f t="shared" ref="AO338:AO349" si="762">IF($K338="x",AK338,"")</f>
        <v>60</v>
      </c>
      <c r="AP338" s="232">
        <f>IF((MAX(AM338,AN338,AO338))=0,"",IF((MAX(AM338,AN338,AO338))=(MAX(AI338,AJ338,AK338)),1,""))</f>
        <v>1</v>
      </c>
      <c r="AQ338" s="371"/>
      <c r="AR338" s="495">
        <v>10</v>
      </c>
      <c r="AS338" s="496">
        <v>10</v>
      </c>
      <c r="AT338" s="482">
        <f t="shared" ref="AT338:AT349" si="763">IF(AR338="","",100-SUM(AR338:AS338))</f>
        <v>80</v>
      </c>
      <c r="AU338" s="371"/>
      <c r="AV338" s="232" t="str">
        <f t="shared" ref="AV338:AV349" si="764">IF($I338="x",AR338,"")</f>
        <v/>
      </c>
      <c r="AW338" s="232" t="str">
        <f t="shared" ref="AW338:AW349" si="765">IF($J338="x",AS338,"")</f>
        <v/>
      </c>
      <c r="AX338" s="232">
        <f t="shared" ref="AX338:AX349" si="766">IF($K338="x",AT338,"")</f>
        <v>80</v>
      </c>
      <c r="AY338" s="232">
        <f>IF((MAX(AV338,AW338,AX338))=0,"",IF((MAX(AV338,AW338,AX338))=(MAX(AR338,AS338,AT338)),1,""))</f>
        <v>1</v>
      </c>
      <c r="AZ338" s="371"/>
      <c r="BA338" s="495">
        <v>10</v>
      </c>
      <c r="BB338" s="496">
        <v>10</v>
      </c>
      <c r="BC338" s="482">
        <f t="shared" ref="BC338:BC349" si="767">IF(BA338="","",100-SUM(BA338:BB338))</f>
        <v>80</v>
      </c>
      <c r="BD338" s="371"/>
      <c r="BE338" s="232" t="str">
        <f t="shared" ref="BE338:BE349" si="768">IF($I338="x",BA338,"")</f>
        <v/>
      </c>
      <c r="BF338" s="232" t="str">
        <f t="shared" ref="BF338:BF349" si="769">IF($J338="x",BB338,"")</f>
        <v/>
      </c>
      <c r="BG338" s="232">
        <f t="shared" ref="BG338:BG349" si="770">IF($K338="x",BC338,"")</f>
        <v>80</v>
      </c>
      <c r="BH338" s="232">
        <f>IF((MAX(BE338,BF338,BG338))=0,"",IF((MAX(BE338,BF338,BG338))=(MAX(BA338,BB338,BC338)),1,""))</f>
        <v>1</v>
      </c>
      <c r="BI338" s="371"/>
      <c r="BJ338" s="495">
        <v>10</v>
      </c>
      <c r="BK338" s="496">
        <v>10</v>
      </c>
      <c r="BL338" s="482">
        <f t="shared" ref="BL338:BL349" si="771">IF(BJ338="","",100-SUM(BJ338:BK338))</f>
        <v>80</v>
      </c>
      <c r="BM338" s="371"/>
      <c r="BN338" s="232" t="str">
        <f t="shared" ref="BN338:BN349" si="772">IF($I338="x",BJ338,"")</f>
        <v/>
      </c>
      <c r="BO338" s="232" t="str">
        <f t="shared" ref="BO338:BO349" si="773">IF($J338="x",BK338,"")</f>
        <v/>
      </c>
      <c r="BP338" s="232">
        <f t="shared" ref="BP338:BP349" si="774">IF($K338="x",BL338,"")</f>
        <v>80</v>
      </c>
      <c r="BQ338" s="232">
        <f>IF((MAX(BN338,BO338,BP338))=0,"",IF((MAX(BN338,BO338,BP338))=(MAX(BJ338,BK338,BL338)),1,""))</f>
        <v>1</v>
      </c>
      <c r="BR338" s="371"/>
      <c r="BS338" s="495">
        <v>30</v>
      </c>
      <c r="BT338" s="496">
        <v>20</v>
      </c>
      <c r="BU338" s="482">
        <f t="shared" ref="BU338:BU349" si="775">IF(BS338="","",100-SUM(BS338:BT338))</f>
        <v>50</v>
      </c>
      <c r="BV338" s="371"/>
      <c r="BW338" s="232" t="str">
        <f t="shared" ref="BW338:BW349" si="776">IF($I338="x",BS338,"")</f>
        <v/>
      </c>
      <c r="BX338" s="232" t="str">
        <f t="shared" ref="BX338:BX349" si="777">IF($J338="x",BT338,"")</f>
        <v/>
      </c>
      <c r="BY338" s="232">
        <f t="shared" ref="BY338:BY349" si="778">IF($K338="x",BU338,"")</f>
        <v>50</v>
      </c>
      <c r="BZ338" s="232">
        <f>IF((MAX(BW338,BX338,BY338))=0,"",IF((MAX(BW338,BX338,BY338))=(MAX(BS338,BT338,BU338)),1,""))</f>
        <v>1</v>
      </c>
      <c r="CA338" s="371"/>
      <c r="CB338" s="501">
        <f t="shared" ref="CB338:CB349" si="779">IFERROR(ROUNDUP((SUM(Q338,Z338,AI338,AR338,BA338,BJ338,BS338)/SUM($Q338:$S338,$Z338:$AB338,$AI338:$AK338,$AR338:$AT338,$BA338:$BC338,$BJ338:$BL338,$BS338:$BU338))*100,-1),"")</f>
        <v>20</v>
      </c>
      <c r="CC338" s="502">
        <f t="shared" ref="CC338:CC349" si="780">IFERROR(ROUNDDOWN((SUM(R338,AA338,AJ338,AS338,BB338,BK338,BT338)/SUM($Q338:$S338,$Z338:$AB338,$AI338:$AK338,$AR338:$AT338,$BA338:$BC338,$BJ338:$BL338,$BS338:$BU338))*100,-1),"")</f>
        <v>10</v>
      </c>
      <c r="CD338" s="503">
        <f t="shared" ref="CD338:CD349" si="781">IF(CB338="","",100-SUM(CB338:CC338))</f>
        <v>70</v>
      </c>
      <c r="CE338" s="371"/>
      <c r="CF338" s="232" t="str">
        <f t="shared" ref="CF338:CF349" si="782">IF($I338="x",CB338,"")</f>
        <v/>
      </c>
      <c r="CG338" s="232" t="str">
        <f t="shared" ref="CG338:CG349" si="783">IF($J338="x",CC338,"")</f>
        <v/>
      </c>
      <c r="CH338" s="232">
        <f t="shared" ref="CH338:CH349" si="784">IF($K338="x",CD338,"")</f>
        <v>70</v>
      </c>
      <c r="CI338" s="232">
        <f>IF((MAX(CF338,CG338,CH338))=0,"",IF((MAX(CF338,CG338,CH338))=(MAX(CB338,CC338,CD338)),1,""))</f>
        <v>1</v>
      </c>
      <c r="CJ338" s="232"/>
      <c r="CK338" s="495">
        <v>10</v>
      </c>
      <c r="CL338" s="496">
        <v>10</v>
      </c>
      <c r="CM338" s="482">
        <f t="shared" ref="CM338:CM349" si="785">IF(CK338="","",100-SUM(CK338:CL338))</f>
        <v>80</v>
      </c>
      <c r="CN338" s="371"/>
      <c r="CO338" s="232" t="str">
        <f t="shared" ref="CO338:CO349" si="786">IF($I338="x",CK338,"")</f>
        <v/>
      </c>
      <c r="CP338" s="232" t="str">
        <f t="shared" ref="CP338:CP349" si="787">IF($J338="x",CL338,"")</f>
        <v/>
      </c>
      <c r="CQ338" s="232">
        <f t="shared" ref="CQ338:CQ349" si="788">IF($K338="x",CM338,"")</f>
        <v>80</v>
      </c>
      <c r="CR338" s="232">
        <f>IF((MAX(CO338,CP338,CQ338))=0,"",IF((MAX(CO338,CP338,CQ338))=(MAX(CK338,CL338,CM338)),1,""))</f>
        <v>1</v>
      </c>
      <c r="CS338" s="232"/>
      <c r="CT338" s="371"/>
      <c r="CU338" s="296"/>
      <c r="CV338" s="246"/>
      <c r="CW338" s="264"/>
    </row>
    <row r="339" spans="1:101" x14ac:dyDescent="0.2">
      <c r="A339" s="264"/>
      <c r="B339" s="264"/>
      <c r="C339" s="202"/>
      <c r="D339" s="271">
        <v>2</v>
      </c>
      <c r="E339" s="167" t="s">
        <v>233</v>
      </c>
      <c r="F339" s="469">
        <v>5</v>
      </c>
      <c r="G339" s="474"/>
      <c r="H339" s="475">
        <v>1</v>
      </c>
      <c r="I339" s="389" t="str">
        <f t="shared" si="750"/>
        <v>x</v>
      </c>
      <c r="J339" s="390" t="str">
        <f t="shared" ref="J339:J349" si="789">IF(F339&lt;&gt;"",IF(H339&lt;&gt;"",IF(F339=H339,"x",""),""),"")</f>
        <v/>
      </c>
      <c r="K339" s="391" t="str">
        <f t="shared" si="751"/>
        <v/>
      </c>
      <c r="L339" s="299"/>
      <c r="M339" s="375"/>
      <c r="N339" s="379"/>
      <c r="O339" s="236"/>
      <c r="P339" s="236"/>
      <c r="Q339" s="483">
        <v>40</v>
      </c>
      <c r="R339" s="484">
        <v>30</v>
      </c>
      <c r="S339" s="485">
        <f t="shared" ref="S339:S349" si="790">IF(Q339="","",100-SUM(Q339:R339))</f>
        <v>30</v>
      </c>
      <c r="T339" s="371"/>
      <c r="U339" s="232">
        <f t="shared" si="752"/>
        <v>40</v>
      </c>
      <c r="V339" s="232" t="str">
        <f t="shared" si="753"/>
        <v/>
      </c>
      <c r="W339" s="232" t="str">
        <f t="shared" si="754"/>
        <v/>
      </c>
      <c r="X339" s="232">
        <f t="shared" ref="X339:X349" si="791">IF((MAX(U339,V339,W339))=0,"",IF((MAX(U339,V339,W339))=(MAX(Q339,R339,S339)),1,""))</f>
        <v>1</v>
      </c>
      <c r="Y339" s="371"/>
      <c r="Z339" s="497">
        <v>80</v>
      </c>
      <c r="AA339" s="498">
        <v>10</v>
      </c>
      <c r="AB339" s="485">
        <f t="shared" si="755"/>
        <v>10</v>
      </c>
      <c r="AC339" s="371"/>
      <c r="AD339" s="232">
        <f t="shared" si="756"/>
        <v>80</v>
      </c>
      <c r="AE339" s="232" t="str">
        <f t="shared" si="757"/>
        <v/>
      </c>
      <c r="AF339" s="232" t="str">
        <f t="shared" si="758"/>
        <v/>
      </c>
      <c r="AG339" s="232">
        <f t="shared" ref="AG339:AG349" si="792">IF((MAX(AD339,AE339,AF339))=0,"",IF((MAX(AD339,AE339,AF339))=(MAX(Z339,AA339,AB339)),1,""))</f>
        <v>1</v>
      </c>
      <c r="AH339" s="371"/>
      <c r="AI339" s="497">
        <v>80</v>
      </c>
      <c r="AJ339" s="498">
        <v>10</v>
      </c>
      <c r="AK339" s="485">
        <f t="shared" si="759"/>
        <v>10</v>
      </c>
      <c r="AL339" s="371"/>
      <c r="AM339" s="232">
        <f t="shared" si="760"/>
        <v>80</v>
      </c>
      <c r="AN339" s="232" t="str">
        <f t="shared" si="761"/>
        <v/>
      </c>
      <c r="AO339" s="232" t="str">
        <f t="shared" si="762"/>
        <v/>
      </c>
      <c r="AP339" s="232">
        <f t="shared" ref="AP339:AP349" si="793">IF((MAX(AM339,AN339,AO339))=0,"",IF((MAX(AM339,AN339,AO339))=(MAX(AI339,AJ339,AK339)),1,""))</f>
        <v>1</v>
      </c>
      <c r="AQ339" s="371"/>
      <c r="AR339" s="497">
        <v>40</v>
      </c>
      <c r="AS339" s="498">
        <v>40</v>
      </c>
      <c r="AT339" s="485">
        <f t="shared" si="763"/>
        <v>20</v>
      </c>
      <c r="AU339" s="371"/>
      <c r="AV339" s="232">
        <f t="shared" si="764"/>
        <v>40</v>
      </c>
      <c r="AW339" s="232" t="str">
        <f t="shared" si="765"/>
        <v/>
      </c>
      <c r="AX339" s="232" t="str">
        <f t="shared" si="766"/>
        <v/>
      </c>
      <c r="AY339" s="232">
        <f t="shared" ref="AY339:AY349" si="794">IF((MAX(AV339,AW339,AX339))=0,"",IF((MAX(AV339,AW339,AX339))=(MAX(AR339,AS339,AT339)),1,""))</f>
        <v>1</v>
      </c>
      <c r="AZ339" s="371"/>
      <c r="BA339" s="497">
        <v>80</v>
      </c>
      <c r="BB339" s="498">
        <v>10</v>
      </c>
      <c r="BC339" s="485">
        <f t="shared" si="767"/>
        <v>10</v>
      </c>
      <c r="BD339" s="371"/>
      <c r="BE339" s="232">
        <f t="shared" si="768"/>
        <v>80</v>
      </c>
      <c r="BF339" s="232" t="str">
        <f t="shared" si="769"/>
        <v/>
      </c>
      <c r="BG339" s="232" t="str">
        <f t="shared" si="770"/>
        <v/>
      </c>
      <c r="BH339" s="232">
        <f t="shared" ref="BH339:BH349" si="795">IF((MAX(BE339,BF339,BG339))=0,"",IF((MAX(BE339,BF339,BG339))=(MAX(BA339,BB339,BC339)),1,""))</f>
        <v>1</v>
      </c>
      <c r="BI339" s="371"/>
      <c r="BJ339" s="497">
        <v>10</v>
      </c>
      <c r="BK339" s="498">
        <v>10</v>
      </c>
      <c r="BL339" s="485">
        <f t="shared" si="771"/>
        <v>80</v>
      </c>
      <c r="BM339" s="371"/>
      <c r="BN339" s="232">
        <f t="shared" si="772"/>
        <v>10</v>
      </c>
      <c r="BO339" s="232" t="str">
        <f t="shared" si="773"/>
        <v/>
      </c>
      <c r="BP339" s="232" t="str">
        <f t="shared" si="774"/>
        <v/>
      </c>
      <c r="BQ339" s="232" t="str">
        <f t="shared" ref="BQ339:BQ349" si="796">IF((MAX(BN339,BO339,BP339))=0,"",IF((MAX(BN339,BO339,BP339))=(MAX(BJ339,BK339,BL339)),1,""))</f>
        <v/>
      </c>
      <c r="BR339" s="371"/>
      <c r="BS339" s="497">
        <v>10</v>
      </c>
      <c r="BT339" s="498">
        <v>50</v>
      </c>
      <c r="BU339" s="485">
        <f t="shared" si="775"/>
        <v>40</v>
      </c>
      <c r="BV339" s="371"/>
      <c r="BW339" s="232">
        <f t="shared" si="776"/>
        <v>10</v>
      </c>
      <c r="BX339" s="232" t="str">
        <f t="shared" si="777"/>
        <v/>
      </c>
      <c r="BY339" s="232" t="str">
        <f t="shared" si="778"/>
        <v/>
      </c>
      <c r="BZ339" s="232" t="str">
        <f t="shared" ref="BZ339:BZ349" si="797">IF((MAX(BW339,BX339,BY339))=0,"",IF((MAX(BW339,BX339,BY339))=(MAX(BS339,BT339,BU339)),1,""))</f>
        <v/>
      </c>
      <c r="CA339" s="371"/>
      <c r="CB339" s="504">
        <f t="shared" si="779"/>
        <v>50</v>
      </c>
      <c r="CC339" s="505">
        <f t="shared" si="780"/>
        <v>20</v>
      </c>
      <c r="CD339" s="506">
        <f t="shared" si="781"/>
        <v>30</v>
      </c>
      <c r="CE339" s="371"/>
      <c r="CF339" s="232">
        <f t="shared" si="782"/>
        <v>50</v>
      </c>
      <c r="CG339" s="232" t="str">
        <f t="shared" si="783"/>
        <v/>
      </c>
      <c r="CH339" s="232" t="str">
        <f t="shared" si="784"/>
        <v/>
      </c>
      <c r="CI339" s="232">
        <f t="shared" ref="CI339:CI349" si="798">IF((MAX(CF339,CG339,CH339))=0,"",IF((MAX(CF339,CG339,CH339))=(MAX(CB339,CC339,CD339)),1,""))</f>
        <v>1</v>
      </c>
      <c r="CJ339" s="232"/>
      <c r="CK339" s="497">
        <v>60</v>
      </c>
      <c r="CL339" s="498">
        <v>30</v>
      </c>
      <c r="CM339" s="485">
        <f t="shared" si="785"/>
        <v>10</v>
      </c>
      <c r="CN339" s="371"/>
      <c r="CO339" s="232">
        <f t="shared" si="786"/>
        <v>60</v>
      </c>
      <c r="CP339" s="232" t="str">
        <f t="shared" si="787"/>
        <v/>
      </c>
      <c r="CQ339" s="232" t="str">
        <f t="shared" si="788"/>
        <v/>
      </c>
      <c r="CR339" s="232">
        <f t="shared" ref="CR339:CR349" si="799">IF((MAX(CO339,CP339,CQ339))=0,"",IF((MAX(CO339,CP339,CQ339))=(MAX(CK339,CL339,CM339)),1,""))</f>
        <v>1</v>
      </c>
      <c r="CS339" s="232"/>
      <c r="CT339" s="371"/>
      <c r="CU339" s="296"/>
      <c r="CV339" s="246"/>
      <c r="CW339" s="264"/>
    </row>
    <row r="340" spans="1:101" ht="13.5" thickBot="1" x14ac:dyDescent="0.25">
      <c r="A340" s="264"/>
      <c r="B340" s="264"/>
      <c r="C340" s="202"/>
      <c r="D340" s="271">
        <v>3</v>
      </c>
      <c r="E340" s="168" t="s">
        <v>234</v>
      </c>
      <c r="F340" s="470">
        <v>2</v>
      </c>
      <c r="G340" s="476"/>
      <c r="H340" s="477">
        <v>3</v>
      </c>
      <c r="I340" s="392" t="str">
        <f t="shared" si="750"/>
        <v/>
      </c>
      <c r="J340" s="393" t="str">
        <f t="shared" si="789"/>
        <v/>
      </c>
      <c r="K340" s="394" t="str">
        <f t="shared" si="751"/>
        <v>x</v>
      </c>
      <c r="L340" s="299"/>
      <c r="M340" s="375"/>
      <c r="N340" s="379"/>
      <c r="O340" s="236"/>
      <c r="P340" s="236"/>
      <c r="Q340" s="486">
        <v>20</v>
      </c>
      <c r="R340" s="487">
        <v>20</v>
      </c>
      <c r="S340" s="488">
        <f t="shared" si="790"/>
        <v>60</v>
      </c>
      <c r="T340" s="371"/>
      <c r="U340" s="232" t="str">
        <f t="shared" si="752"/>
        <v/>
      </c>
      <c r="V340" s="232" t="str">
        <f t="shared" si="753"/>
        <v/>
      </c>
      <c r="W340" s="232">
        <f t="shared" si="754"/>
        <v>60</v>
      </c>
      <c r="X340" s="232">
        <f t="shared" si="791"/>
        <v>1</v>
      </c>
      <c r="Y340" s="371"/>
      <c r="Z340" s="499">
        <v>10</v>
      </c>
      <c r="AA340" s="500">
        <v>10</v>
      </c>
      <c r="AB340" s="488">
        <f t="shared" si="755"/>
        <v>80</v>
      </c>
      <c r="AC340" s="371"/>
      <c r="AD340" s="232" t="str">
        <f t="shared" si="756"/>
        <v/>
      </c>
      <c r="AE340" s="232" t="str">
        <f t="shared" si="757"/>
        <v/>
      </c>
      <c r="AF340" s="232">
        <f t="shared" si="758"/>
        <v>80</v>
      </c>
      <c r="AG340" s="232">
        <f t="shared" si="792"/>
        <v>1</v>
      </c>
      <c r="AH340" s="371"/>
      <c r="AI340" s="499">
        <v>30</v>
      </c>
      <c r="AJ340" s="500">
        <v>30</v>
      </c>
      <c r="AK340" s="488">
        <f t="shared" si="759"/>
        <v>40</v>
      </c>
      <c r="AL340" s="371"/>
      <c r="AM340" s="232" t="str">
        <f t="shared" si="760"/>
        <v/>
      </c>
      <c r="AN340" s="232" t="str">
        <f t="shared" si="761"/>
        <v/>
      </c>
      <c r="AO340" s="232">
        <f t="shared" si="762"/>
        <v>40</v>
      </c>
      <c r="AP340" s="232">
        <f t="shared" si="793"/>
        <v>1</v>
      </c>
      <c r="AQ340" s="371"/>
      <c r="AR340" s="499">
        <v>10</v>
      </c>
      <c r="AS340" s="500">
        <v>30</v>
      </c>
      <c r="AT340" s="488">
        <f t="shared" si="763"/>
        <v>60</v>
      </c>
      <c r="AU340" s="371"/>
      <c r="AV340" s="232" t="str">
        <f t="shared" si="764"/>
        <v/>
      </c>
      <c r="AW340" s="232" t="str">
        <f t="shared" si="765"/>
        <v/>
      </c>
      <c r="AX340" s="232">
        <f t="shared" si="766"/>
        <v>60</v>
      </c>
      <c r="AY340" s="232">
        <f t="shared" si="794"/>
        <v>1</v>
      </c>
      <c r="AZ340" s="371"/>
      <c r="BA340" s="499">
        <v>80</v>
      </c>
      <c r="BB340" s="500">
        <v>10</v>
      </c>
      <c r="BC340" s="488">
        <f t="shared" si="767"/>
        <v>10</v>
      </c>
      <c r="BD340" s="371"/>
      <c r="BE340" s="232" t="str">
        <f t="shared" si="768"/>
        <v/>
      </c>
      <c r="BF340" s="232" t="str">
        <f t="shared" si="769"/>
        <v/>
      </c>
      <c r="BG340" s="232">
        <f t="shared" si="770"/>
        <v>10</v>
      </c>
      <c r="BH340" s="232" t="str">
        <f t="shared" si="795"/>
        <v/>
      </c>
      <c r="BI340" s="371"/>
      <c r="BJ340" s="499">
        <v>80</v>
      </c>
      <c r="BK340" s="500">
        <v>10</v>
      </c>
      <c r="BL340" s="488">
        <f t="shared" si="771"/>
        <v>10</v>
      </c>
      <c r="BM340" s="371"/>
      <c r="BN340" s="232" t="str">
        <f t="shared" si="772"/>
        <v/>
      </c>
      <c r="BO340" s="232" t="str">
        <f t="shared" si="773"/>
        <v/>
      </c>
      <c r="BP340" s="232">
        <f t="shared" si="774"/>
        <v>10</v>
      </c>
      <c r="BQ340" s="232" t="str">
        <f t="shared" si="796"/>
        <v/>
      </c>
      <c r="BR340" s="371"/>
      <c r="BS340" s="499">
        <v>30</v>
      </c>
      <c r="BT340" s="500">
        <v>50</v>
      </c>
      <c r="BU340" s="488">
        <f t="shared" si="775"/>
        <v>20</v>
      </c>
      <c r="BV340" s="371"/>
      <c r="BW340" s="232" t="str">
        <f t="shared" si="776"/>
        <v/>
      </c>
      <c r="BX340" s="232" t="str">
        <f t="shared" si="777"/>
        <v/>
      </c>
      <c r="BY340" s="232">
        <f t="shared" si="778"/>
        <v>20</v>
      </c>
      <c r="BZ340" s="232" t="str">
        <f t="shared" si="797"/>
        <v/>
      </c>
      <c r="CA340" s="371"/>
      <c r="CB340" s="507">
        <f t="shared" si="779"/>
        <v>40</v>
      </c>
      <c r="CC340" s="508">
        <f t="shared" si="780"/>
        <v>20</v>
      </c>
      <c r="CD340" s="509">
        <f t="shared" si="781"/>
        <v>40</v>
      </c>
      <c r="CE340" s="371"/>
      <c r="CF340" s="232" t="str">
        <f t="shared" si="782"/>
        <v/>
      </c>
      <c r="CG340" s="232" t="str">
        <f t="shared" si="783"/>
        <v/>
      </c>
      <c r="CH340" s="232">
        <f t="shared" si="784"/>
        <v>40</v>
      </c>
      <c r="CI340" s="232">
        <f t="shared" si="798"/>
        <v>1</v>
      </c>
      <c r="CJ340" s="232"/>
      <c r="CK340" s="499">
        <v>30</v>
      </c>
      <c r="CL340" s="500">
        <v>10</v>
      </c>
      <c r="CM340" s="488">
        <f t="shared" si="785"/>
        <v>60</v>
      </c>
      <c r="CN340" s="371"/>
      <c r="CO340" s="232" t="str">
        <f t="shared" si="786"/>
        <v/>
      </c>
      <c r="CP340" s="232" t="str">
        <f t="shared" si="787"/>
        <v/>
      </c>
      <c r="CQ340" s="232">
        <f t="shared" si="788"/>
        <v>60</v>
      </c>
      <c r="CR340" s="232">
        <f t="shared" si="799"/>
        <v>1</v>
      </c>
      <c r="CS340" s="232"/>
      <c r="CT340" s="371"/>
      <c r="CU340" s="296"/>
      <c r="CV340" s="246"/>
      <c r="CW340" s="264"/>
    </row>
    <row r="341" spans="1:101" x14ac:dyDescent="0.2">
      <c r="A341" s="264"/>
      <c r="B341" s="264"/>
      <c r="C341" s="202"/>
      <c r="D341" s="271">
        <v>4</v>
      </c>
      <c r="E341" s="166" t="s">
        <v>235</v>
      </c>
      <c r="F341" s="468">
        <v>1</v>
      </c>
      <c r="G341" s="472"/>
      <c r="H341" s="473">
        <v>2</v>
      </c>
      <c r="I341" s="170" t="str">
        <f t="shared" si="750"/>
        <v/>
      </c>
      <c r="J341" s="387" t="str">
        <f t="shared" si="789"/>
        <v/>
      </c>
      <c r="K341" s="388" t="str">
        <f t="shared" si="751"/>
        <v>x</v>
      </c>
      <c r="L341" s="299"/>
      <c r="M341" s="375"/>
      <c r="N341" s="379"/>
      <c r="O341" s="236"/>
      <c r="P341" s="236"/>
      <c r="Q341" s="480">
        <v>40</v>
      </c>
      <c r="R341" s="481">
        <v>30</v>
      </c>
      <c r="S341" s="482">
        <f t="shared" si="790"/>
        <v>30</v>
      </c>
      <c r="T341" s="371"/>
      <c r="U341" s="232" t="str">
        <f t="shared" si="752"/>
        <v/>
      </c>
      <c r="V341" s="232" t="str">
        <f t="shared" si="753"/>
        <v/>
      </c>
      <c r="W341" s="232">
        <f t="shared" si="754"/>
        <v>30</v>
      </c>
      <c r="X341" s="232" t="str">
        <f t="shared" si="791"/>
        <v/>
      </c>
      <c r="Y341" s="371"/>
      <c r="Z341" s="495">
        <v>40</v>
      </c>
      <c r="AA341" s="496">
        <v>50</v>
      </c>
      <c r="AB341" s="482">
        <f t="shared" si="755"/>
        <v>10</v>
      </c>
      <c r="AC341" s="371"/>
      <c r="AD341" s="232" t="str">
        <f t="shared" si="756"/>
        <v/>
      </c>
      <c r="AE341" s="232" t="str">
        <f t="shared" si="757"/>
        <v/>
      </c>
      <c r="AF341" s="232">
        <f t="shared" si="758"/>
        <v>10</v>
      </c>
      <c r="AG341" s="232" t="str">
        <f t="shared" si="792"/>
        <v/>
      </c>
      <c r="AH341" s="371"/>
      <c r="AI341" s="495">
        <v>20</v>
      </c>
      <c r="AJ341" s="496">
        <v>30</v>
      </c>
      <c r="AK341" s="482">
        <f t="shared" si="759"/>
        <v>50</v>
      </c>
      <c r="AL341" s="371"/>
      <c r="AM341" s="232" t="str">
        <f t="shared" si="760"/>
        <v/>
      </c>
      <c r="AN341" s="232" t="str">
        <f t="shared" si="761"/>
        <v/>
      </c>
      <c r="AO341" s="232">
        <f t="shared" si="762"/>
        <v>50</v>
      </c>
      <c r="AP341" s="232">
        <f t="shared" si="793"/>
        <v>1</v>
      </c>
      <c r="AQ341" s="371"/>
      <c r="AR341" s="495">
        <v>10</v>
      </c>
      <c r="AS341" s="496">
        <v>30</v>
      </c>
      <c r="AT341" s="482">
        <f t="shared" si="763"/>
        <v>60</v>
      </c>
      <c r="AU341" s="371"/>
      <c r="AV341" s="232" t="str">
        <f t="shared" si="764"/>
        <v/>
      </c>
      <c r="AW341" s="232" t="str">
        <f t="shared" si="765"/>
        <v/>
      </c>
      <c r="AX341" s="232">
        <f t="shared" si="766"/>
        <v>60</v>
      </c>
      <c r="AY341" s="232">
        <f t="shared" si="794"/>
        <v>1</v>
      </c>
      <c r="AZ341" s="371"/>
      <c r="BA341" s="495">
        <v>10</v>
      </c>
      <c r="BB341" s="496">
        <v>10</v>
      </c>
      <c r="BC341" s="482">
        <f t="shared" si="767"/>
        <v>80</v>
      </c>
      <c r="BD341" s="371"/>
      <c r="BE341" s="232" t="str">
        <f t="shared" si="768"/>
        <v/>
      </c>
      <c r="BF341" s="232" t="str">
        <f t="shared" si="769"/>
        <v/>
      </c>
      <c r="BG341" s="232">
        <f t="shared" si="770"/>
        <v>80</v>
      </c>
      <c r="BH341" s="232">
        <f t="shared" si="795"/>
        <v>1</v>
      </c>
      <c r="BI341" s="371"/>
      <c r="BJ341" s="495">
        <v>10</v>
      </c>
      <c r="BK341" s="496">
        <v>10</v>
      </c>
      <c r="BL341" s="482">
        <f t="shared" si="771"/>
        <v>80</v>
      </c>
      <c r="BM341" s="371"/>
      <c r="BN341" s="232" t="str">
        <f t="shared" si="772"/>
        <v/>
      </c>
      <c r="BO341" s="232" t="str">
        <f t="shared" si="773"/>
        <v/>
      </c>
      <c r="BP341" s="232">
        <f t="shared" si="774"/>
        <v>80</v>
      </c>
      <c r="BQ341" s="232">
        <f t="shared" si="796"/>
        <v>1</v>
      </c>
      <c r="BR341" s="371"/>
      <c r="BS341" s="495">
        <v>10</v>
      </c>
      <c r="BT341" s="496">
        <v>30</v>
      </c>
      <c r="BU341" s="482">
        <f t="shared" si="775"/>
        <v>60</v>
      </c>
      <c r="BV341" s="371"/>
      <c r="BW341" s="232" t="str">
        <f t="shared" si="776"/>
        <v/>
      </c>
      <c r="BX341" s="232" t="str">
        <f t="shared" si="777"/>
        <v/>
      </c>
      <c r="BY341" s="232">
        <f t="shared" si="778"/>
        <v>60</v>
      </c>
      <c r="BZ341" s="232">
        <f t="shared" si="797"/>
        <v>1</v>
      </c>
      <c r="CA341" s="371"/>
      <c r="CB341" s="501">
        <f t="shared" si="779"/>
        <v>20</v>
      </c>
      <c r="CC341" s="502">
        <f t="shared" si="780"/>
        <v>20</v>
      </c>
      <c r="CD341" s="503">
        <f t="shared" si="781"/>
        <v>60</v>
      </c>
      <c r="CE341" s="371"/>
      <c r="CF341" s="232" t="str">
        <f t="shared" si="782"/>
        <v/>
      </c>
      <c r="CG341" s="232" t="str">
        <f t="shared" si="783"/>
        <v/>
      </c>
      <c r="CH341" s="232">
        <f t="shared" si="784"/>
        <v>60</v>
      </c>
      <c r="CI341" s="232">
        <f t="shared" si="798"/>
        <v>1</v>
      </c>
      <c r="CJ341" s="232"/>
      <c r="CK341" s="495">
        <v>40</v>
      </c>
      <c r="CL341" s="496">
        <v>50</v>
      </c>
      <c r="CM341" s="482">
        <f t="shared" si="785"/>
        <v>10</v>
      </c>
      <c r="CN341" s="371"/>
      <c r="CO341" s="232" t="str">
        <f t="shared" si="786"/>
        <v/>
      </c>
      <c r="CP341" s="232" t="str">
        <f t="shared" si="787"/>
        <v/>
      </c>
      <c r="CQ341" s="232">
        <f t="shared" si="788"/>
        <v>10</v>
      </c>
      <c r="CR341" s="232" t="str">
        <f t="shared" si="799"/>
        <v/>
      </c>
      <c r="CS341" s="232"/>
      <c r="CT341" s="371"/>
      <c r="CU341" s="296"/>
      <c r="CV341" s="246"/>
      <c r="CW341" s="264"/>
    </row>
    <row r="342" spans="1:101" x14ac:dyDescent="0.2">
      <c r="A342" s="264"/>
      <c r="B342" s="264"/>
      <c r="C342" s="202"/>
      <c r="D342" s="271">
        <v>5</v>
      </c>
      <c r="E342" s="167" t="s">
        <v>236</v>
      </c>
      <c r="F342" s="469">
        <v>5</v>
      </c>
      <c r="G342" s="474"/>
      <c r="H342" s="475">
        <v>1</v>
      </c>
      <c r="I342" s="389" t="str">
        <f t="shared" si="750"/>
        <v>x</v>
      </c>
      <c r="J342" s="390" t="str">
        <f t="shared" si="789"/>
        <v/>
      </c>
      <c r="K342" s="391" t="str">
        <f t="shared" si="751"/>
        <v/>
      </c>
      <c r="L342" s="299"/>
      <c r="M342" s="375"/>
      <c r="N342" s="379"/>
      <c r="O342" s="236"/>
      <c r="P342" s="236"/>
      <c r="Q342" s="483">
        <v>60</v>
      </c>
      <c r="R342" s="484">
        <v>20</v>
      </c>
      <c r="S342" s="485">
        <f t="shared" si="790"/>
        <v>20</v>
      </c>
      <c r="T342" s="371"/>
      <c r="U342" s="232">
        <f t="shared" si="752"/>
        <v>60</v>
      </c>
      <c r="V342" s="232" t="str">
        <f t="shared" si="753"/>
        <v/>
      </c>
      <c r="W342" s="232" t="str">
        <f t="shared" si="754"/>
        <v/>
      </c>
      <c r="X342" s="232">
        <f t="shared" si="791"/>
        <v>1</v>
      </c>
      <c r="Y342" s="371"/>
      <c r="Z342" s="497">
        <v>80</v>
      </c>
      <c r="AA342" s="498">
        <v>10</v>
      </c>
      <c r="AB342" s="485">
        <f t="shared" si="755"/>
        <v>10</v>
      </c>
      <c r="AC342" s="371"/>
      <c r="AD342" s="232">
        <f t="shared" si="756"/>
        <v>80</v>
      </c>
      <c r="AE342" s="232" t="str">
        <f t="shared" si="757"/>
        <v/>
      </c>
      <c r="AF342" s="232" t="str">
        <f t="shared" si="758"/>
        <v/>
      </c>
      <c r="AG342" s="232">
        <f t="shared" si="792"/>
        <v>1</v>
      </c>
      <c r="AH342" s="371"/>
      <c r="AI342" s="497">
        <v>30</v>
      </c>
      <c r="AJ342" s="498">
        <v>40</v>
      </c>
      <c r="AK342" s="485">
        <f t="shared" si="759"/>
        <v>30</v>
      </c>
      <c r="AL342" s="371"/>
      <c r="AM342" s="232">
        <f t="shared" si="760"/>
        <v>30</v>
      </c>
      <c r="AN342" s="232" t="str">
        <f t="shared" si="761"/>
        <v/>
      </c>
      <c r="AO342" s="232" t="str">
        <f t="shared" si="762"/>
        <v/>
      </c>
      <c r="AP342" s="232" t="str">
        <f t="shared" si="793"/>
        <v/>
      </c>
      <c r="AQ342" s="371"/>
      <c r="AR342" s="497">
        <v>70</v>
      </c>
      <c r="AS342" s="498">
        <v>20</v>
      </c>
      <c r="AT342" s="485">
        <f t="shared" si="763"/>
        <v>10</v>
      </c>
      <c r="AU342" s="371"/>
      <c r="AV342" s="232">
        <f t="shared" si="764"/>
        <v>70</v>
      </c>
      <c r="AW342" s="232" t="str">
        <f t="shared" si="765"/>
        <v/>
      </c>
      <c r="AX342" s="232" t="str">
        <f t="shared" si="766"/>
        <v/>
      </c>
      <c r="AY342" s="232">
        <f t="shared" si="794"/>
        <v>1</v>
      </c>
      <c r="AZ342" s="371"/>
      <c r="BA342" s="497">
        <v>80</v>
      </c>
      <c r="BB342" s="498">
        <v>10</v>
      </c>
      <c r="BC342" s="485">
        <f t="shared" si="767"/>
        <v>10</v>
      </c>
      <c r="BD342" s="371"/>
      <c r="BE342" s="232">
        <f t="shared" si="768"/>
        <v>80</v>
      </c>
      <c r="BF342" s="232" t="str">
        <f t="shared" si="769"/>
        <v/>
      </c>
      <c r="BG342" s="232" t="str">
        <f t="shared" si="770"/>
        <v/>
      </c>
      <c r="BH342" s="232">
        <f t="shared" si="795"/>
        <v>1</v>
      </c>
      <c r="BI342" s="371"/>
      <c r="BJ342" s="497">
        <v>10</v>
      </c>
      <c r="BK342" s="498">
        <v>30</v>
      </c>
      <c r="BL342" s="485">
        <f t="shared" si="771"/>
        <v>60</v>
      </c>
      <c r="BM342" s="371"/>
      <c r="BN342" s="232">
        <f t="shared" si="772"/>
        <v>10</v>
      </c>
      <c r="BO342" s="232" t="str">
        <f t="shared" si="773"/>
        <v/>
      </c>
      <c r="BP342" s="232" t="str">
        <f t="shared" si="774"/>
        <v/>
      </c>
      <c r="BQ342" s="232" t="str">
        <f t="shared" si="796"/>
        <v/>
      </c>
      <c r="BR342" s="371"/>
      <c r="BS342" s="497">
        <v>50</v>
      </c>
      <c r="BT342" s="498">
        <v>10</v>
      </c>
      <c r="BU342" s="485">
        <f t="shared" si="775"/>
        <v>40</v>
      </c>
      <c r="BV342" s="371"/>
      <c r="BW342" s="232">
        <f t="shared" si="776"/>
        <v>50</v>
      </c>
      <c r="BX342" s="232" t="str">
        <f t="shared" si="777"/>
        <v/>
      </c>
      <c r="BY342" s="232" t="str">
        <f t="shared" si="778"/>
        <v/>
      </c>
      <c r="BZ342" s="232">
        <f t="shared" si="797"/>
        <v>1</v>
      </c>
      <c r="CA342" s="371"/>
      <c r="CB342" s="504">
        <f t="shared" si="779"/>
        <v>60</v>
      </c>
      <c r="CC342" s="505">
        <f t="shared" si="780"/>
        <v>20</v>
      </c>
      <c r="CD342" s="506">
        <f t="shared" si="781"/>
        <v>20</v>
      </c>
      <c r="CE342" s="371"/>
      <c r="CF342" s="232">
        <f t="shared" si="782"/>
        <v>60</v>
      </c>
      <c r="CG342" s="232" t="str">
        <f t="shared" si="783"/>
        <v/>
      </c>
      <c r="CH342" s="232" t="str">
        <f t="shared" si="784"/>
        <v/>
      </c>
      <c r="CI342" s="232">
        <f t="shared" si="798"/>
        <v>1</v>
      </c>
      <c r="CJ342" s="232"/>
      <c r="CK342" s="497">
        <v>80</v>
      </c>
      <c r="CL342" s="498">
        <v>10</v>
      </c>
      <c r="CM342" s="485">
        <f t="shared" si="785"/>
        <v>10</v>
      </c>
      <c r="CN342" s="371"/>
      <c r="CO342" s="232">
        <f t="shared" si="786"/>
        <v>80</v>
      </c>
      <c r="CP342" s="232" t="str">
        <f t="shared" si="787"/>
        <v/>
      </c>
      <c r="CQ342" s="232" t="str">
        <f t="shared" si="788"/>
        <v/>
      </c>
      <c r="CR342" s="232">
        <f t="shared" si="799"/>
        <v>1</v>
      </c>
      <c r="CS342" s="232"/>
      <c r="CT342" s="371"/>
      <c r="CU342" s="296"/>
      <c r="CV342" s="246"/>
      <c r="CW342" s="264"/>
    </row>
    <row r="343" spans="1:101" ht="13.5" thickBot="1" x14ac:dyDescent="0.25">
      <c r="A343" s="264"/>
      <c r="B343" s="264"/>
      <c r="C343" s="202"/>
      <c r="D343" s="271">
        <v>6</v>
      </c>
      <c r="E343" s="168" t="s">
        <v>237</v>
      </c>
      <c r="F343" s="470">
        <v>2</v>
      </c>
      <c r="G343" s="476"/>
      <c r="H343" s="477">
        <v>3</v>
      </c>
      <c r="I343" s="392" t="str">
        <f t="shared" si="750"/>
        <v/>
      </c>
      <c r="J343" s="393" t="str">
        <f t="shared" si="789"/>
        <v/>
      </c>
      <c r="K343" s="394" t="str">
        <f t="shared" si="751"/>
        <v>x</v>
      </c>
      <c r="L343" s="299"/>
      <c r="M343" s="375"/>
      <c r="N343" s="379"/>
      <c r="O343" s="236"/>
      <c r="P343" s="236"/>
      <c r="Q343" s="489">
        <v>20</v>
      </c>
      <c r="R343" s="490">
        <v>20</v>
      </c>
      <c r="S343" s="491">
        <f t="shared" si="790"/>
        <v>60</v>
      </c>
      <c r="T343" s="371"/>
      <c r="U343" s="232" t="str">
        <f t="shared" si="752"/>
        <v/>
      </c>
      <c r="V343" s="232" t="str">
        <f t="shared" si="753"/>
        <v/>
      </c>
      <c r="W343" s="232">
        <f t="shared" si="754"/>
        <v>60</v>
      </c>
      <c r="X343" s="232">
        <f t="shared" si="791"/>
        <v>1</v>
      </c>
      <c r="Y343" s="371"/>
      <c r="Z343" s="499">
        <v>10</v>
      </c>
      <c r="AA343" s="500">
        <v>10</v>
      </c>
      <c r="AB343" s="491">
        <f t="shared" si="755"/>
        <v>80</v>
      </c>
      <c r="AC343" s="371"/>
      <c r="AD343" s="232" t="str">
        <f t="shared" si="756"/>
        <v/>
      </c>
      <c r="AE343" s="232" t="str">
        <f t="shared" si="757"/>
        <v/>
      </c>
      <c r="AF343" s="232">
        <f t="shared" si="758"/>
        <v>80</v>
      </c>
      <c r="AG343" s="232">
        <f t="shared" si="792"/>
        <v>1</v>
      </c>
      <c r="AH343" s="371"/>
      <c r="AI343" s="499">
        <v>20</v>
      </c>
      <c r="AJ343" s="500">
        <v>20</v>
      </c>
      <c r="AK343" s="491">
        <f t="shared" si="759"/>
        <v>60</v>
      </c>
      <c r="AL343" s="371"/>
      <c r="AM343" s="232" t="str">
        <f t="shared" si="760"/>
        <v/>
      </c>
      <c r="AN343" s="232" t="str">
        <f t="shared" si="761"/>
        <v/>
      </c>
      <c r="AO343" s="232">
        <f t="shared" si="762"/>
        <v>60</v>
      </c>
      <c r="AP343" s="232">
        <f t="shared" si="793"/>
        <v>1</v>
      </c>
      <c r="AQ343" s="371"/>
      <c r="AR343" s="499">
        <v>10</v>
      </c>
      <c r="AS343" s="500">
        <v>30</v>
      </c>
      <c r="AT343" s="491">
        <f t="shared" si="763"/>
        <v>60</v>
      </c>
      <c r="AU343" s="371"/>
      <c r="AV343" s="232" t="str">
        <f t="shared" si="764"/>
        <v/>
      </c>
      <c r="AW343" s="232" t="str">
        <f t="shared" si="765"/>
        <v/>
      </c>
      <c r="AX343" s="232">
        <f t="shared" si="766"/>
        <v>60</v>
      </c>
      <c r="AY343" s="232">
        <f t="shared" si="794"/>
        <v>1</v>
      </c>
      <c r="AZ343" s="371"/>
      <c r="BA343" s="499">
        <v>10</v>
      </c>
      <c r="BB343" s="500">
        <v>10</v>
      </c>
      <c r="BC343" s="491">
        <f t="shared" si="767"/>
        <v>80</v>
      </c>
      <c r="BD343" s="371"/>
      <c r="BE343" s="232" t="str">
        <f t="shared" si="768"/>
        <v/>
      </c>
      <c r="BF343" s="232" t="str">
        <f t="shared" si="769"/>
        <v/>
      </c>
      <c r="BG343" s="232">
        <f t="shared" si="770"/>
        <v>80</v>
      </c>
      <c r="BH343" s="232">
        <f t="shared" si="795"/>
        <v>1</v>
      </c>
      <c r="BI343" s="371"/>
      <c r="BJ343" s="499">
        <v>10</v>
      </c>
      <c r="BK343" s="500">
        <v>30</v>
      </c>
      <c r="BL343" s="491">
        <f t="shared" si="771"/>
        <v>60</v>
      </c>
      <c r="BM343" s="371"/>
      <c r="BN343" s="232" t="str">
        <f t="shared" si="772"/>
        <v/>
      </c>
      <c r="BO343" s="232" t="str">
        <f t="shared" si="773"/>
        <v/>
      </c>
      <c r="BP343" s="232">
        <f t="shared" si="774"/>
        <v>60</v>
      </c>
      <c r="BQ343" s="232">
        <f t="shared" si="796"/>
        <v>1</v>
      </c>
      <c r="BR343" s="371"/>
      <c r="BS343" s="499">
        <v>40</v>
      </c>
      <c r="BT343" s="500">
        <v>20</v>
      </c>
      <c r="BU343" s="491">
        <f t="shared" si="775"/>
        <v>40</v>
      </c>
      <c r="BV343" s="371"/>
      <c r="BW343" s="232" t="str">
        <f t="shared" si="776"/>
        <v/>
      </c>
      <c r="BX343" s="232" t="str">
        <f t="shared" si="777"/>
        <v/>
      </c>
      <c r="BY343" s="232">
        <f t="shared" si="778"/>
        <v>40</v>
      </c>
      <c r="BZ343" s="232">
        <f t="shared" si="797"/>
        <v>1</v>
      </c>
      <c r="CA343" s="371"/>
      <c r="CB343" s="507">
        <f t="shared" si="779"/>
        <v>20</v>
      </c>
      <c r="CC343" s="508">
        <f t="shared" si="780"/>
        <v>20</v>
      </c>
      <c r="CD343" s="509">
        <f t="shared" si="781"/>
        <v>60</v>
      </c>
      <c r="CE343" s="371"/>
      <c r="CF343" s="232" t="str">
        <f t="shared" si="782"/>
        <v/>
      </c>
      <c r="CG343" s="232" t="str">
        <f t="shared" si="783"/>
        <v/>
      </c>
      <c r="CH343" s="232">
        <f t="shared" si="784"/>
        <v>60</v>
      </c>
      <c r="CI343" s="232">
        <f t="shared" si="798"/>
        <v>1</v>
      </c>
      <c r="CJ343" s="232"/>
      <c r="CK343" s="499">
        <v>10</v>
      </c>
      <c r="CL343" s="500">
        <v>20</v>
      </c>
      <c r="CM343" s="491">
        <f t="shared" si="785"/>
        <v>70</v>
      </c>
      <c r="CN343" s="371"/>
      <c r="CO343" s="232" t="str">
        <f t="shared" si="786"/>
        <v/>
      </c>
      <c r="CP343" s="232" t="str">
        <f t="shared" si="787"/>
        <v/>
      </c>
      <c r="CQ343" s="232">
        <f t="shared" si="788"/>
        <v>70</v>
      </c>
      <c r="CR343" s="232">
        <f t="shared" si="799"/>
        <v>1</v>
      </c>
      <c r="CS343" s="232"/>
      <c r="CT343" s="371"/>
      <c r="CU343" s="296"/>
      <c r="CV343" s="246"/>
      <c r="CW343" s="264"/>
    </row>
    <row r="344" spans="1:101" x14ac:dyDescent="0.2">
      <c r="A344" s="264"/>
      <c r="B344" s="264"/>
      <c r="C344" s="202"/>
      <c r="D344" s="271">
        <v>7</v>
      </c>
      <c r="E344" s="166" t="s">
        <v>238</v>
      </c>
      <c r="F344" s="468">
        <v>3</v>
      </c>
      <c r="G344" s="472"/>
      <c r="H344" s="473">
        <v>1</v>
      </c>
      <c r="I344" s="170" t="str">
        <f t="shared" si="750"/>
        <v>x</v>
      </c>
      <c r="J344" s="387" t="str">
        <f t="shared" si="789"/>
        <v/>
      </c>
      <c r="K344" s="388" t="str">
        <f t="shared" si="751"/>
        <v/>
      </c>
      <c r="L344" s="299"/>
      <c r="M344" s="375"/>
      <c r="N344" s="379"/>
      <c r="O344" s="236"/>
      <c r="P344" s="236"/>
      <c r="Q344" s="480">
        <v>60</v>
      </c>
      <c r="R344" s="481">
        <v>20</v>
      </c>
      <c r="S344" s="482">
        <f t="shared" si="790"/>
        <v>20</v>
      </c>
      <c r="T344" s="371"/>
      <c r="U344" s="232">
        <f t="shared" si="752"/>
        <v>60</v>
      </c>
      <c r="V344" s="232" t="str">
        <f t="shared" si="753"/>
        <v/>
      </c>
      <c r="W344" s="232" t="str">
        <f t="shared" si="754"/>
        <v/>
      </c>
      <c r="X344" s="232">
        <f t="shared" si="791"/>
        <v>1</v>
      </c>
      <c r="Y344" s="371"/>
      <c r="Z344" s="495">
        <v>80</v>
      </c>
      <c r="AA344" s="496">
        <v>10</v>
      </c>
      <c r="AB344" s="482">
        <f t="shared" si="755"/>
        <v>10</v>
      </c>
      <c r="AC344" s="371"/>
      <c r="AD344" s="232">
        <f t="shared" si="756"/>
        <v>80</v>
      </c>
      <c r="AE344" s="232" t="str">
        <f t="shared" si="757"/>
        <v/>
      </c>
      <c r="AF344" s="232" t="str">
        <f t="shared" si="758"/>
        <v/>
      </c>
      <c r="AG344" s="232">
        <f t="shared" si="792"/>
        <v>1</v>
      </c>
      <c r="AH344" s="371"/>
      <c r="AI344" s="495">
        <v>80</v>
      </c>
      <c r="AJ344" s="496">
        <v>10</v>
      </c>
      <c r="AK344" s="482">
        <f t="shared" si="759"/>
        <v>10</v>
      </c>
      <c r="AL344" s="371"/>
      <c r="AM344" s="232">
        <f t="shared" si="760"/>
        <v>80</v>
      </c>
      <c r="AN344" s="232" t="str">
        <f t="shared" si="761"/>
        <v/>
      </c>
      <c r="AO344" s="232" t="str">
        <f t="shared" si="762"/>
        <v/>
      </c>
      <c r="AP344" s="232">
        <f t="shared" si="793"/>
        <v>1</v>
      </c>
      <c r="AQ344" s="371"/>
      <c r="AR344" s="495">
        <v>80</v>
      </c>
      <c r="AS344" s="496">
        <v>10</v>
      </c>
      <c r="AT344" s="482">
        <f t="shared" si="763"/>
        <v>10</v>
      </c>
      <c r="AU344" s="371"/>
      <c r="AV344" s="232">
        <f t="shared" si="764"/>
        <v>80</v>
      </c>
      <c r="AW344" s="232" t="str">
        <f t="shared" si="765"/>
        <v/>
      </c>
      <c r="AX344" s="232" t="str">
        <f t="shared" si="766"/>
        <v/>
      </c>
      <c r="AY344" s="232">
        <f t="shared" si="794"/>
        <v>1</v>
      </c>
      <c r="AZ344" s="371"/>
      <c r="BA344" s="495">
        <v>80</v>
      </c>
      <c r="BB344" s="496">
        <v>10</v>
      </c>
      <c r="BC344" s="482">
        <f t="shared" si="767"/>
        <v>10</v>
      </c>
      <c r="BD344" s="371"/>
      <c r="BE344" s="232">
        <f t="shared" si="768"/>
        <v>80</v>
      </c>
      <c r="BF344" s="232" t="str">
        <f t="shared" si="769"/>
        <v/>
      </c>
      <c r="BG344" s="232" t="str">
        <f t="shared" si="770"/>
        <v/>
      </c>
      <c r="BH344" s="232">
        <f t="shared" si="795"/>
        <v>1</v>
      </c>
      <c r="BI344" s="371"/>
      <c r="BJ344" s="495">
        <v>80</v>
      </c>
      <c r="BK344" s="496">
        <v>10</v>
      </c>
      <c r="BL344" s="482">
        <f t="shared" si="771"/>
        <v>10</v>
      </c>
      <c r="BM344" s="371"/>
      <c r="BN344" s="232">
        <f t="shared" si="772"/>
        <v>80</v>
      </c>
      <c r="BO344" s="232" t="str">
        <f t="shared" si="773"/>
        <v/>
      </c>
      <c r="BP344" s="232" t="str">
        <f t="shared" si="774"/>
        <v/>
      </c>
      <c r="BQ344" s="232">
        <f t="shared" si="796"/>
        <v>1</v>
      </c>
      <c r="BR344" s="371"/>
      <c r="BS344" s="495">
        <v>80</v>
      </c>
      <c r="BT344" s="496">
        <v>10</v>
      </c>
      <c r="BU344" s="482">
        <f t="shared" si="775"/>
        <v>10</v>
      </c>
      <c r="BV344" s="371"/>
      <c r="BW344" s="232">
        <f t="shared" si="776"/>
        <v>80</v>
      </c>
      <c r="BX344" s="232" t="str">
        <f t="shared" si="777"/>
        <v/>
      </c>
      <c r="BY344" s="232" t="str">
        <f t="shared" si="778"/>
        <v/>
      </c>
      <c r="BZ344" s="232">
        <f t="shared" si="797"/>
        <v>1</v>
      </c>
      <c r="CA344" s="371"/>
      <c r="CB344" s="501">
        <f t="shared" si="779"/>
        <v>80</v>
      </c>
      <c r="CC344" s="502">
        <f t="shared" si="780"/>
        <v>10</v>
      </c>
      <c r="CD344" s="503">
        <f t="shared" si="781"/>
        <v>10</v>
      </c>
      <c r="CE344" s="371"/>
      <c r="CF344" s="232">
        <f t="shared" si="782"/>
        <v>80</v>
      </c>
      <c r="CG344" s="232" t="str">
        <f t="shared" si="783"/>
        <v/>
      </c>
      <c r="CH344" s="232" t="str">
        <f t="shared" si="784"/>
        <v/>
      </c>
      <c r="CI344" s="232">
        <f t="shared" si="798"/>
        <v>1</v>
      </c>
      <c r="CJ344" s="232"/>
      <c r="CK344" s="495">
        <v>80</v>
      </c>
      <c r="CL344" s="496">
        <v>10</v>
      </c>
      <c r="CM344" s="482">
        <f t="shared" si="785"/>
        <v>10</v>
      </c>
      <c r="CN344" s="371"/>
      <c r="CO344" s="232">
        <f t="shared" si="786"/>
        <v>80</v>
      </c>
      <c r="CP344" s="232" t="str">
        <f t="shared" si="787"/>
        <v/>
      </c>
      <c r="CQ344" s="232" t="str">
        <f t="shared" si="788"/>
        <v/>
      </c>
      <c r="CR344" s="232">
        <f t="shared" si="799"/>
        <v>1</v>
      </c>
      <c r="CS344" s="232"/>
      <c r="CT344" s="371"/>
      <c r="CU344" s="300"/>
      <c r="CV344" s="246"/>
      <c r="CW344" s="264"/>
    </row>
    <row r="345" spans="1:101" x14ac:dyDescent="0.2">
      <c r="A345" s="264"/>
      <c r="B345" s="264"/>
      <c r="C345" s="202"/>
      <c r="D345" s="271">
        <v>8</v>
      </c>
      <c r="E345" s="167" t="s">
        <v>239</v>
      </c>
      <c r="F345" s="469">
        <v>2</v>
      </c>
      <c r="G345" s="474"/>
      <c r="H345" s="475">
        <v>1</v>
      </c>
      <c r="I345" s="389" t="str">
        <f t="shared" si="750"/>
        <v>x</v>
      </c>
      <c r="J345" s="390" t="str">
        <f t="shared" si="789"/>
        <v/>
      </c>
      <c r="K345" s="391" t="str">
        <f t="shared" si="751"/>
        <v/>
      </c>
      <c r="L345" s="299"/>
      <c r="M345" s="375"/>
      <c r="N345" s="379"/>
      <c r="O345" s="236"/>
      <c r="P345" s="236"/>
      <c r="Q345" s="483">
        <v>80</v>
      </c>
      <c r="R345" s="484">
        <v>10</v>
      </c>
      <c r="S345" s="485">
        <f t="shared" si="790"/>
        <v>10</v>
      </c>
      <c r="T345" s="371"/>
      <c r="U345" s="232">
        <f t="shared" si="752"/>
        <v>80</v>
      </c>
      <c r="V345" s="232" t="str">
        <f t="shared" si="753"/>
        <v/>
      </c>
      <c r="W345" s="232" t="str">
        <f t="shared" si="754"/>
        <v/>
      </c>
      <c r="X345" s="232">
        <f t="shared" si="791"/>
        <v>1</v>
      </c>
      <c r="Y345" s="371"/>
      <c r="Z345" s="497">
        <v>80</v>
      </c>
      <c r="AA345" s="498">
        <v>10</v>
      </c>
      <c r="AB345" s="485">
        <f t="shared" si="755"/>
        <v>10</v>
      </c>
      <c r="AC345" s="371"/>
      <c r="AD345" s="232">
        <f t="shared" si="756"/>
        <v>80</v>
      </c>
      <c r="AE345" s="232" t="str">
        <f t="shared" si="757"/>
        <v/>
      </c>
      <c r="AF345" s="232" t="str">
        <f t="shared" si="758"/>
        <v/>
      </c>
      <c r="AG345" s="232">
        <f t="shared" si="792"/>
        <v>1</v>
      </c>
      <c r="AH345" s="371"/>
      <c r="AI345" s="497">
        <v>80</v>
      </c>
      <c r="AJ345" s="498">
        <v>10</v>
      </c>
      <c r="AK345" s="485">
        <f t="shared" si="759"/>
        <v>10</v>
      </c>
      <c r="AL345" s="371"/>
      <c r="AM345" s="232">
        <f t="shared" si="760"/>
        <v>80</v>
      </c>
      <c r="AN345" s="232" t="str">
        <f t="shared" si="761"/>
        <v/>
      </c>
      <c r="AO345" s="232" t="str">
        <f t="shared" si="762"/>
        <v/>
      </c>
      <c r="AP345" s="232">
        <f t="shared" si="793"/>
        <v>1</v>
      </c>
      <c r="AQ345" s="371"/>
      <c r="AR345" s="497">
        <v>80</v>
      </c>
      <c r="AS345" s="498">
        <v>10</v>
      </c>
      <c r="AT345" s="485">
        <f t="shared" si="763"/>
        <v>10</v>
      </c>
      <c r="AU345" s="371"/>
      <c r="AV345" s="232">
        <f t="shared" si="764"/>
        <v>80</v>
      </c>
      <c r="AW345" s="232" t="str">
        <f t="shared" si="765"/>
        <v/>
      </c>
      <c r="AX345" s="232" t="str">
        <f t="shared" si="766"/>
        <v/>
      </c>
      <c r="AY345" s="232">
        <f t="shared" si="794"/>
        <v>1</v>
      </c>
      <c r="AZ345" s="371"/>
      <c r="BA345" s="497">
        <v>80</v>
      </c>
      <c r="BB345" s="498">
        <v>10</v>
      </c>
      <c r="BC345" s="485">
        <f t="shared" si="767"/>
        <v>10</v>
      </c>
      <c r="BD345" s="371"/>
      <c r="BE345" s="232">
        <f t="shared" si="768"/>
        <v>80</v>
      </c>
      <c r="BF345" s="232" t="str">
        <f t="shared" si="769"/>
        <v/>
      </c>
      <c r="BG345" s="232" t="str">
        <f t="shared" si="770"/>
        <v/>
      </c>
      <c r="BH345" s="232">
        <f t="shared" si="795"/>
        <v>1</v>
      </c>
      <c r="BI345" s="371"/>
      <c r="BJ345" s="497">
        <v>80</v>
      </c>
      <c r="BK345" s="498">
        <v>10</v>
      </c>
      <c r="BL345" s="485">
        <f t="shared" si="771"/>
        <v>10</v>
      </c>
      <c r="BM345" s="371"/>
      <c r="BN345" s="232">
        <f t="shared" si="772"/>
        <v>80</v>
      </c>
      <c r="BO345" s="232" t="str">
        <f t="shared" si="773"/>
        <v/>
      </c>
      <c r="BP345" s="232" t="str">
        <f t="shared" si="774"/>
        <v/>
      </c>
      <c r="BQ345" s="232">
        <f t="shared" si="796"/>
        <v>1</v>
      </c>
      <c r="BR345" s="371"/>
      <c r="BS345" s="497">
        <v>60</v>
      </c>
      <c r="BT345" s="498">
        <v>20</v>
      </c>
      <c r="BU345" s="485">
        <f t="shared" si="775"/>
        <v>20</v>
      </c>
      <c r="BV345" s="371"/>
      <c r="BW345" s="232">
        <f t="shared" si="776"/>
        <v>60</v>
      </c>
      <c r="BX345" s="232" t="str">
        <f t="shared" si="777"/>
        <v/>
      </c>
      <c r="BY345" s="232" t="str">
        <f t="shared" si="778"/>
        <v/>
      </c>
      <c r="BZ345" s="232">
        <f t="shared" si="797"/>
        <v>1</v>
      </c>
      <c r="CA345" s="371"/>
      <c r="CB345" s="504">
        <f t="shared" si="779"/>
        <v>80</v>
      </c>
      <c r="CC345" s="505">
        <f t="shared" si="780"/>
        <v>10</v>
      </c>
      <c r="CD345" s="506">
        <f t="shared" si="781"/>
        <v>10</v>
      </c>
      <c r="CE345" s="371"/>
      <c r="CF345" s="232">
        <f t="shared" si="782"/>
        <v>80</v>
      </c>
      <c r="CG345" s="232" t="str">
        <f t="shared" si="783"/>
        <v/>
      </c>
      <c r="CH345" s="232" t="str">
        <f t="shared" si="784"/>
        <v/>
      </c>
      <c r="CI345" s="232">
        <f t="shared" si="798"/>
        <v>1</v>
      </c>
      <c r="CJ345" s="232"/>
      <c r="CK345" s="497">
        <v>80</v>
      </c>
      <c r="CL345" s="498">
        <v>10</v>
      </c>
      <c r="CM345" s="485">
        <f t="shared" si="785"/>
        <v>10</v>
      </c>
      <c r="CN345" s="371"/>
      <c r="CO345" s="232">
        <f t="shared" si="786"/>
        <v>80</v>
      </c>
      <c r="CP345" s="232" t="str">
        <f t="shared" si="787"/>
        <v/>
      </c>
      <c r="CQ345" s="232" t="str">
        <f t="shared" si="788"/>
        <v/>
      </c>
      <c r="CR345" s="232">
        <f t="shared" si="799"/>
        <v>1</v>
      </c>
      <c r="CS345" s="232"/>
      <c r="CT345" s="371"/>
      <c r="CU345" s="300"/>
      <c r="CV345" s="246"/>
      <c r="CW345" s="264"/>
    </row>
    <row r="346" spans="1:101" ht="13.5" thickBot="1" x14ac:dyDescent="0.25">
      <c r="A346" s="264"/>
      <c r="B346" s="264"/>
      <c r="C346" s="202"/>
      <c r="D346" s="271">
        <v>9</v>
      </c>
      <c r="E346" s="168" t="s">
        <v>240</v>
      </c>
      <c r="F346" s="470">
        <v>2</v>
      </c>
      <c r="G346" s="476"/>
      <c r="H346" s="477">
        <v>2</v>
      </c>
      <c r="I346" s="392" t="str">
        <f t="shared" si="750"/>
        <v/>
      </c>
      <c r="J346" s="393" t="str">
        <f t="shared" si="789"/>
        <v>x</v>
      </c>
      <c r="K346" s="394" t="str">
        <f t="shared" si="751"/>
        <v/>
      </c>
      <c r="L346" s="299"/>
      <c r="M346" s="375"/>
      <c r="N346" s="379"/>
      <c r="O346" s="236"/>
      <c r="P346" s="236"/>
      <c r="Q346" s="489">
        <v>60</v>
      </c>
      <c r="R346" s="490">
        <v>20</v>
      </c>
      <c r="S346" s="491">
        <f t="shared" si="790"/>
        <v>20</v>
      </c>
      <c r="T346" s="371"/>
      <c r="U346" s="232" t="str">
        <f t="shared" si="752"/>
        <v/>
      </c>
      <c r="V346" s="232">
        <f t="shared" si="753"/>
        <v>20</v>
      </c>
      <c r="W346" s="232" t="str">
        <f t="shared" si="754"/>
        <v/>
      </c>
      <c r="X346" s="232" t="str">
        <f t="shared" si="791"/>
        <v/>
      </c>
      <c r="Y346" s="371"/>
      <c r="Z346" s="499">
        <v>80</v>
      </c>
      <c r="AA346" s="500">
        <v>10</v>
      </c>
      <c r="AB346" s="491">
        <f t="shared" si="755"/>
        <v>10</v>
      </c>
      <c r="AC346" s="371"/>
      <c r="AD346" s="232" t="str">
        <f t="shared" si="756"/>
        <v/>
      </c>
      <c r="AE346" s="232">
        <f t="shared" si="757"/>
        <v>10</v>
      </c>
      <c r="AF346" s="232" t="str">
        <f t="shared" si="758"/>
        <v/>
      </c>
      <c r="AG346" s="232" t="str">
        <f t="shared" si="792"/>
        <v/>
      </c>
      <c r="AH346" s="371"/>
      <c r="AI346" s="499">
        <v>60</v>
      </c>
      <c r="AJ346" s="500">
        <v>20</v>
      </c>
      <c r="AK346" s="491">
        <f t="shared" si="759"/>
        <v>20</v>
      </c>
      <c r="AL346" s="371"/>
      <c r="AM346" s="232" t="str">
        <f t="shared" si="760"/>
        <v/>
      </c>
      <c r="AN346" s="232">
        <f t="shared" si="761"/>
        <v>20</v>
      </c>
      <c r="AO346" s="232" t="str">
        <f t="shared" si="762"/>
        <v/>
      </c>
      <c r="AP346" s="232" t="str">
        <f t="shared" si="793"/>
        <v/>
      </c>
      <c r="AQ346" s="371"/>
      <c r="AR346" s="499">
        <v>60</v>
      </c>
      <c r="AS346" s="500">
        <v>30</v>
      </c>
      <c r="AT346" s="491">
        <f t="shared" si="763"/>
        <v>10</v>
      </c>
      <c r="AU346" s="371"/>
      <c r="AV346" s="232" t="str">
        <f t="shared" si="764"/>
        <v/>
      </c>
      <c r="AW346" s="232">
        <f t="shared" si="765"/>
        <v>30</v>
      </c>
      <c r="AX346" s="232" t="str">
        <f t="shared" si="766"/>
        <v/>
      </c>
      <c r="AY346" s="232" t="str">
        <f t="shared" si="794"/>
        <v/>
      </c>
      <c r="AZ346" s="371"/>
      <c r="BA346" s="499">
        <v>80</v>
      </c>
      <c r="BB346" s="500">
        <v>10</v>
      </c>
      <c r="BC346" s="491">
        <f t="shared" si="767"/>
        <v>10</v>
      </c>
      <c r="BD346" s="371"/>
      <c r="BE346" s="232" t="str">
        <f t="shared" si="768"/>
        <v/>
      </c>
      <c r="BF346" s="232">
        <f t="shared" si="769"/>
        <v>10</v>
      </c>
      <c r="BG346" s="232" t="str">
        <f t="shared" si="770"/>
        <v/>
      </c>
      <c r="BH346" s="232" t="str">
        <f t="shared" si="795"/>
        <v/>
      </c>
      <c r="BI346" s="371"/>
      <c r="BJ346" s="499">
        <v>80</v>
      </c>
      <c r="BK346" s="500">
        <v>10</v>
      </c>
      <c r="BL346" s="491">
        <f t="shared" si="771"/>
        <v>10</v>
      </c>
      <c r="BM346" s="371"/>
      <c r="BN346" s="232" t="str">
        <f t="shared" si="772"/>
        <v/>
      </c>
      <c r="BO346" s="232">
        <f t="shared" si="773"/>
        <v>10</v>
      </c>
      <c r="BP346" s="232" t="str">
        <f t="shared" si="774"/>
        <v/>
      </c>
      <c r="BQ346" s="232" t="str">
        <f t="shared" si="796"/>
        <v/>
      </c>
      <c r="BR346" s="371"/>
      <c r="BS346" s="499">
        <v>80</v>
      </c>
      <c r="BT346" s="500">
        <v>10</v>
      </c>
      <c r="BU346" s="491">
        <f t="shared" si="775"/>
        <v>10</v>
      </c>
      <c r="BV346" s="371"/>
      <c r="BW346" s="232" t="str">
        <f t="shared" si="776"/>
        <v/>
      </c>
      <c r="BX346" s="232">
        <f t="shared" si="777"/>
        <v>10</v>
      </c>
      <c r="BY346" s="232" t="str">
        <f t="shared" si="778"/>
        <v/>
      </c>
      <c r="BZ346" s="232" t="str">
        <f t="shared" si="797"/>
        <v/>
      </c>
      <c r="CA346" s="371"/>
      <c r="CB346" s="507">
        <f t="shared" si="779"/>
        <v>80</v>
      </c>
      <c r="CC346" s="508">
        <f t="shared" si="780"/>
        <v>10</v>
      </c>
      <c r="CD346" s="509">
        <f t="shared" si="781"/>
        <v>10</v>
      </c>
      <c r="CE346" s="371"/>
      <c r="CF346" s="232" t="str">
        <f t="shared" si="782"/>
        <v/>
      </c>
      <c r="CG346" s="232">
        <f t="shared" si="783"/>
        <v>10</v>
      </c>
      <c r="CH346" s="232" t="str">
        <f t="shared" si="784"/>
        <v/>
      </c>
      <c r="CI346" s="232" t="str">
        <f t="shared" si="798"/>
        <v/>
      </c>
      <c r="CJ346" s="232"/>
      <c r="CK346" s="499">
        <v>70</v>
      </c>
      <c r="CL346" s="500">
        <v>20</v>
      </c>
      <c r="CM346" s="491">
        <f t="shared" si="785"/>
        <v>10</v>
      </c>
      <c r="CN346" s="371"/>
      <c r="CO346" s="232" t="str">
        <f t="shared" si="786"/>
        <v/>
      </c>
      <c r="CP346" s="232">
        <f t="shared" si="787"/>
        <v>20</v>
      </c>
      <c r="CQ346" s="232" t="str">
        <f t="shared" si="788"/>
        <v/>
      </c>
      <c r="CR346" s="232" t="str">
        <f t="shared" si="799"/>
        <v/>
      </c>
      <c r="CS346" s="232"/>
      <c r="CT346" s="371"/>
      <c r="CU346" s="300"/>
      <c r="CV346" s="246"/>
      <c r="CW346" s="264"/>
    </row>
    <row r="347" spans="1:101" x14ac:dyDescent="0.2">
      <c r="A347" s="264"/>
      <c r="B347" s="264"/>
      <c r="C347" s="202"/>
      <c r="D347" s="271">
        <v>10</v>
      </c>
      <c r="E347" s="169" t="s">
        <v>241</v>
      </c>
      <c r="F347" s="471">
        <v>1</v>
      </c>
      <c r="G347" s="478"/>
      <c r="H347" s="479">
        <v>0</v>
      </c>
      <c r="I347" s="170" t="str">
        <f t="shared" si="750"/>
        <v>x</v>
      </c>
      <c r="J347" s="387" t="str">
        <f t="shared" si="789"/>
        <v/>
      </c>
      <c r="K347" s="388" t="str">
        <f t="shared" si="751"/>
        <v/>
      </c>
      <c r="L347" s="299"/>
      <c r="M347" s="375"/>
      <c r="N347" s="379"/>
      <c r="O347" s="236"/>
      <c r="P347" s="236"/>
      <c r="Q347" s="492">
        <v>30</v>
      </c>
      <c r="R347" s="493">
        <v>30</v>
      </c>
      <c r="S347" s="494">
        <f t="shared" si="790"/>
        <v>40</v>
      </c>
      <c r="T347" s="371"/>
      <c r="U347" s="232">
        <f t="shared" si="752"/>
        <v>30</v>
      </c>
      <c r="V347" s="232" t="str">
        <f t="shared" si="753"/>
        <v/>
      </c>
      <c r="W347" s="232" t="str">
        <f t="shared" si="754"/>
        <v/>
      </c>
      <c r="X347" s="232" t="str">
        <f t="shared" si="791"/>
        <v/>
      </c>
      <c r="Y347" s="371"/>
      <c r="Z347" s="495">
        <v>10</v>
      </c>
      <c r="AA347" s="496">
        <v>10</v>
      </c>
      <c r="AB347" s="494">
        <f t="shared" si="755"/>
        <v>80</v>
      </c>
      <c r="AC347" s="371"/>
      <c r="AD347" s="232">
        <f t="shared" si="756"/>
        <v>10</v>
      </c>
      <c r="AE347" s="232" t="str">
        <f t="shared" si="757"/>
        <v/>
      </c>
      <c r="AF347" s="232" t="str">
        <f t="shared" si="758"/>
        <v/>
      </c>
      <c r="AG347" s="232" t="str">
        <f t="shared" si="792"/>
        <v/>
      </c>
      <c r="AH347" s="371"/>
      <c r="AI347" s="495">
        <v>70</v>
      </c>
      <c r="AJ347" s="496">
        <v>20</v>
      </c>
      <c r="AK347" s="494">
        <f t="shared" si="759"/>
        <v>10</v>
      </c>
      <c r="AL347" s="371"/>
      <c r="AM347" s="232">
        <f t="shared" si="760"/>
        <v>70</v>
      </c>
      <c r="AN347" s="232" t="str">
        <f t="shared" si="761"/>
        <v/>
      </c>
      <c r="AO347" s="232" t="str">
        <f t="shared" si="762"/>
        <v/>
      </c>
      <c r="AP347" s="232">
        <f t="shared" si="793"/>
        <v>1</v>
      </c>
      <c r="AQ347" s="371"/>
      <c r="AR347" s="495">
        <v>20</v>
      </c>
      <c r="AS347" s="496">
        <v>20</v>
      </c>
      <c r="AT347" s="494">
        <f t="shared" si="763"/>
        <v>60</v>
      </c>
      <c r="AU347" s="371"/>
      <c r="AV347" s="232">
        <f t="shared" si="764"/>
        <v>20</v>
      </c>
      <c r="AW347" s="232" t="str">
        <f t="shared" si="765"/>
        <v/>
      </c>
      <c r="AX347" s="232" t="str">
        <f t="shared" si="766"/>
        <v/>
      </c>
      <c r="AY347" s="232" t="str">
        <f t="shared" si="794"/>
        <v/>
      </c>
      <c r="AZ347" s="371"/>
      <c r="BA347" s="495">
        <v>10</v>
      </c>
      <c r="BB347" s="496">
        <v>10</v>
      </c>
      <c r="BC347" s="494">
        <f t="shared" si="767"/>
        <v>80</v>
      </c>
      <c r="BD347" s="371"/>
      <c r="BE347" s="232">
        <f t="shared" si="768"/>
        <v>10</v>
      </c>
      <c r="BF347" s="232" t="str">
        <f t="shared" si="769"/>
        <v/>
      </c>
      <c r="BG347" s="232" t="str">
        <f t="shared" si="770"/>
        <v/>
      </c>
      <c r="BH347" s="232" t="str">
        <f t="shared" si="795"/>
        <v/>
      </c>
      <c r="BI347" s="371"/>
      <c r="BJ347" s="495">
        <v>20</v>
      </c>
      <c r="BK347" s="496">
        <v>40</v>
      </c>
      <c r="BL347" s="494">
        <f t="shared" si="771"/>
        <v>40</v>
      </c>
      <c r="BM347" s="371"/>
      <c r="BN347" s="232">
        <f t="shared" si="772"/>
        <v>20</v>
      </c>
      <c r="BO347" s="232" t="str">
        <f t="shared" si="773"/>
        <v/>
      </c>
      <c r="BP347" s="232" t="str">
        <f t="shared" si="774"/>
        <v/>
      </c>
      <c r="BQ347" s="232" t="str">
        <f t="shared" si="796"/>
        <v/>
      </c>
      <c r="BR347" s="371"/>
      <c r="BS347" s="495">
        <v>30</v>
      </c>
      <c r="BT347" s="496">
        <v>20</v>
      </c>
      <c r="BU347" s="494">
        <f t="shared" si="775"/>
        <v>50</v>
      </c>
      <c r="BV347" s="371"/>
      <c r="BW347" s="232">
        <f t="shared" si="776"/>
        <v>30</v>
      </c>
      <c r="BX347" s="232" t="str">
        <f t="shared" si="777"/>
        <v/>
      </c>
      <c r="BY347" s="232" t="str">
        <f t="shared" si="778"/>
        <v/>
      </c>
      <c r="BZ347" s="232" t="str">
        <f t="shared" si="797"/>
        <v/>
      </c>
      <c r="CA347" s="371"/>
      <c r="CB347" s="501">
        <f t="shared" si="779"/>
        <v>30</v>
      </c>
      <c r="CC347" s="502">
        <f t="shared" si="780"/>
        <v>20</v>
      </c>
      <c r="CD347" s="503">
        <f t="shared" si="781"/>
        <v>50</v>
      </c>
      <c r="CE347" s="371"/>
      <c r="CF347" s="232">
        <f t="shared" si="782"/>
        <v>30</v>
      </c>
      <c r="CG347" s="232" t="str">
        <f t="shared" si="783"/>
        <v/>
      </c>
      <c r="CH347" s="232" t="str">
        <f t="shared" si="784"/>
        <v/>
      </c>
      <c r="CI347" s="232" t="str">
        <f t="shared" si="798"/>
        <v/>
      </c>
      <c r="CJ347" s="232"/>
      <c r="CK347" s="495">
        <v>20</v>
      </c>
      <c r="CL347" s="496">
        <v>20</v>
      </c>
      <c r="CM347" s="494">
        <f t="shared" si="785"/>
        <v>60</v>
      </c>
      <c r="CN347" s="371"/>
      <c r="CO347" s="232">
        <f t="shared" si="786"/>
        <v>20</v>
      </c>
      <c r="CP347" s="232" t="str">
        <f t="shared" si="787"/>
        <v/>
      </c>
      <c r="CQ347" s="232" t="str">
        <f t="shared" si="788"/>
        <v/>
      </c>
      <c r="CR347" s="232" t="str">
        <f t="shared" si="799"/>
        <v/>
      </c>
      <c r="CS347" s="232"/>
      <c r="CT347" s="371"/>
      <c r="CU347" s="300"/>
      <c r="CV347" s="246"/>
      <c r="CW347" s="264"/>
    </row>
    <row r="348" spans="1:101" x14ac:dyDescent="0.2">
      <c r="A348" s="264"/>
      <c r="B348" s="264"/>
      <c r="C348" s="202"/>
      <c r="D348" s="271">
        <v>11</v>
      </c>
      <c r="E348" s="167" t="s">
        <v>242</v>
      </c>
      <c r="F348" s="469">
        <v>1</v>
      </c>
      <c r="G348" s="474"/>
      <c r="H348" s="475">
        <v>1</v>
      </c>
      <c r="I348" s="389" t="str">
        <f t="shared" si="750"/>
        <v/>
      </c>
      <c r="J348" s="390" t="str">
        <f t="shared" si="789"/>
        <v>x</v>
      </c>
      <c r="K348" s="391" t="str">
        <f t="shared" si="751"/>
        <v/>
      </c>
      <c r="L348" s="299"/>
      <c r="M348" s="375"/>
      <c r="N348" s="379"/>
      <c r="O348" s="236"/>
      <c r="P348" s="236"/>
      <c r="Q348" s="483">
        <v>20</v>
      </c>
      <c r="R348" s="484">
        <v>20</v>
      </c>
      <c r="S348" s="485">
        <f t="shared" si="790"/>
        <v>60</v>
      </c>
      <c r="T348" s="371"/>
      <c r="U348" s="232" t="str">
        <f t="shared" si="752"/>
        <v/>
      </c>
      <c r="V348" s="232">
        <f t="shared" si="753"/>
        <v>20</v>
      </c>
      <c r="W348" s="232" t="str">
        <f t="shared" si="754"/>
        <v/>
      </c>
      <c r="X348" s="232" t="str">
        <f t="shared" si="791"/>
        <v/>
      </c>
      <c r="Y348" s="371"/>
      <c r="Z348" s="497">
        <v>10</v>
      </c>
      <c r="AA348" s="498">
        <v>10</v>
      </c>
      <c r="AB348" s="485">
        <f t="shared" si="755"/>
        <v>80</v>
      </c>
      <c r="AC348" s="371"/>
      <c r="AD348" s="232" t="str">
        <f t="shared" si="756"/>
        <v/>
      </c>
      <c r="AE348" s="232">
        <f t="shared" si="757"/>
        <v>10</v>
      </c>
      <c r="AF348" s="232" t="str">
        <f t="shared" si="758"/>
        <v/>
      </c>
      <c r="AG348" s="232" t="str">
        <f t="shared" si="792"/>
        <v/>
      </c>
      <c r="AH348" s="371"/>
      <c r="AI348" s="497">
        <v>30</v>
      </c>
      <c r="AJ348" s="498">
        <v>30</v>
      </c>
      <c r="AK348" s="485">
        <f t="shared" si="759"/>
        <v>40</v>
      </c>
      <c r="AL348" s="371"/>
      <c r="AM348" s="232" t="str">
        <f t="shared" si="760"/>
        <v/>
      </c>
      <c r="AN348" s="232">
        <f t="shared" si="761"/>
        <v>30</v>
      </c>
      <c r="AO348" s="232" t="str">
        <f t="shared" si="762"/>
        <v/>
      </c>
      <c r="AP348" s="232" t="str">
        <f t="shared" si="793"/>
        <v/>
      </c>
      <c r="AQ348" s="371"/>
      <c r="AR348" s="497">
        <v>10</v>
      </c>
      <c r="AS348" s="498">
        <v>30</v>
      </c>
      <c r="AT348" s="485">
        <f t="shared" si="763"/>
        <v>60</v>
      </c>
      <c r="AU348" s="371"/>
      <c r="AV348" s="232" t="str">
        <f t="shared" si="764"/>
        <v/>
      </c>
      <c r="AW348" s="232">
        <f t="shared" si="765"/>
        <v>30</v>
      </c>
      <c r="AX348" s="232" t="str">
        <f t="shared" si="766"/>
        <v/>
      </c>
      <c r="AY348" s="232" t="str">
        <f t="shared" si="794"/>
        <v/>
      </c>
      <c r="AZ348" s="371"/>
      <c r="BA348" s="497">
        <v>80</v>
      </c>
      <c r="BB348" s="498">
        <v>10</v>
      </c>
      <c r="BC348" s="485">
        <f t="shared" si="767"/>
        <v>10</v>
      </c>
      <c r="BD348" s="371"/>
      <c r="BE348" s="232" t="str">
        <f t="shared" si="768"/>
        <v/>
      </c>
      <c r="BF348" s="232">
        <f t="shared" si="769"/>
        <v>10</v>
      </c>
      <c r="BG348" s="232" t="str">
        <f t="shared" si="770"/>
        <v/>
      </c>
      <c r="BH348" s="232" t="str">
        <f t="shared" si="795"/>
        <v/>
      </c>
      <c r="BI348" s="371"/>
      <c r="BJ348" s="497">
        <v>10</v>
      </c>
      <c r="BK348" s="498">
        <v>10</v>
      </c>
      <c r="BL348" s="485">
        <f t="shared" si="771"/>
        <v>80</v>
      </c>
      <c r="BM348" s="371"/>
      <c r="BN348" s="232" t="str">
        <f t="shared" si="772"/>
        <v/>
      </c>
      <c r="BO348" s="232">
        <f t="shared" si="773"/>
        <v>10</v>
      </c>
      <c r="BP348" s="232" t="str">
        <f t="shared" si="774"/>
        <v/>
      </c>
      <c r="BQ348" s="232" t="str">
        <f t="shared" si="796"/>
        <v/>
      </c>
      <c r="BR348" s="371"/>
      <c r="BS348" s="497">
        <v>50</v>
      </c>
      <c r="BT348" s="498">
        <v>10</v>
      </c>
      <c r="BU348" s="485">
        <f t="shared" si="775"/>
        <v>40</v>
      </c>
      <c r="BV348" s="371"/>
      <c r="BW348" s="232" t="str">
        <f t="shared" si="776"/>
        <v/>
      </c>
      <c r="BX348" s="232">
        <f t="shared" si="777"/>
        <v>10</v>
      </c>
      <c r="BY348" s="232" t="str">
        <f t="shared" si="778"/>
        <v/>
      </c>
      <c r="BZ348" s="232" t="str">
        <f t="shared" si="797"/>
        <v/>
      </c>
      <c r="CA348" s="371"/>
      <c r="CB348" s="504">
        <f t="shared" si="779"/>
        <v>30</v>
      </c>
      <c r="CC348" s="505">
        <f t="shared" si="780"/>
        <v>10</v>
      </c>
      <c r="CD348" s="506">
        <f t="shared" si="781"/>
        <v>60</v>
      </c>
      <c r="CE348" s="371"/>
      <c r="CF348" s="232" t="str">
        <f t="shared" si="782"/>
        <v/>
      </c>
      <c r="CG348" s="232">
        <f t="shared" si="783"/>
        <v>10</v>
      </c>
      <c r="CH348" s="232" t="str">
        <f t="shared" si="784"/>
        <v/>
      </c>
      <c r="CI348" s="232" t="str">
        <f t="shared" si="798"/>
        <v/>
      </c>
      <c r="CJ348" s="232"/>
      <c r="CK348" s="497">
        <v>10</v>
      </c>
      <c r="CL348" s="498">
        <v>10</v>
      </c>
      <c r="CM348" s="485">
        <f t="shared" si="785"/>
        <v>80</v>
      </c>
      <c r="CN348" s="371"/>
      <c r="CO348" s="232" t="str">
        <f t="shared" si="786"/>
        <v/>
      </c>
      <c r="CP348" s="232">
        <f t="shared" si="787"/>
        <v>10</v>
      </c>
      <c r="CQ348" s="232" t="str">
        <f t="shared" si="788"/>
        <v/>
      </c>
      <c r="CR348" s="232" t="str">
        <f t="shared" si="799"/>
        <v/>
      </c>
      <c r="CS348" s="232"/>
      <c r="CT348" s="371"/>
      <c r="CU348" s="300"/>
      <c r="CV348" s="246"/>
      <c r="CW348" s="264"/>
    </row>
    <row r="349" spans="1:101" ht="13.5" thickBot="1" x14ac:dyDescent="0.25">
      <c r="A349" s="264"/>
      <c r="B349" s="264"/>
      <c r="C349" s="202"/>
      <c r="D349" s="271">
        <v>12</v>
      </c>
      <c r="E349" s="168" t="s">
        <v>243</v>
      </c>
      <c r="F349" s="470">
        <v>3</v>
      </c>
      <c r="G349" s="476"/>
      <c r="H349" s="477">
        <v>1</v>
      </c>
      <c r="I349" s="392" t="str">
        <f t="shared" si="750"/>
        <v>x</v>
      </c>
      <c r="J349" s="393" t="str">
        <f t="shared" si="789"/>
        <v/>
      </c>
      <c r="K349" s="394" t="str">
        <f t="shared" si="751"/>
        <v/>
      </c>
      <c r="L349" s="299"/>
      <c r="M349" s="375"/>
      <c r="N349" s="379"/>
      <c r="O349" s="236"/>
      <c r="P349" s="236"/>
      <c r="Q349" s="489">
        <v>30</v>
      </c>
      <c r="R349" s="490">
        <v>30</v>
      </c>
      <c r="S349" s="491">
        <f t="shared" si="790"/>
        <v>40</v>
      </c>
      <c r="T349" s="371"/>
      <c r="U349" s="232">
        <f t="shared" si="752"/>
        <v>30</v>
      </c>
      <c r="V349" s="232" t="str">
        <f t="shared" si="753"/>
        <v/>
      </c>
      <c r="W349" s="232" t="str">
        <f t="shared" si="754"/>
        <v/>
      </c>
      <c r="X349" s="232" t="str">
        <f t="shared" si="791"/>
        <v/>
      </c>
      <c r="Y349" s="371"/>
      <c r="Z349" s="499">
        <v>50</v>
      </c>
      <c r="AA349" s="500">
        <v>10</v>
      </c>
      <c r="AB349" s="491">
        <f t="shared" si="755"/>
        <v>40</v>
      </c>
      <c r="AC349" s="371"/>
      <c r="AD349" s="232">
        <f t="shared" si="756"/>
        <v>50</v>
      </c>
      <c r="AE349" s="232" t="str">
        <f t="shared" si="757"/>
        <v/>
      </c>
      <c r="AF349" s="232" t="str">
        <f t="shared" si="758"/>
        <v/>
      </c>
      <c r="AG349" s="232">
        <f t="shared" si="792"/>
        <v>1</v>
      </c>
      <c r="AH349" s="371"/>
      <c r="AI349" s="499">
        <v>40</v>
      </c>
      <c r="AJ349" s="500">
        <v>50</v>
      </c>
      <c r="AK349" s="491">
        <f t="shared" si="759"/>
        <v>10</v>
      </c>
      <c r="AL349" s="371"/>
      <c r="AM349" s="232">
        <f t="shared" si="760"/>
        <v>40</v>
      </c>
      <c r="AN349" s="232" t="str">
        <f t="shared" si="761"/>
        <v/>
      </c>
      <c r="AO349" s="232" t="str">
        <f t="shared" si="762"/>
        <v/>
      </c>
      <c r="AP349" s="232" t="str">
        <f t="shared" si="793"/>
        <v/>
      </c>
      <c r="AQ349" s="371"/>
      <c r="AR349" s="499">
        <v>30</v>
      </c>
      <c r="AS349" s="500">
        <v>40</v>
      </c>
      <c r="AT349" s="491">
        <f t="shared" si="763"/>
        <v>30</v>
      </c>
      <c r="AU349" s="371"/>
      <c r="AV349" s="232">
        <f t="shared" si="764"/>
        <v>30</v>
      </c>
      <c r="AW349" s="232" t="str">
        <f t="shared" si="765"/>
        <v/>
      </c>
      <c r="AX349" s="232" t="str">
        <f t="shared" si="766"/>
        <v/>
      </c>
      <c r="AY349" s="232" t="str">
        <f t="shared" si="794"/>
        <v/>
      </c>
      <c r="AZ349" s="371"/>
      <c r="BA349" s="499">
        <v>80</v>
      </c>
      <c r="BB349" s="500">
        <v>10</v>
      </c>
      <c r="BC349" s="491">
        <f t="shared" si="767"/>
        <v>10</v>
      </c>
      <c r="BD349" s="371"/>
      <c r="BE349" s="232">
        <f t="shared" si="768"/>
        <v>80</v>
      </c>
      <c r="BF349" s="232" t="str">
        <f t="shared" si="769"/>
        <v/>
      </c>
      <c r="BG349" s="232" t="str">
        <f t="shared" si="770"/>
        <v/>
      </c>
      <c r="BH349" s="232">
        <f t="shared" si="795"/>
        <v>1</v>
      </c>
      <c r="BI349" s="371"/>
      <c r="BJ349" s="499">
        <v>30</v>
      </c>
      <c r="BK349" s="500">
        <v>40</v>
      </c>
      <c r="BL349" s="491">
        <f t="shared" si="771"/>
        <v>30</v>
      </c>
      <c r="BM349" s="371"/>
      <c r="BN349" s="232">
        <f t="shared" si="772"/>
        <v>30</v>
      </c>
      <c r="BO349" s="232" t="str">
        <f t="shared" si="773"/>
        <v/>
      </c>
      <c r="BP349" s="232" t="str">
        <f t="shared" si="774"/>
        <v/>
      </c>
      <c r="BQ349" s="232" t="str">
        <f t="shared" si="796"/>
        <v/>
      </c>
      <c r="BR349" s="371"/>
      <c r="BS349" s="499">
        <v>30</v>
      </c>
      <c r="BT349" s="500">
        <v>40</v>
      </c>
      <c r="BU349" s="491">
        <f t="shared" si="775"/>
        <v>30</v>
      </c>
      <c r="BV349" s="371"/>
      <c r="BW349" s="232">
        <f t="shared" si="776"/>
        <v>30</v>
      </c>
      <c r="BX349" s="232" t="str">
        <f t="shared" si="777"/>
        <v/>
      </c>
      <c r="BY349" s="232" t="str">
        <f t="shared" si="778"/>
        <v/>
      </c>
      <c r="BZ349" s="232" t="str">
        <f t="shared" si="797"/>
        <v/>
      </c>
      <c r="CA349" s="371"/>
      <c r="CB349" s="507">
        <f t="shared" si="779"/>
        <v>50</v>
      </c>
      <c r="CC349" s="508">
        <f t="shared" si="780"/>
        <v>30</v>
      </c>
      <c r="CD349" s="509">
        <f t="shared" si="781"/>
        <v>20</v>
      </c>
      <c r="CE349" s="371"/>
      <c r="CF349" s="232">
        <f t="shared" si="782"/>
        <v>50</v>
      </c>
      <c r="CG349" s="232" t="str">
        <f t="shared" si="783"/>
        <v/>
      </c>
      <c r="CH349" s="232" t="str">
        <f t="shared" si="784"/>
        <v/>
      </c>
      <c r="CI349" s="232">
        <f t="shared" si="798"/>
        <v>1</v>
      </c>
      <c r="CJ349" s="232"/>
      <c r="CK349" s="499">
        <v>50</v>
      </c>
      <c r="CL349" s="500">
        <v>10</v>
      </c>
      <c r="CM349" s="491">
        <f t="shared" si="785"/>
        <v>40</v>
      </c>
      <c r="CN349" s="371"/>
      <c r="CO349" s="232">
        <f t="shared" si="786"/>
        <v>50</v>
      </c>
      <c r="CP349" s="232" t="str">
        <f t="shared" si="787"/>
        <v/>
      </c>
      <c r="CQ349" s="232" t="str">
        <f t="shared" si="788"/>
        <v/>
      </c>
      <c r="CR349" s="232">
        <f t="shared" si="799"/>
        <v>1</v>
      </c>
      <c r="CS349" s="232"/>
      <c r="CT349" s="371"/>
      <c r="CU349" s="300"/>
      <c r="CV349" s="246"/>
      <c r="CW349" s="264"/>
    </row>
    <row r="350" spans="1:101" x14ac:dyDescent="0.2">
      <c r="A350" s="264"/>
      <c r="B350" s="264"/>
      <c r="C350" s="202"/>
      <c r="D350" s="272"/>
      <c r="E350" s="235"/>
      <c r="F350" s="395">
        <f>IF(SUM(F338:F349)=0,"",SUM(F338:F349))</f>
        <v>28</v>
      </c>
      <c r="G350" s="370" t="s">
        <v>49</v>
      </c>
      <c r="H350" s="396">
        <f>IF(SUM(H338:H349)=0,"",SUM(H338:H349))</f>
        <v>21</v>
      </c>
      <c r="I350" s="397">
        <f>IF(COUNTIF(I338:I349,"=x")=0,"",COUNTIF(I338:I349,"=x"))</f>
        <v>6</v>
      </c>
      <c r="J350" s="398">
        <f>IF(COUNTIF(J338:J349,"=x")=0,"",COUNTIF(J338:J349,"=x"))</f>
        <v>2</v>
      </c>
      <c r="K350" s="399">
        <f>IF(COUNTIF(K338:K349,"=x")=0,"",COUNTIF(K338:K349,"=x"))</f>
        <v>4</v>
      </c>
      <c r="L350" s="299"/>
      <c r="M350" s="375"/>
      <c r="N350" s="379"/>
      <c r="O350" s="236"/>
      <c r="P350" s="369"/>
      <c r="Q350" s="466">
        <f>SUM(U338:U349)</f>
        <v>300</v>
      </c>
      <c r="R350" s="466">
        <f>SUM(V338:V349)</f>
        <v>40</v>
      </c>
      <c r="S350" s="466">
        <f>SUM(W338:W349)</f>
        <v>230</v>
      </c>
      <c r="T350" s="368"/>
      <c r="U350" s="232"/>
      <c r="V350" s="232"/>
      <c r="W350" s="232"/>
      <c r="X350" s="232"/>
      <c r="Y350" s="367"/>
      <c r="Z350" s="466">
        <f>SUM(AD338:AD349)</f>
        <v>380</v>
      </c>
      <c r="AA350" s="466">
        <f>SUM(AE338:AE349)</f>
        <v>20</v>
      </c>
      <c r="AB350" s="466">
        <f>SUM(AF338:AF349)</f>
        <v>250</v>
      </c>
      <c r="AC350" s="368"/>
      <c r="AD350" s="232"/>
      <c r="AE350" s="232"/>
      <c r="AF350" s="232"/>
      <c r="AG350" s="232"/>
      <c r="AH350" s="367"/>
      <c r="AI350" s="466">
        <f>SUM(AM338:AM349)</f>
        <v>380</v>
      </c>
      <c r="AJ350" s="466">
        <f>SUM(AN338:AN349)</f>
        <v>50</v>
      </c>
      <c r="AK350" s="466">
        <f>SUM(AO338:AO349)</f>
        <v>210</v>
      </c>
      <c r="AL350" s="368"/>
      <c r="AM350" s="232"/>
      <c r="AN350" s="232"/>
      <c r="AO350" s="232"/>
      <c r="AP350" s="232"/>
      <c r="AQ350" s="367"/>
      <c r="AR350" s="466">
        <f>SUM(AV338:AV349)</f>
        <v>320</v>
      </c>
      <c r="AS350" s="466">
        <f>SUM(AW338:AW349)</f>
        <v>60</v>
      </c>
      <c r="AT350" s="466">
        <f>SUM(AX338:AX349)</f>
        <v>260</v>
      </c>
      <c r="AU350" s="368"/>
      <c r="AV350" s="232"/>
      <c r="AW350" s="232"/>
      <c r="AX350" s="232"/>
      <c r="AY350" s="232"/>
      <c r="AZ350" s="367"/>
      <c r="BA350" s="466">
        <f>SUM(BE338:BE349)</f>
        <v>410</v>
      </c>
      <c r="BB350" s="466">
        <f>SUM(BF338:BF349)</f>
        <v>20</v>
      </c>
      <c r="BC350" s="466">
        <f>SUM(BG338:BG349)</f>
        <v>250</v>
      </c>
      <c r="BD350" s="368"/>
      <c r="BE350" s="232"/>
      <c r="BF350" s="232"/>
      <c r="BG350" s="232"/>
      <c r="BH350" s="232"/>
      <c r="BI350" s="367"/>
      <c r="BJ350" s="466">
        <f>SUM(BN338:BN349)</f>
        <v>230</v>
      </c>
      <c r="BK350" s="466">
        <f>SUM(BO338:BO349)</f>
        <v>20</v>
      </c>
      <c r="BL350" s="466">
        <f>SUM(BP338:BP349)</f>
        <v>230</v>
      </c>
      <c r="BM350" s="368"/>
      <c r="BN350" s="232"/>
      <c r="BO350" s="232"/>
      <c r="BP350" s="232"/>
      <c r="BQ350" s="232"/>
      <c r="BR350" s="367"/>
      <c r="BS350" s="466">
        <f>SUM(BW338:BW349)</f>
        <v>260</v>
      </c>
      <c r="BT350" s="466">
        <f>SUM(BX338:BX349)</f>
        <v>20</v>
      </c>
      <c r="BU350" s="466">
        <f>SUM(BY338:BY349)</f>
        <v>170</v>
      </c>
      <c r="BV350" s="368"/>
      <c r="BW350" s="232"/>
      <c r="BX350" s="232"/>
      <c r="BY350" s="232"/>
      <c r="BZ350" s="232"/>
      <c r="CA350" s="369"/>
      <c r="CB350" s="466">
        <f>SUM(CF338:CF349)</f>
        <v>350</v>
      </c>
      <c r="CC350" s="466">
        <f>SUM(CG338:CG349)</f>
        <v>20</v>
      </c>
      <c r="CD350" s="466">
        <f>SUM(CH338:CH349)</f>
        <v>230</v>
      </c>
      <c r="CE350" s="368"/>
      <c r="CF350" s="232"/>
      <c r="CG350" s="232"/>
      <c r="CH350" s="232"/>
      <c r="CI350" s="232"/>
      <c r="CJ350" s="232"/>
      <c r="CK350" s="466">
        <f>SUM(CO338:CO349)</f>
        <v>370</v>
      </c>
      <c r="CL350" s="466">
        <f>SUM(CP338:CP349)</f>
        <v>30</v>
      </c>
      <c r="CM350" s="466">
        <f>SUM(CQ338:CQ349)</f>
        <v>220</v>
      </c>
      <c r="CN350" s="368"/>
      <c r="CO350" s="232"/>
      <c r="CP350" s="232"/>
      <c r="CQ350" s="232"/>
      <c r="CR350" s="232"/>
      <c r="CS350" s="232"/>
      <c r="CT350" s="232"/>
      <c r="CU350" s="300"/>
      <c r="CV350" s="246"/>
      <c r="CW350" s="265"/>
    </row>
    <row r="351" spans="1:101" ht="13.5" thickBot="1" x14ac:dyDescent="0.25">
      <c r="A351" s="264"/>
      <c r="B351" s="264"/>
      <c r="C351" s="202"/>
      <c r="D351" s="289"/>
      <c r="E351" s="282"/>
      <c r="F351" s="283"/>
      <c r="G351" s="282"/>
      <c r="H351" s="282"/>
      <c r="I351" s="282"/>
      <c r="J351" s="282"/>
      <c r="K351" s="282"/>
      <c r="L351" s="293"/>
      <c r="M351" s="301"/>
      <c r="N351" s="380"/>
      <c r="O351" s="376"/>
      <c r="P351" s="284"/>
      <c r="Q351" s="285"/>
      <c r="R351" s="285"/>
      <c r="S351" s="285"/>
      <c r="T351" s="286"/>
      <c r="U351" s="287"/>
      <c r="V351" s="287"/>
      <c r="W351" s="287"/>
      <c r="X351" s="287"/>
      <c r="Y351" s="284"/>
      <c r="Z351" s="285"/>
      <c r="AA351" s="285"/>
      <c r="AB351" s="285"/>
      <c r="AC351" s="286"/>
      <c r="AD351" s="287"/>
      <c r="AE351" s="287"/>
      <c r="AF351" s="287"/>
      <c r="AG351" s="288"/>
      <c r="AH351" s="284"/>
      <c r="AI351" s="285"/>
      <c r="AJ351" s="285"/>
      <c r="AK351" s="285"/>
      <c r="AL351" s="286"/>
      <c r="AM351" s="287"/>
      <c r="AN351" s="287"/>
      <c r="AO351" s="287"/>
      <c r="AP351" s="288"/>
      <c r="AQ351" s="284"/>
      <c r="AR351" s="285"/>
      <c r="AS351" s="285"/>
      <c r="AT351" s="285"/>
      <c r="AU351" s="286"/>
      <c r="AV351" s="287"/>
      <c r="AW351" s="287"/>
      <c r="AX351" s="287"/>
      <c r="AY351" s="288"/>
      <c r="AZ351" s="284"/>
      <c r="BA351" s="285"/>
      <c r="BB351" s="285"/>
      <c r="BC351" s="285"/>
      <c r="BD351" s="286"/>
      <c r="BE351" s="287"/>
      <c r="BF351" s="287"/>
      <c r="BG351" s="287"/>
      <c r="BH351" s="288"/>
      <c r="BI351" s="284"/>
      <c r="BJ351" s="284"/>
      <c r="BK351" s="284"/>
      <c r="BL351" s="284"/>
      <c r="BM351" s="284"/>
      <c r="BN351" s="284"/>
      <c r="BO351" s="284"/>
      <c r="BP351" s="284"/>
      <c r="BQ351" s="284"/>
      <c r="BR351" s="284"/>
      <c r="BS351" s="284"/>
      <c r="BT351" s="284"/>
      <c r="BU351" s="284"/>
      <c r="BV351" s="284"/>
      <c r="BW351" s="284"/>
      <c r="BX351" s="284"/>
      <c r="BY351" s="284"/>
      <c r="BZ351" s="284"/>
      <c r="CA351" s="284"/>
      <c r="CB351" s="284"/>
      <c r="CC351" s="284"/>
      <c r="CD351" s="284"/>
      <c r="CE351" s="284"/>
      <c r="CF351" s="284"/>
      <c r="CG351" s="284"/>
      <c r="CH351" s="284"/>
      <c r="CI351" s="284"/>
      <c r="CJ351" s="288"/>
      <c r="CK351" s="288"/>
      <c r="CL351" s="288"/>
      <c r="CM351" s="288"/>
      <c r="CN351" s="288"/>
      <c r="CO351" s="288"/>
      <c r="CP351" s="288"/>
      <c r="CQ351" s="288"/>
      <c r="CR351" s="288"/>
      <c r="CS351" s="288"/>
      <c r="CT351" s="282"/>
      <c r="CU351" s="294"/>
      <c r="CV351" s="246"/>
      <c r="CW351" s="265"/>
    </row>
    <row r="352" spans="1:101" ht="14.25" thickTop="1" thickBot="1" x14ac:dyDescent="0.25">
      <c r="A352" s="256"/>
      <c r="B352" s="256"/>
      <c r="C352" s="210"/>
      <c r="D352" s="211"/>
      <c r="E352" s="247"/>
      <c r="F352" s="248"/>
      <c r="G352" s="247"/>
      <c r="H352" s="247"/>
      <c r="I352" s="247"/>
      <c r="J352" s="247"/>
      <c r="K352" s="247"/>
      <c r="L352" s="249"/>
      <c r="M352" s="250"/>
      <c r="N352" s="250"/>
      <c r="O352" s="250"/>
      <c r="P352" s="250"/>
      <c r="Q352" s="247"/>
      <c r="R352" s="247"/>
      <c r="S352" s="247"/>
      <c r="T352" s="251"/>
      <c r="U352" s="252"/>
      <c r="V352" s="252"/>
      <c r="W352" s="252"/>
      <c r="X352" s="252"/>
      <c r="Y352" s="250"/>
      <c r="Z352" s="247"/>
      <c r="AA352" s="247"/>
      <c r="AB352" s="247"/>
      <c r="AC352" s="251"/>
      <c r="AD352" s="252"/>
      <c r="AE352" s="252"/>
      <c r="AF352" s="252"/>
      <c r="AG352" s="247"/>
      <c r="AH352" s="250"/>
      <c r="AI352" s="247"/>
      <c r="AJ352" s="247"/>
      <c r="AK352" s="247"/>
      <c r="AL352" s="251"/>
      <c r="AM352" s="252"/>
      <c r="AN352" s="252"/>
      <c r="AO352" s="252"/>
      <c r="AP352" s="253"/>
      <c r="AQ352" s="250"/>
      <c r="AR352" s="247"/>
      <c r="AS352" s="247"/>
      <c r="AT352" s="247"/>
      <c r="AU352" s="251"/>
      <c r="AV352" s="252"/>
      <c r="AW352" s="252"/>
      <c r="AX352" s="252"/>
      <c r="AY352" s="247"/>
      <c r="AZ352" s="250"/>
      <c r="BA352" s="247"/>
      <c r="BB352" s="247"/>
      <c r="BC352" s="247"/>
      <c r="BD352" s="251"/>
      <c r="BE352" s="252"/>
      <c r="BF352" s="252"/>
      <c r="BG352" s="252"/>
      <c r="BH352" s="247"/>
      <c r="BI352" s="250"/>
      <c r="BJ352" s="247"/>
      <c r="BK352" s="247"/>
      <c r="BL352" s="247"/>
      <c r="BM352" s="251"/>
      <c r="BN352" s="252"/>
      <c r="BO352" s="252"/>
      <c r="BP352" s="252"/>
      <c r="BQ352" s="247"/>
      <c r="BR352" s="212"/>
      <c r="BS352" s="247"/>
      <c r="BT352" s="247"/>
      <c r="BU352" s="247"/>
      <c r="BV352" s="250"/>
      <c r="BW352" s="252"/>
      <c r="BX352" s="252"/>
      <c r="BY352" s="252"/>
      <c r="BZ352" s="247"/>
      <c r="CA352" s="247"/>
      <c r="CB352" s="253"/>
      <c r="CC352" s="253"/>
      <c r="CD352" s="253"/>
      <c r="CE352" s="253"/>
      <c r="CF352" s="247"/>
      <c r="CG352" s="247"/>
      <c r="CH352" s="247"/>
      <c r="CI352" s="247"/>
      <c r="CJ352" s="247"/>
      <c r="CK352" s="247"/>
      <c r="CL352" s="247"/>
      <c r="CM352" s="247"/>
      <c r="CN352" s="247"/>
      <c r="CO352" s="247"/>
      <c r="CP352" s="247"/>
      <c r="CQ352" s="247"/>
      <c r="CR352" s="247"/>
      <c r="CS352" s="247"/>
      <c r="CT352" s="247"/>
      <c r="CU352" s="247"/>
      <c r="CV352" s="254"/>
      <c r="CW352" s="255"/>
    </row>
    <row r="353" spans="1:101" ht="14.25" thickTop="1" thickBot="1" x14ac:dyDescent="0.25">
      <c r="A353" s="255"/>
      <c r="B353" s="255"/>
      <c r="C353" s="255"/>
      <c r="D353" s="255"/>
      <c r="E353" s="255"/>
      <c r="F353" s="255"/>
      <c r="G353" s="255"/>
      <c r="H353" s="255"/>
      <c r="I353" s="255"/>
      <c r="J353" s="255"/>
      <c r="K353" s="255"/>
      <c r="L353" s="255"/>
      <c r="M353" s="255"/>
      <c r="N353" s="255"/>
      <c r="O353" s="255"/>
      <c r="P353" s="255"/>
      <c r="Q353" s="255"/>
      <c r="R353" s="255"/>
      <c r="S353" s="255"/>
      <c r="T353" s="255"/>
      <c r="U353" s="255"/>
      <c r="V353" s="255"/>
      <c r="W353" s="255"/>
      <c r="X353" s="255"/>
      <c r="Y353" s="255"/>
      <c r="Z353" s="255"/>
      <c r="AA353" s="255"/>
      <c r="AB353" s="255"/>
      <c r="AC353" s="255"/>
      <c r="AD353" s="255"/>
      <c r="AE353" s="255"/>
      <c r="AF353" s="255"/>
      <c r="AG353" s="255"/>
      <c r="AH353" s="255"/>
      <c r="AI353" s="255"/>
      <c r="AJ353" s="255"/>
      <c r="AK353" s="255"/>
      <c r="AL353" s="255"/>
      <c r="AM353" s="255"/>
      <c r="AN353" s="255"/>
      <c r="AO353" s="255"/>
      <c r="AP353" s="255"/>
      <c r="AQ353" s="255"/>
      <c r="AR353" s="255"/>
      <c r="AS353" s="255"/>
      <c r="AT353" s="255"/>
      <c r="AU353" s="255"/>
      <c r="AV353" s="255"/>
      <c r="AW353" s="255"/>
      <c r="AX353" s="255"/>
      <c r="AY353" s="255"/>
      <c r="AZ353" s="255"/>
      <c r="BA353" s="255"/>
      <c r="BB353" s="255"/>
      <c r="BC353" s="255"/>
      <c r="BD353" s="255"/>
      <c r="BE353" s="255"/>
      <c r="BF353" s="255"/>
      <c r="BG353" s="255"/>
      <c r="BH353" s="255"/>
      <c r="BI353" s="255"/>
      <c r="BJ353" s="255"/>
      <c r="BK353" s="255"/>
      <c r="BL353" s="255"/>
      <c r="BM353" s="255"/>
      <c r="BN353" s="255"/>
      <c r="BO353" s="255"/>
      <c r="BP353" s="255"/>
      <c r="BQ353" s="255"/>
      <c r="BR353" s="255"/>
      <c r="BS353" s="255"/>
      <c r="BT353" s="255"/>
      <c r="BU353" s="255"/>
      <c r="BV353" s="255"/>
      <c r="BW353" s="255"/>
      <c r="BX353" s="255"/>
      <c r="BY353" s="255"/>
      <c r="BZ353" s="255"/>
      <c r="CA353" s="255"/>
      <c r="CB353" s="436"/>
      <c r="CC353" s="436"/>
      <c r="CD353" s="436"/>
      <c r="CE353" s="436"/>
      <c r="CF353" s="255"/>
      <c r="CG353" s="255"/>
      <c r="CH353" s="255"/>
      <c r="CI353" s="255"/>
      <c r="CJ353" s="255"/>
      <c r="CK353" s="255"/>
      <c r="CL353" s="255"/>
      <c r="CM353" s="255"/>
      <c r="CN353" s="255"/>
      <c r="CO353" s="255"/>
      <c r="CP353" s="255"/>
      <c r="CQ353" s="255"/>
      <c r="CR353" s="255"/>
      <c r="CS353" s="255"/>
      <c r="CT353" s="255"/>
      <c r="CU353" s="255"/>
      <c r="CV353" s="255"/>
      <c r="CW353" s="255"/>
    </row>
    <row r="354" spans="1:101" ht="21" thickTop="1" x14ac:dyDescent="0.3">
      <c r="A354" s="256"/>
      <c r="B354" s="256"/>
      <c r="C354" s="190"/>
      <c r="D354" s="191"/>
      <c r="E354" s="866" t="str">
        <f>E2</f>
        <v>STPS 2026</v>
      </c>
      <c r="F354" s="267"/>
      <c r="G354" s="267"/>
      <c r="H354" s="267"/>
      <c r="I354" s="192"/>
      <c r="J354" s="192"/>
      <c r="K354" s="192"/>
      <c r="L354" s="193"/>
      <c r="M354" s="192"/>
      <c r="N354" s="192"/>
      <c r="O354" s="192"/>
      <c r="P354" s="194"/>
      <c r="Q354" s="192"/>
      <c r="R354" s="192"/>
      <c r="S354" s="192"/>
      <c r="T354" s="195"/>
      <c r="U354" s="196"/>
      <c r="V354" s="196"/>
      <c r="W354" s="196"/>
      <c r="X354" s="196"/>
      <c r="Y354" s="194"/>
      <c r="Z354" s="192"/>
      <c r="AA354" s="192"/>
      <c r="AB354" s="192"/>
      <c r="AC354" s="195"/>
      <c r="AD354" s="196"/>
      <c r="AE354" s="196"/>
      <c r="AF354" s="196"/>
      <c r="AG354" s="197"/>
      <c r="AH354" s="194"/>
      <c r="AI354" s="192"/>
      <c r="AJ354" s="237"/>
      <c r="AK354" s="237"/>
      <c r="AL354" s="198"/>
      <c r="AM354" s="238"/>
      <c r="AN354" s="238"/>
      <c r="AO354" s="238"/>
      <c r="AP354" s="197"/>
      <c r="AQ354" s="239"/>
      <c r="AR354" s="240"/>
      <c r="AS354" s="199"/>
      <c r="AT354" s="200"/>
      <c r="AU354" s="198"/>
      <c r="AV354" s="196"/>
      <c r="AW354" s="196"/>
      <c r="AX354" s="196"/>
      <c r="AY354" s="197"/>
      <c r="AZ354" s="239"/>
      <c r="BA354" s="240"/>
      <c r="BB354" s="200"/>
      <c r="BC354" s="237"/>
      <c r="BD354" s="241"/>
      <c r="BE354" s="196"/>
      <c r="BF354" s="196"/>
      <c r="BG354" s="196"/>
      <c r="BH354" s="197"/>
      <c r="BI354" s="242"/>
      <c r="BJ354" s="237"/>
      <c r="BK354" s="237"/>
      <c r="BL354" s="237"/>
      <c r="BM354" s="241"/>
      <c r="BN354" s="196"/>
      <c r="BO354" s="196"/>
      <c r="BP354" s="196"/>
      <c r="BQ354" s="197"/>
      <c r="BR354" s="201"/>
      <c r="BS354" s="237"/>
      <c r="BT354" s="237"/>
      <c r="BU354" s="237"/>
      <c r="BV354" s="242"/>
      <c r="BW354" s="237"/>
      <c r="BX354" s="237"/>
      <c r="BY354" s="237"/>
      <c r="BZ354" s="237"/>
      <c r="CA354" s="237"/>
      <c r="CB354" s="437"/>
      <c r="CC354" s="437"/>
      <c r="CD354" s="437"/>
      <c r="CE354" s="437"/>
      <c r="CF354" s="237"/>
      <c r="CG354" s="237"/>
      <c r="CH354" s="237"/>
      <c r="CI354" s="237"/>
      <c r="CJ354" s="197"/>
      <c r="CK354" s="197"/>
      <c r="CL354" s="197"/>
      <c r="CM354" s="197"/>
      <c r="CN354" s="197"/>
      <c r="CO354" s="197"/>
      <c r="CP354" s="197"/>
      <c r="CQ354" s="197"/>
      <c r="CR354" s="197"/>
      <c r="CS354" s="197"/>
      <c r="CT354" s="401"/>
      <c r="CU354" s="237"/>
      <c r="CV354" s="243"/>
      <c r="CW354" s="255"/>
    </row>
    <row r="355" spans="1:101" ht="13.5" thickBot="1" x14ac:dyDescent="0.25">
      <c r="A355" s="256"/>
      <c r="B355" s="256"/>
      <c r="C355" s="202"/>
      <c r="D355" s="188"/>
      <c r="E355" s="266" t="str">
        <f>E3</f>
        <v>Skorgen Tippelag</v>
      </c>
      <c r="F355" s="406"/>
      <c r="G355" s="406"/>
      <c r="H355" s="406"/>
      <c r="I355" s="406"/>
      <c r="J355" s="406"/>
      <c r="K355" s="406"/>
      <c r="L355" s="406"/>
      <c r="M355" s="406"/>
      <c r="N355" s="406"/>
      <c r="O355" s="406"/>
      <c r="P355" s="406"/>
      <c r="Q355" s="406"/>
      <c r="R355" s="406"/>
      <c r="S355" s="406"/>
      <c r="T355" s="406"/>
      <c r="U355" s="406"/>
      <c r="V355" s="406"/>
      <c r="W355" s="406"/>
      <c r="X355" s="406"/>
      <c r="Y355" s="406"/>
      <c r="Z355" s="406"/>
      <c r="AA355" s="406"/>
      <c r="AB355" s="406"/>
      <c r="AC355" s="406"/>
      <c r="AD355" s="406"/>
      <c r="AE355" s="406"/>
      <c r="AF355" s="406"/>
      <c r="AG355" s="406"/>
      <c r="AH355" s="406"/>
      <c r="AI355" s="406"/>
      <c r="AJ355" s="406"/>
      <c r="AK355" s="406"/>
      <c r="AL355" s="406"/>
      <c r="AM355" s="406"/>
      <c r="AN355" s="406"/>
      <c r="AO355" s="406"/>
      <c r="AP355" s="406"/>
      <c r="AQ355" s="406"/>
      <c r="AR355" s="406"/>
      <c r="AS355" s="406"/>
      <c r="AT355" s="406"/>
      <c r="AU355" s="406"/>
      <c r="AV355" s="406"/>
      <c r="AW355" s="406"/>
      <c r="AX355" s="406"/>
      <c r="AY355" s="406"/>
      <c r="AZ355" s="406"/>
      <c r="BA355" s="406"/>
      <c r="BB355" s="406"/>
      <c r="BC355" s="406"/>
      <c r="BD355" s="406"/>
      <c r="BE355" s="406"/>
      <c r="BF355" s="406"/>
      <c r="BG355" s="406"/>
      <c r="BH355" s="406"/>
      <c r="BI355" s="406"/>
      <c r="BJ355" s="406"/>
      <c r="BK355" s="406"/>
      <c r="BL355" s="406"/>
      <c r="BM355" s="406"/>
      <c r="BN355" s="406"/>
      <c r="BO355" s="406"/>
      <c r="BP355" s="406"/>
      <c r="BQ355" s="406"/>
      <c r="BR355" s="406"/>
      <c r="BS355" s="406"/>
      <c r="BT355" s="406"/>
      <c r="BU355" s="406"/>
      <c r="BV355" s="406"/>
      <c r="BW355" s="406"/>
      <c r="BX355" s="406"/>
      <c r="BY355" s="406"/>
      <c r="BZ355" s="406"/>
      <c r="CA355" s="406"/>
      <c r="CB355" s="438"/>
      <c r="CC355" s="438"/>
      <c r="CD355" s="438"/>
      <c r="CE355" s="438"/>
      <c r="CF355" s="406"/>
      <c r="CG355" s="406"/>
      <c r="CH355" s="406"/>
      <c r="CI355" s="406"/>
      <c r="CJ355" s="406"/>
      <c r="CK355" s="406"/>
      <c r="CL355" s="406"/>
      <c r="CM355" s="406"/>
      <c r="CN355" s="366"/>
      <c r="CO355" s="366"/>
      <c r="CP355" s="366"/>
      <c r="CQ355" s="366"/>
      <c r="CR355" s="366"/>
      <c r="CS355" s="366"/>
      <c r="CT355" s="187"/>
      <c r="CU355" s="310"/>
      <c r="CV355" s="246"/>
      <c r="CW355" s="255"/>
    </row>
    <row r="356" spans="1:101" ht="18.75" thickTop="1" x14ac:dyDescent="0.2">
      <c r="A356" s="256"/>
      <c r="B356" s="256"/>
      <c r="C356" s="209"/>
      <c r="D356" s="290"/>
      <c r="E356" s="273"/>
      <c r="F356" s="274"/>
      <c r="G356" s="273"/>
      <c r="H356" s="273"/>
      <c r="I356" s="803" t="s">
        <v>39</v>
      </c>
      <c r="J356" s="805"/>
      <c r="K356" s="805"/>
      <c r="L356" s="291"/>
      <c r="M356" s="302"/>
      <c r="N356" s="242"/>
      <c r="O356" s="275"/>
      <c r="P356" s="275"/>
      <c r="Q356" s="808">
        <f>IF($F360="","",SUM(Q372:S372)-S358)</f>
        <v>430</v>
      </c>
      <c r="R356" s="808"/>
      <c r="S356" s="808"/>
      <c r="T356" s="276"/>
      <c r="U356" s="277"/>
      <c r="V356" s="277"/>
      <c r="W356" s="277"/>
      <c r="X356" s="277"/>
      <c r="Y356" s="275"/>
      <c r="Z356" s="808">
        <f>IF($F360="","",SUM(Z372:AB372)-AB358)</f>
        <v>260</v>
      </c>
      <c r="AA356" s="808"/>
      <c r="AB356" s="808"/>
      <c r="AC356" s="276"/>
      <c r="AD356" s="277"/>
      <c r="AE356" s="277"/>
      <c r="AF356" s="277"/>
      <c r="AG356" s="273"/>
      <c r="AH356" s="275"/>
      <c r="AI356" s="808">
        <f>IF($F360="","",SUM(AI372:AK372)-AK358)</f>
        <v>410</v>
      </c>
      <c r="AJ356" s="808"/>
      <c r="AK356" s="808"/>
      <c r="AL356" s="276"/>
      <c r="AM356" s="277"/>
      <c r="AN356" s="277"/>
      <c r="AO356" s="277"/>
      <c r="AP356" s="273"/>
      <c r="AQ356" s="275"/>
      <c r="AR356" s="808">
        <f>IF($F360="","",SUM(AR372:AT372)-AT358)</f>
        <v>210</v>
      </c>
      <c r="AS356" s="808"/>
      <c r="AT356" s="808"/>
      <c r="AU356" s="278"/>
      <c r="AV356" s="277"/>
      <c r="AW356" s="277"/>
      <c r="AX356" s="277"/>
      <c r="AY356" s="279"/>
      <c r="AZ356" s="280"/>
      <c r="BA356" s="808">
        <f>IF($F360="","",SUM(BA372:BC372)-BC358)</f>
        <v>500</v>
      </c>
      <c r="BB356" s="808"/>
      <c r="BC356" s="808"/>
      <c r="BD356" s="278"/>
      <c r="BE356" s="277"/>
      <c r="BF356" s="277"/>
      <c r="BG356" s="277"/>
      <c r="BH356" s="279"/>
      <c r="BI356" s="280"/>
      <c r="BJ356" s="808">
        <f>IF($F360="","",SUM(BJ372:BL372)-BL358)</f>
        <v>320</v>
      </c>
      <c r="BK356" s="808"/>
      <c r="BL356" s="808"/>
      <c r="BM356" s="278"/>
      <c r="BN356" s="277"/>
      <c r="BO356" s="277"/>
      <c r="BP356" s="277"/>
      <c r="BQ356" s="279"/>
      <c r="BR356" s="281"/>
      <c r="BS356" s="808">
        <f>IF($F360="","",SUM(BS372:BU372)-BU358)</f>
        <v>300</v>
      </c>
      <c r="BT356" s="808"/>
      <c r="BU356" s="808"/>
      <c r="BV356" s="280"/>
      <c r="BW356" s="279"/>
      <c r="BX356" s="279"/>
      <c r="BY356" s="279"/>
      <c r="BZ356" s="279"/>
      <c r="CA356" s="281"/>
      <c r="CB356" s="808">
        <f>IF($F360="","",SUM(CB372:CD372)-CD358)</f>
        <v>340</v>
      </c>
      <c r="CC356" s="808"/>
      <c r="CD356" s="808"/>
      <c r="CE356" s="280"/>
      <c r="CF356" s="279"/>
      <c r="CG356" s="279"/>
      <c r="CH356" s="279"/>
      <c r="CI356" s="279"/>
      <c r="CJ356" s="273"/>
      <c r="CK356" s="808">
        <f>IF($F360="","",SUM(CK372:CM372))</f>
        <v>430</v>
      </c>
      <c r="CL356" s="808"/>
      <c r="CM356" s="808"/>
      <c r="CN356" s="280"/>
      <c r="CO356" s="279"/>
      <c r="CP356" s="279"/>
      <c r="CQ356" s="279"/>
      <c r="CR356" s="273"/>
      <c r="CS356" s="273"/>
      <c r="CT356" s="273"/>
      <c r="CU356" s="292"/>
      <c r="CV356" s="246"/>
      <c r="CW356" s="255"/>
    </row>
    <row r="357" spans="1:101" x14ac:dyDescent="0.2">
      <c r="A357" s="256"/>
      <c r="B357" s="256"/>
      <c r="C357" s="209"/>
      <c r="D357" s="916">
        <v>3</v>
      </c>
      <c r="E357" s="588">
        <f>IF(D357="","",DATE($D$3,1,1)+(D357-1)*7+(6-WEEKDAY(DATE($D$3,1,1),2)))</f>
        <v>46039</v>
      </c>
      <c r="F357" s="213"/>
      <c r="G357" s="214"/>
      <c r="H357" s="214"/>
      <c r="I357" s="804">
        <f>IF(ISERROR(AVERAGE(Q356,Z356,AI356,AR356,BA356,BJ356,BS356,CB356,CK356)),"",AVERAGE(Q356,Z356,AI356,AR356,BA356,BJ356,BS356,CB356,CK356))</f>
        <v>355.55555555555554</v>
      </c>
      <c r="J357" s="806"/>
      <c r="K357" s="806"/>
      <c r="L357" s="295"/>
      <c r="M357" s="372"/>
      <c r="N357" s="245"/>
      <c r="O357" s="215"/>
      <c r="P357" s="215"/>
      <c r="Q357" s="710">
        <f>IF(Q356="","",Q356/Data!$X$1)</f>
        <v>0.35833333333333334</v>
      </c>
      <c r="R357" s="710"/>
      <c r="S357" s="711">
        <f>IF(SUM(X360:X371)=0,"",SUM(X360:X371))</f>
        <v>3</v>
      </c>
      <c r="T357" s="216"/>
      <c r="U357" s="217"/>
      <c r="V357" s="217"/>
      <c r="W357" s="217"/>
      <c r="X357" s="217"/>
      <c r="Y357" s="215"/>
      <c r="Z357" s="710">
        <f>IF(Z356="","",Z356/Data!$X$1)</f>
        <v>0.21666666666666667</v>
      </c>
      <c r="AA357" s="710"/>
      <c r="AB357" s="711">
        <f>IF(SUM(AG360:AG371)=0,"",SUM(AG360:AG371))</f>
        <v>2</v>
      </c>
      <c r="AC357" s="216"/>
      <c r="AD357" s="217"/>
      <c r="AE357" s="217"/>
      <c r="AF357" s="217"/>
      <c r="AG357" s="217"/>
      <c r="AH357" s="215"/>
      <c r="AI357" s="710">
        <f>IF(AI356="","",AI356/Data!$X$1)</f>
        <v>0.34166666666666667</v>
      </c>
      <c r="AJ357" s="710"/>
      <c r="AK357" s="711">
        <f>IF(SUM(AP360:AP371)=0,"",SUM(AP360:AP371))</f>
        <v>6</v>
      </c>
      <c r="AL357" s="216"/>
      <c r="AM357" s="217"/>
      <c r="AN357" s="217"/>
      <c r="AO357" s="217"/>
      <c r="AP357" s="217"/>
      <c r="AQ357" s="215"/>
      <c r="AR357" s="710">
        <f>IF(AR356="","",AR356/Data!$X$1)</f>
        <v>0.17499999999999999</v>
      </c>
      <c r="AS357" s="710"/>
      <c r="AT357" s="711" t="str">
        <f>IF(SUM(AY360:AY371)=0,"",SUM(AY360:AY371))</f>
        <v/>
      </c>
      <c r="AU357" s="218"/>
      <c r="AV357" s="217"/>
      <c r="AW357" s="217"/>
      <c r="AX357" s="217"/>
      <c r="AY357" s="217"/>
      <c r="AZ357" s="219"/>
      <c r="BA357" s="710">
        <f>IF(BA356="","",BA356/Data!$X$1)</f>
        <v>0.41666666666666669</v>
      </c>
      <c r="BB357" s="710"/>
      <c r="BC357" s="711">
        <f>IF(SUM(BH360:BH371)=0,"",SUM(BH360:BH371))</f>
        <v>5</v>
      </c>
      <c r="BD357" s="218"/>
      <c r="BE357" s="217"/>
      <c r="BF357" s="217"/>
      <c r="BG357" s="217"/>
      <c r="BH357" s="217"/>
      <c r="BI357" s="219"/>
      <c r="BJ357" s="710">
        <f>IF(BJ356="","",BJ356/Data!$X$1)</f>
        <v>0.26666666666666666</v>
      </c>
      <c r="BK357" s="710"/>
      <c r="BL357" s="711">
        <f>IF(SUM(BQ360:BQ371)=0,"",SUM(BQ360:BQ371))</f>
        <v>3</v>
      </c>
      <c r="BM357" s="218"/>
      <c r="BN357" s="217"/>
      <c r="BO357" s="217"/>
      <c r="BP357" s="217"/>
      <c r="BQ357" s="217"/>
      <c r="BR357" s="220"/>
      <c r="BS357" s="710">
        <f>IF(BS356="","",BS356/Data!$X$1)</f>
        <v>0.25</v>
      </c>
      <c r="BT357" s="710"/>
      <c r="BU357" s="711">
        <f>IF(SUM(BZ360:BZ371)=0,"",SUM(BZ360:BZ371))</f>
        <v>4</v>
      </c>
      <c r="BV357" s="219"/>
      <c r="BW357" s="217"/>
      <c r="BX357" s="217"/>
      <c r="BY357" s="217"/>
      <c r="BZ357" s="217"/>
      <c r="CA357" s="220"/>
      <c r="CB357" s="710">
        <f>IF(CB356="","",CB356/Data!$X$1)</f>
        <v>0.28333333333333333</v>
      </c>
      <c r="CC357" s="710"/>
      <c r="CD357" s="711">
        <f>IF(SUM(CI360:CI371)=0,"",SUM(CI360:CI371))</f>
        <v>4</v>
      </c>
      <c r="CE357" s="219"/>
      <c r="CF357" s="217"/>
      <c r="CG357" s="217"/>
      <c r="CH357" s="217"/>
      <c r="CI357" s="217"/>
      <c r="CJ357" s="217"/>
      <c r="CK357" s="710">
        <f>IF(CK356="","",CK356/Data!$X$1)</f>
        <v>0.35833333333333334</v>
      </c>
      <c r="CL357" s="710"/>
      <c r="CM357" s="711">
        <f>IF(SUM(CR360:CR371)=0,"",SUM(CR360:CR371))</f>
        <v>6</v>
      </c>
      <c r="CN357" s="219"/>
      <c r="CO357" s="217"/>
      <c r="CP357" s="217"/>
      <c r="CQ357" s="217"/>
      <c r="CR357" s="217"/>
      <c r="CS357" s="217"/>
      <c r="CT357" s="217"/>
      <c r="CU357" s="296"/>
      <c r="CV357" s="246"/>
      <c r="CW357" s="255"/>
    </row>
    <row r="358" spans="1:101" ht="13.5" thickBot="1" x14ac:dyDescent="0.25">
      <c r="A358" s="256"/>
      <c r="B358" s="256"/>
      <c r="C358" s="209"/>
      <c r="D358" s="269">
        <f>D336+1</f>
        <v>17</v>
      </c>
      <c r="E358" s="402" t="str">
        <f>IF(E357="","Sett inn dato over her",TEXT(E357,"dddd"))</f>
        <v>lørdag</v>
      </c>
      <c r="F358" s="221"/>
      <c r="G358" s="222"/>
      <c r="H358" s="222"/>
      <c r="I358" s="802"/>
      <c r="J358" s="807"/>
      <c r="K358" s="807"/>
      <c r="L358" s="297"/>
      <c r="M358" s="373"/>
      <c r="N358" s="377"/>
      <c r="O358" s="222"/>
      <c r="P358" s="222"/>
      <c r="Q358" s="385" t="str">
        <f>Data!$E$11</f>
        <v>AHH</v>
      </c>
      <c r="R358" s="386">
        <f>IF($F371="","",RANK(Q356,$Q356:$CL356))</f>
        <v>2</v>
      </c>
      <c r="S358" s="510"/>
      <c r="T358" s="216">
        <v>0</v>
      </c>
      <c r="U358" s="217"/>
      <c r="V358" s="217"/>
      <c r="W358" s="217"/>
      <c r="X358" s="217"/>
      <c r="Y358" s="215"/>
      <c r="Z358" s="385" t="str">
        <f>Data!$E$12</f>
        <v>RB</v>
      </c>
      <c r="AA358" s="386">
        <f>IF($F371="","",RANK(Z356,$Q356:$CL356))</f>
        <v>8</v>
      </c>
      <c r="AB358" s="510"/>
      <c r="AC358" s="216"/>
      <c r="AD358" s="217"/>
      <c r="AE358" s="217"/>
      <c r="AF358" s="217"/>
      <c r="AG358" s="217"/>
      <c r="AH358" s="215"/>
      <c r="AI358" s="385" t="str">
        <f>Data!$E$13</f>
        <v>EB</v>
      </c>
      <c r="AJ358" s="386">
        <f>IF($F371="","",RANK(AI356,$Q356:$CL356))</f>
        <v>4</v>
      </c>
      <c r="AK358" s="510"/>
      <c r="AL358" s="216"/>
      <c r="AM358" s="217"/>
      <c r="AN358" s="217"/>
      <c r="AO358" s="217"/>
      <c r="AP358" s="217"/>
      <c r="AQ358" s="215"/>
      <c r="AR358" s="346" t="str">
        <f>Data!$E$14</f>
        <v>KAF</v>
      </c>
      <c r="AS358" s="386">
        <f>IF($F371="","",RANK(AR356,$Q356:$CL356))</f>
        <v>9</v>
      </c>
      <c r="AT358" s="510"/>
      <c r="AU358" s="216"/>
      <c r="AV358" s="217"/>
      <c r="AW358" s="217"/>
      <c r="AX358" s="217"/>
      <c r="AY358" s="217"/>
      <c r="AZ358" s="215"/>
      <c r="BA358" s="346" t="str">
        <f>Data!$E$15</f>
        <v>ØG</v>
      </c>
      <c r="BB358" s="386">
        <f>IF($F371="","",RANK(BA356,$Q356:$CL356))</f>
        <v>1</v>
      </c>
      <c r="BC358" s="510"/>
      <c r="BD358" s="216"/>
      <c r="BE358" s="217"/>
      <c r="BF358" s="217"/>
      <c r="BG358" s="217"/>
      <c r="BH358" s="217"/>
      <c r="BI358" s="215"/>
      <c r="BJ358" s="346" t="str">
        <f>Data!$E$16</f>
        <v>JH</v>
      </c>
      <c r="BK358" s="386">
        <f>IF($F371="","",RANK(BJ356,$Q356:$CL356))</f>
        <v>6</v>
      </c>
      <c r="BL358" s="510"/>
      <c r="BM358" s="216"/>
      <c r="BN358" s="217"/>
      <c r="BO358" s="217"/>
      <c r="BP358" s="217"/>
      <c r="BQ358" s="217"/>
      <c r="BR358" s="223"/>
      <c r="BS358" s="346" t="str">
        <f>Data!$E$17</f>
        <v>TOH</v>
      </c>
      <c r="BT358" s="386">
        <f>IF($F371="","",RANK(BS356,$Q356:$CL356))</f>
        <v>7</v>
      </c>
      <c r="BU358" s="510">
        <v>50</v>
      </c>
      <c r="BV358" s="215"/>
      <c r="BW358" s="217"/>
      <c r="BX358" s="217"/>
      <c r="BY358" s="217"/>
      <c r="BZ358" s="217"/>
      <c r="CA358" s="223"/>
      <c r="CB358" s="346" t="s">
        <v>26</v>
      </c>
      <c r="CC358" s="386">
        <f>IF($F371="","",RANK(CB356,$Q356:$CM356))</f>
        <v>5</v>
      </c>
      <c r="CD358" s="511"/>
      <c r="CE358" s="215"/>
      <c r="CF358" s="217"/>
      <c r="CG358" s="217"/>
      <c r="CH358" s="217"/>
      <c r="CI358" s="217"/>
      <c r="CJ358" s="217"/>
      <c r="CK358" s="346" t="s">
        <v>27</v>
      </c>
      <c r="CL358" s="386">
        <f>IF($F371="","",RANK(CK356,$Q356:$CM356))</f>
        <v>2</v>
      </c>
      <c r="CM358" s="798"/>
      <c r="CN358" s="215"/>
      <c r="CO358" s="217"/>
      <c r="CP358" s="217"/>
      <c r="CQ358" s="217"/>
      <c r="CR358" s="217"/>
      <c r="CS358" s="217"/>
      <c r="CT358" s="217"/>
      <c r="CU358" s="296"/>
      <c r="CV358" s="246"/>
      <c r="CW358" s="255"/>
    </row>
    <row r="359" spans="1:101" ht="13.5" thickBot="1" x14ac:dyDescent="0.25">
      <c r="A359" s="264"/>
      <c r="B359" s="264"/>
      <c r="C359" s="202"/>
      <c r="D359" s="270"/>
      <c r="E359" s="224"/>
      <c r="F359" s="225"/>
      <c r="G359" s="226"/>
      <c r="H359" s="226"/>
      <c r="I359" s="227" t="s">
        <v>45</v>
      </c>
      <c r="J359" s="228" t="s">
        <v>46</v>
      </c>
      <c r="K359" s="229" t="s">
        <v>47</v>
      </c>
      <c r="L359" s="298"/>
      <c r="M359" s="374"/>
      <c r="N359" s="378"/>
      <c r="O359" s="230"/>
      <c r="P359" s="230"/>
      <c r="Q359" s="227" t="s">
        <v>45</v>
      </c>
      <c r="R359" s="228" t="s">
        <v>46</v>
      </c>
      <c r="S359" s="229" t="s">
        <v>47</v>
      </c>
      <c r="T359" s="231"/>
      <c r="U359" s="232"/>
      <c r="V359" s="232"/>
      <c r="W359" s="232"/>
      <c r="X359" s="232"/>
      <c r="Y359" s="230"/>
      <c r="Z359" s="227" t="s">
        <v>45</v>
      </c>
      <c r="AA359" s="228" t="s">
        <v>46</v>
      </c>
      <c r="AB359" s="229" t="s">
        <v>47</v>
      </c>
      <c r="AC359" s="231"/>
      <c r="AD359" s="232"/>
      <c r="AE359" s="232"/>
      <c r="AF359" s="232"/>
      <c r="AG359" s="232"/>
      <c r="AH359" s="230"/>
      <c r="AI359" s="227" t="s">
        <v>45</v>
      </c>
      <c r="AJ359" s="228" t="s">
        <v>46</v>
      </c>
      <c r="AK359" s="229" t="s">
        <v>47</v>
      </c>
      <c r="AL359" s="231"/>
      <c r="AM359" s="232"/>
      <c r="AN359" s="232"/>
      <c r="AO359" s="232"/>
      <c r="AP359" s="232"/>
      <c r="AQ359" s="230"/>
      <c r="AR359" s="227" t="s">
        <v>45</v>
      </c>
      <c r="AS359" s="228" t="s">
        <v>46</v>
      </c>
      <c r="AT359" s="229" t="s">
        <v>47</v>
      </c>
      <c r="AU359" s="231"/>
      <c r="AV359" s="232"/>
      <c r="AW359" s="232"/>
      <c r="AX359" s="232"/>
      <c r="AY359" s="232"/>
      <c r="AZ359" s="230"/>
      <c r="BA359" s="227" t="s">
        <v>45</v>
      </c>
      <c r="BB359" s="228" t="s">
        <v>46</v>
      </c>
      <c r="BC359" s="229" t="s">
        <v>47</v>
      </c>
      <c r="BD359" s="231"/>
      <c r="BE359" s="232"/>
      <c r="BF359" s="232"/>
      <c r="BG359" s="232"/>
      <c r="BH359" s="232"/>
      <c r="BI359" s="230"/>
      <c r="BJ359" s="227" t="s">
        <v>45</v>
      </c>
      <c r="BK359" s="228" t="s">
        <v>46</v>
      </c>
      <c r="BL359" s="229" t="s">
        <v>47</v>
      </c>
      <c r="BM359" s="231"/>
      <c r="BN359" s="232"/>
      <c r="BO359" s="232"/>
      <c r="BP359" s="232"/>
      <c r="BQ359" s="232"/>
      <c r="BR359" s="230"/>
      <c r="BS359" s="227" t="s">
        <v>45</v>
      </c>
      <c r="BT359" s="228" t="s">
        <v>46</v>
      </c>
      <c r="BU359" s="229" t="s">
        <v>47</v>
      </c>
      <c r="BV359" s="231"/>
      <c r="BW359" s="232"/>
      <c r="BX359" s="232"/>
      <c r="BY359" s="232"/>
      <c r="BZ359" s="233"/>
      <c r="CA359" s="230"/>
      <c r="CB359" s="227" t="s">
        <v>45</v>
      </c>
      <c r="CC359" s="228" t="s">
        <v>46</v>
      </c>
      <c r="CD359" s="229" t="s">
        <v>47</v>
      </c>
      <c r="CE359" s="231"/>
      <c r="CF359" s="232"/>
      <c r="CG359" s="232"/>
      <c r="CH359" s="232"/>
      <c r="CI359" s="232"/>
      <c r="CJ359" s="232"/>
      <c r="CK359" s="227" t="s">
        <v>45</v>
      </c>
      <c r="CL359" s="228" t="s">
        <v>46</v>
      </c>
      <c r="CM359" s="229" t="s">
        <v>47</v>
      </c>
      <c r="CN359" s="231"/>
      <c r="CO359" s="232"/>
      <c r="CP359" s="232"/>
      <c r="CQ359" s="232"/>
      <c r="CR359" s="232"/>
      <c r="CS359" s="232"/>
      <c r="CT359" s="234"/>
      <c r="CU359" s="296"/>
      <c r="CV359" s="246"/>
      <c r="CW359" s="265"/>
    </row>
    <row r="360" spans="1:101" x14ac:dyDescent="0.2">
      <c r="A360" s="264"/>
      <c r="B360" s="264"/>
      <c r="C360" s="202"/>
      <c r="D360" s="271">
        <v>1</v>
      </c>
      <c r="E360" s="166" t="s">
        <v>244</v>
      </c>
      <c r="F360" s="468">
        <v>0</v>
      </c>
      <c r="G360" s="472"/>
      <c r="H360" s="473">
        <v>0</v>
      </c>
      <c r="I360" s="170"/>
      <c r="J360" s="387" t="str">
        <f t="shared" ref="J360:J371" si="800">IF(F360&lt;&gt;"",IF(H360&lt;&gt;"",IF(F360=H360,"x",""),""),"")</f>
        <v>x</v>
      </c>
      <c r="K360" s="388" t="str">
        <f t="shared" ref="K360:K371" si="801">IF($F360&lt;$H360,"x","")</f>
        <v/>
      </c>
      <c r="L360" s="299"/>
      <c r="M360" s="375"/>
      <c r="N360" s="379"/>
      <c r="O360" s="236"/>
      <c r="P360" s="236"/>
      <c r="Q360" s="480">
        <v>10</v>
      </c>
      <c r="R360" s="481">
        <v>80</v>
      </c>
      <c r="S360" s="482">
        <f>IF(Q360="","",100-SUM(Q360:R360))</f>
        <v>10</v>
      </c>
      <c r="T360" s="371"/>
      <c r="U360" s="232" t="str">
        <f t="shared" ref="U360:U371" si="802">IF($I360="x",Q360,"")</f>
        <v/>
      </c>
      <c r="V360" s="232">
        <f t="shared" ref="V360:V371" si="803">IF($J360="x",R360,"")</f>
        <v>80</v>
      </c>
      <c r="W360" s="232" t="str">
        <f t="shared" ref="W360:W371" si="804">IF($K360="x",S360,"")</f>
        <v/>
      </c>
      <c r="X360" s="232">
        <f>IF((MAX(U360,V360,W360))=0,"",IF((MAX(U360,V360,W360))=(MAX(Q360,R360,S360)),1,""))</f>
        <v>1</v>
      </c>
      <c r="Y360" s="371"/>
      <c r="Z360" s="495">
        <v>10</v>
      </c>
      <c r="AA360" s="496">
        <v>10</v>
      </c>
      <c r="AB360" s="482">
        <f t="shared" ref="AB360:AB371" si="805">IF(Z360="","",100-SUM(Z360:AA360))</f>
        <v>80</v>
      </c>
      <c r="AC360" s="371"/>
      <c r="AD360" s="232" t="str">
        <f t="shared" ref="AD360:AD371" si="806">IF($I360="x",Z360,"")</f>
        <v/>
      </c>
      <c r="AE360" s="232">
        <f t="shared" ref="AE360:AE371" si="807">IF($J360="x",AA360,"")</f>
        <v>10</v>
      </c>
      <c r="AF360" s="232" t="str">
        <f t="shared" ref="AF360:AF371" si="808">IF($K360="x",AB360,"")</f>
        <v/>
      </c>
      <c r="AG360" s="232" t="str">
        <f>IF((MAX(AD360,AE360,AF360))=0,"",IF((MAX(AD360,AE360,AF360))=(MAX(Z360,AA360,AB360)),1,""))</f>
        <v/>
      </c>
      <c r="AH360" s="371"/>
      <c r="AI360" s="495">
        <v>10</v>
      </c>
      <c r="AJ360" s="496">
        <v>10</v>
      </c>
      <c r="AK360" s="482">
        <f t="shared" ref="AK360:AK371" si="809">IF(AI360="","",100-SUM(AI360:AJ360))</f>
        <v>80</v>
      </c>
      <c r="AL360" s="371"/>
      <c r="AM360" s="232" t="str">
        <f t="shared" ref="AM360:AM371" si="810">IF($I360="x",AI360,"")</f>
        <v/>
      </c>
      <c r="AN360" s="232">
        <f t="shared" ref="AN360:AN371" si="811">IF($J360="x",AJ360,"")</f>
        <v>10</v>
      </c>
      <c r="AO360" s="232" t="str">
        <f t="shared" ref="AO360:AO371" si="812">IF($K360="x",AK360,"")</f>
        <v/>
      </c>
      <c r="AP360" s="232" t="str">
        <f>IF((MAX(AM360,AN360,AO360))=0,"",IF((MAX(AM360,AN360,AO360))=(MAX(AI360,AJ360,AK360)),1,""))</f>
        <v/>
      </c>
      <c r="AQ360" s="371"/>
      <c r="AR360" s="495">
        <v>10</v>
      </c>
      <c r="AS360" s="496">
        <v>10</v>
      </c>
      <c r="AT360" s="482">
        <f t="shared" ref="AT360:AT371" si="813">IF(AR360="","",100-SUM(AR360:AS360))</f>
        <v>80</v>
      </c>
      <c r="AU360" s="371"/>
      <c r="AV360" s="232" t="str">
        <f t="shared" ref="AV360:AV371" si="814">IF($I360="x",AR360,"")</f>
        <v/>
      </c>
      <c r="AW360" s="232">
        <f t="shared" ref="AW360:AW371" si="815">IF($J360="x",AS360,"")</f>
        <v>10</v>
      </c>
      <c r="AX360" s="232" t="str">
        <f t="shared" ref="AX360:AX371" si="816">IF($K360="x",AT360,"")</f>
        <v/>
      </c>
      <c r="AY360" s="232" t="str">
        <f>IF((MAX(AV360,AW360,AX360))=0,"",IF((MAX(AV360,AW360,AX360))=(MAX(AR360,AS360,AT360)),1,""))</f>
        <v/>
      </c>
      <c r="AZ360" s="371"/>
      <c r="BA360" s="495">
        <v>10</v>
      </c>
      <c r="BB360" s="496">
        <v>10</v>
      </c>
      <c r="BC360" s="482">
        <f t="shared" ref="BC360:BC371" si="817">IF(BA360="","",100-SUM(BA360:BB360))</f>
        <v>80</v>
      </c>
      <c r="BD360" s="371"/>
      <c r="BE360" s="232" t="str">
        <f t="shared" ref="BE360:BE371" si="818">IF($I360="x",BA360,"")</f>
        <v/>
      </c>
      <c r="BF360" s="232">
        <f t="shared" ref="BF360:BF371" si="819">IF($J360="x",BB360,"")</f>
        <v>10</v>
      </c>
      <c r="BG360" s="232" t="str">
        <f t="shared" ref="BG360:BG371" si="820">IF($K360="x",BC360,"")</f>
        <v/>
      </c>
      <c r="BH360" s="232" t="str">
        <f>IF((MAX(BE360,BF360,BG360))=0,"",IF((MAX(BE360,BF360,BG360))=(MAX(BA360,BB360,BC360)),1,""))</f>
        <v/>
      </c>
      <c r="BI360" s="371"/>
      <c r="BJ360" s="495">
        <v>10</v>
      </c>
      <c r="BK360" s="496">
        <v>10</v>
      </c>
      <c r="BL360" s="482">
        <f t="shared" ref="BL360:BL371" si="821">IF(BJ360="","",100-SUM(BJ360:BK360))</f>
        <v>80</v>
      </c>
      <c r="BM360" s="371"/>
      <c r="BN360" s="232" t="str">
        <f t="shared" ref="BN360:BN371" si="822">IF($I360="x",BJ360,"")</f>
        <v/>
      </c>
      <c r="BO360" s="232">
        <f t="shared" ref="BO360:BO371" si="823">IF($J360="x",BK360,"")</f>
        <v>10</v>
      </c>
      <c r="BP360" s="232" t="str">
        <f t="shared" ref="BP360:BP371" si="824">IF($K360="x",BL360,"")</f>
        <v/>
      </c>
      <c r="BQ360" s="232" t="str">
        <f>IF((MAX(BN360,BO360,BP360))=0,"",IF((MAX(BN360,BO360,BP360))=(MAX(BJ360,BK360,BL360)),1,""))</f>
        <v/>
      </c>
      <c r="BR360" s="371"/>
      <c r="BS360" s="495">
        <v>20</v>
      </c>
      <c r="BT360" s="496">
        <v>20</v>
      </c>
      <c r="BU360" s="482">
        <f t="shared" ref="BU360:BU371" si="825">IF(BS360="","",100-SUM(BS360:BT360))</f>
        <v>60</v>
      </c>
      <c r="BV360" s="371"/>
      <c r="BW360" s="232" t="str">
        <f t="shared" ref="BW360:BW371" si="826">IF($I360="x",BS360,"")</f>
        <v/>
      </c>
      <c r="BX360" s="232">
        <f t="shared" ref="BX360:BX371" si="827">IF($J360="x",BT360,"")</f>
        <v>20</v>
      </c>
      <c r="BY360" s="232" t="str">
        <f t="shared" ref="BY360:BY371" si="828">IF($K360="x",BU360,"")</f>
        <v/>
      </c>
      <c r="BZ360" s="232" t="str">
        <f>IF((MAX(BW360,BX360,BY360))=0,"",IF((MAX(BW360,BX360,BY360))=(MAX(BS360,BT360,BU360)),1,""))</f>
        <v/>
      </c>
      <c r="CA360" s="371"/>
      <c r="CB360" s="501">
        <f t="shared" ref="CB360:CB371" si="829">IFERROR(ROUNDUP((SUM(Q360,Z360,AI360,AR360,BA360,BJ360,BS360)/SUM($Q360:$S360,$Z360:$AB360,$AI360:$AK360,$AR360:$AT360,$BA360:$BC360,$BJ360:$BL360,$BS360:$BU360))*100,-1),"")</f>
        <v>20</v>
      </c>
      <c r="CC360" s="502">
        <f t="shared" ref="CC360:CC371" si="830">IFERROR(ROUNDDOWN((SUM(R360,AA360,AJ360,AS360,BB360,BK360,BT360)/SUM($Q360:$S360,$Z360:$AB360,$AI360:$AK360,$AR360:$AT360,$BA360:$BC360,$BJ360:$BL360,$BS360:$BU360))*100,-1),"")</f>
        <v>20</v>
      </c>
      <c r="CD360" s="503">
        <f t="shared" ref="CD360:CD371" si="831">IF(CB360="","",100-SUM(CB360:CC360))</f>
        <v>60</v>
      </c>
      <c r="CE360" s="371"/>
      <c r="CF360" s="232" t="str">
        <f t="shared" ref="CF360:CF371" si="832">IF($I360="x",CB360,"")</f>
        <v/>
      </c>
      <c r="CG360" s="232">
        <f t="shared" ref="CG360:CG371" si="833">IF($J360="x",CC360,"")</f>
        <v>20</v>
      </c>
      <c r="CH360" s="232" t="str">
        <f t="shared" ref="CH360:CH371" si="834">IF($K360="x",CD360,"")</f>
        <v/>
      </c>
      <c r="CI360" s="232" t="str">
        <f>IF((MAX(CF360,CG360,CH360))=0,"",IF((MAX(CF360,CG360,CH360))=(MAX(CB360,CC360,CD360)),1,""))</f>
        <v/>
      </c>
      <c r="CJ360" s="232"/>
      <c r="CK360" s="492">
        <v>10</v>
      </c>
      <c r="CL360" s="493">
        <v>20</v>
      </c>
      <c r="CM360" s="482">
        <f t="shared" ref="CM360:CM371" si="835">IF(CK360="","",100-SUM(CK360:CL360))</f>
        <v>70</v>
      </c>
      <c r="CN360" s="371"/>
      <c r="CO360" s="232" t="str">
        <f t="shared" ref="CO360:CO371" si="836">IF($I360="x",CK360,"")</f>
        <v/>
      </c>
      <c r="CP360" s="232">
        <f t="shared" ref="CP360:CP371" si="837">IF($J360="x",CL360,"")</f>
        <v>20</v>
      </c>
      <c r="CQ360" s="232" t="str">
        <f t="shared" ref="CQ360:CQ371" si="838">IF($K360="x",CM360,"")</f>
        <v/>
      </c>
      <c r="CR360" s="232" t="str">
        <f>IF((MAX(CO360,CP360,CQ360))=0,"",IF((MAX(CO360,CP360,CQ360))=(MAX(CK360,CL360,CM360)),1,""))</f>
        <v/>
      </c>
      <c r="CS360" s="232"/>
      <c r="CT360" s="371"/>
      <c r="CU360" s="296"/>
      <c r="CV360" s="246"/>
      <c r="CW360" s="264"/>
    </row>
    <row r="361" spans="1:101" x14ac:dyDescent="0.2">
      <c r="A361" s="264"/>
      <c r="B361" s="264"/>
      <c r="C361" s="202"/>
      <c r="D361" s="271">
        <v>2</v>
      </c>
      <c r="E361" s="167" t="s">
        <v>245</v>
      </c>
      <c r="F361" s="469">
        <v>1</v>
      </c>
      <c r="G361" s="474"/>
      <c r="H361" s="475">
        <v>1</v>
      </c>
      <c r="I361" s="389" t="str">
        <f t="shared" ref="I361:I371" si="839">IF($F361&gt;$H361,"x","")</f>
        <v/>
      </c>
      <c r="J361" s="390" t="str">
        <f t="shared" si="800"/>
        <v>x</v>
      </c>
      <c r="K361" s="391" t="str">
        <f t="shared" si="801"/>
        <v/>
      </c>
      <c r="L361" s="299"/>
      <c r="M361" s="375"/>
      <c r="N361" s="379"/>
      <c r="O361" s="236"/>
      <c r="P361" s="236"/>
      <c r="Q361" s="483">
        <v>80</v>
      </c>
      <c r="R361" s="484">
        <v>10</v>
      </c>
      <c r="S361" s="485">
        <f t="shared" ref="S361:S371" si="840">IF(Q361="","",100-SUM(Q361:R361))</f>
        <v>10</v>
      </c>
      <c r="T361" s="371"/>
      <c r="U361" s="232" t="str">
        <f t="shared" si="802"/>
        <v/>
      </c>
      <c r="V361" s="232">
        <f t="shared" si="803"/>
        <v>10</v>
      </c>
      <c r="W361" s="232" t="str">
        <f t="shared" si="804"/>
        <v/>
      </c>
      <c r="X361" s="232" t="str">
        <f t="shared" ref="X361:X371" si="841">IF((MAX(U361,V361,W361))=0,"",IF((MAX(U361,V361,W361))=(MAX(Q361,R361,S361)),1,""))</f>
        <v/>
      </c>
      <c r="Y361" s="371"/>
      <c r="Z361" s="497">
        <v>80</v>
      </c>
      <c r="AA361" s="498">
        <v>10</v>
      </c>
      <c r="AB361" s="485">
        <f t="shared" si="805"/>
        <v>10</v>
      </c>
      <c r="AC361" s="371"/>
      <c r="AD361" s="232" t="str">
        <f t="shared" si="806"/>
        <v/>
      </c>
      <c r="AE361" s="232">
        <f t="shared" si="807"/>
        <v>10</v>
      </c>
      <c r="AF361" s="232" t="str">
        <f t="shared" si="808"/>
        <v/>
      </c>
      <c r="AG361" s="232" t="str">
        <f t="shared" ref="AG361:AG371" si="842">IF((MAX(AD361,AE361,AF361))=0,"",IF((MAX(AD361,AE361,AF361))=(MAX(Z361,AA361,AB361)),1,""))</f>
        <v/>
      </c>
      <c r="AH361" s="371"/>
      <c r="AI361" s="497">
        <v>80</v>
      </c>
      <c r="AJ361" s="498">
        <v>10</v>
      </c>
      <c r="AK361" s="485">
        <f t="shared" si="809"/>
        <v>10</v>
      </c>
      <c r="AL361" s="371"/>
      <c r="AM361" s="232" t="str">
        <f t="shared" si="810"/>
        <v/>
      </c>
      <c r="AN361" s="232">
        <f t="shared" si="811"/>
        <v>10</v>
      </c>
      <c r="AO361" s="232" t="str">
        <f t="shared" si="812"/>
        <v/>
      </c>
      <c r="AP361" s="232" t="str">
        <f t="shared" ref="AP361:AP371" si="843">IF((MAX(AM361,AN361,AO361))=0,"",IF((MAX(AM361,AN361,AO361))=(MAX(AI361,AJ361,AK361)),1,""))</f>
        <v/>
      </c>
      <c r="AQ361" s="371"/>
      <c r="AR361" s="497">
        <v>80</v>
      </c>
      <c r="AS361" s="498">
        <v>10</v>
      </c>
      <c r="AT361" s="485">
        <f t="shared" si="813"/>
        <v>10</v>
      </c>
      <c r="AU361" s="371"/>
      <c r="AV361" s="232" t="str">
        <f t="shared" si="814"/>
        <v/>
      </c>
      <c r="AW361" s="232">
        <f t="shared" si="815"/>
        <v>10</v>
      </c>
      <c r="AX361" s="232" t="str">
        <f t="shared" si="816"/>
        <v/>
      </c>
      <c r="AY361" s="232" t="str">
        <f t="shared" ref="AY361:AY371" si="844">IF((MAX(AV361,AW361,AX361))=0,"",IF((MAX(AV361,AW361,AX361))=(MAX(AR361,AS361,AT361)),1,""))</f>
        <v/>
      </c>
      <c r="AZ361" s="371"/>
      <c r="BA361" s="497">
        <v>80</v>
      </c>
      <c r="BB361" s="498">
        <v>10</v>
      </c>
      <c r="BC361" s="485">
        <f t="shared" si="817"/>
        <v>10</v>
      </c>
      <c r="BD361" s="371"/>
      <c r="BE361" s="232" t="str">
        <f t="shared" si="818"/>
        <v/>
      </c>
      <c r="BF361" s="232">
        <f t="shared" si="819"/>
        <v>10</v>
      </c>
      <c r="BG361" s="232" t="str">
        <f t="shared" si="820"/>
        <v/>
      </c>
      <c r="BH361" s="232" t="str">
        <f t="shared" ref="BH361:BH371" si="845">IF((MAX(BE361,BF361,BG361))=0,"",IF((MAX(BE361,BF361,BG361))=(MAX(BA361,BB361,BC361)),1,""))</f>
        <v/>
      </c>
      <c r="BI361" s="371"/>
      <c r="BJ361" s="497">
        <v>80</v>
      </c>
      <c r="BK361" s="498">
        <v>10</v>
      </c>
      <c r="BL361" s="485">
        <f t="shared" si="821"/>
        <v>10</v>
      </c>
      <c r="BM361" s="371"/>
      <c r="BN361" s="232" t="str">
        <f t="shared" si="822"/>
        <v/>
      </c>
      <c r="BO361" s="232">
        <f t="shared" si="823"/>
        <v>10</v>
      </c>
      <c r="BP361" s="232" t="str">
        <f t="shared" si="824"/>
        <v/>
      </c>
      <c r="BQ361" s="232" t="str">
        <f t="shared" ref="BQ361:BQ371" si="846">IF((MAX(BN361,BO361,BP361))=0,"",IF((MAX(BN361,BO361,BP361))=(MAX(BJ361,BK361,BL361)),1,""))</f>
        <v/>
      </c>
      <c r="BR361" s="371"/>
      <c r="BS361" s="497">
        <v>80</v>
      </c>
      <c r="BT361" s="498">
        <v>10</v>
      </c>
      <c r="BU361" s="485">
        <f t="shared" si="825"/>
        <v>10</v>
      </c>
      <c r="BV361" s="371"/>
      <c r="BW361" s="232" t="str">
        <f t="shared" si="826"/>
        <v/>
      </c>
      <c r="BX361" s="232">
        <f t="shared" si="827"/>
        <v>10</v>
      </c>
      <c r="BY361" s="232" t="str">
        <f t="shared" si="828"/>
        <v/>
      </c>
      <c r="BZ361" s="232" t="str">
        <f t="shared" ref="BZ361:BZ371" si="847">IF((MAX(BW361,BX361,BY361))=0,"",IF((MAX(BW361,BX361,BY361))=(MAX(BS361,BT361,BU361)),1,""))</f>
        <v/>
      </c>
      <c r="CA361" s="371"/>
      <c r="CB361" s="504">
        <f t="shared" si="829"/>
        <v>80</v>
      </c>
      <c r="CC361" s="505">
        <f t="shared" si="830"/>
        <v>10</v>
      </c>
      <c r="CD361" s="506">
        <f t="shared" si="831"/>
        <v>10</v>
      </c>
      <c r="CE361" s="371"/>
      <c r="CF361" s="232" t="str">
        <f t="shared" si="832"/>
        <v/>
      </c>
      <c r="CG361" s="232">
        <f t="shared" si="833"/>
        <v>10</v>
      </c>
      <c r="CH361" s="232" t="str">
        <f t="shared" si="834"/>
        <v/>
      </c>
      <c r="CI361" s="232" t="str">
        <f t="shared" ref="CI361:CI371" si="848">IF((MAX(CF361,CG361,CH361))=0,"",IF((MAX(CF361,CG361,CH361))=(MAX(CB361,CC361,CD361)),1,""))</f>
        <v/>
      </c>
      <c r="CJ361" s="232"/>
      <c r="CK361" s="483">
        <v>80</v>
      </c>
      <c r="CL361" s="484">
        <v>10</v>
      </c>
      <c r="CM361" s="485">
        <f t="shared" si="835"/>
        <v>10</v>
      </c>
      <c r="CN361" s="371"/>
      <c r="CO361" s="232" t="str">
        <f t="shared" si="836"/>
        <v/>
      </c>
      <c r="CP361" s="232">
        <f t="shared" si="837"/>
        <v>10</v>
      </c>
      <c r="CQ361" s="232" t="str">
        <f t="shared" si="838"/>
        <v/>
      </c>
      <c r="CR361" s="232" t="str">
        <f t="shared" ref="CR361:CR371" si="849">IF((MAX(CO361,CP361,CQ361))=0,"",IF((MAX(CO361,CP361,CQ361))=(MAX(CK361,CL361,CM361)),1,""))</f>
        <v/>
      </c>
      <c r="CS361" s="232"/>
      <c r="CT361" s="371"/>
      <c r="CU361" s="296"/>
      <c r="CV361" s="246"/>
      <c r="CW361" s="264"/>
    </row>
    <row r="362" spans="1:101" ht="13.5" thickBot="1" x14ac:dyDescent="0.25">
      <c r="A362" s="264"/>
      <c r="B362" s="264"/>
      <c r="C362" s="202"/>
      <c r="D362" s="271">
        <v>3</v>
      </c>
      <c r="E362" s="168" t="s">
        <v>246</v>
      </c>
      <c r="F362" s="470">
        <v>2</v>
      </c>
      <c r="G362" s="476"/>
      <c r="H362" s="477">
        <v>0</v>
      </c>
      <c r="I362" s="392" t="str">
        <f t="shared" si="839"/>
        <v>x</v>
      </c>
      <c r="J362" s="393" t="str">
        <f t="shared" si="800"/>
        <v/>
      </c>
      <c r="K362" s="394" t="str">
        <f t="shared" si="801"/>
        <v/>
      </c>
      <c r="L362" s="299"/>
      <c r="M362" s="375"/>
      <c r="N362" s="379"/>
      <c r="O362" s="236"/>
      <c r="P362" s="236"/>
      <c r="Q362" s="486">
        <v>80</v>
      </c>
      <c r="R362" s="487">
        <v>10</v>
      </c>
      <c r="S362" s="488">
        <f t="shared" si="840"/>
        <v>10</v>
      </c>
      <c r="T362" s="371"/>
      <c r="U362" s="232">
        <f t="shared" si="802"/>
        <v>80</v>
      </c>
      <c r="V362" s="232" t="str">
        <f t="shared" si="803"/>
        <v/>
      </c>
      <c r="W362" s="232" t="str">
        <f t="shared" si="804"/>
        <v/>
      </c>
      <c r="X362" s="232">
        <f t="shared" si="841"/>
        <v>1</v>
      </c>
      <c r="Y362" s="371"/>
      <c r="Z362" s="499">
        <v>80</v>
      </c>
      <c r="AA362" s="500">
        <v>10</v>
      </c>
      <c r="AB362" s="488">
        <f t="shared" si="805"/>
        <v>10</v>
      </c>
      <c r="AC362" s="371"/>
      <c r="AD362" s="232">
        <f t="shared" si="806"/>
        <v>80</v>
      </c>
      <c r="AE362" s="232" t="str">
        <f t="shared" si="807"/>
        <v/>
      </c>
      <c r="AF362" s="232" t="str">
        <f t="shared" si="808"/>
        <v/>
      </c>
      <c r="AG362" s="232">
        <f t="shared" si="842"/>
        <v>1</v>
      </c>
      <c r="AH362" s="371"/>
      <c r="AI362" s="499">
        <v>50</v>
      </c>
      <c r="AJ362" s="500">
        <v>30</v>
      </c>
      <c r="AK362" s="488">
        <f t="shared" si="809"/>
        <v>20</v>
      </c>
      <c r="AL362" s="371"/>
      <c r="AM362" s="232">
        <f t="shared" si="810"/>
        <v>50</v>
      </c>
      <c r="AN362" s="232" t="str">
        <f t="shared" si="811"/>
        <v/>
      </c>
      <c r="AO362" s="232" t="str">
        <f t="shared" si="812"/>
        <v/>
      </c>
      <c r="AP362" s="232">
        <f t="shared" si="843"/>
        <v>1</v>
      </c>
      <c r="AQ362" s="371"/>
      <c r="AR362" s="499">
        <v>30</v>
      </c>
      <c r="AS362" s="500">
        <v>10</v>
      </c>
      <c r="AT362" s="488">
        <f t="shared" si="813"/>
        <v>60</v>
      </c>
      <c r="AU362" s="371"/>
      <c r="AV362" s="232">
        <f t="shared" si="814"/>
        <v>30</v>
      </c>
      <c r="AW362" s="232" t="str">
        <f t="shared" si="815"/>
        <v/>
      </c>
      <c r="AX362" s="232" t="str">
        <f t="shared" si="816"/>
        <v/>
      </c>
      <c r="AY362" s="232" t="str">
        <f t="shared" si="844"/>
        <v/>
      </c>
      <c r="AZ362" s="371"/>
      <c r="BA362" s="499">
        <v>80</v>
      </c>
      <c r="BB362" s="500">
        <v>10</v>
      </c>
      <c r="BC362" s="488">
        <f t="shared" si="817"/>
        <v>10</v>
      </c>
      <c r="BD362" s="371"/>
      <c r="BE362" s="232">
        <f t="shared" si="818"/>
        <v>80</v>
      </c>
      <c r="BF362" s="232" t="str">
        <f t="shared" si="819"/>
        <v/>
      </c>
      <c r="BG362" s="232" t="str">
        <f t="shared" si="820"/>
        <v/>
      </c>
      <c r="BH362" s="232">
        <f t="shared" si="845"/>
        <v>1</v>
      </c>
      <c r="BI362" s="371"/>
      <c r="BJ362" s="499">
        <v>80</v>
      </c>
      <c r="BK362" s="500">
        <v>10</v>
      </c>
      <c r="BL362" s="488">
        <f t="shared" si="821"/>
        <v>10</v>
      </c>
      <c r="BM362" s="371"/>
      <c r="BN362" s="232">
        <f t="shared" si="822"/>
        <v>80</v>
      </c>
      <c r="BO362" s="232" t="str">
        <f t="shared" si="823"/>
        <v/>
      </c>
      <c r="BP362" s="232" t="str">
        <f t="shared" si="824"/>
        <v/>
      </c>
      <c r="BQ362" s="232">
        <f t="shared" si="846"/>
        <v>1</v>
      </c>
      <c r="BR362" s="371"/>
      <c r="BS362" s="499">
        <v>50</v>
      </c>
      <c r="BT362" s="500">
        <v>10</v>
      </c>
      <c r="BU362" s="488">
        <f t="shared" si="825"/>
        <v>40</v>
      </c>
      <c r="BV362" s="371"/>
      <c r="BW362" s="232">
        <f t="shared" si="826"/>
        <v>50</v>
      </c>
      <c r="BX362" s="232" t="str">
        <f t="shared" si="827"/>
        <v/>
      </c>
      <c r="BY362" s="232" t="str">
        <f t="shared" si="828"/>
        <v/>
      </c>
      <c r="BZ362" s="232">
        <f t="shared" si="847"/>
        <v>1</v>
      </c>
      <c r="CA362" s="371"/>
      <c r="CB362" s="507">
        <f t="shared" si="829"/>
        <v>70</v>
      </c>
      <c r="CC362" s="508">
        <f t="shared" si="830"/>
        <v>10</v>
      </c>
      <c r="CD362" s="509">
        <f t="shared" si="831"/>
        <v>20</v>
      </c>
      <c r="CE362" s="371"/>
      <c r="CF362" s="232">
        <f t="shared" si="832"/>
        <v>70</v>
      </c>
      <c r="CG362" s="232" t="str">
        <f t="shared" si="833"/>
        <v/>
      </c>
      <c r="CH362" s="232" t="str">
        <f t="shared" si="834"/>
        <v/>
      </c>
      <c r="CI362" s="232">
        <f t="shared" si="848"/>
        <v>1</v>
      </c>
      <c r="CJ362" s="232"/>
      <c r="CK362" s="486">
        <v>70</v>
      </c>
      <c r="CL362" s="487">
        <v>20</v>
      </c>
      <c r="CM362" s="488">
        <f t="shared" si="835"/>
        <v>10</v>
      </c>
      <c r="CN362" s="371"/>
      <c r="CO362" s="232">
        <f t="shared" si="836"/>
        <v>70</v>
      </c>
      <c r="CP362" s="232" t="str">
        <f t="shared" si="837"/>
        <v/>
      </c>
      <c r="CQ362" s="232" t="str">
        <f t="shared" si="838"/>
        <v/>
      </c>
      <c r="CR362" s="232">
        <f t="shared" si="849"/>
        <v>1</v>
      </c>
      <c r="CS362" s="232"/>
      <c r="CT362" s="371"/>
      <c r="CU362" s="296"/>
      <c r="CV362" s="246"/>
      <c r="CW362" s="264"/>
    </row>
    <row r="363" spans="1:101" x14ac:dyDescent="0.2">
      <c r="A363" s="264"/>
      <c r="B363" s="264"/>
      <c r="C363" s="202"/>
      <c r="D363" s="271">
        <v>4</v>
      </c>
      <c r="E363" s="166" t="s">
        <v>247</v>
      </c>
      <c r="F363" s="468">
        <v>1</v>
      </c>
      <c r="G363" s="472"/>
      <c r="H363" s="473">
        <v>2</v>
      </c>
      <c r="I363" s="170" t="str">
        <f t="shared" si="839"/>
        <v/>
      </c>
      <c r="J363" s="387" t="str">
        <f t="shared" si="800"/>
        <v/>
      </c>
      <c r="K363" s="388" t="str">
        <f t="shared" si="801"/>
        <v>x</v>
      </c>
      <c r="L363" s="299"/>
      <c r="M363" s="375"/>
      <c r="N363" s="379"/>
      <c r="O363" s="236"/>
      <c r="P363" s="236"/>
      <c r="Q363" s="480">
        <v>60</v>
      </c>
      <c r="R363" s="481">
        <v>20</v>
      </c>
      <c r="S363" s="482">
        <f t="shared" si="840"/>
        <v>20</v>
      </c>
      <c r="T363" s="371"/>
      <c r="U363" s="232" t="str">
        <f t="shared" si="802"/>
        <v/>
      </c>
      <c r="V363" s="232" t="str">
        <f t="shared" si="803"/>
        <v/>
      </c>
      <c r="W363" s="232">
        <f t="shared" si="804"/>
        <v>20</v>
      </c>
      <c r="X363" s="232" t="str">
        <f t="shared" si="841"/>
        <v/>
      </c>
      <c r="Y363" s="371"/>
      <c r="Z363" s="495">
        <v>80</v>
      </c>
      <c r="AA363" s="496">
        <v>10</v>
      </c>
      <c r="AB363" s="482">
        <f t="shared" si="805"/>
        <v>10</v>
      </c>
      <c r="AC363" s="371"/>
      <c r="AD363" s="232" t="str">
        <f t="shared" si="806"/>
        <v/>
      </c>
      <c r="AE363" s="232" t="str">
        <f t="shared" si="807"/>
        <v/>
      </c>
      <c r="AF363" s="232">
        <f t="shared" si="808"/>
        <v>10</v>
      </c>
      <c r="AG363" s="232" t="str">
        <f t="shared" si="842"/>
        <v/>
      </c>
      <c r="AH363" s="371"/>
      <c r="AI363" s="495">
        <v>30</v>
      </c>
      <c r="AJ363" s="496">
        <v>40</v>
      </c>
      <c r="AK363" s="482">
        <f t="shared" si="809"/>
        <v>30</v>
      </c>
      <c r="AL363" s="371"/>
      <c r="AM363" s="232" t="str">
        <f t="shared" si="810"/>
        <v/>
      </c>
      <c r="AN363" s="232" t="str">
        <f t="shared" si="811"/>
        <v/>
      </c>
      <c r="AO363" s="232">
        <f t="shared" si="812"/>
        <v>30</v>
      </c>
      <c r="AP363" s="232" t="str">
        <f t="shared" si="843"/>
        <v/>
      </c>
      <c r="AQ363" s="371"/>
      <c r="AR363" s="495">
        <v>60</v>
      </c>
      <c r="AS363" s="496">
        <v>30</v>
      </c>
      <c r="AT363" s="482">
        <f t="shared" si="813"/>
        <v>10</v>
      </c>
      <c r="AU363" s="371"/>
      <c r="AV363" s="232" t="str">
        <f t="shared" si="814"/>
        <v/>
      </c>
      <c r="AW363" s="232" t="str">
        <f t="shared" si="815"/>
        <v/>
      </c>
      <c r="AX363" s="232">
        <f t="shared" si="816"/>
        <v>10</v>
      </c>
      <c r="AY363" s="232" t="str">
        <f t="shared" si="844"/>
        <v/>
      </c>
      <c r="AZ363" s="371"/>
      <c r="BA363" s="495">
        <v>80</v>
      </c>
      <c r="BB363" s="496">
        <v>10</v>
      </c>
      <c r="BC363" s="482">
        <f t="shared" si="817"/>
        <v>10</v>
      </c>
      <c r="BD363" s="371"/>
      <c r="BE363" s="232" t="str">
        <f t="shared" si="818"/>
        <v/>
      </c>
      <c r="BF363" s="232" t="str">
        <f t="shared" si="819"/>
        <v/>
      </c>
      <c r="BG363" s="232">
        <f t="shared" si="820"/>
        <v>10</v>
      </c>
      <c r="BH363" s="232" t="str">
        <f t="shared" si="845"/>
        <v/>
      </c>
      <c r="BI363" s="371"/>
      <c r="BJ363" s="495">
        <v>80</v>
      </c>
      <c r="BK363" s="496">
        <v>10</v>
      </c>
      <c r="BL363" s="482">
        <f t="shared" si="821"/>
        <v>10</v>
      </c>
      <c r="BM363" s="371"/>
      <c r="BN363" s="232" t="str">
        <f t="shared" si="822"/>
        <v/>
      </c>
      <c r="BO363" s="232" t="str">
        <f t="shared" si="823"/>
        <v/>
      </c>
      <c r="BP363" s="232">
        <f t="shared" si="824"/>
        <v>10</v>
      </c>
      <c r="BQ363" s="232" t="str">
        <f t="shared" si="846"/>
        <v/>
      </c>
      <c r="BR363" s="371"/>
      <c r="BS363" s="495">
        <v>40</v>
      </c>
      <c r="BT363" s="496">
        <v>20</v>
      </c>
      <c r="BU363" s="482">
        <f t="shared" si="825"/>
        <v>40</v>
      </c>
      <c r="BV363" s="371"/>
      <c r="BW363" s="232" t="str">
        <f t="shared" si="826"/>
        <v/>
      </c>
      <c r="BX363" s="232" t="str">
        <f t="shared" si="827"/>
        <v/>
      </c>
      <c r="BY363" s="232">
        <f t="shared" si="828"/>
        <v>40</v>
      </c>
      <c r="BZ363" s="232">
        <f t="shared" si="847"/>
        <v>1</v>
      </c>
      <c r="CA363" s="371"/>
      <c r="CB363" s="501">
        <f t="shared" si="829"/>
        <v>70</v>
      </c>
      <c r="CC363" s="502">
        <f t="shared" si="830"/>
        <v>20</v>
      </c>
      <c r="CD363" s="503">
        <f t="shared" si="831"/>
        <v>10</v>
      </c>
      <c r="CE363" s="371"/>
      <c r="CF363" s="232" t="str">
        <f t="shared" si="832"/>
        <v/>
      </c>
      <c r="CG363" s="232" t="str">
        <f t="shared" si="833"/>
        <v/>
      </c>
      <c r="CH363" s="232">
        <f t="shared" si="834"/>
        <v>10</v>
      </c>
      <c r="CI363" s="232" t="str">
        <f t="shared" si="848"/>
        <v/>
      </c>
      <c r="CJ363" s="232"/>
      <c r="CK363" s="480">
        <v>40</v>
      </c>
      <c r="CL363" s="481">
        <v>30</v>
      </c>
      <c r="CM363" s="482">
        <f t="shared" si="835"/>
        <v>30</v>
      </c>
      <c r="CN363" s="371"/>
      <c r="CO363" s="232" t="str">
        <f t="shared" si="836"/>
        <v/>
      </c>
      <c r="CP363" s="232" t="str">
        <f t="shared" si="837"/>
        <v/>
      </c>
      <c r="CQ363" s="232">
        <f t="shared" si="838"/>
        <v>30</v>
      </c>
      <c r="CR363" s="232" t="str">
        <f t="shared" si="849"/>
        <v/>
      </c>
      <c r="CS363" s="232"/>
      <c r="CT363" s="371"/>
      <c r="CU363" s="296"/>
      <c r="CV363" s="246"/>
      <c r="CW363" s="264"/>
    </row>
    <row r="364" spans="1:101" x14ac:dyDescent="0.2">
      <c r="A364" s="264"/>
      <c r="B364" s="264"/>
      <c r="C364" s="202"/>
      <c r="D364" s="271">
        <v>5</v>
      </c>
      <c r="E364" s="167" t="s">
        <v>248</v>
      </c>
      <c r="F364" s="469">
        <v>1</v>
      </c>
      <c r="G364" s="474"/>
      <c r="H364" s="475">
        <v>0</v>
      </c>
      <c r="I364" s="389" t="str">
        <f t="shared" si="839"/>
        <v>x</v>
      </c>
      <c r="J364" s="390" t="str">
        <f t="shared" si="800"/>
        <v/>
      </c>
      <c r="K364" s="391" t="str">
        <f t="shared" si="801"/>
        <v/>
      </c>
      <c r="L364" s="299"/>
      <c r="M364" s="375"/>
      <c r="N364" s="379"/>
      <c r="O364" s="236"/>
      <c r="P364" s="236"/>
      <c r="Q364" s="483">
        <v>40</v>
      </c>
      <c r="R364" s="484">
        <v>30</v>
      </c>
      <c r="S364" s="485">
        <f t="shared" si="840"/>
        <v>30</v>
      </c>
      <c r="T364" s="371"/>
      <c r="U364" s="232">
        <f t="shared" si="802"/>
        <v>40</v>
      </c>
      <c r="V364" s="232" t="str">
        <f t="shared" si="803"/>
        <v/>
      </c>
      <c r="W364" s="232" t="str">
        <f t="shared" si="804"/>
        <v/>
      </c>
      <c r="X364" s="232">
        <f t="shared" si="841"/>
        <v>1</v>
      </c>
      <c r="Y364" s="371"/>
      <c r="Z364" s="497">
        <v>80</v>
      </c>
      <c r="AA364" s="498">
        <v>10</v>
      </c>
      <c r="AB364" s="485">
        <f t="shared" si="805"/>
        <v>10</v>
      </c>
      <c r="AC364" s="371"/>
      <c r="AD364" s="232">
        <f t="shared" si="806"/>
        <v>80</v>
      </c>
      <c r="AE364" s="232" t="str">
        <f t="shared" si="807"/>
        <v/>
      </c>
      <c r="AF364" s="232" t="str">
        <f t="shared" si="808"/>
        <v/>
      </c>
      <c r="AG364" s="232">
        <f t="shared" si="842"/>
        <v>1</v>
      </c>
      <c r="AH364" s="371"/>
      <c r="AI364" s="497">
        <v>60</v>
      </c>
      <c r="AJ364" s="498">
        <v>20</v>
      </c>
      <c r="AK364" s="485">
        <f t="shared" si="809"/>
        <v>20</v>
      </c>
      <c r="AL364" s="371"/>
      <c r="AM364" s="232">
        <f t="shared" si="810"/>
        <v>60</v>
      </c>
      <c r="AN364" s="232" t="str">
        <f t="shared" si="811"/>
        <v/>
      </c>
      <c r="AO364" s="232" t="str">
        <f t="shared" si="812"/>
        <v/>
      </c>
      <c r="AP364" s="232">
        <f t="shared" si="843"/>
        <v>1</v>
      </c>
      <c r="AQ364" s="371"/>
      <c r="AR364" s="497">
        <v>20</v>
      </c>
      <c r="AS364" s="498">
        <v>30</v>
      </c>
      <c r="AT364" s="485">
        <f t="shared" si="813"/>
        <v>50</v>
      </c>
      <c r="AU364" s="371"/>
      <c r="AV364" s="232">
        <f t="shared" si="814"/>
        <v>20</v>
      </c>
      <c r="AW364" s="232" t="str">
        <f t="shared" si="815"/>
        <v/>
      </c>
      <c r="AX364" s="232" t="str">
        <f t="shared" si="816"/>
        <v/>
      </c>
      <c r="AY364" s="232" t="str">
        <f t="shared" si="844"/>
        <v/>
      </c>
      <c r="AZ364" s="371"/>
      <c r="BA364" s="497">
        <v>80</v>
      </c>
      <c r="BB364" s="498">
        <v>10</v>
      </c>
      <c r="BC364" s="485">
        <f t="shared" si="817"/>
        <v>10</v>
      </c>
      <c r="BD364" s="371"/>
      <c r="BE364" s="232">
        <f t="shared" si="818"/>
        <v>80</v>
      </c>
      <c r="BF364" s="232" t="str">
        <f t="shared" si="819"/>
        <v/>
      </c>
      <c r="BG364" s="232" t="str">
        <f t="shared" si="820"/>
        <v/>
      </c>
      <c r="BH364" s="232">
        <f t="shared" si="845"/>
        <v>1</v>
      </c>
      <c r="BI364" s="371"/>
      <c r="BJ364" s="497">
        <v>20</v>
      </c>
      <c r="BK364" s="498">
        <v>30</v>
      </c>
      <c r="BL364" s="485">
        <f t="shared" si="821"/>
        <v>50</v>
      </c>
      <c r="BM364" s="371"/>
      <c r="BN364" s="232">
        <f t="shared" si="822"/>
        <v>20</v>
      </c>
      <c r="BO364" s="232" t="str">
        <f t="shared" si="823"/>
        <v/>
      </c>
      <c r="BP364" s="232" t="str">
        <f t="shared" si="824"/>
        <v/>
      </c>
      <c r="BQ364" s="232" t="str">
        <f t="shared" si="846"/>
        <v/>
      </c>
      <c r="BR364" s="371"/>
      <c r="BS364" s="497">
        <v>30</v>
      </c>
      <c r="BT364" s="498">
        <v>50</v>
      </c>
      <c r="BU364" s="485">
        <f t="shared" si="825"/>
        <v>20</v>
      </c>
      <c r="BV364" s="371"/>
      <c r="BW364" s="232">
        <f t="shared" si="826"/>
        <v>30</v>
      </c>
      <c r="BX364" s="232" t="str">
        <f t="shared" si="827"/>
        <v/>
      </c>
      <c r="BY364" s="232" t="str">
        <f t="shared" si="828"/>
        <v/>
      </c>
      <c r="BZ364" s="232" t="str">
        <f t="shared" si="847"/>
        <v/>
      </c>
      <c r="CA364" s="371"/>
      <c r="CB364" s="504">
        <f t="shared" si="829"/>
        <v>50</v>
      </c>
      <c r="CC364" s="505">
        <f t="shared" si="830"/>
        <v>20</v>
      </c>
      <c r="CD364" s="506">
        <f t="shared" si="831"/>
        <v>30</v>
      </c>
      <c r="CE364" s="371"/>
      <c r="CF364" s="232">
        <f t="shared" si="832"/>
        <v>50</v>
      </c>
      <c r="CG364" s="232" t="str">
        <f t="shared" si="833"/>
        <v/>
      </c>
      <c r="CH364" s="232" t="str">
        <f t="shared" si="834"/>
        <v/>
      </c>
      <c r="CI364" s="232">
        <f t="shared" si="848"/>
        <v>1</v>
      </c>
      <c r="CJ364" s="232"/>
      <c r="CK364" s="483">
        <v>70</v>
      </c>
      <c r="CL364" s="484">
        <v>20</v>
      </c>
      <c r="CM364" s="485">
        <f t="shared" si="835"/>
        <v>10</v>
      </c>
      <c r="CN364" s="371"/>
      <c r="CO364" s="232">
        <f t="shared" si="836"/>
        <v>70</v>
      </c>
      <c r="CP364" s="232" t="str">
        <f t="shared" si="837"/>
        <v/>
      </c>
      <c r="CQ364" s="232" t="str">
        <f t="shared" si="838"/>
        <v/>
      </c>
      <c r="CR364" s="232">
        <f t="shared" si="849"/>
        <v>1</v>
      </c>
      <c r="CS364" s="232"/>
      <c r="CT364" s="371"/>
      <c r="CU364" s="296"/>
      <c r="CV364" s="246"/>
      <c r="CW364" s="264"/>
    </row>
    <row r="365" spans="1:101" ht="13.5" thickBot="1" x14ac:dyDescent="0.25">
      <c r="A365" s="264"/>
      <c r="B365" s="264"/>
      <c r="C365" s="202"/>
      <c r="D365" s="271">
        <v>6</v>
      </c>
      <c r="E365" s="168" t="s">
        <v>249</v>
      </c>
      <c r="F365" s="470">
        <v>2</v>
      </c>
      <c r="G365" s="476"/>
      <c r="H365" s="477">
        <v>1</v>
      </c>
      <c r="I365" s="392" t="str">
        <f t="shared" si="839"/>
        <v>x</v>
      </c>
      <c r="J365" s="393" t="str">
        <f t="shared" si="800"/>
        <v/>
      </c>
      <c r="K365" s="394" t="str">
        <f t="shared" si="801"/>
        <v/>
      </c>
      <c r="L365" s="299"/>
      <c r="M365" s="375"/>
      <c r="N365" s="379"/>
      <c r="O365" s="236"/>
      <c r="P365" s="236"/>
      <c r="Q365" s="489">
        <v>30</v>
      </c>
      <c r="R365" s="490">
        <v>30</v>
      </c>
      <c r="S365" s="491">
        <f t="shared" si="840"/>
        <v>40</v>
      </c>
      <c r="T365" s="371"/>
      <c r="U365" s="232">
        <f t="shared" si="802"/>
        <v>30</v>
      </c>
      <c r="V365" s="232" t="str">
        <f t="shared" si="803"/>
        <v/>
      </c>
      <c r="W365" s="232" t="str">
        <f t="shared" si="804"/>
        <v/>
      </c>
      <c r="X365" s="232" t="str">
        <f t="shared" si="841"/>
        <v/>
      </c>
      <c r="Y365" s="371"/>
      <c r="Z365" s="499">
        <v>10</v>
      </c>
      <c r="AA365" s="500">
        <v>80</v>
      </c>
      <c r="AB365" s="491">
        <f t="shared" si="805"/>
        <v>10</v>
      </c>
      <c r="AC365" s="371"/>
      <c r="AD365" s="232">
        <f t="shared" si="806"/>
        <v>10</v>
      </c>
      <c r="AE365" s="232" t="str">
        <f t="shared" si="807"/>
        <v/>
      </c>
      <c r="AF365" s="232" t="str">
        <f t="shared" si="808"/>
        <v/>
      </c>
      <c r="AG365" s="232" t="str">
        <f t="shared" si="842"/>
        <v/>
      </c>
      <c r="AH365" s="371"/>
      <c r="AI365" s="499">
        <v>80</v>
      </c>
      <c r="AJ365" s="500">
        <v>10</v>
      </c>
      <c r="AK365" s="491">
        <f t="shared" si="809"/>
        <v>10</v>
      </c>
      <c r="AL365" s="371"/>
      <c r="AM365" s="232">
        <f t="shared" si="810"/>
        <v>80</v>
      </c>
      <c r="AN365" s="232" t="str">
        <f t="shared" si="811"/>
        <v/>
      </c>
      <c r="AO365" s="232" t="str">
        <f t="shared" si="812"/>
        <v/>
      </c>
      <c r="AP365" s="232">
        <f t="shared" si="843"/>
        <v>1</v>
      </c>
      <c r="AQ365" s="371"/>
      <c r="AR365" s="499">
        <v>30</v>
      </c>
      <c r="AS365" s="500">
        <v>50</v>
      </c>
      <c r="AT365" s="491">
        <f t="shared" si="813"/>
        <v>20</v>
      </c>
      <c r="AU365" s="371"/>
      <c r="AV365" s="232">
        <f t="shared" si="814"/>
        <v>30</v>
      </c>
      <c r="AW365" s="232" t="str">
        <f t="shared" si="815"/>
        <v/>
      </c>
      <c r="AX365" s="232" t="str">
        <f t="shared" si="816"/>
        <v/>
      </c>
      <c r="AY365" s="232" t="str">
        <f t="shared" si="844"/>
        <v/>
      </c>
      <c r="AZ365" s="371"/>
      <c r="BA365" s="499">
        <v>80</v>
      </c>
      <c r="BB365" s="500">
        <v>10</v>
      </c>
      <c r="BC365" s="491">
        <f t="shared" si="817"/>
        <v>10</v>
      </c>
      <c r="BD365" s="371"/>
      <c r="BE365" s="232">
        <f t="shared" si="818"/>
        <v>80</v>
      </c>
      <c r="BF365" s="232" t="str">
        <f t="shared" si="819"/>
        <v/>
      </c>
      <c r="BG365" s="232" t="str">
        <f t="shared" si="820"/>
        <v/>
      </c>
      <c r="BH365" s="232">
        <f t="shared" si="845"/>
        <v>1</v>
      </c>
      <c r="BI365" s="371"/>
      <c r="BJ365" s="499">
        <v>60</v>
      </c>
      <c r="BK365" s="500">
        <v>30</v>
      </c>
      <c r="BL365" s="491">
        <f t="shared" si="821"/>
        <v>10</v>
      </c>
      <c r="BM365" s="371"/>
      <c r="BN365" s="232">
        <f t="shared" si="822"/>
        <v>60</v>
      </c>
      <c r="BO365" s="232" t="str">
        <f t="shared" si="823"/>
        <v/>
      </c>
      <c r="BP365" s="232" t="str">
        <f t="shared" si="824"/>
        <v/>
      </c>
      <c r="BQ365" s="232">
        <f t="shared" si="846"/>
        <v>1</v>
      </c>
      <c r="BR365" s="371"/>
      <c r="BS365" s="499">
        <v>30</v>
      </c>
      <c r="BT365" s="500">
        <v>30</v>
      </c>
      <c r="BU365" s="491">
        <f t="shared" si="825"/>
        <v>40</v>
      </c>
      <c r="BV365" s="371"/>
      <c r="BW365" s="232">
        <f t="shared" si="826"/>
        <v>30</v>
      </c>
      <c r="BX365" s="232" t="str">
        <f t="shared" si="827"/>
        <v/>
      </c>
      <c r="BY365" s="232" t="str">
        <f t="shared" si="828"/>
        <v/>
      </c>
      <c r="BZ365" s="232" t="str">
        <f t="shared" si="847"/>
        <v/>
      </c>
      <c r="CA365" s="371"/>
      <c r="CB365" s="507">
        <f t="shared" si="829"/>
        <v>50</v>
      </c>
      <c r="CC365" s="508">
        <f t="shared" si="830"/>
        <v>30</v>
      </c>
      <c r="CD365" s="509">
        <f t="shared" si="831"/>
        <v>20</v>
      </c>
      <c r="CE365" s="371"/>
      <c r="CF365" s="232">
        <f t="shared" si="832"/>
        <v>50</v>
      </c>
      <c r="CG365" s="232" t="str">
        <f t="shared" si="833"/>
        <v/>
      </c>
      <c r="CH365" s="232" t="str">
        <f t="shared" si="834"/>
        <v/>
      </c>
      <c r="CI365" s="232">
        <f t="shared" si="848"/>
        <v>1</v>
      </c>
      <c r="CJ365" s="232"/>
      <c r="CK365" s="489">
        <v>40</v>
      </c>
      <c r="CL365" s="490">
        <v>40</v>
      </c>
      <c r="CM365" s="491">
        <f t="shared" si="835"/>
        <v>20</v>
      </c>
      <c r="CN365" s="371"/>
      <c r="CO365" s="232">
        <f t="shared" si="836"/>
        <v>40</v>
      </c>
      <c r="CP365" s="232" t="str">
        <f t="shared" si="837"/>
        <v/>
      </c>
      <c r="CQ365" s="232" t="str">
        <f t="shared" si="838"/>
        <v/>
      </c>
      <c r="CR365" s="232">
        <f t="shared" si="849"/>
        <v>1</v>
      </c>
      <c r="CS365" s="232"/>
      <c r="CT365" s="371"/>
      <c r="CU365" s="296"/>
      <c r="CV365" s="246"/>
      <c r="CW365" s="264"/>
    </row>
    <row r="366" spans="1:101" x14ac:dyDescent="0.2">
      <c r="A366" s="264"/>
      <c r="B366" s="264"/>
      <c r="C366" s="202"/>
      <c r="D366" s="271">
        <v>7</v>
      </c>
      <c r="E366" s="166" t="s">
        <v>250</v>
      </c>
      <c r="F366" s="468">
        <v>1</v>
      </c>
      <c r="G366" s="472"/>
      <c r="H366" s="473">
        <v>1</v>
      </c>
      <c r="I366" s="170" t="str">
        <f t="shared" si="839"/>
        <v/>
      </c>
      <c r="J366" s="387" t="str">
        <f t="shared" si="800"/>
        <v>x</v>
      </c>
      <c r="K366" s="388" t="str">
        <f t="shared" si="801"/>
        <v/>
      </c>
      <c r="L366" s="299"/>
      <c r="M366" s="375"/>
      <c r="N366" s="379"/>
      <c r="O366" s="236"/>
      <c r="P366" s="236"/>
      <c r="Q366" s="480">
        <v>30</v>
      </c>
      <c r="R366" s="481">
        <v>30</v>
      </c>
      <c r="S366" s="482">
        <f t="shared" si="840"/>
        <v>40</v>
      </c>
      <c r="T366" s="371"/>
      <c r="U366" s="232" t="str">
        <f t="shared" si="802"/>
        <v/>
      </c>
      <c r="V366" s="232">
        <f t="shared" si="803"/>
        <v>30</v>
      </c>
      <c r="W366" s="232" t="str">
        <f t="shared" si="804"/>
        <v/>
      </c>
      <c r="X366" s="232" t="str">
        <f t="shared" si="841"/>
        <v/>
      </c>
      <c r="Y366" s="371"/>
      <c r="Z366" s="495">
        <v>10</v>
      </c>
      <c r="AA366" s="496">
        <v>10</v>
      </c>
      <c r="AB366" s="482">
        <f t="shared" si="805"/>
        <v>80</v>
      </c>
      <c r="AC366" s="371"/>
      <c r="AD366" s="232" t="str">
        <f t="shared" si="806"/>
        <v/>
      </c>
      <c r="AE366" s="232">
        <f t="shared" si="807"/>
        <v>10</v>
      </c>
      <c r="AF366" s="232" t="str">
        <f t="shared" si="808"/>
        <v/>
      </c>
      <c r="AG366" s="232" t="str">
        <f t="shared" si="842"/>
        <v/>
      </c>
      <c r="AH366" s="371"/>
      <c r="AI366" s="495">
        <v>70</v>
      </c>
      <c r="AJ366" s="496">
        <v>20</v>
      </c>
      <c r="AK366" s="482">
        <f t="shared" si="809"/>
        <v>10</v>
      </c>
      <c r="AL366" s="371"/>
      <c r="AM366" s="232" t="str">
        <f t="shared" si="810"/>
        <v/>
      </c>
      <c r="AN366" s="232">
        <f t="shared" si="811"/>
        <v>20</v>
      </c>
      <c r="AO366" s="232" t="str">
        <f t="shared" si="812"/>
        <v/>
      </c>
      <c r="AP366" s="232" t="str">
        <f t="shared" si="843"/>
        <v/>
      </c>
      <c r="AQ366" s="371"/>
      <c r="AR366" s="495">
        <v>30</v>
      </c>
      <c r="AS366" s="496">
        <v>30</v>
      </c>
      <c r="AT366" s="482">
        <f t="shared" si="813"/>
        <v>40</v>
      </c>
      <c r="AU366" s="371"/>
      <c r="AV366" s="232" t="str">
        <f t="shared" si="814"/>
        <v/>
      </c>
      <c r="AW366" s="232">
        <f t="shared" si="815"/>
        <v>30</v>
      </c>
      <c r="AX366" s="232" t="str">
        <f t="shared" si="816"/>
        <v/>
      </c>
      <c r="AY366" s="232" t="str">
        <f t="shared" si="844"/>
        <v/>
      </c>
      <c r="AZ366" s="371"/>
      <c r="BA366" s="495">
        <v>80</v>
      </c>
      <c r="BB366" s="496">
        <v>10</v>
      </c>
      <c r="BC366" s="482">
        <f t="shared" si="817"/>
        <v>10</v>
      </c>
      <c r="BD366" s="371"/>
      <c r="BE366" s="232" t="str">
        <f t="shared" si="818"/>
        <v/>
      </c>
      <c r="BF366" s="232">
        <f t="shared" si="819"/>
        <v>10</v>
      </c>
      <c r="BG366" s="232" t="str">
        <f t="shared" si="820"/>
        <v/>
      </c>
      <c r="BH366" s="232" t="str">
        <f t="shared" si="845"/>
        <v/>
      </c>
      <c r="BI366" s="371"/>
      <c r="BJ366" s="495">
        <v>80</v>
      </c>
      <c r="BK366" s="496">
        <v>10</v>
      </c>
      <c r="BL366" s="482">
        <f t="shared" si="821"/>
        <v>10</v>
      </c>
      <c r="BM366" s="371"/>
      <c r="BN366" s="232" t="str">
        <f t="shared" si="822"/>
        <v/>
      </c>
      <c r="BO366" s="232">
        <f t="shared" si="823"/>
        <v>10</v>
      </c>
      <c r="BP366" s="232" t="str">
        <f t="shared" si="824"/>
        <v/>
      </c>
      <c r="BQ366" s="232" t="str">
        <f t="shared" si="846"/>
        <v/>
      </c>
      <c r="BR366" s="371"/>
      <c r="BS366" s="495">
        <v>30</v>
      </c>
      <c r="BT366" s="496">
        <v>20</v>
      </c>
      <c r="BU366" s="482">
        <f t="shared" si="825"/>
        <v>50</v>
      </c>
      <c r="BV366" s="371"/>
      <c r="BW366" s="232" t="str">
        <f t="shared" si="826"/>
        <v/>
      </c>
      <c r="BX366" s="232">
        <f t="shared" si="827"/>
        <v>20</v>
      </c>
      <c r="BY366" s="232" t="str">
        <f t="shared" si="828"/>
        <v/>
      </c>
      <c r="BZ366" s="232" t="str">
        <f t="shared" si="847"/>
        <v/>
      </c>
      <c r="CA366" s="371"/>
      <c r="CB366" s="501">
        <f t="shared" si="829"/>
        <v>50</v>
      </c>
      <c r="CC366" s="502">
        <f t="shared" si="830"/>
        <v>10</v>
      </c>
      <c r="CD366" s="503">
        <f t="shared" si="831"/>
        <v>40</v>
      </c>
      <c r="CE366" s="371"/>
      <c r="CF366" s="232" t="str">
        <f t="shared" si="832"/>
        <v/>
      </c>
      <c r="CG366" s="232">
        <f t="shared" si="833"/>
        <v>10</v>
      </c>
      <c r="CH366" s="232" t="str">
        <f t="shared" si="834"/>
        <v/>
      </c>
      <c r="CI366" s="232" t="str">
        <f t="shared" si="848"/>
        <v/>
      </c>
      <c r="CJ366" s="232"/>
      <c r="CK366" s="480">
        <v>50</v>
      </c>
      <c r="CL366" s="481">
        <v>10</v>
      </c>
      <c r="CM366" s="482">
        <f t="shared" si="835"/>
        <v>40</v>
      </c>
      <c r="CN366" s="371"/>
      <c r="CO366" s="232" t="str">
        <f t="shared" si="836"/>
        <v/>
      </c>
      <c r="CP366" s="232">
        <f t="shared" si="837"/>
        <v>10</v>
      </c>
      <c r="CQ366" s="232" t="str">
        <f t="shared" si="838"/>
        <v/>
      </c>
      <c r="CR366" s="232" t="str">
        <f t="shared" si="849"/>
        <v/>
      </c>
      <c r="CS366" s="232"/>
      <c r="CT366" s="371"/>
      <c r="CU366" s="300"/>
      <c r="CV366" s="246"/>
      <c r="CW366" s="264"/>
    </row>
    <row r="367" spans="1:101" x14ac:dyDescent="0.2">
      <c r="A367" s="264"/>
      <c r="B367" s="264"/>
      <c r="C367" s="202"/>
      <c r="D367" s="271">
        <v>8</v>
      </c>
      <c r="E367" s="167" t="s">
        <v>251</v>
      </c>
      <c r="F367" s="469">
        <v>0</v>
      </c>
      <c r="G367" s="474"/>
      <c r="H367" s="475">
        <v>1</v>
      </c>
      <c r="I367" s="389" t="str">
        <f t="shared" si="839"/>
        <v/>
      </c>
      <c r="J367" s="390" t="str">
        <f t="shared" si="800"/>
        <v/>
      </c>
      <c r="K367" s="391" t="str">
        <f t="shared" si="801"/>
        <v>x</v>
      </c>
      <c r="L367" s="299"/>
      <c r="M367" s="375"/>
      <c r="N367" s="379"/>
      <c r="O367" s="236"/>
      <c r="P367" s="236"/>
      <c r="Q367" s="483">
        <v>40</v>
      </c>
      <c r="R367" s="484">
        <v>30</v>
      </c>
      <c r="S367" s="485">
        <f t="shared" si="840"/>
        <v>30</v>
      </c>
      <c r="T367" s="371"/>
      <c r="U367" s="232" t="str">
        <f t="shared" si="802"/>
        <v/>
      </c>
      <c r="V367" s="232" t="str">
        <f t="shared" si="803"/>
        <v/>
      </c>
      <c r="W367" s="232">
        <f t="shared" si="804"/>
        <v>30</v>
      </c>
      <c r="X367" s="232" t="str">
        <f t="shared" si="841"/>
        <v/>
      </c>
      <c r="Y367" s="371"/>
      <c r="Z367" s="497">
        <v>80</v>
      </c>
      <c r="AA367" s="498">
        <v>10</v>
      </c>
      <c r="AB367" s="485">
        <f t="shared" si="805"/>
        <v>10</v>
      </c>
      <c r="AC367" s="371"/>
      <c r="AD367" s="232" t="str">
        <f t="shared" si="806"/>
        <v/>
      </c>
      <c r="AE367" s="232" t="str">
        <f t="shared" si="807"/>
        <v/>
      </c>
      <c r="AF367" s="232">
        <f t="shared" si="808"/>
        <v>10</v>
      </c>
      <c r="AG367" s="232" t="str">
        <f t="shared" si="842"/>
        <v/>
      </c>
      <c r="AH367" s="371"/>
      <c r="AI367" s="497">
        <v>30</v>
      </c>
      <c r="AJ367" s="498">
        <v>30</v>
      </c>
      <c r="AK367" s="485">
        <f t="shared" si="809"/>
        <v>40</v>
      </c>
      <c r="AL367" s="371"/>
      <c r="AM367" s="232" t="str">
        <f t="shared" si="810"/>
        <v/>
      </c>
      <c r="AN367" s="232" t="str">
        <f t="shared" si="811"/>
        <v/>
      </c>
      <c r="AO367" s="232">
        <f t="shared" si="812"/>
        <v>40</v>
      </c>
      <c r="AP367" s="232">
        <f t="shared" si="843"/>
        <v>1</v>
      </c>
      <c r="AQ367" s="371"/>
      <c r="AR367" s="497">
        <v>60</v>
      </c>
      <c r="AS367" s="498">
        <v>30</v>
      </c>
      <c r="AT367" s="485">
        <f t="shared" si="813"/>
        <v>10</v>
      </c>
      <c r="AU367" s="371"/>
      <c r="AV367" s="232" t="str">
        <f t="shared" si="814"/>
        <v/>
      </c>
      <c r="AW367" s="232" t="str">
        <f t="shared" si="815"/>
        <v/>
      </c>
      <c r="AX367" s="232">
        <f t="shared" si="816"/>
        <v>10</v>
      </c>
      <c r="AY367" s="232" t="str">
        <f t="shared" si="844"/>
        <v/>
      </c>
      <c r="AZ367" s="371"/>
      <c r="BA367" s="497">
        <v>50</v>
      </c>
      <c r="BB367" s="498">
        <v>10</v>
      </c>
      <c r="BC367" s="485">
        <f t="shared" si="817"/>
        <v>40</v>
      </c>
      <c r="BD367" s="371"/>
      <c r="BE367" s="232" t="str">
        <f t="shared" si="818"/>
        <v/>
      </c>
      <c r="BF367" s="232" t="str">
        <f t="shared" si="819"/>
        <v/>
      </c>
      <c r="BG367" s="232">
        <f t="shared" si="820"/>
        <v>40</v>
      </c>
      <c r="BH367" s="232" t="str">
        <f t="shared" si="845"/>
        <v/>
      </c>
      <c r="BI367" s="371"/>
      <c r="BJ367" s="497">
        <v>80</v>
      </c>
      <c r="BK367" s="498">
        <v>10</v>
      </c>
      <c r="BL367" s="485">
        <f t="shared" si="821"/>
        <v>10</v>
      </c>
      <c r="BM367" s="371"/>
      <c r="BN367" s="232" t="str">
        <f t="shared" si="822"/>
        <v/>
      </c>
      <c r="BO367" s="232" t="str">
        <f t="shared" si="823"/>
        <v/>
      </c>
      <c r="BP367" s="232">
        <f t="shared" si="824"/>
        <v>10</v>
      </c>
      <c r="BQ367" s="232" t="str">
        <f t="shared" si="846"/>
        <v/>
      </c>
      <c r="BR367" s="371"/>
      <c r="BS367" s="497">
        <v>40</v>
      </c>
      <c r="BT367" s="498">
        <v>20</v>
      </c>
      <c r="BU367" s="485">
        <f t="shared" si="825"/>
        <v>40</v>
      </c>
      <c r="BV367" s="371"/>
      <c r="BW367" s="232" t="str">
        <f t="shared" si="826"/>
        <v/>
      </c>
      <c r="BX367" s="232" t="str">
        <f t="shared" si="827"/>
        <v/>
      </c>
      <c r="BY367" s="232">
        <f t="shared" si="828"/>
        <v>40</v>
      </c>
      <c r="BZ367" s="232">
        <f t="shared" si="847"/>
        <v>1</v>
      </c>
      <c r="CA367" s="371"/>
      <c r="CB367" s="504">
        <f t="shared" si="829"/>
        <v>60</v>
      </c>
      <c r="CC367" s="505">
        <f t="shared" si="830"/>
        <v>20</v>
      </c>
      <c r="CD367" s="506">
        <f t="shared" si="831"/>
        <v>20</v>
      </c>
      <c r="CE367" s="371"/>
      <c r="CF367" s="232" t="str">
        <f t="shared" si="832"/>
        <v/>
      </c>
      <c r="CG367" s="232" t="str">
        <f t="shared" si="833"/>
        <v/>
      </c>
      <c r="CH367" s="232">
        <f t="shared" si="834"/>
        <v>20</v>
      </c>
      <c r="CI367" s="232" t="str">
        <f t="shared" si="848"/>
        <v/>
      </c>
      <c r="CJ367" s="232"/>
      <c r="CK367" s="483">
        <v>40</v>
      </c>
      <c r="CL367" s="484">
        <v>10</v>
      </c>
      <c r="CM367" s="485">
        <f t="shared" si="835"/>
        <v>50</v>
      </c>
      <c r="CN367" s="371"/>
      <c r="CO367" s="232" t="str">
        <f t="shared" si="836"/>
        <v/>
      </c>
      <c r="CP367" s="232" t="str">
        <f t="shared" si="837"/>
        <v/>
      </c>
      <c r="CQ367" s="232">
        <f t="shared" si="838"/>
        <v>50</v>
      </c>
      <c r="CR367" s="232">
        <f t="shared" si="849"/>
        <v>1</v>
      </c>
      <c r="CS367" s="232"/>
      <c r="CT367" s="371"/>
      <c r="CU367" s="300"/>
      <c r="CV367" s="246"/>
      <c r="CW367" s="264"/>
    </row>
    <row r="368" spans="1:101" ht="13.5" thickBot="1" x14ac:dyDescent="0.25">
      <c r="A368" s="264"/>
      <c r="B368" s="264"/>
      <c r="C368" s="202"/>
      <c r="D368" s="271">
        <v>9</v>
      </c>
      <c r="E368" s="168" t="s">
        <v>252</v>
      </c>
      <c r="F368" s="470">
        <v>1</v>
      </c>
      <c r="G368" s="476"/>
      <c r="H368" s="477">
        <v>2</v>
      </c>
      <c r="I368" s="392" t="str">
        <f t="shared" si="839"/>
        <v/>
      </c>
      <c r="J368" s="393" t="str">
        <f t="shared" si="800"/>
        <v/>
      </c>
      <c r="K368" s="394" t="str">
        <f t="shared" si="801"/>
        <v>x</v>
      </c>
      <c r="L368" s="299"/>
      <c r="M368" s="375"/>
      <c r="N368" s="379"/>
      <c r="O368" s="236"/>
      <c r="P368" s="236"/>
      <c r="Q368" s="489">
        <v>60</v>
      </c>
      <c r="R368" s="490">
        <v>20</v>
      </c>
      <c r="S368" s="491">
        <f t="shared" si="840"/>
        <v>20</v>
      </c>
      <c r="T368" s="371"/>
      <c r="U368" s="232" t="str">
        <f t="shared" si="802"/>
        <v/>
      </c>
      <c r="V368" s="232" t="str">
        <f t="shared" si="803"/>
        <v/>
      </c>
      <c r="W368" s="232">
        <f t="shared" si="804"/>
        <v>20</v>
      </c>
      <c r="X368" s="232" t="str">
        <f t="shared" si="841"/>
        <v/>
      </c>
      <c r="Y368" s="371"/>
      <c r="Z368" s="499">
        <v>80</v>
      </c>
      <c r="AA368" s="500">
        <v>10</v>
      </c>
      <c r="AB368" s="491">
        <f t="shared" si="805"/>
        <v>10</v>
      </c>
      <c r="AC368" s="371"/>
      <c r="AD368" s="232" t="str">
        <f t="shared" si="806"/>
        <v/>
      </c>
      <c r="AE368" s="232" t="str">
        <f t="shared" si="807"/>
        <v/>
      </c>
      <c r="AF368" s="232">
        <f t="shared" si="808"/>
        <v>10</v>
      </c>
      <c r="AG368" s="232" t="str">
        <f t="shared" si="842"/>
        <v/>
      </c>
      <c r="AH368" s="371"/>
      <c r="AI368" s="499">
        <v>40</v>
      </c>
      <c r="AJ368" s="500">
        <v>20</v>
      </c>
      <c r="AK368" s="491">
        <f t="shared" si="809"/>
        <v>40</v>
      </c>
      <c r="AL368" s="371"/>
      <c r="AM368" s="232" t="str">
        <f t="shared" si="810"/>
        <v/>
      </c>
      <c r="AN368" s="232" t="str">
        <f t="shared" si="811"/>
        <v/>
      </c>
      <c r="AO368" s="232">
        <f t="shared" si="812"/>
        <v>40</v>
      </c>
      <c r="AP368" s="232">
        <f t="shared" si="843"/>
        <v>1</v>
      </c>
      <c r="AQ368" s="371"/>
      <c r="AR368" s="499">
        <v>60</v>
      </c>
      <c r="AS368" s="500">
        <v>30</v>
      </c>
      <c r="AT368" s="491">
        <f t="shared" si="813"/>
        <v>10</v>
      </c>
      <c r="AU368" s="371"/>
      <c r="AV368" s="232" t="str">
        <f t="shared" si="814"/>
        <v/>
      </c>
      <c r="AW368" s="232" t="str">
        <f t="shared" si="815"/>
        <v/>
      </c>
      <c r="AX368" s="232">
        <f t="shared" si="816"/>
        <v>10</v>
      </c>
      <c r="AY368" s="232" t="str">
        <f t="shared" si="844"/>
        <v/>
      </c>
      <c r="AZ368" s="371"/>
      <c r="BA368" s="499">
        <v>10</v>
      </c>
      <c r="BB368" s="500">
        <v>10</v>
      </c>
      <c r="BC368" s="491">
        <f t="shared" si="817"/>
        <v>80</v>
      </c>
      <c r="BD368" s="371"/>
      <c r="BE368" s="232" t="str">
        <f t="shared" si="818"/>
        <v/>
      </c>
      <c r="BF368" s="232" t="str">
        <f t="shared" si="819"/>
        <v/>
      </c>
      <c r="BG368" s="232">
        <f t="shared" si="820"/>
        <v>80</v>
      </c>
      <c r="BH368" s="232">
        <f t="shared" si="845"/>
        <v>1</v>
      </c>
      <c r="BI368" s="371"/>
      <c r="BJ368" s="499">
        <v>10</v>
      </c>
      <c r="BK368" s="500">
        <v>10</v>
      </c>
      <c r="BL368" s="491">
        <f t="shared" si="821"/>
        <v>80</v>
      </c>
      <c r="BM368" s="371"/>
      <c r="BN368" s="232" t="str">
        <f t="shared" si="822"/>
        <v/>
      </c>
      <c r="BO368" s="232" t="str">
        <f t="shared" si="823"/>
        <v/>
      </c>
      <c r="BP368" s="232">
        <f t="shared" si="824"/>
        <v>80</v>
      </c>
      <c r="BQ368" s="232">
        <f t="shared" si="846"/>
        <v>1</v>
      </c>
      <c r="BR368" s="371"/>
      <c r="BS368" s="499">
        <v>60</v>
      </c>
      <c r="BT368" s="500">
        <v>20</v>
      </c>
      <c r="BU368" s="491">
        <f t="shared" si="825"/>
        <v>20</v>
      </c>
      <c r="BV368" s="371"/>
      <c r="BW368" s="232" t="str">
        <f t="shared" si="826"/>
        <v/>
      </c>
      <c r="BX368" s="232" t="str">
        <f t="shared" si="827"/>
        <v/>
      </c>
      <c r="BY368" s="232">
        <f t="shared" si="828"/>
        <v>20</v>
      </c>
      <c r="BZ368" s="232" t="str">
        <f t="shared" si="847"/>
        <v/>
      </c>
      <c r="CA368" s="371"/>
      <c r="CB368" s="507">
        <f t="shared" si="829"/>
        <v>50</v>
      </c>
      <c r="CC368" s="508">
        <f t="shared" si="830"/>
        <v>10</v>
      </c>
      <c r="CD368" s="509">
        <f t="shared" si="831"/>
        <v>40</v>
      </c>
      <c r="CE368" s="371"/>
      <c r="CF368" s="232" t="str">
        <f t="shared" si="832"/>
        <v/>
      </c>
      <c r="CG368" s="232" t="str">
        <f t="shared" si="833"/>
        <v/>
      </c>
      <c r="CH368" s="232">
        <f t="shared" si="834"/>
        <v>40</v>
      </c>
      <c r="CI368" s="232" t="str">
        <f t="shared" si="848"/>
        <v/>
      </c>
      <c r="CJ368" s="232"/>
      <c r="CK368" s="489">
        <v>30</v>
      </c>
      <c r="CL368" s="490">
        <v>20</v>
      </c>
      <c r="CM368" s="491">
        <f t="shared" si="835"/>
        <v>50</v>
      </c>
      <c r="CN368" s="371"/>
      <c r="CO368" s="232" t="str">
        <f t="shared" si="836"/>
        <v/>
      </c>
      <c r="CP368" s="232" t="str">
        <f t="shared" si="837"/>
        <v/>
      </c>
      <c r="CQ368" s="232">
        <f t="shared" si="838"/>
        <v>50</v>
      </c>
      <c r="CR368" s="232">
        <f t="shared" si="849"/>
        <v>1</v>
      </c>
      <c r="CS368" s="232"/>
      <c r="CT368" s="371"/>
      <c r="CU368" s="300"/>
      <c r="CV368" s="246"/>
      <c r="CW368" s="264"/>
    </row>
    <row r="369" spans="1:101" x14ac:dyDescent="0.2">
      <c r="A369" s="264"/>
      <c r="B369" s="264"/>
      <c r="C369" s="202"/>
      <c r="D369" s="271">
        <v>10</v>
      </c>
      <c r="E369" s="169" t="s">
        <v>253</v>
      </c>
      <c r="F369" s="471">
        <v>0</v>
      </c>
      <c r="G369" s="478"/>
      <c r="H369" s="479">
        <v>0</v>
      </c>
      <c r="I369" s="170" t="str">
        <f t="shared" si="839"/>
        <v/>
      </c>
      <c r="J369" s="387" t="str">
        <f t="shared" si="800"/>
        <v>x</v>
      </c>
      <c r="K369" s="388" t="str">
        <f t="shared" si="801"/>
        <v/>
      </c>
      <c r="L369" s="299"/>
      <c r="M369" s="375"/>
      <c r="N369" s="379"/>
      <c r="O369" s="236"/>
      <c r="P369" s="236"/>
      <c r="Q369" s="492">
        <v>40</v>
      </c>
      <c r="R369" s="493">
        <v>30</v>
      </c>
      <c r="S369" s="494">
        <f t="shared" si="840"/>
        <v>30</v>
      </c>
      <c r="T369" s="371"/>
      <c r="U369" s="232" t="str">
        <f t="shared" si="802"/>
        <v/>
      </c>
      <c r="V369" s="232">
        <f t="shared" si="803"/>
        <v>30</v>
      </c>
      <c r="W369" s="232" t="str">
        <f t="shared" si="804"/>
        <v/>
      </c>
      <c r="X369" s="232" t="str">
        <f t="shared" si="841"/>
        <v/>
      </c>
      <c r="Y369" s="371"/>
      <c r="Z369" s="495">
        <v>80</v>
      </c>
      <c r="AA369" s="496">
        <v>10</v>
      </c>
      <c r="AB369" s="494">
        <f t="shared" si="805"/>
        <v>10</v>
      </c>
      <c r="AC369" s="371"/>
      <c r="AD369" s="232" t="str">
        <f t="shared" si="806"/>
        <v/>
      </c>
      <c r="AE369" s="232">
        <f t="shared" si="807"/>
        <v>10</v>
      </c>
      <c r="AF369" s="232" t="str">
        <f t="shared" si="808"/>
        <v/>
      </c>
      <c r="AG369" s="232" t="str">
        <f t="shared" si="842"/>
        <v/>
      </c>
      <c r="AH369" s="371"/>
      <c r="AI369" s="495">
        <v>80</v>
      </c>
      <c r="AJ369" s="496">
        <v>10</v>
      </c>
      <c r="AK369" s="494">
        <f t="shared" si="809"/>
        <v>10</v>
      </c>
      <c r="AL369" s="371"/>
      <c r="AM369" s="232" t="str">
        <f t="shared" si="810"/>
        <v/>
      </c>
      <c r="AN369" s="232">
        <f t="shared" si="811"/>
        <v>10</v>
      </c>
      <c r="AO369" s="232" t="str">
        <f t="shared" si="812"/>
        <v/>
      </c>
      <c r="AP369" s="232" t="str">
        <f t="shared" si="843"/>
        <v/>
      </c>
      <c r="AQ369" s="371"/>
      <c r="AR369" s="495">
        <v>80</v>
      </c>
      <c r="AS369" s="496">
        <v>10</v>
      </c>
      <c r="AT369" s="494">
        <f t="shared" si="813"/>
        <v>10</v>
      </c>
      <c r="AU369" s="371"/>
      <c r="AV369" s="232" t="str">
        <f t="shared" si="814"/>
        <v/>
      </c>
      <c r="AW369" s="232">
        <f t="shared" si="815"/>
        <v>10</v>
      </c>
      <c r="AX369" s="232" t="str">
        <f t="shared" si="816"/>
        <v/>
      </c>
      <c r="AY369" s="232" t="str">
        <f t="shared" si="844"/>
        <v/>
      </c>
      <c r="AZ369" s="371"/>
      <c r="BA369" s="495">
        <v>80</v>
      </c>
      <c r="BB369" s="496">
        <v>10</v>
      </c>
      <c r="BC369" s="494">
        <f t="shared" si="817"/>
        <v>10</v>
      </c>
      <c r="BD369" s="371"/>
      <c r="BE369" s="232" t="str">
        <f t="shared" si="818"/>
        <v/>
      </c>
      <c r="BF369" s="232">
        <f t="shared" si="819"/>
        <v>10</v>
      </c>
      <c r="BG369" s="232" t="str">
        <f t="shared" si="820"/>
        <v/>
      </c>
      <c r="BH369" s="232" t="str">
        <f t="shared" si="845"/>
        <v/>
      </c>
      <c r="BI369" s="371"/>
      <c r="BJ369" s="495">
        <v>80</v>
      </c>
      <c r="BK369" s="496">
        <v>10</v>
      </c>
      <c r="BL369" s="494">
        <f t="shared" si="821"/>
        <v>10</v>
      </c>
      <c r="BM369" s="371"/>
      <c r="BN369" s="232" t="str">
        <f t="shared" si="822"/>
        <v/>
      </c>
      <c r="BO369" s="232">
        <f t="shared" si="823"/>
        <v>10</v>
      </c>
      <c r="BP369" s="232" t="str">
        <f t="shared" si="824"/>
        <v/>
      </c>
      <c r="BQ369" s="232" t="str">
        <f t="shared" si="846"/>
        <v/>
      </c>
      <c r="BR369" s="371"/>
      <c r="BS369" s="495">
        <v>40</v>
      </c>
      <c r="BT369" s="496">
        <v>30</v>
      </c>
      <c r="BU369" s="494">
        <f t="shared" si="825"/>
        <v>30</v>
      </c>
      <c r="BV369" s="371"/>
      <c r="BW369" s="232" t="str">
        <f t="shared" si="826"/>
        <v/>
      </c>
      <c r="BX369" s="232">
        <f t="shared" si="827"/>
        <v>30</v>
      </c>
      <c r="BY369" s="232" t="str">
        <f t="shared" si="828"/>
        <v/>
      </c>
      <c r="BZ369" s="232" t="str">
        <f t="shared" si="847"/>
        <v/>
      </c>
      <c r="CA369" s="371"/>
      <c r="CB369" s="501">
        <f t="shared" si="829"/>
        <v>70</v>
      </c>
      <c r="CC369" s="502">
        <f t="shared" si="830"/>
        <v>10</v>
      </c>
      <c r="CD369" s="503">
        <f t="shared" si="831"/>
        <v>20</v>
      </c>
      <c r="CE369" s="371"/>
      <c r="CF369" s="232" t="str">
        <f t="shared" si="832"/>
        <v/>
      </c>
      <c r="CG369" s="232">
        <f t="shared" si="833"/>
        <v>10</v>
      </c>
      <c r="CH369" s="232" t="str">
        <f t="shared" si="834"/>
        <v/>
      </c>
      <c r="CI369" s="232" t="str">
        <f t="shared" si="848"/>
        <v/>
      </c>
      <c r="CJ369" s="232"/>
      <c r="CK369" s="492">
        <v>80</v>
      </c>
      <c r="CL369" s="493">
        <v>10</v>
      </c>
      <c r="CM369" s="494">
        <f t="shared" si="835"/>
        <v>10</v>
      </c>
      <c r="CN369" s="371"/>
      <c r="CO369" s="232" t="str">
        <f t="shared" si="836"/>
        <v/>
      </c>
      <c r="CP369" s="232">
        <f t="shared" si="837"/>
        <v>10</v>
      </c>
      <c r="CQ369" s="232" t="str">
        <f t="shared" si="838"/>
        <v/>
      </c>
      <c r="CR369" s="232" t="str">
        <f t="shared" si="849"/>
        <v/>
      </c>
      <c r="CS369" s="232"/>
      <c r="CT369" s="371"/>
      <c r="CU369" s="300"/>
      <c r="CV369" s="246"/>
      <c r="CW369" s="264"/>
    </row>
    <row r="370" spans="1:101" x14ac:dyDescent="0.2">
      <c r="A370" s="264"/>
      <c r="B370" s="264"/>
      <c r="C370" s="202"/>
      <c r="D370" s="271">
        <v>11</v>
      </c>
      <c r="E370" s="167" t="s">
        <v>254</v>
      </c>
      <c r="F370" s="469">
        <v>1</v>
      </c>
      <c r="G370" s="474"/>
      <c r="H370" s="475">
        <v>0</v>
      </c>
      <c r="I370" s="389" t="str">
        <f t="shared" si="839"/>
        <v>x</v>
      </c>
      <c r="J370" s="390" t="str">
        <f t="shared" si="800"/>
        <v/>
      </c>
      <c r="K370" s="391" t="str">
        <f t="shared" si="801"/>
        <v/>
      </c>
      <c r="L370" s="299"/>
      <c r="M370" s="375"/>
      <c r="N370" s="379"/>
      <c r="O370" s="236"/>
      <c r="P370" s="236"/>
      <c r="Q370" s="483">
        <v>30</v>
      </c>
      <c r="R370" s="484">
        <v>30</v>
      </c>
      <c r="S370" s="485">
        <f t="shared" si="840"/>
        <v>40</v>
      </c>
      <c r="T370" s="371"/>
      <c r="U370" s="232">
        <f t="shared" si="802"/>
        <v>30</v>
      </c>
      <c r="V370" s="232" t="str">
        <f t="shared" si="803"/>
        <v/>
      </c>
      <c r="W370" s="232" t="str">
        <f t="shared" si="804"/>
        <v/>
      </c>
      <c r="X370" s="232" t="str">
        <f t="shared" si="841"/>
        <v/>
      </c>
      <c r="Y370" s="371"/>
      <c r="Z370" s="497">
        <v>10</v>
      </c>
      <c r="AA370" s="498">
        <v>10</v>
      </c>
      <c r="AB370" s="485">
        <f t="shared" si="805"/>
        <v>80</v>
      </c>
      <c r="AC370" s="371"/>
      <c r="AD370" s="232">
        <f t="shared" si="806"/>
        <v>10</v>
      </c>
      <c r="AE370" s="232" t="str">
        <f t="shared" si="807"/>
        <v/>
      </c>
      <c r="AF370" s="232" t="str">
        <f t="shared" si="808"/>
        <v/>
      </c>
      <c r="AG370" s="232" t="str">
        <f t="shared" si="842"/>
        <v/>
      </c>
      <c r="AH370" s="371"/>
      <c r="AI370" s="497">
        <v>50</v>
      </c>
      <c r="AJ370" s="498">
        <v>30</v>
      </c>
      <c r="AK370" s="485">
        <f t="shared" si="809"/>
        <v>20</v>
      </c>
      <c r="AL370" s="371"/>
      <c r="AM370" s="232">
        <f t="shared" si="810"/>
        <v>50</v>
      </c>
      <c r="AN370" s="232" t="str">
        <f t="shared" si="811"/>
        <v/>
      </c>
      <c r="AO370" s="232" t="str">
        <f t="shared" si="812"/>
        <v/>
      </c>
      <c r="AP370" s="232">
        <f t="shared" si="843"/>
        <v>1</v>
      </c>
      <c r="AQ370" s="371"/>
      <c r="AR370" s="497">
        <v>10</v>
      </c>
      <c r="AS370" s="498">
        <v>30</v>
      </c>
      <c r="AT370" s="485">
        <f t="shared" si="813"/>
        <v>60</v>
      </c>
      <c r="AU370" s="371"/>
      <c r="AV370" s="232">
        <f t="shared" si="814"/>
        <v>10</v>
      </c>
      <c r="AW370" s="232" t="str">
        <f t="shared" si="815"/>
        <v/>
      </c>
      <c r="AX370" s="232" t="str">
        <f t="shared" si="816"/>
        <v/>
      </c>
      <c r="AY370" s="232" t="str">
        <f t="shared" si="844"/>
        <v/>
      </c>
      <c r="AZ370" s="371"/>
      <c r="BA370" s="497">
        <v>80</v>
      </c>
      <c r="BB370" s="498">
        <v>10</v>
      </c>
      <c r="BC370" s="485">
        <f t="shared" si="817"/>
        <v>10</v>
      </c>
      <c r="BD370" s="371"/>
      <c r="BE370" s="232">
        <f t="shared" si="818"/>
        <v>80</v>
      </c>
      <c r="BF370" s="232" t="str">
        <f t="shared" si="819"/>
        <v/>
      </c>
      <c r="BG370" s="232" t="str">
        <f t="shared" si="820"/>
        <v/>
      </c>
      <c r="BH370" s="232">
        <f t="shared" si="845"/>
        <v>1</v>
      </c>
      <c r="BI370" s="371"/>
      <c r="BJ370" s="497">
        <v>10</v>
      </c>
      <c r="BK370" s="498">
        <v>10</v>
      </c>
      <c r="BL370" s="485">
        <f t="shared" si="821"/>
        <v>80</v>
      </c>
      <c r="BM370" s="371"/>
      <c r="BN370" s="232">
        <f t="shared" si="822"/>
        <v>10</v>
      </c>
      <c r="BO370" s="232" t="str">
        <f t="shared" si="823"/>
        <v/>
      </c>
      <c r="BP370" s="232" t="str">
        <f t="shared" si="824"/>
        <v/>
      </c>
      <c r="BQ370" s="232" t="str">
        <f t="shared" si="846"/>
        <v/>
      </c>
      <c r="BR370" s="371"/>
      <c r="BS370" s="497">
        <v>40</v>
      </c>
      <c r="BT370" s="498">
        <v>20</v>
      </c>
      <c r="BU370" s="485">
        <f t="shared" si="825"/>
        <v>40</v>
      </c>
      <c r="BV370" s="371"/>
      <c r="BW370" s="232">
        <f t="shared" si="826"/>
        <v>40</v>
      </c>
      <c r="BX370" s="232" t="str">
        <f t="shared" si="827"/>
        <v/>
      </c>
      <c r="BY370" s="232" t="str">
        <f t="shared" si="828"/>
        <v/>
      </c>
      <c r="BZ370" s="232">
        <f t="shared" si="847"/>
        <v>1</v>
      </c>
      <c r="CA370" s="371"/>
      <c r="CB370" s="504">
        <f t="shared" si="829"/>
        <v>40</v>
      </c>
      <c r="CC370" s="505">
        <f t="shared" si="830"/>
        <v>20</v>
      </c>
      <c r="CD370" s="506">
        <f t="shared" si="831"/>
        <v>40</v>
      </c>
      <c r="CE370" s="371"/>
      <c r="CF370" s="232">
        <f t="shared" si="832"/>
        <v>40</v>
      </c>
      <c r="CG370" s="232" t="str">
        <f t="shared" si="833"/>
        <v/>
      </c>
      <c r="CH370" s="232" t="str">
        <f t="shared" si="834"/>
        <v/>
      </c>
      <c r="CI370" s="232">
        <f t="shared" si="848"/>
        <v>1</v>
      </c>
      <c r="CJ370" s="232"/>
      <c r="CK370" s="483">
        <v>60</v>
      </c>
      <c r="CL370" s="484">
        <v>20</v>
      </c>
      <c r="CM370" s="485">
        <f t="shared" si="835"/>
        <v>20</v>
      </c>
      <c r="CN370" s="371"/>
      <c r="CO370" s="232">
        <f t="shared" si="836"/>
        <v>60</v>
      </c>
      <c r="CP370" s="232" t="str">
        <f t="shared" si="837"/>
        <v/>
      </c>
      <c r="CQ370" s="232" t="str">
        <f t="shared" si="838"/>
        <v/>
      </c>
      <c r="CR370" s="232">
        <f t="shared" si="849"/>
        <v>1</v>
      </c>
      <c r="CS370" s="232"/>
      <c r="CT370" s="371"/>
      <c r="CU370" s="300"/>
      <c r="CV370" s="246"/>
      <c r="CW370" s="264"/>
    </row>
    <row r="371" spans="1:101" ht="13.5" thickBot="1" x14ac:dyDescent="0.25">
      <c r="A371" s="264"/>
      <c r="B371" s="264"/>
      <c r="C371" s="202"/>
      <c r="D371" s="271">
        <v>12</v>
      </c>
      <c r="E371" s="168" t="s">
        <v>255</v>
      </c>
      <c r="F371" s="470">
        <v>0</v>
      </c>
      <c r="G371" s="476"/>
      <c r="H371" s="477">
        <v>0</v>
      </c>
      <c r="I371" s="392" t="str">
        <f t="shared" si="839"/>
        <v/>
      </c>
      <c r="J371" s="393" t="str">
        <f t="shared" si="800"/>
        <v>x</v>
      </c>
      <c r="K371" s="394" t="str">
        <f t="shared" si="801"/>
        <v/>
      </c>
      <c r="L371" s="299"/>
      <c r="M371" s="375"/>
      <c r="N371" s="379"/>
      <c r="O371" s="236"/>
      <c r="P371" s="236"/>
      <c r="Q371" s="489">
        <v>30</v>
      </c>
      <c r="R371" s="490">
        <v>30</v>
      </c>
      <c r="S371" s="491">
        <f t="shared" si="840"/>
        <v>40</v>
      </c>
      <c r="T371" s="371"/>
      <c r="U371" s="232" t="str">
        <f t="shared" si="802"/>
        <v/>
      </c>
      <c r="V371" s="232">
        <f t="shared" si="803"/>
        <v>30</v>
      </c>
      <c r="W371" s="232" t="str">
        <f t="shared" si="804"/>
        <v/>
      </c>
      <c r="X371" s="232" t="str">
        <f t="shared" si="841"/>
        <v/>
      </c>
      <c r="Y371" s="371"/>
      <c r="Z371" s="499">
        <v>10</v>
      </c>
      <c r="AA371" s="500">
        <v>10</v>
      </c>
      <c r="AB371" s="491">
        <f t="shared" si="805"/>
        <v>80</v>
      </c>
      <c r="AC371" s="371"/>
      <c r="AD371" s="232" t="str">
        <f t="shared" si="806"/>
        <v/>
      </c>
      <c r="AE371" s="232">
        <f t="shared" si="807"/>
        <v>10</v>
      </c>
      <c r="AF371" s="232" t="str">
        <f t="shared" si="808"/>
        <v/>
      </c>
      <c r="AG371" s="232" t="str">
        <f t="shared" si="842"/>
        <v/>
      </c>
      <c r="AH371" s="371"/>
      <c r="AI371" s="499">
        <v>10</v>
      </c>
      <c r="AJ371" s="500">
        <v>10</v>
      </c>
      <c r="AK371" s="491">
        <f t="shared" si="809"/>
        <v>80</v>
      </c>
      <c r="AL371" s="371"/>
      <c r="AM371" s="232" t="str">
        <f t="shared" si="810"/>
        <v/>
      </c>
      <c r="AN371" s="232">
        <f t="shared" si="811"/>
        <v>10</v>
      </c>
      <c r="AO371" s="232" t="str">
        <f t="shared" si="812"/>
        <v/>
      </c>
      <c r="AP371" s="232" t="str">
        <f t="shared" si="843"/>
        <v/>
      </c>
      <c r="AQ371" s="371"/>
      <c r="AR371" s="499">
        <v>10</v>
      </c>
      <c r="AS371" s="500">
        <v>30</v>
      </c>
      <c r="AT371" s="491">
        <f t="shared" si="813"/>
        <v>60</v>
      </c>
      <c r="AU371" s="371"/>
      <c r="AV371" s="232" t="str">
        <f t="shared" si="814"/>
        <v/>
      </c>
      <c r="AW371" s="232">
        <f t="shared" si="815"/>
        <v>30</v>
      </c>
      <c r="AX371" s="232" t="str">
        <f t="shared" si="816"/>
        <v/>
      </c>
      <c r="AY371" s="232" t="str">
        <f t="shared" si="844"/>
        <v/>
      </c>
      <c r="AZ371" s="371"/>
      <c r="BA371" s="499">
        <v>10</v>
      </c>
      <c r="BB371" s="500">
        <v>10</v>
      </c>
      <c r="BC371" s="491">
        <f t="shared" si="817"/>
        <v>80</v>
      </c>
      <c r="BD371" s="371"/>
      <c r="BE371" s="232" t="str">
        <f t="shared" si="818"/>
        <v/>
      </c>
      <c r="BF371" s="232">
        <f t="shared" si="819"/>
        <v>10</v>
      </c>
      <c r="BG371" s="232" t="str">
        <f t="shared" si="820"/>
        <v/>
      </c>
      <c r="BH371" s="232" t="str">
        <f t="shared" si="845"/>
        <v/>
      </c>
      <c r="BI371" s="371"/>
      <c r="BJ371" s="499">
        <v>10</v>
      </c>
      <c r="BK371" s="500">
        <v>10</v>
      </c>
      <c r="BL371" s="491">
        <f t="shared" si="821"/>
        <v>80</v>
      </c>
      <c r="BM371" s="371"/>
      <c r="BN371" s="232" t="str">
        <f t="shared" si="822"/>
        <v/>
      </c>
      <c r="BO371" s="232">
        <f t="shared" si="823"/>
        <v>10</v>
      </c>
      <c r="BP371" s="232" t="str">
        <f t="shared" si="824"/>
        <v/>
      </c>
      <c r="BQ371" s="232" t="str">
        <f t="shared" si="846"/>
        <v/>
      </c>
      <c r="BR371" s="371"/>
      <c r="BS371" s="499">
        <v>20</v>
      </c>
      <c r="BT371" s="500">
        <v>20</v>
      </c>
      <c r="BU371" s="491">
        <f t="shared" si="825"/>
        <v>60</v>
      </c>
      <c r="BV371" s="371"/>
      <c r="BW371" s="232" t="str">
        <f t="shared" si="826"/>
        <v/>
      </c>
      <c r="BX371" s="232">
        <f t="shared" si="827"/>
        <v>20</v>
      </c>
      <c r="BY371" s="232" t="str">
        <f t="shared" si="828"/>
        <v/>
      </c>
      <c r="BZ371" s="232" t="str">
        <f t="shared" si="847"/>
        <v/>
      </c>
      <c r="CA371" s="371"/>
      <c r="CB371" s="507">
        <f t="shared" si="829"/>
        <v>20</v>
      </c>
      <c r="CC371" s="508">
        <f t="shared" si="830"/>
        <v>10</v>
      </c>
      <c r="CD371" s="509">
        <f t="shared" si="831"/>
        <v>70</v>
      </c>
      <c r="CE371" s="371"/>
      <c r="CF371" s="232" t="str">
        <f t="shared" si="832"/>
        <v/>
      </c>
      <c r="CG371" s="232">
        <f t="shared" si="833"/>
        <v>10</v>
      </c>
      <c r="CH371" s="232" t="str">
        <f t="shared" si="834"/>
        <v/>
      </c>
      <c r="CI371" s="232" t="str">
        <f t="shared" si="848"/>
        <v/>
      </c>
      <c r="CJ371" s="232"/>
      <c r="CK371" s="489">
        <v>10</v>
      </c>
      <c r="CL371" s="490">
        <v>10</v>
      </c>
      <c r="CM371" s="491">
        <f t="shared" si="835"/>
        <v>80</v>
      </c>
      <c r="CN371" s="371"/>
      <c r="CO371" s="232" t="str">
        <f t="shared" si="836"/>
        <v/>
      </c>
      <c r="CP371" s="232">
        <f t="shared" si="837"/>
        <v>10</v>
      </c>
      <c r="CQ371" s="232" t="str">
        <f t="shared" si="838"/>
        <v/>
      </c>
      <c r="CR371" s="232" t="str">
        <f t="shared" si="849"/>
        <v/>
      </c>
      <c r="CS371" s="232"/>
      <c r="CT371" s="371"/>
      <c r="CU371" s="300"/>
      <c r="CV371" s="246"/>
      <c r="CW371" s="264"/>
    </row>
    <row r="372" spans="1:101" x14ac:dyDescent="0.2">
      <c r="A372" s="264"/>
      <c r="B372" s="264"/>
      <c r="C372" s="202"/>
      <c r="D372" s="272"/>
      <c r="E372" s="235"/>
      <c r="F372" s="395">
        <f>IF(SUM(F360:F371)=0,"",SUM(F360:F371))</f>
        <v>10</v>
      </c>
      <c r="G372" s="370" t="s">
        <v>49</v>
      </c>
      <c r="H372" s="396">
        <f>IF(SUM(H360:H371)=0,"",SUM(H360:H371))</f>
        <v>8</v>
      </c>
      <c r="I372" s="397">
        <f>IF(COUNTIF(I360:I371,"=x")=0,"",COUNTIF(I360:I371,"=x"))</f>
        <v>4</v>
      </c>
      <c r="J372" s="398">
        <f>IF(COUNTIF(J360:J371,"=x")=0,"",COUNTIF(J360:J371,"=x"))</f>
        <v>5</v>
      </c>
      <c r="K372" s="399">
        <f>IF(COUNTIF(K360:K371,"=x")=0,"",COUNTIF(K360:K371,"=x"))</f>
        <v>3</v>
      </c>
      <c r="L372" s="299"/>
      <c r="M372" s="375"/>
      <c r="N372" s="379"/>
      <c r="O372" s="236"/>
      <c r="P372" s="369"/>
      <c r="Q372" s="466">
        <f>SUM(U360:U371)</f>
        <v>180</v>
      </c>
      <c r="R372" s="466">
        <f>SUM(V360:V371)</f>
        <v>180</v>
      </c>
      <c r="S372" s="466">
        <f>SUM(W360:W371)</f>
        <v>70</v>
      </c>
      <c r="T372" s="368"/>
      <c r="U372" s="232"/>
      <c r="V372" s="232"/>
      <c r="W372" s="232"/>
      <c r="X372" s="232"/>
      <c r="Y372" s="367"/>
      <c r="Z372" s="466">
        <f>SUM(AD360:AD371)</f>
        <v>180</v>
      </c>
      <c r="AA372" s="466">
        <f>SUM(AE360:AE371)</f>
        <v>50</v>
      </c>
      <c r="AB372" s="466">
        <f>SUM(AF360:AF371)</f>
        <v>30</v>
      </c>
      <c r="AC372" s="368"/>
      <c r="AD372" s="232"/>
      <c r="AE372" s="232"/>
      <c r="AF372" s="232"/>
      <c r="AG372" s="232"/>
      <c r="AH372" s="367"/>
      <c r="AI372" s="466">
        <f>SUM(AM360:AM371)</f>
        <v>240</v>
      </c>
      <c r="AJ372" s="466">
        <f>SUM(AN360:AN371)</f>
        <v>60</v>
      </c>
      <c r="AK372" s="466">
        <f>SUM(AO360:AO371)</f>
        <v>110</v>
      </c>
      <c r="AL372" s="368"/>
      <c r="AM372" s="232"/>
      <c r="AN372" s="232"/>
      <c r="AO372" s="232"/>
      <c r="AP372" s="232"/>
      <c r="AQ372" s="367"/>
      <c r="AR372" s="466">
        <f>SUM(AV360:AV371)</f>
        <v>90</v>
      </c>
      <c r="AS372" s="466">
        <f>SUM(AW360:AW371)</f>
        <v>90</v>
      </c>
      <c r="AT372" s="466">
        <f>SUM(AX360:AX371)</f>
        <v>30</v>
      </c>
      <c r="AU372" s="368"/>
      <c r="AV372" s="232"/>
      <c r="AW372" s="232"/>
      <c r="AX372" s="232"/>
      <c r="AY372" s="232"/>
      <c r="AZ372" s="367"/>
      <c r="BA372" s="466">
        <f>SUM(BE360:BE371)</f>
        <v>320</v>
      </c>
      <c r="BB372" s="466">
        <f>SUM(BF360:BF371)</f>
        <v>50</v>
      </c>
      <c r="BC372" s="466">
        <f>SUM(BG360:BG371)</f>
        <v>130</v>
      </c>
      <c r="BD372" s="368"/>
      <c r="BE372" s="232"/>
      <c r="BF372" s="232"/>
      <c r="BG372" s="232"/>
      <c r="BH372" s="232"/>
      <c r="BI372" s="367"/>
      <c r="BJ372" s="466">
        <f>SUM(BN360:BN371)</f>
        <v>170</v>
      </c>
      <c r="BK372" s="466">
        <f>SUM(BO360:BO371)</f>
        <v>50</v>
      </c>
      <c r="BL372" s="466">
        <f>SUM(BP360:BP371)</f>
        <v>100</v>
      </c>
      <c r="BM372" s="368"/>
      <c r="BN372" s="232"/>
      <c r="BO372" s="232"/>
      <c r="BP372" s="232"/>
      <c r="BQ372" s="232"/>
      <c r="BR372" s="367"/>
      <c r="BS372" s="466">
        <f>SUM(BW360:BW371)</f>
        <v>150</v>
      </c>
      <c r="BT372" s="466">
        <f>SUM(BX360:BX371)</f>
        <v>100</v>
      </c>
      <c r="BU372" s="466">
        <f>SUM(BY360:BY371)</f>
        <v>100</v>
      </c>
      <c r="BV372" s="368"/>
      <c r="BW372" s="232"/>
      <c r="BX372" s="232"/>
      <c r="BY372" s="232"/>
      <c r="BZ372" s="232"/>
      <c r="CA372" s="369"/>
      <c r="CB372" s="466">
        <f>SUM(CF360:CF371)</f>
        <v>210</v>
      </c>
      <c r="CC372" s="466">
        <f>SUM(CG360:CG371)</f>
        <v>60</v>
      </c>
      <c r="CD372" s="466">
        <f>SUM(CH360:CH371)</f>
        <v>70</v>
      </c>
      <c r="CE372" s="368"/>
      <c r="CF372" s="232"/>
      <c r="CG372" s="232"/>
      <c r="CH372" s="232"/>
      <c r="CI372" s="232"/>
      <c r="CJ372" s="232"/>
      <c r="CK372" s="466">
        <f>SUM(CO360:CO371)</f>
        <v>240</v>
      </c>
      <c r="CL372" s="466">
        <f>SUM(CP360:CP371)</f>
        <v>60</v>
      </c>
      <c r="CM372" s="466">
        <f>SUM(CQ360:CQ371)</f>
        <v>130</v>
      </c>
      <c r="CN372" s="368"/>
      <c r="CO372" s="232"/>
      <c r="CP372" s="232"/>
      <c r="CQ372" s="232"/>
      <c r="CR372" s="232"/>
      <c r="CS372" s="232"/>
      <c r="CT372" s="232"/>
      <c r="CU372" s="300"/>
      <c r="CV372" s="246"/>
      <c r="CW372" s="265"/>
    </row>
    <row r="373" spans="1:101" ht="13.5" thickBot="1" x14ac:dyDescent="0.25">
      <c r="A373" s="264"/>
      <c r="B373" s="264"/>
      <c r="C373" s="202"/>
      <c r="D373" s="289"/>
      <c r="E373" s="282"/>
      <c r="F373" s="283"/>
      <c r="G373" s="282"/>
      <c r="H373" s="282"/>
      <c r="I373" s="282"/>
      <c r="J373" s="282"/>
      <c r="K373" s="282"/>
      <c r="L373" s="293"/>
      <c r="M373" s="301"/>
      <c r="N373" s="380"/>
      <c r="O373" s="376"/>
      <c r="P373" s="284"/>
      <c r="Q373" s="285"/>
      <c r="R373" s="285"/>
      <c r="S373" s="285"/>
      <c r="T373" s="286"/>
      <c r="U373" s="287"/>
      <c r="V373" s="287"/>
      <c r="W373" s="287"/>
      <c r="X373" s="287"/>
      <c r="Y373" s="284"/>
      <c r="Z373" s="285"/>
      <c r="AA373" s="285"/>
      <c r="AB373" s="285"/>
      <c r="AC373" s="286"/>
      <c r="AD373" s="287"/>
      <c r="AE373" s="287"/>
      <c r="AF373" s="287"/>
      <c r="AG373" s="288"/>
      <c r="AH373" s="284"/>
      <c r="AI373" s="285"/>
      <c r="AJ373" s="285"/>
      <c r="AK373" s="285"/>
      <c r="AL373" s="286"/>
      <c r="AM373" s="287"/>
      <c r="AN373" s="287"/>
      <c r="AO373" s="287"/>
      <c r="AP373" s="288"/>
      <c r="AQ373" s="284"/>
      <c r="AR373" s="285"/>
      <c r="AS373" s="285"/>
      <c r="AT373" s="285"/>
      <c r="AU373" s="286"/>
      <c r="AV373" s="287"/>
      <c r="AW373" s="287"/>
      <c r="AX373" s="287"/>
      <c r="AY373" s="288"/>
      <c r="AZ373" s="284"/>
      <c r="BA373" s="285"/>
      <c r="BB373" s="285"/>
      <c r="BC373" s="285"/>
      <c r="BD373" s="286"/>
      <c r="BE373" s="287"/>
      <c r="BF373" s="287"/>
      <c r="BG373" s="287"/>
      <c r="BH373" s="288"/>
      <c r="BI373" s="284"/>
      <c r="BJ373" s="284"/>
      <c r="BK373" s="284"/>
      <c r="BL373" s="284"/>
      <c r="BM373" s="284"/>
      <c r="BN373" s="284"/>
      <c r="BO373" s="284"/>
      <c r="BP373" s="284"/>
      <c r="BQ373" s="284"/>
      <c r="BR373" s="284"/>
      <c r="BS373" s="284"/>
      <c r="BT373" s="284"/>
      <c r="BU373" s="284"/>
      <c r="BV373" s="284"/>
      <c r="BW373" s="284"/>
      <c r="BX373" s="284"/>
      <c r="BY373" s="284"/>
      <c r="BZ373" s="284"/>
      <c r="CA373" s="284"/>
      <c r="CB373" s="284"/>
      <c r="CC373" s="284"/>
      <c r="CD373" s="284"/>
      <c r="CE373" s="284"/>
      <c r="CF373" s="284"/>
      <c r="CG373" s="284"/>
      <c r="CH373" s="284"/>
      <c r="CI373" s="284"/>
      <c r="CJ373" s="288"/>
      <c r="CK373" s="288"/>
      <c r="CL373" s="288"/>
      <c r="CM373" s="288"/>
      <c r="CN373" s="288"/>
      <c r="CO373" s="288"/>
      <c r="CP373" s="288"/>
      <c r="CQ373" s="288"/>
      <c r="CR373" s="288"/>
      <c r="CS373" s="288"/>
      <c r="CT373" s="282"/>
      <c r="CU373" s="294"/>
      <c r="CV373" s="246"/>
      <c r="CW373" s="265"/>
    </row>
    <row r="374" spans="1:101" ht="14.25" thickTop="1" thickBot="1" x14ac:dyDescent="0.25">
      <c r="A374" s="256"/>
      <c r="B374" s="256"/>
      <c r="C374" s="210"/>
      <c r="D374" s="211"/>
      <c r="E374" s="247"/>
      <c r="F374" s="248"/>
      <c r="G374" s="247"/>
      <c r="H374" s="247"/>
      <c r="I374" s="247"/>
      <c r="J374" s="247"/>
      <c r="K374" s="247"/>
      <c r="L374" s="249"/>
      <c r="M374" s="250"/>
      <c r="N374" s="250"/>
      <c r="O374" s="250"/>
      <c r="P374" s="250"/>
      <c r="Q374" s="247"/>
      <c r="R374" s="247"/>
      <c r="S374" s="247"/>
      <c r="T374" s="251"/>
      <c r="U374" s="252"/>
      <c r="V374" s="252"/>
      <c r="W374" s="252"/>
      <c r="X374" s="252"/>
      <c r="Y374" s="250"/>
      <c r="Z374" s="247"/>
      <c r="AA374" s="247"/>
      <c r="AB374" s="247"/>
      <c r="AC374" s="251"/>
      <c r="AD374" s="252"/>
      <c r="AE374" s="252"/>
      <c r="AF374" s="252"/>
      <c r="AG374" s="247"/>
      <c r="AH374" s="250"/>
      <c r="AI374" s="247"/>
      <c r="AJ374" s="247"/>
      <c r="AK374" s="247"/>
      <c r="AL374" s="251"/>
      <c r="AM374" s="252"/>
      <c r="AN374" s="252"/>
      <c r="AO374" s="252"/>
      <c r="AP374" s="253"/>
      <c r="AQ374" s="250"/>
      <c r="AR374" s="247"/>
      <c r="AS374" s="247"/>
      <c r="AT374" s="247"/>
      <c r="AU374" s="251"/>
      <c r="AV374" s="252"/>
      <c r="AW374" s="252"/>
      <c r="AX374" s="252"/>
      <c r="AY374" s="247"/>
      <c r="AZ374" s="250"/>
      <c r="BA374" s="247"/>
      <c r="BB374" s="247"/>
      <c r="BC374" s="247"/>
      <c r="BD374" s="251"/>
      <c r="BE374" s="252"/>
      <c r="BF374" s="252"/>
      <c r="BG374" s="252"/>
      <c r="BH374" s="247"/>
      <c r="BI374" s="250"/>
      <c r="BJ374" s="247"/>
      <c r="BK374" s="247"/>
      <c r="BL374" s="247"/>
      <c r="BM374" s="251"/>
      <c r="BN374" s="252"/>
      <c r="BO374" s="252"/>
      <c r="BP374" s="252"/>
      <c r="BQ374" s="247"/>
      <c r="BR374" s="212"/>
      <c r="BS374" s="247"/>
      <c r="BT374" s="247"/>
      <c r="BU374" s="247"/>
      <c r="BV374" s="250"/>
      <c r="BW374" s="252"/>
      <c r="BX374" s="252"/>
      <c r="BY374" s="252"/>
      <c r="BZ374" s="247"/>
      <c r="CA374" s="247"/>
      <c r="CB374" s="253"/>
      <c r="CC374" s="253"/>
      <c r="CD374" s="253"/>
      <c r="CE374" s="253"/>
      <c r="CF374" s="247"/>
      <c r="CG374" s="247"/>
      <c r="CH374" s="247"/>
      <c r="CI374" s="247"/>
      <c r="CJ374" s="247"/>
      <c r="CK374" s="247"/>
      <c r="CL374" s="247"/>
      <c r="CM374" s="247"/>
      <c r="CN374" s="247"/>
      <c r="CO374" s="247"/>
      <c r="CP374" s="247"/>
      <c r="CQ374" s="247"/>
      <c r="CR374" s="247"/>
      <c r="CS374" s="247"/>
      <c r="CT374" s="247"/>
      <c r="CU374" s="247"/>
      <c r="CV374" s="254"/>
      <c r="CW374" s="255"/>
    </row>
    <row r="375" spans="1:101" ht="14.25" thickTop="1" thickBot="1" x14ac:dyDescent="0.25">
      <c r="A375" s="255"/>
      <c r="B375" s="255"/>
      <c r="C375" s="255"/>
      <c r="D375" s="255"/>
      <c r="E375" s="255"/>
      <c r="F375" s="255"/>
      <c r="G375" s="255"/>
      <c r="H375" s="255"/>
      <c r="I375" s="255"/>
      <c r="J375" s="255"/>
      <c r="K375" s="255"/>
      <c r="L375" s="255"/>
      <c r="M375" s="255"/>
      <c r="N375" s="255"/>
      <c r="O375" s="255"/>
      <c r="P375" s="255"/>
      <c r="Q375" s="255"/>
      <c r="R375" s="255"/>
      <c r="S375" s="255"/>
      <c r="T375" s="255"/>
      <c r="U375" s="255"/>
      <c r="V375" s="255"/>
      <c r="W375" s="255"/>
      <c r="X375" s="255"/>
      <c r="Y375" s="255"/>
      <c r="Z375" s="255"/>
      <c r="AA375" s="255"/>
      <c r="AB375" s="255"/>
      <c r="AC375" s="255"/>
      <c r="AD375" s="255"/>
      <c r="AE375" s="255"/>
      <c r="AF375" s="255"/>
      <c r="AG375" s="255"/>
      <c r="AH375" s="255"/>
      <c r="AI375" s="255"/>
      <c r="AJ375" s="255"/>
      <c r="AK375" s="255"/>
      <c r="AL375" s="255"/>
      <c r="AM375" s="255"/>
      <c r="AN375" s="255"/>
      <c r="AO375" s="255"/>
      <c r="AP375" s="255"/>
      <c r="AQ375" s="255"/>
      <c r="AR375" s="255"/>
      <c r="AS375" s="255"/>
      <c r="AT375" s="255"/>
      <c r="AU375" s="255"/>
      <c r="AV375" s="255"/>
      <c r="AW375" s="255"/>
      <c r="AX375" s="255"/>
      <c r="AY375" s="255"/>
      <c r="AZ375" s="255"/>
      <c r="BA375" s="255"/>
      <c r="BB375" s="255"/>
      <c r="BC375" s="255"/>
      <c r="BD375" s="255"/>
      <c r="BE375" s="255"/>
      <c r="BF375" s="255"/>
      <c r="BG375" s="255"/>
      <c r="BH375" s="255"/>
      <c r="BI375" s="255"/>
      <c r="BJ375" s="255"/>
      <c r="BK375" s="255"/>
      <c r="BL375" s="255"/>
      <c r="BM375" s="255"/>
      <c r="BN375" s="255"/>
      <c r="BO375" s="255"/>
      <c r="BP375" s="255"/>
      <c r="BQ375" s="255"/>
      <c r="BR375" s="255"/>
      <c r="BS375" s="255"/>
      <c r="BT375" s="255"/>
      <c r="BU375" s="255"/>
      <c r="BV375" s="255"/>
      <c r="BW375" s="255"/>
      <c r="BX375" s="255"/>
      <c r="BY375" s="255"/>
      <c r="BZ375" s="255"/>
      <c r="CA375" s="255"/>
      <c r="CB375" s="436"/>
      <c r="CC375" s="436"/>
      <c r="CD375" s="436"/>
      <c r="CE375" s="436"/>
      <c r="CF375" s="255"/>
      <c r="CG375" s="255"/>
      <c r="CH375" s="255"/>
      <c r="CI375" s="255"/>
      <c r="CJ375" s="255"/>
      <c r="CK375" s="255"/>
      <c r="CL375" s="255"/>
      <c r="CM375" s="255"/>
      <c r="CN375" s="255"/>
      <c r="CO375" s="255"/>
      <c r="CP375" s="255"/>
      <c r="CQ375" s="255"/>
      <c r="CR375" s="255"/>
      <c r="CS375" s="255"/>
      <c r="CT375" s="255"/>
      <c r="CU375" s="255"/>
      <c r="CV375" s="255"/>
      <c r="CW375" s="255"/>
    </row>
    <row r="376" spans="1:101" ht="21" thickTop="1" x14ac:dyDescent="0.3">
      <c r="A376" s="256"/>
      <c r="B376" s="256"/>
      <c r="C376" s="190"/>
      <c r="D376" s="191"/>
      <c r="E376" s="866" t="str">
        <f>E2</f>
        <v>STPS 2026</v>
      </c>
      <c r="F376" s="267"/>
      <c r="G376" s="267"/>
      <c r="H376" s="267"/>
      <c r="I376" s="192"/>
      <c r="J376" s="192"/>
      <c r="K376" s="192"/>
      <c r="L376" s="193"/>
      <c r="M376" s="192"/>
      <c r="N376" s="192"/>
      <c r="O376" s="192"/>
      <c r="P376" s="194"/>
      <c r="Q376" s="192"/>
      <c r="R376" s="192"/>
      <c r="S376" s="192"/>
      <c r="T376" s="195"/>
      <c r="U376" s="196"/>
      <c r="V376" s="196"/>
      <c r="W376" s="196"/>
      <c r="X376" s="196"/>
      <c r="Y376" s="194"/>
      <c r="Z376" s="192"/>
      <c r="AA376" s="192"/>
      <c r="AB376" s="192"/>
      <c r="AC376" s="195"/>
      <c r="AD376" s="196"/>
      <c r="AE376" s="196"/>
      <c r="AF376" s="196"/>
      <c r="AG376" s="197"/>
      <c r="AH376" s="194"/>
      <c r="AI376" s="192"/>
      <c r="AJ376" s="237"/>
      <c r="AK376" s="237"/>
      <c r="AL376" s="198"/>
      <c r="AM376" s="238"/>
      <c r="AN376" s="238"/>
      <c r="AO376" s="238"/>
      <c r="AP376" s="197"/>
      <c r="AQ376" s="239"/>
      <c r="AR376" s="240"/>
      <c r="AS376" s="199"/>
      <c r="AT376" s="200"/>
      <c r="AU376" s="198"/>
      <c r="AV376" s="196"/>
      <c r="AW376" s="196"/>
      <c r="AX376" s="196"/>
      <c r="AY376" s="197"/>
      <c r="AZ376" s="239"/>
      <c r="BA376" s="240"/>
      <c r="BB376" s="200"/>
      <c r="BC376" s="237"/>
      <c r="BD376" s="241"/>
      <c r="BE376" s="196"/>
      <c r="BF376" s="196"/>
      <c r="BG376" s="196"/>
      <c r="BH376" s="197"/>
      <c r="BI376" s="242"/>
      <c r="BJ376" s="237"/>
      <c r="BK376" s="237"/>
      <c r="BL376" s="237"/>
      <c r="BM376" s="241"/>
      <c r="BN376" s="196"/>
      <c r="BO376" s="196"/>
      <c r="BP376" s="196"/>
      <c r="BQ376" s="197"/>
      <c r="BR376" s="201"/>
      <c r="BS376" s="237"/>
      <c r="BT376" s="237"/>
      <c r="BU376" s="237"/>
      <c r="BV376" s="242"/>
      <c r="BW376" s="237"/>
      <c r="BX376" s="237"/>
      <c r="BY376" s="237"/>
      <c r="BZ376" s="237"/>
      <c r="CA376" s="237"/>
      <c r="CB376" s="437"/>
      <c r="CC376" s="437"/>
      <c r="CD376" s="437"/>
      <c r="CE376" s="437"/>
      <c r="CF376" s="237"/>
      <c r="CG376" s="237"/>
      <c r="CH376" s="237"/>
      <c r="CI376" s="237"/>
      <c r="CJ376" s="197"/>
      <c r="CK376" s="197"/>
      <c r="CL376" s="197"/>
      <c r="CM376" s="197"/>
      <c r="CN376" s="197"/>
      <c r="CO376" s="197"/>
      <c r="CP376" s="197"/>
      <c r="CQ376" s="197"/>
      <c r="CR376" s="197"/>
      <c r="CS376" s="197"/>
      <c r="CT376" s="401"/>
      <c r="CU376" s="237"/>
      <c r="CV376" s="243"/>
      <c r="CW376" s="255"/>
    </row>
    <row r="377" spans="1:101" ht="13.5" thickBot="1" x14ac:dyDescent="0.25">
      <c r="A377" s="256" t="s">
        <v>256</v>
      </c>
      <c r="B377" s="256"/>
      <c r="C377" s="202"/>
      <c r="D377" s="188"/>
      <c r="E377" s="266" t="str">
        <f>E3</f>
        <v>Skorgen Tippelag</v>
      </c>
      <c r="F377" s="406"/>
      <c r="G377" s="406"/>
      <c r="H377" s="406"/>
      <c r="I377" s="406"/>
      <c r="J377" s="406"/>
      <c r="K377" s="406"/>
      <c r="L377" s="406"/>
      <c r="M377" s="406"/>
      <c r="N377" s="406"/>
      <c r="O377" s="406"/>
      <c r="P377" s="406"/>
      <c r="Q377" s="406"/>
      <c r="R377" s="406"/>
      <c r="S377" s="406"/>
      <c r="T377" s="406"/>
      <c r="U377" s="406"/>
      <c r="V377" s="406"/>
      <c r="W377" s="406"/>
      <c r="X377" s="406"/>
      <c r="Y377" s="406"/>
      <c r="Z377" s="406"/>
      <c r="AA377" s="406"/>
      <c r="AB377" s="406"/>
      <c r="AC377" s="406"/>
      <c r="AD377" s="406"/>
      <c r="AE377" s="406"/>
      <c r="AF377" s="406"/>
      <c r="AG377" s="406"/>
      <c r="AH377" s="406"/>
      <c r="AI377" s="406"/>
      <c r="AJ377" s="406"/>
      <c r="AK377" s="406"/>
      <c r="AL377" s="406"/>
      <c r="AM377" s="406"/>
      <c r="AN377" s="406"/>
      <c r="AO377" s="406"/>
      <c r="AP377" s="406"/>
      <c r="AQ377" s="406"/>
      <c r="AR377" s="406"/>
      <c r="AS377" s="406"/>
      <c r="AT377" s="406"/>
      <c r="AU377" s="406"/>
      <c r="AV377" s="406"/>
      <c r="AW377" s="406"/>
      <c r="AX377" s="406"/>
      <c r="AY377" s="406"/>
      <c r="AZ377" s="406"/>
      <c r="BA377" s="406"/>
      <c r="BB377" s="406"/>
      <c r="BC377" s="406"/>
      <c r="BD377" s="406"/>
      <c r="BE377" s="406"/>
      <c r="BF377" s="406"/>
      <c r="BG377" s="406"/>
      <c r="BH377" s="406"/>
      <c r="BI377" s="406"/>
      <c r="BJ377" s="406"/>
      <c r="BK377" s="406"/>
      <c r="BL377" s="406"/>
      <c r="BM377" s="406"/>
      <c r="BN377" s="406"/>
      <c r="BO377" s="406"/>
      <c r="BP377" s="406"/>
      <c r="BQ377" s="406"/>
      <c r="BR377" s="406"/>
      <c r="BS377" s="406"/>
      <c r="BT377" s="406"/>
      <c r="BU377" s="406"/>
      <c r="BV377" s="406"/>
      <c r="BW377" s="406"/>
      <c r="BX377" s="406"/>
      <c r="BY377" s="406"/>
      <c r="BZ377" s="406"/>
      <c r="CA377" s="406"/>
      <c r="CB377" s="438"/>
      <c r="CC377" s="438"/>
      <c r="CD377" s="438"/>
      <c r="CE377" s="438"/>
      <c r="CF377" s="406"/>
      <c r="CG377" s="406"/>
      <c r="CH377" s="406"/>
      <c r="CI377" s="406"/>
      <c r="CJ377" s="406"/>
      <c r="CK377" s="406"/>
      <c r="CL377" s="406"/>
      <c r="CM377" s="406"/>
      <c r="CN377" s="366"/>
      <c r="CO377" s="366"/>
      <c r="CP377" s="366"/>
      <c r="CQ377" s="366"/>
      <c r="CR377" s="366"/>
      <c r="CS377" s="366"/>
      <c r="CT377" s="187"/>
      <c r="CU377" s="310"/>
      <c r="CV377" s="246"/>
      <c r="CW377" s="255"/>
    </row>
    <row r="378" spans="1:101" ht="18.75" thickTop="1" x14ac:dyDescent="0.2">
      <c r="A378" s="256"/>
      <c r="B378" s="256"/>
      <c r="C378" s="209"/>
      <c r="D378" s="290"/>
      <c r="E378" s="273"/>
      <c r="F378" s="274"/>
      <c r="G378" s="273"/>
      <c r="H378" s="273"/>
      <c r="I378" s="803" t="s">
        <v>39</v>
      </c>
      <c r="J378" s="805"/>
      <c r="K378" s="805"/>
      <c r="L378" s="291"/>
      <c r="M378" s="302"/>
      <c r="N378" s="242"/>
      <c r="O378" s="275"/>
      <c r="P378" s="275"/>
      <c r="Q378" s="808">
        <f>IF($F382="","",SUM(Q394:S394)-S380)</f>
        <v>450</v>
      </c>
      <c r="R378" s="808"/>
      <c r="S378" s="808"/>
      <c r="T378" s="276"/>
      <c r="U378" s="277"/>
      <c r="V378" s="277"/>
      <c r="W378" s="277"/>
      <c r="X378" s="277"/>
      <c r="Y378" s="275"/>
      <c r="Z378" s="808">
        <f>IF($F382="","",SUM(Z394:AB394)-AB380)</f>
        <v>540</v>
      </c>
      <c r="AA378" s="808"/>
      <c r="AB378" s="808"/>
      <c r="AC378" s="276"/>
      <c r="AD378" s="277"/>
      <c r="AE378" s="277"/>
      <c r="AF378" s="277"/>
      <c r="AG378" s="273"/>
      <c r="AH378" s="275"/>
      <c r="AI378" s="808">
        <f>IF($F382="","",SUM(AI394:AK394)-AK380)</f>
        <v>500</v>
      </c>
      <c r="AJ378" s="808"/>
      <c r="AK378" s="808"/>
      <c r="AL378" s="276"/>
      <c r="AM378" s="277"/>
      <c r="AN378" s="277"/>
      <c r="AO378" s="277"/>
      <c r="AP378" s="273"/>
      <c r="AQ378" s="275"/>
      <c r="AR378" s="808">
        <f>IF($F382="","",SUM(AR394:AT394)-AT380)</f>
        <v>410</v>
      </c>
      <c r="AS378" s="808"/>
      <c r="AT378" s="808"/>
      <c r="AU378" s="278"/>
      <c r="AV378" s="277"/>
      <c r="AW378" s="277"/>
      <c r="AX378" s="277"/>
      <c r="AY378" s="279"/>
      <c r="AZ378" s="280"/>
      <c r="BA378" s="808">
        <f>IF($F382="","",SUM(BA394:BC394)-BC380)</f>
        <v>400</v>
      </c>
      <c r="BB378" s="808"/>
      <c r="BC378" s="808"/>
      <c r="BD378" s="278"/>
      <c r="BE378" s="277"/>
      <c r="BF378" s="277"/>
      <c r="BG378" s="277"/>
      <c r="BH378" s="279"/>
      <c r="BI378" s="280"/>
      <c r="BJ378" s="808">
        <f>IF($F382="","",SUM(BJ394:BL394)-BL380)</f>
        <v>370</v>
      </c>
      <c r="BK378" s="808"/>
      <c r="BL378" s="808"/>
      <c r="BM378" s="278"/>
      <c r="BN378" s="277"/>
      <c r="BO378" s="277"/>
      <c r="BP378" s="277"/>
      <c r="BQ378" s="279"/>
      <c r="BR378" s="281"/>
      <c r="BS378" s="808">
        <f>IF($F382="","",SUM(BS394:BU394)-BU380)</f>
        <v>460</v>
      </c>
      <c r="BT378" s="808"/>
      <c r="BU378" s="808"/>
      <c r="BV378" s="280"/>
      <c r="BW378" s="279"/>
      <c r="BX378" s="279"/>
      <c r="BY378" s="279"/>
      <c r="BZ378" s="279"/>
      <c r="CA378" s="281"/>
      <c r="CB378" s="808">
        <f>IF($F382="","",SUM(CB394:CD394)-CD380)</f>
        <v>460</v>
      </c>
      <c r="CC378" s="808"/>
      <c r="CD378" s="808"/>
      <c r="CE378" s="280"/>
      <c r="CF378" s="279"/>
      <c r="CG378" s="279"/>
      <c r="CH378" s="279"/>
      <c r="CI378" s="279"/>
      <c r="CJ378" s="273"/>
      <c r="CK378" s="808">
        <f>IF($F382="","",SUM(CK394:CM394))</f>
        <v>410</v>
      </c>
      <c r="CL378" s="808"/>
      <c r="CM378" s="808"/>
      <c r="CN378" s="280"/>
      <c r="CO378" s="279"/>
      <c r="CP378" s="279"/>
      <c r="CQ378" s="279"/>
      <c r="CR378" s="273"/>
      <c r="CS378" s="273"/>
      <c r="CT378" s="273"/>
      <c r="CU378" s="292"/>
      <c r="CV378" s="246"/>
      <c r="CW378" s="255"/>
    </row>
    <row r="379" spans="1:101" x14ac:dyDescent="0.2">
      <c r="A379" s="256"/>
      <c r="B379" s="256"/>
      <c r="C379" s="209"/>
      <c r="D379" s="916">
        <v>4</v>
      </c>
      <c r="E379" s="588">
        <f>IF(D379="","",DATE($D$3,1,1)+(D379-1)*7+(6-WEEKDAY(DATE($D$3,1,1),2)))</f>
        <v>46046</v>
      </c>
      <c r="F379" s="213"/>
      <c r="G379" s="214"/>
      <c r="H379" s="214"/>
      <c r="I379" s="804">
        <f>IF(ISERROR(AVERAGE(Q378,Z378,AI378,AR378,BA378,BJ378,BS378,CB378,CK378)),"",AVERAGE(Q378,Z378,AI378,AR378,BA378,BJ378,BS378,CB378,CK378))</f>
        <v>444.44444444444446</v>
      </c>
      <c r="J379" s="806"/>
      <c r="K379" s="806"/>
      <c r="L379" s="295"/>
      <c r="M379" s="372"/>
      <c r="N379" s="245"/>
      <c r="O379" s="215"/>
      <c r="P379" s="215"/>
      <c r="Q379" s="710">
        <f>IF(Q378="","",Q378/Data!$X$1)</f>
        <v>0.375</v>
      </c>
      <c r="R379" s="710"/>
      <c r="S379" s="711">
        <f>IF(SUM(X382:X393)=0,"",SUM(X382:X393))</f>
        <v>6</v>
      </c>
      <c r="T379" s="216"/>
      <c r="U379" s="217"/>
      <c r="V379" s="217"/>
      <c r="W379" s="217"/>
      <c r="X379" s="217"/>
      <c r="Y379" s="215"/>
      <c r="Z379" s="710">
        <f>IF(Z378="","",Z378/Data!$X$1)</f>
        <v>0.45</v>
      </c>
      <c r="AA379" s="710"/>
      <c r="AB379" s="711">
        <f>IF(SUM(AG382:AG393)=0,"",SUM(AG382:AG393))</f>
        <v>6</v>
      </c>
      <c r="AC379" s="216"/>
      <c r="AD379" s="217"/>
      <c r="AE379" s="217"/>
      <c r="AF379" s="217"/>
      <c r="AG379" s="217"/>
      <c r="AH379" s="215"/>
      <c r="AI379" s="710">
        <f>IF(AI378="","",AI378/Data!$X$1)</f>
        <v>0.41666666666666669</v>
      </c>
      <c r="AJ379" s="710"/>
      <c r="AK379" s="711">
        <f>IF(SUM(AP382:AP393)=0,"",SUM(AP382:AP393))</f>
        <v>5</v>
      </c>
      <c r="AL379" s="216"/>
      <c r="AM379" s="217"/>
      <c r="AN379" s="217"/>
      <c r="AO379" s="217"/>
      <c r="AP379" s="217"/>
      <c r="AQ379" s="215"/>
      <c r="AR379" s="710">
        <f>IF(AR378="","",AR378/Data!$X$1)</f>
        <v>0.34166666666666667</v>
      </c>
      <c r="AS379" s="710"/>
      <c r="AT379" s="711">
        <f>IF(SUM(AY382:AY393)=0,"",SUM(AY382:AY393))</f>
        <v>4</v>
      </c>
      <c r="AU379" s="218"/>
      <c r="AV379" s="217"/>
      <c r="AW379" s="217"/>
      <c r="AX379" s="217"/>
      <c r="AY379" s="217"/>
      <c r="AZ379" s="219"/>
      <c r="BA379" s="710">
        <f>IF(BA378="","",BA378/Data!$X$1)</f>
        <v>0.33333333333333331</v>
      </c>
      <c r="BB379" s="710"/>
      <c r="BC379" s="711">
        <f>IF(SUM(BH382:BH393)=0,"",SUM(BH382:BH393))</f>
        <v>5</v>
      </c>
      <c r="BD379" s="218"/>
      <c r="BE379" s="217"/>
      <c r="BF379" s="217"/>
      <c r="BG379" s="217"/>
      <c r="BH379" s="217"/>
      <c r="BI379" s="219"/>
      <c r="BJ379" s="710">
        <f>IF(BJ378="","",BJ378/Data!$X$1)</f>
        <v>0.30833333333333335</v>
      </c>
      <c r="BK379" s="710"/>
      <c r="BL379" s="711">
        <f>IF(SUM(BQ382:BQ393)=0,"",SUM(BQ382:BQ393))</f>
        <v>4</v>
      </c>
      <c r="BM379" s="218"/>
      <c r="BN379" s="217"/>
      <c r="BO379" s="217"/>
      <c r="BP379" s="217"/>
      <c r="BQ379" s="217"/>
      <c r="BR379" s="220"/>
      <c r="BS379" s="710">
        <f>IF(BS378="","",BS378/Data!$X$1)</f>
        <v>0.38333333333333336</v>
      </c>
      <c r="BT379" s="710"/>
      <c r="BU379" s="711">
        <f>IF(SUM(BZ382:BZ393)=0,"",SUM(BZ382:BZ393))</f>
        <v>5</v>
      </c>
      <c r="BV379" s="219"/>
      <c r="BW379" s="217"/>
      <c r="BX379" s="217"/>
      <c r="BY379" s="217"/>
      <c r="BZ379" s="217"/>
      <c r="CA379" s="220"/>
      <c r="CB379" s="710">
        <f>IF(CB378="","",CB378/Data!$X$1)</f>
        <v>0.38333333333333336</v>
      </c>
      <c r="CC379" s="710"/>
      <c r="CD379" s="711">
        <f>IF(SUM(CI382:CI393)=0,"",SUM(CI382:CI393))</f>
        <v>5</v>
      </c>
      <c r="CE379" s="219"/>
      <c r="CF379" s="217"/>
      <c r="CG379" s="217"/>
      <c r="CH379" s="217"/>
      <c r="CI379" s="217"/>
      <c r="CJ379" s="217"/>
      <c r="CK379" s="710">
        <f>IF(CK378="","",CK378/Data!$X$1)</f>
        <v>0.34166666666666667</v>
      </c>
      <c r="CL379" s="710"/>
      <c r="CM379" s="711">
        <f>IF(SUM(CR382:CR393)=0,"",SUM(CR382:CR393))</f>
        <v>5</v>
      </c>
      <c r="CN379" s="219"/>
      <c r="CO379" s="217"/>
      <c r="CP379" s="217"/>
      <c r="CQ379" s="217"/>
      <c r="CR379" s="217"/>
      <c r="CS379" s="217"/>
      <c r="CT379" s="217"/>
      <c r="CU379" s="296"/>
      <c r="CV379" s="246"/>
      <c r="CW379" s="255"/>
    </row>
    <row r="380" spans="1:101" ht="13.5" thickBot="1" x14ac:dyDescent="0.25">
      <c r="A380" s="256"/>
      <c r="B380" s="256"/>
      <c r="C380" s="209"/>
      <c r="D380" s="269">
        <f>D358+1</f>
        <v>18</v>
      </c>
      <c r="E380" s="402" t="str">
        <f>IF(E379="","Sett inn dato over her",TEXT(E379,"dddd"))</f>
        <v>lørdag</v>
      </c>
      <c r="F380" s="221"/>
      <c r="G380" s="222"/>
      <c r="H380" s="222"/>
      <c r="I380" s="802"/>
      <c r="J380" s="807"/>
      <c r="K380" s="807"/>
      <c r="L380" s="297"/>
      <c r="M380" s="373"/>
      <c r="N380" s="377"/>
      <c r="O380" s="222"/>
      <c r="P380" s="222"/>
      <c r="Q380" s="385" t="str">
        <f>Data!$E$11</f>
        <v>AHH</v>
      </c>
      <c r="R380" s="386">
        <f>IF($F393="","",RANK(Q378,$Q378:$CL378))</f>
        <v>5</v>
      </c>
      <c r="S380" s="510"/>
      <c r="T380" s="216">
        <v>0</v>
      </c>
      <c r="U380" s="217"/>
      <c r="V380" s="217"/>
      <c r="W380" s="217"/>
      <c r="X380" s="217"/>
      <c r="Y380" s="215"/>
      <c r="Z380" s="385" t="str">
        <f>Data!$E$12</f>
        <v>RB</v>
      </c>
      <c r="AA380" s="386">
        <f>IF($F393="","",RANK(Z378,$Q378:$CL378))</f>
        <v>1</v>
      </c>
      <c r="AB380" s="510"/>
      <c r="AC380" s="216"/>
      <c r="AD380" s="217"/>
      <c r="AE380" s="217"/>
      <c r="AF380" s="217"/>
      <c r="AG380" s="217"/>
      <c r="AH380" s="215"/>
      <c r="AI380" s="385" t="str">
        <f>Data!$E$13</f>
        <v>EB</v>
      </c>
      <c r="AJ380" s="386">
        <f>IF($F393="","",RANK(AI378,$Q378:$CL378))</f>
        <v>2</v>
      </c>
      <c r="AK380" s="510"/>
      <c r="AL380" s="216"/>
      <c r="AM380" s="217"/>
      <c r="AN380" s="217"/>
      <c r="AO380" s="217"/>
      <c r="AP380" s="217"/>
      <c r="AQ380" s="215"/>
      <c r="AR380" s="346" t="str">
        <f>Data!$E$14</f>
        <v>KAF</v>
      </c>
      <c r="AS380" s="386">
        <f>IF($F393="","",RANK(AR378,$Q378:$CL378))</f>
        <v>6</v>
      </c>
      <c r="AT380" s="510"/>
      <c r="AU380" s="216"/>
      <c r="AV380" s="217"/>
      <c r="AW380" s="217"/>
      <c r="AX380" s="217"/>
      <c r="AY380" s="217"/>
      <c r="AZ380" s="215"/>
      <c r="BA380" s="346" t="str">
        <f>Data!$E$15</f>
        <v>ØG</v>
      </c>
      <c r="BB380" s="386">
        <f>IF($F393="","",RANK(BA378,$Q378:$CL378))</f>
        <v>8</v>
      </c>
      <c r="BC380" s="510"/>
      <c r="BD380" s="216"/>
      <c r="BE380" s="217"/>
      <c r="BF380" s="217"/>
      <c r="BG380" s="217"/>
      <c r="BH380" s="217"/>
      <c r="BI380" s="215"/>
      <c r="BJ380" s="346" t="str">
        <f>Data!$E$16</f>
        <v>JH</v>
      </c>
      <c r="BK380" s="386">
        <f>IF($F393="","",RANK(BJ378,$Q378:$CL378))</f>
        <v>9</v>
      </c>
      <c r="BL380" s="510"/>
      <c r="BM380" s="216"/>
      <c r="BN380" s="217"/>
      <c r="BO380" s="217"/>
      <c r="BP380" s="217"/>
      <c r="BQ380" s="217"/>
      <c r="BR380" s="223"/>
      <c r="BS380" s="346" t="str">
        <f>Data!$E$17</f>
        <v>TOH</v>
      </c>
      <c r="BT380" s="386">
        <f>IF($F393="","",RANK(BS378,$Q378:$CL378))</f>
        <v>3</v>
      </c>
      <c r="BU380" s="510"/>
      <c r="BV380" s="215"/>
      <c r="BW380" s="217"/>
      <c r="BX380" s="217"/>
      <c r="BY380" s="217"/>
      <c r="BZ380" s="217"/>
      <c r="CA380" s="223"/>
      <c r="CB380" s="346" t="s">
        <v>26</v>
      </c>
      <c r="CC380" s="386">
        <f>IF($F393="","",RANK(CB378,$Q378:$CM378))</f>
        <v>3</v>
      </c>
      <c r="CD380" s="511"/>
      <c r="CE380" s="215"/>
      <c r="CF380" s="217"/>
      <c r="CG380" s="217"/>
      <c r="CH380" s="217"/>
      <c r="CI380" s="217"/>
      <c r="CJ380" s="217"/>
      <c r="CK380" s="346" t="s">
        <v>27</v>
      </c>
      <c r="CL380" s="386">
        <f>IF($F393="","",RANK(CK378,$Q378:$CM378))</f>
        <v>6</v>
      </c>
      <c r="CM380" s="798"/>
      <c r="CN380" s="215"/>
      <c r="CO380" s="217"/>
      <c r="CP380" s="217"/>
      <c r="CQ380" s="217"/>
      <c r="CR380" s="217"/>
      <c r="CS380" s="217"/>
      <c r="CT380" s="217"/>
      <c r="CU380" s="296"/>
      <c r="CV380" s="246"/>
      <c r="CW380" s="255"/>
    </row>
    <row r="381" spans="1:101" ht="13.5" thickBot="1" x14ac:dyDescent="0.25">
      <c r="A381" s="264"/>
      <c r="B381" s="264"/>
      <c r="C381" s="202"/>
      <c r="D381" s="270"/>
      <c r="E381" s="224"/>
      <c r="F381" s="225"/>
      <c r="G381" s="226"/>
      <c r="H381" s="226"/>
      <c r="I381" s="227" t="s">
        <v>45</v>
      </c>
      <c r="J381" s="228" t="s">
        <v>46</v>
      </c>
      <c r="K381" s="229" t="s">
        <v>47</v>
      </c>
      <c r="L381" s="298"/>
      <c r="M381" s="374"/>
      <c r="N381" s="378"/>
      <c r="O381" s="230"/>
      <c r="P381" s="230"/>
      <c r="Q381" s="227" t="s">
        <v>45</v>
      </c>
      <c r="R381" s="228" t="s">
        <v>46</v>
      </c>
      <c r="S381" s="229" t="s">
        <v>47</v>
      </c>
      <c r="T381" s="231"/>
      <c r="U381" s="232"/>
      <c r="V381" s="232"/>
      <c r="W381" s="232"/>
      <c r="X381" s="232"/>
      <c r="Y381" s="230"/>
      <c r="Z381" s="227" t="s">
        <v>45</v>
      </c>
      <c r="AA381" s="228" t="s">
        <v>46</v>
      </c>
      <c r="AB381" s="229" t="s">
        <v>47</v>
      </c>
      <c r="AC381" s="231"/>
      <c r="AD381" s="232"/>
      <c r="AE381" s="232"/>
      <c r="AF381" s="232"/>
      <c r="AG381" s="232"/>
      <c r="AH381" s="230"/>
      <c r="AI381" s="227" t="s">
        <v>45</v>
      </c>
      <c r="AJ381" s="228" t="s">
        <v>46</v>
      </c>
      <c r="AK381" s="229" t="s">
        <v>47</v>
      </c>
      <c r="AL381" s="231"/>
      <c r="AM381" s="232"/>
      <c r="AN381" s="232"/>
      <c r="AO381" s="232"/>
      <c r="AP381" s="232"/>
      <c r="AQ381" s="230"/>
      <c r="AR381" s="227" t="s">
        <v>45</v>
      </c>
      <c r="AS381" s="228" t="s">
        <v>46</v>
      </c>
      <c r="AT381" s="229" t="s">
        <v>47</v>
      </c>
      <c r="AU381" s="231"/>
      <c r="AV381" s="232"/>
      <c r="AW381" s="232"/>
      <c r="AX381" s="232"/>
      <c r="AY381" s="232"/>
      <c r="AZ381" s="230"/>
      <c r="BA381" s="227" t="s">
        <v>45</v>
      </c>
      <c r="BB381" s="228" t="s">
        <v>46</v>
      </c>
      <c r="BC381" s="229" t="s">
        <v>47</v>
      </c>
      <c r="BD381" s="231"/>
      <c r="BE381" s="232"/>
      <c r="BF381" s="232"/>
      <c r="BG381" s="232"/>
      <c r="BH381" s="232"/>
      <c r="BI381" s="230"/>
      <c r="BJ381" s="227" t="s">
        <v>45</v>
      </c>
      <c r="BK381" s="228" t="s">
        <v>46</v>
      </c>
      <c r="BL381" s="229" t="s">
        <v>47</v>
      </c>
      <c r="BM381" s="231"/>
      <c r="BN381" s="232"/>
      <c r="BO381" s="232"/>
      <c r="BP381" s="232"/>
      <c r="BQ381" s="232"/>
      <c r="BR381" s="230"/>
      <c r="BS381" s="227" t="s">
        <v>45</v>
      </c>
      <c r="BT381" s="228" t="s">
        <v>46</v>
      </c>
      <c r="BU381" s="229" t="s">
        <v>47</v>
      </c>
      <c r="BV381" s="231"/>
      <c r="BW381" s="232"/>
      <c r="BX381" s="232"/>
      <c r="BY381" s="232"/>
      <c r="BZ381" s="233"/>
      <c r="CA381" s="230"/>
      <c r="CB381" s="227" t="s">
        <v>45</v>
      </c>
      <c r="CC381" s="228" t="s">
        <v>46</v>
      </c>
      <c r="CD381" s="229" t="s">
        <v>47</v>
      </c>
      <c r="CE381" s="231"/>
      <c r="CF381" s="232"/>
      <c r="CG381" s="232"/>
      <c r="CH381" s="232"/>
      <c r="CI381" s="232"/>
      <c r="CJ381" s="232"/>
      <c r="CK381" s="227" t="s">
        <v>45</v>
      </c>
      <c r="CL381" s="228" t="s">
        <v>46</v>
      </c>
      <c r="CM381" s="229" t="s">
        <v>47</v>
      </c>
      <c r="CN381" s="231"/>
      <c r="CO381" s="232"/>
      <c r="CP381" s="232"/>
      <c r="CQ381" s="232"/>
      <c r="CR381" s="232"/>
      <c r="CS381" s="232"/>
      <c r="CT381" s="234"/>
      <c r="CU381" s="296"/>
      <c r="CV381" s="246"/>
      <c r="CW381" s="265"/>
    </row>
    <row r="382" spans="1:101" x14ac:dyDescent="0.2">
      <c r="A382" s="264"/>
      <c r="B382" s="264"/>
      <c r="C382" s="202"/>
      <c r="D382" s="271">
        <v>1</v>
      </c>
      <c r="E382" s="166" t="s">
        <v>257</v>
      </c>
      <c r="F382" s="468">
        <v>3</v>
      </c>
      <c r="G382" s="472" t="s">
        <v>49</v>
      </c>
      <c r="H382" s="473">
        <v>2</v>
      </c>
      <c r="I382" s="170" t="str">
        <f t="shared" ref="I382:I393" si="850">IF($F382&gt;$H382,"x","")</f>
        <v>x</v>
      </c>
      <c r="J382" s="387" t="str">
        <f t="shared" ref="J382:J393" si="851">IF(F382&lt;&gt;"",IF(H382&lt;&gt;"",IF(F382=H382,"x",""),""),"")</f>
        <v/>
      </c>
      <c r="K382" s="388" t="str">
        <f t="shared" ref="K382:K393" si="852">IF($F382&lt;$H382,"x","")</f>
        <v/>
      </c>
      <c r="L382" s="299"/>
      <c r="M382" s="375"/>
      <c r="N382" s="379"/>
      <c r="O382" s="236"/>
      <c r="P382" s="236"/>
      <c r="Q382" s="480">
        <v>20</v>
      </c>
      <c r="R382" s="481">
        <v>30</v>
      </c>
      <c r="S382" s="482">
        <f>IF(Q382="","",100-SUM(Q382:R382))</f>
        <v>50</v>
      </c>
      <c r="T382" s="371"/>
      <c r="U382" s="232">
        <f t="shared" ref="U382:U393" si="853">IF($I382="x",Q382,"")</f>
        <v>20</v>
      </c>
      <c r="V382" s="232" t="str">
        <f t="shared" ref="V382:V393" si="854">IF($J382="x",R382,"")</f>
        <v/>
      </c>
      <c r="W382" s="232" t="str">
        <f t="shared" ref="W382:W393" si="855">IF($K382="x",S382,"")</f>
        <v/>
      </c>
      <c r="X382" s="232" t="str">
        <f>IF((MAX(U382,V382,W382))=0,"",IF((MAX(U382,V382,W382))=(MAX(Q382,R382,S382)),1,""))</f>
        <v/>
      </c>
      <c r="Y382" s="371"/>
      <c r="Z382" s="495">
        <v>10</v>
      </c>
      <c r="AA382" s="496">
        <v>10</v>
      </c>
      <c r="AB382" s="482">
        <f t="shared" ref="AB382:AB393" si="856">IF(Z382="","",100-SUM(Z382:AA382))</f>
        <v>80</v>
      </c>
      <c r="AC382" s="371"/>
      <c r="AD382" s="232">
        <f t="shared" ref="AD382:AD393" si="857">IF($I382="x",Z382,"")</f>
        <v>10</v>
      </c>
      <c r="AE382" s="232" t="str">
        <f t="shared" ref="AE382:AE393" si="858">IF($J382="x",AA382,"")</f>
        <v/>
      </c>
      <c r="AF382" s="232" t="str">
        <f t="shared" ref="AF382:AF393" si="859">IF($K382="x",AB382,"")</f>
        <v/>
      </c>
      <c r="AG382" s="232" t="str">
        <f>IF((MAX(AD382,AE382,AF382))=0,"",IF((MAX(AD382,AE382,AF382))=(MAX(Z382,AA382,AB382)),1,""))</f>
        <v/>
      </c>
      <c r="AH382" s="371"/>
      <c r="AI382" s="495">
        <v>20</v>
      </c>
      <c r="AJ382" s="496">
        <v>30</v>
      </c>
      <c r="AK382" s="482">
        <f t="shared" ref="AK382:AK393" si="860">IF(AI382="","",100-SUM(AI382:AJ382))</f>
        <v>50</v>
      </c>
      <c r="AL382" s="371"/>
      <c r="AM382" s="232">
        <f t="shared" ref="AM382:AM393" si="861">IF($I382="x",AI382,"")</f>
        <v>20</v>
      </c>
      <c r="AN382" s="232" t="str">
        <f t="shared" ref="AN382:AN393" si="862">IF($J382="x",AJ382,"")</f>
        <v/>
      </c>
      <c r="AO382" s="232" t="str">
        <f t="shared" ref="AO382:AO393" si="863">IF($K382="x",AK382,"")</f>
        <v/>
      </c>
      <c r="AP382" s="232" t="str">
        <f>IF((MAX(AM382,AN382,AO382))=0,"",IF((MAX(AM382,AN382,AO382))=(MAX(AI382,AJ382,AK382)),1,""))</f>
        <v/>
      </c>
      <c r="AQ382" s="371"/>
      <c r="AR382" s="495">
        <v>10</v>
      </c>
      <c r="AS382" s="496">
        <v>30</v>
      </c>
      <c r="AT382" s="482">
        <f t="shared" ref="AT382:AT393" si="864">IF(AR382="","",100-SUM(AR382:AS382))</f>
        <v>60</v>
      </c>
      <c r="AU382" s="371"/>
      <c r="AV382" s="232">
        <f t="shared" ref="AV382:AV393" si="865">IF($I382="x",AR382,"")</f>
        <v>10</v>
      </c>
      <c r="AW382" s="232" t="str">
        <f t="shared" ref="AW382:AW393" si="866">IF($J382="x",AS382,"")</f>
        <v/>
      </c>
      <c r="AX382" s="232" t="str">
        <f t="shared" ref="AX382:AX393" si="867">IF($K382="x",AT382,"")</f>
        <v/>
      </c>
      <c r="AY382" s="232" t="str">
        <f>IF((MAX(AV382,AW382,AX382))=0,"",IF((MAX(AV382,AW382,AX382))=(MAX(AR382,AS382,AT382)),1,""))</f>
        <v/>
      </c>
      <c r="AZ382" s="371"/>
      <c r="BA382" s="495">
        <v>10</v>
      </c>
      <c r="BB382" s="496">
        <v>10</v>
      </c>
      <c r="BC382" s="482">
        <f t="shared" ref="BC382:BC393" si="868">IF(BA382="","",100-SUM(BA382:BB382))</f>
        <v>80</v>
      </c>
      <c r="BD382" s="371"/>
      <c r="BE382" s="232">
        <f t="shared" ref="BE382:BE393" si="869">IF($I382="x",BA382,"")</f>
        <v>10</v>
      </c>
      <c r="BF382" s="232" t="str">
        <f t="shared" ref="BF382:BF393" si="870">IF($J382="x",BB382,"")</f>
        <v/>
      </c>
      <c r="BG382" s="232" t="str">
        <f t="shared" ref="BG382:BG393" si="871">IF($K382="x",BC382,"")</f>
        <v/>
      </c>
      <c r="BH382" s="232" t="str">
        <f>IF((MAX(BE382,BF382,BG382))=0,"",IF((MAX(BE382,BF382,BG382))=(MAX(BA382,BB382,BC382)),1,""))</f>
        <v/>
      </c>
      <c r="BI382" s="371"/>
      <c r="BJ382" s="495">
        <v>10</v>
      </c>
      <c r="BK382" s="496">
        <v>10</v>
      </c>
      <c r="BL382" s="482">
        <f t="shared" ref="BL382:BL393" si="872">IF(BJ382="","",100-SUM(BJ382:BK382))</f>
        <v>80</v>
      </c>
      <c r="BM382" s="371"/>
      <c r="BN382" s="232">
        <f t="shared" ref="BN382:BN393" si="873">IF($I382="x",BJ382,"")</f>
        <v>10</v>
      </c>
      <c r="BO382" s="232" t="str">
        <f t="shared" ref="BO382:BO393" si="874">IF($J382="x",BK382,"")</f>
        <v/>
      </c>
      <c r="BP382" s="232" t="str">
        <f t="shared" ref="BP382:BP393" si="875">IF($K382="x",BL382,"")</f>
        <v/>
      </c>
      <c r="BQ382" s="232" t="str">
        <f>IF((MAX(BN382,BO382,BP382))=0,"",IF((MAX(BN382,BO382,BP382))=(MAX(BJ382,BK382,BL382)),1,""))</f>
        <v/>
      </c>
      <c r="BR382" s="371"/>
      <c r="BS382" s="495">
        <v>20</v>
      </c>
      <c r="BT382" s="496">
        <v>20</v>
      </c>
      <c r="BU382" s="482">
        <f t="shared" ref="BU382:BU393" si="876">IF(BS382="","",100-SUM(BS382:BT382))</f>
        <v>60</v>
      </c>
      <c r="BV382" s="371"/>
      <c r="BW382" s="232">
        <f t="shared" ref="BW382:BW393" si="877">IF($I382="x",BS382,"")</f>
        <v>20</v>
      </c>
      <c r="BX382" s="232" t="str">
        <f t="shared" ref="BX382:BX393" si="878">IF($J382="x",BT382,"")</f>
        <v/>
      </c>
      <c r="BY382" s="232" t="str">
        <f t="shared" ref="BY382:BY393" si="879">IF($K382="x",BU382,"")</f>
        <v/>
      </c>
      <c r="BZ382" s="232" t="str">
        <f>IF((MAX(BW382,BX382,BY382))=0,"",IF((MAX(BW382,BX382,BY382))=(MAX(BS382,BT382,BU382)),1,""))</f>
        <v/>
      </c>
      <c r="CA382" s="371"/>
      <c r="CB382" s="501">
        <f t="shared" ref="CB382:CB393" si="880">IFERROR(ROUNDUP((SUM(Q382,Z382,AI382,AR382,BA382,BJ382,BS382)/SUM($Q382:$S382,$Z382:$AB382,$AI382:$AK382,$AR382:$AT382,$BA382:$BC382,$BJ382:$BL382,$BS382:$BU382))*100,-1),"")</f>
        <v>20</v>
      </c>
      <c r="CC382" s="502">
        <f t="shared" ref="CC382:CC393" si="881">IFERROR(ROUNDDOWN((SUM(R382,AA382,AJ382,AS382,BB382,BK382,BT382)/SUM($Q382:$S382,$Z382:$AB382,$AI382:$AK382,$AR382:$AT382,$BA382:$BC382,$BJ382:$BL382,$BS382:$BU382))*100,-1),"")</f>
        <v>20</v>
      </c>
      <c r="CD382" s="503">
        <f t="shared" ref="CD382:CD393" si="882">IF(CB382="","",100-SUM(CB382:CC382))</f>
        <v>60</v>
      </c>
      <c r="CE382" s="371"/>
      <c r="CF382" s="232">
        <f t="shared" ref="CF382:CF393" si="883">IF($I382="x",CB382,"")</f>
        <v>20</v>
      </c>
      <c r="CG382" s="232" t="str">
        <f t="shared" ref="CG382:CG393" si="884">IF($J382="x",CC382,"")</f>
        <v/>
      </c>
      <c r="CH382" s="232" t="str">
        <f t="shared" ref="CH382:CH393" si="885">IF($K382="x",CD382,"")</f>
        <v/>
      </c>
      <c r="CI382" s="232" t="str">
        <f>IF((MAX(CF382,CG382,CH382))=0,"",IF((MAX(CF382,CG382,CH382))=(MAX(CB382,CC382,CD382)),1,""))</f>
        <v/>
      </c>
      <c r="CJ382" s="232"/>
      <c r="CK382" s="495">
        <v>10</v>
      </c>
      <c r="CL382" s="496">
        <v>30</v>
      </c>
      <c r="CM382" s="482">
        <f t="shared" ref="CM382:CM393" si="886">IF(CK382="","",100-SUM(CK382:CL382))</f>
        <v>60</v>
      </c>
      <c r="CN382" s="371"/>
      <c r="CO382" s="232">
        <f t="shared" ref="CO382:CO393" si="887">IF($I382="x",CK382,"")</f>
        <v>10</v>
      </c>
      <c r="CP382" s="232" t="str">
        <f t="shared" ref="CP382:CP393" si="888">IF($J382="x",CL382,"")</f>
        <v/>
      </c>
      <c r="CQ382" s="232" t="str">
        <f t="shared" ref="CQ382:CQ393" si="889">IF($K382="x",CM382,"")</f>
        <v/>
      </c>
      <c r="CR382" s="232" t="str">
        <f>IF((MAX(CO382,CP382,CQ382))=0,"",IF((MAX(CO382,CP382,CQ382))=(MAX(CK382,CL382,CM382)),1,""))</f>
        <v/>
      </c>
      <c r="CS382" s="232"/>
      <c r="CT382" s="371"/>
      <c r="CU382" s="296"/>
      <c r="CV382" s="246"/>
      <c r="CW382" s="264"/>
    </row>
    <row r="383" spans="1:101" x14ac:dyDescent="0.2">
      <c r="A383" s="264"/>
      <c r="B383" s="264"/>
      <c r="C383" s="202"/>
      <c r="D383" s="271">
        <v>2</v>
      </c>
      <c r="E383" s="167" t="s">
        <v>258</v>
      </c>
      <c r="F383" s="469">
        <v>2</v>
      </c>
      <c r="G383" s="474" t="s">
        <v>49</v>
      </c>
      <c r="H383" s="475">
        <v>2</v>
      </c>
      <c r="I383" s="389" t="str">
        <f t="shared" si="850"/>
        <v/>
      </c>
      <c r="J383" s="390" t="str">
        <f t="shared" si="851"/>
        <v>x</v>
      </c>
      <c r="K383" s="391" t="str">
        <f t="shared" si="852"/>
        <v/>
      </c>
      <c r="L383" s="299"/>
      <c r="M383" s="375"/>
      <c r="N383" s="379"/>
      <c r="O383" s="236"/>
      <c r="P383" s="236"/>
      <c r="Q383" s="483">
        <v>20</v>
      </c>
      <c r="R383" s="484">
        <v>30</v>
      </c>
      <c r="S383" s="485">
        <f t="shared" ref="S383:S393" si="890">IF(Q383="","",100-SUM(Q383:R383))</f>
        <v>50</v>
      </c>
      <c r="T383" s="371"/>
      <c r="U383" s="232" t="str">
        <f t="shared" si="853"/>
        <v/>
      </c>
      <c r="V383" s="232">
        <f t="shared" si="854"/>
        <v>30</v>
      </c>
      <c r="W383" s="232" t="str">
        <f t="shared" si="855"/>
        <v/>
      </c>
      <c r="X383" s="232" t="str">
        <f t="shared" ref="X383:X393" si="891">IF((MAX(U383,V383,W383))=0,"",IF((MAX(U383,V383,W383))=(MAX(Q383,R383,S383)),1,""))</f>
        <v/>
      </c>
      <c r="Y383" s="371"/>
      <c r="Z383" s="497">
        <v>10</v>
      </c>
      <c r="AA383" s="498">
        <v>10</v>
      </c>
      <c r="AB383" s="485">
        <f t="shared" si="856"/>
        <v>80</v>
      </c>
      <c r="AC383" s="371"/>
      <c r="AD383" s="232" t="str">
        <f t="shared" si="857"/>
        <v/>
      </c>
      <c r="AE383" s="232">
        <f t="shared" si="858"/>
        <v>10</v>
      </c>
      <c r="AF383" s="232" t="str">
        <f t="shared" si="859"/>
        <v/>
      </c>
      <c r="AG383" s="232" t="str">
        <f t="shared" ref="AG383:AG393" si="892">IF((MAX(AD383,AE383,AF383))=0,"",IF((MAX(AD383,AE383,AF383))=(MAX(Z383,AA383,AB383)),1,""))</f>
        <v/>
      </c>
      <c r="AH383" s="371"/>
      <c r="AI383" s="497">
        <v>20</v>
      </c>
      <c r="AJ383" s="498">
        <v>20</v>
      </c>
      <c r="AK383" s="485">
        <f t="shared" si="860"/>
        <v>60</v>
      </c>
      <c r="AL383" s="371"/>
      <c r="AM383" s="232" t="str">
        <f t="shared" si="861"/>
        <v/>
      </c>
      <c r="AN383" s="232">
        <f t="shared" si="862"/>
        <v>20</v>
      </c>
      <c r="AO383" s="232" t="str">
        <f t="shared" si="863"/>
        <v/>
      </c>
      <c r="AP383" s="232" t="str">
        <f t="shared" ref="AP383:AP393" si="893">IF((MAX(AM383,AN383,AO383))=0,"",IF((MAX(AM383,AN383,AO383))=(MAX(AI383,AJ383,AK383)),1,""))</f>
        <v/>
      </c>
      <c r="AQ383" s="371"/>
      <c r="AR383" s="497">
        <v>20</v>
      </c>
      <c r="AS383" s="498">
        <v>30</v>
      </c>
      <c r="AT383" s="485">
        <f t="shared" si="864"/>
        <v>50</v>
      </c>
      <c r="AU383" s="371"/>
      <c r="AV383" s="232" t="str">
        <f t="shared" si="865"/>
        <v/>
      </c>
      <c r="AW383" s="232">
        <f t="shared" si="866"/>
        <v>30</v>
      </c>
      <c r="AX383" s="232" t="str">
        <f t="shared" si="867"/>
        <v/>
      </c>
      <c r="AY383" s="232" t="str">
        <f t="shared" ref="AY383:AY393" si="894">IF((MAX(AV383,AW383,AX383))=0,"",IF((MAX(AV383,AW383,AX383))=(MAX(AR383,AS383,AT383)),1,""))</f>
        <v/>
      </c>
      <c r="AZ383" s="371"/>
      <c r="BA383" s="497">
        <v>10</v>
      </c>
      <c r="BB383" s="498">
        <v>10</v>
      </c>
      <c r="BC383" s="485">
        <f t="shared" si="868"/>
        <v>80</v>
      </c>
      <c r="BD383" s="371"/>
      <c r="BE383" s="232" t="str">
        <f t="shared" si="869"/>
        <v/>
      </c>
      <c r="BF383" s="232">
        <f t="shared" si="870"/>
        <v>10</v>
      </c>
      <c r="BG383" s="232" t="str">
        <f t="shared" si="871"/>
        <v/>
      </c>
      <c r="BH383" s="232" t="str">
        <f t="shared" ref="BH383:BH393" si="895">IF((MAX(BE383,BF383,BG383))=0,"",IF((MAX(BE383,BF383,BG383))=(MAX(BA383,BB383,BC383)),1,""))</f>
        <v/>
      </c>
      <c r="BI383" s="371"/>
      <c r="BJ383" s="497">
        <v>10</v>
      </c>
      <c r="BK383" s="498">
        <v>10</v>
      </c>
      <c r="BL383" s="485">
        <f t="shared" si="872"/>
        <v>80</v>
      </c>
      <c r="BM383" s="371"/>
      <c r="BN383" s="232" t="str">
        <f t="shared" si="873"/>
        <v/>
      </c>
      <c r="BO383" s="232">
        <f t="shared" si="874"/>
        <v>10</v>
      </c>
      <c r="BP383" s="232" t="str">
        <f t="shared" si="875"/>
        <v/>
      </c>
      <c r="BQ383" s="232" t="str">
        <f t="shared" ref="BQ383:BQ393" si="896">IF((MAX(BN383,BO383,BP383))=0,"",IF((MAX(BN383,BO383,BP383))=(MAX(BJ383,BK383,BL383)),1,""))</f>
        <v/>
      </c>
      <c r="BR383" s="371"/>
      <c r="BS383" s="497">
        <v>10</v>
      </c>
      <c r="BT383" s="498">
        <v>30</v>
      </c>
      <c r="BU383" s="485">
        <f t="shared" si="876"/>
        <v>60</v>
      </c>
      <c r="BV383" s="371"/>
      <c r="BW383" s="232" t="str">
        <f t="shared" si="877"/>
        <v/>
      </c>
      <c r="BX383" s="232">
        <f t="shared" si="878"/>
        <v>30</v>
      </c>
      <c r="BY383" s="232" t="str">
        <f t="shared" si="879"/>
        <v/>
      </c>
      <c r="BZ383" s="232" t="str">
        <f t="shared" ref="BZ383:BZ393" si="897">IF((MAX(BW383,BX383,BY383))=0,"",IF((MAX(BW383,BX383,BY383))=(MAX(BS383,BT383,BU383)),1,""))</f>
        <v/>
      </c>
      <c r="CA383" s="371"/>
      <c r="CB383" s="504">
        <f t="shared" si="880"/>
        <v>20</v>
      </c>
      <c r="CC383" s="505">
        <f t="shared" si="881"/>
        <v>20</v>
      </c>
      <c r="CD383" s="506">
        <f t="shared" si="882"/>
        <v>60</v>
      </c>
      <c r="CE383" s="371"/>
      <c r="CF383" s="232" t="str">
        <f t="shared" si="883"/>
        <v/>
      </c>
      <c r="CG383" s="232">
        <f t="shared" si="884"/>
        <v>20</v>
      </c>
      <c r="CH383" s="232" t="str">
        <f t="shared" si="885"/>
        <v/>
      </c>
      <c r="CI383" s="232" t="str">
        <f t="shared" ref="CI383:CI393" si="898">IF((MAX(CF383,CG383,CH383))=0,"",IF((MAX(CF383,CG383,CH383))=(MAX(CB383,CC383,CD383)),1,""))</f>
        <v/>
      </c>
      <c r="CJ383" s="232"/>
      <c r="CK383" s="497">
        <v>20</v>
      </c>
      <c r="CL383" s="498">
        <v>20</v>
      </c>
      <c r="CM383" s="485">
        <f t="shared" si="886"/>
        <v>60</v>
      </c>
      <c r="CN383" s="371"/>
      <c r="CO383" s="232" t="str">
        <f t="shared" si="887"/>
        <v/>
      </c>
      <c r="CP383" s="232">
        <f t="shared" si="888"/>
        <v>20</v>
      </c>
      <c r="CQ383" s="232" t="str">
        <f t="shared" si="889"/>
        <v/>
      </c>
      <c r="CR383" s="232" t="str">
        <f t="shared" ref="CR383:CR393" si="899">IF((MAX(CO383,CP383,CQ383))=0,"",IF((MAX(CO383,CP383,CQ383))=(MAX(CK383,CL383,CM383)),1,""))</f>
        <v/>
      </c>
      <c r="CS383" s="232"/>
      <c r="CT383" s="371"/>
      <c r="CU383" s="296"/>
      <c r="CV383" s="246"/>
      <c r="CW383" s="264"/>
    </row>
    <row r="384" spans="1:101" ht="13.5" thickBot="1" x14ac:dyDescent="0.25">
      <c r="A384" s="264"/>
      <c r="B384" s="264"/>
      <c r="C384" s="202"/>
      <c r="D384" s="271">
        <v>3</v>
      </c>
      <c r="E384" s="168" t="s">
        <v>259</v>
      </c>
      <c r="F384" s="470">
        <v>2</v>
      </c>
      <c r="G384" s="476" t="s">
        <v>49</v>
      </c>
      <c r="H384" s="477">
        <v>1</v>
      </c>
      <c r="I384" s="392" t="str">
        <f t="shared" si="850"/>
        <v>x</v>
      </c>
      <c r="J384" s="393" t="str">
        <f t="shared" si="851"/>
        <v/>
      </c>
      <c r="K384" s="394" t="str">
        <f t="shared" si="852"/>
        <v/>
      </c>
      <c r="L384" s="299"/>
      <c r="M384" s="375"/>
      <c r="N384" s="379"/>
      <c r="O384" s="236"/>
      <c r="P384" s="236"/>
      <c r="Q384" s="486">
        <v>40</v>
      </c>
      <c r="R384" s="487">
        <v>30</v>
      </c>
      <c r="S384" s="488">
        <f t="shared" si="890"/>
        <v>30</v>
      </c>
      <c r="T384" s="371"/>
      <c r="U384" s="232">
        <f t="shared" si="853"/>
        <v>40</v>
      </c>
      <c r="V384" s="232" t="str">
        <f t="shared" si="854"/>
        <v/>
      </c>
      <c r="W384" s="232" t="str">
        <f t="shared" si="855"/>
        <v/>
      </c>
      <c r="X384" s="232">
        <f t="shared" si="891"/>
        <v>1</v>
      </c>
      <c r="Y384" s="371"/>
      <c r="Z384" s="499">
        <v>80</v>
      </c>
      <c r="AA384" s="500">
        <v>10</v>
      </c>
      <c r="AB384" s="488">
        <f t="shared" si="856"/>
        <v>10</v>
      </c>
      <c r="AC384" s="371"/>
      <c r="AD384" s="232">
        <f t="shared" si="857"/>
        <v>80</v>
      </c>
      <c r="AE384" s="232" t="str">
        <f t="shared" si="858"/>
        <v/>
      </c>
      <c r="AF384" s="232" t="str">
        <f t="shared" si="859"/>
        <v/>
      </c>
      <c r="AG384" s="232">
        <f t="shared" si="892"/>
        <v>1</v>
      </c>
      <c r="AH384" s="371"/>
      <c r="AI384" s="499">
        <v>80</v>
      </c>
      <c r="AJ384" s="500">
        <v>10</v>
      </c>
      <c r="AK384" s="488">
        <f t="shared" si="860"/>
        <v>10</v>
      </c>
      <c r="AL384" s="371"/>
      <c r="AM384" s="232">
        <f t="shared" si="861"/>
        <v>80</v>
      </c>
      <c r="AN384" s="232" t="str">
        <f t="shared" si="862"/>
        <v/>
      </c>
      <c r="AO384" s="232" t="str">
        <f t="shared" si="863"/>
        <v/>
      </c>
      <c r="AP384" s="232">
        <f t="shared" si="893"/>
        <v>1</v>
      </c>
      <c r="AQ384" s="371"/>
      <c r="AR384" s="499">
        <v>50</v>
      </c>
      <c r="AS384" s="500">
        <v>40</v>
      </c>
      <c r="AT384" s="488">
        <f t="shared" si="864"/>
        <v>10</v>
      </c>
      <c r="AU384" s="371"/>
      <c r="AV384" s="232">
        <f t="shared" si="865"/>
        <v>50</v>
      </c>
      <c r="AW384" s="232" t="str">
        <f t="shared" si="866"/>
        <v/>
      </c>
      <c r="AX384" s="232" t="str">
        <f t="shared" si="867"/>
        <v/>
      </c>
      <c r="AY384" s="232">
        <f t="shared" si="894"/>
        <v>1</v>
      </c>
      <c r="AZ384" s="371"/>
      <c r="BA384" s="499">
        <v>80</v>
      </c>
      <c r="BB384" s="500">
        <v>10</v>
      </c>
      <c r="BC384" s="488">
        <f t="shared" si="868"/>
        <v>10</v>
      </c>
      <c r="BD384" s="371"/>
      <c r="BE384" s="232">
        <f t="shared" si="869"/>
        <v>80</v>
      </c>
      <c r="BF384" s="232" t="str">
        <f t="shared" si="870"/>
        <v/>
      </c>
      <c r="BG384" s="232" t="str">
        <f t="shared" si="871"/>
        <v/>
      </c>
      <c r="BH384" s="232">
        <f t="shared" si="895"/>
        <v>1</v>
      </c>
      <c r="BI384" s="371"/>
      <c r="BJ384" s="499">
        <v>10</v>
      </c>
      <c r="BK384" s="500">
        <v>80</v>
      </c>
      <c r="BL384" s="488">
        <f t="shared" si="872"/>
        <v>10</v>
      </c>
      <c r="BM384" s="371"/>
      <c r="BN384" s="232">
        <f t="shared" si="873"/>
        <v>10</v>
      </c>
      <c r="BO384" s="232" t="str">
        <f t="shared" si="874"/>
        <v/>
      </c>
      <c r="BP384" s="232" t="str">
        <f t="shared" si="875"/>
        <v/>
      </c>
      <c r="BQ384" s="232" t="str">
        <f t="shared" si="896"/>
        <v/>
      </c>
      <c r="BR384" s="371"/>
      <c r="BS384" s="499">
        <v>30</v>
      </c>
      <c r="BT384" s="500">
        <v>30</v>
      </c>
      <c r="BU384" s="488">
        <f t="shared" si="876"/>
        <v>40</v>
      </c>
      <c r="BV384" s="371"/>
      <c r="BW384" s="232">
        <f t="shared" si="877"/>
        <v>30</v>
      </c>
      <c r="BX384" s="232" t="str">
        <f t="shared" si="878"/>
        <v/>
      </c>
      <c r="BY384" s="232" t="str">
        <f t="shared" si="879"/>
        <v/>
      </c>
      <c r="BZ384" s="232" t="str">
        <f t="shared" si="897"/>
        <v/>
      </c>
      <c r="CA384" s="371"/>
      <c r="CB384" s="507">
        <f t="shared" si="880"/>
        <v>60</v>
      </c>
      <c r="CC384" s="508">
        <f t="shared" si="881"/>
        <v>30</v>
      </c>
      <c r="CD384" s="509">
        <f t="shared" si="882"/>
        <v>10</v>
      </c>
      <c r="CE384" s="371"/>
      <c r="CF384" s="232">
        <f t="shared" si="883"/>
        <v>60</v>
      </c>
      <c r="CG384" s="232" t="str">
        <f t="shared" si="884"/>
        <v/>
      </c>
      <c r="CH384" s="232" t="str">
        <f t="shared" si="885"/>
        <v/>
      </c>
      <c r="CI384" s="232">
        <f t="shared" si="898"/>
        <v>1</v>
      </c>
      <c r="CJ384" s="232"/>
      <c r="CK384" s="499">
        <v>50</v>
      </c>
      <c r="CL384" s="500">
        <v>40</v>
      </c>
      <c r="CM384" s="488">
        <f t="shared" si="886"/>
        <v>10</v>
      </c>
      <c r="CN384" s="371"/>
      <c r="CO384" s="232">
        <f t="shared" si="887"/>
        <v>50</v>
      </c>
      <c r="CP384" s="232" t="str">
        <f t="shared" si="888"/>
        <v/>
      </c>
      <c r="CQ384" s="232" t="str">
        <f t="shared" si="889"/>
        <v/>
      </c>
      <c r="CR384" s="232">
        <f t="shared" si="899"/>
        <v>1</v>
      </c>
      <c r="CS384" s="232"/>
      <c r="CT384" s="371"/>
      <c r="CU384" s="296"/>
      <c r="CV384" s="246"/>
      <c r="CW384" s="264"/>
    </row>
    <row r="385" spans="1:101" x14ac:dyDescent="0.2">
      <c r="A385" s="264"/>
      <c r="B385" s="264"/>
      <c r="C385" s="202"/>
      <c r="D385" s="271">
        <v>4</v>
      </c>
      <c r="E385" s="166" t="s">
        <v>260</v>
      </c>
      <c r="F385" s="468">
        <v>2</v>
      </c>
      <c r="G385" s="472" t="s">
        <v>49</v>
      </c>
      <c r="H385" s="473">
        <v>0</v>
      </c>
      <c r="I385" s="170" t="str">
        <f t="shared" si="850"/>
        <v>x</v>
      </c>
      <c r="J385" s="387" t="str">
        <f t="shared" si="851"/>
        <v/>
      </c>
      <c r="K385" s="388" t="str">
        <f t="shared" si="852"/>
        <v/>
      </c>
      <c r="L385" s="299"/>
      <c r="M385" s="375"/>
      <c r="N385" s="379"/>
      <c r="O385" s="236"/>
      <c r="P385" s="236"/>
      <c r="Q385" s="480">
        <v>80</v>
      </c>
      <c r="R385" s="481">
        <v>10</v>
      </c>
      <c r="S385" s="482">
        <f t="shared" si="890"/>
        <v>10</v>
      </c>
      <c r="T385" s="371"/>
      <c r="U385" s="232">
        <f t="shared" si="853"/>
        <v>80</v>
      </c>
      <c r="V385" s="232" t="str">
        <f t="shared" si="854"/>
        <v/>
      </c>
      <c r="W385" s="232" t="str">
        <f t="shared" si="855"/>
        <v/>
      </c>
      <c r="X385" s="232">
        <f t="shared" si="891"/>
        <v>1</v>
      </c>
      <c r="Y385" s="371"/>
      <c r="Z385" s="495">
        <v>80</v>
      </c>
      <c r="AA385" s="496">
        <v>10</v>
      </c>
      <c r="AB385" s="482">
        <f t="shared" si="856"/>
        <v>10</v>
      </c>
      <c r="AC385" s="371"/>
      <c r="AD385" s="232">
        <f t="shared" si="857"/>
        <v>80</v>
      </c>
      <c r="AE385" s="232" t="str">
        <f t="shared" si="858"/>
        <v/>
      </c>
      <c r="AF385" s="232" t="str">
        <f t="shared" si="859"/>
        <v/>
      </c>
      <c r="AG385" s="232">
        <f t="shared" si="892"/>
        <v>1</v>
      </c>
      <c r="AH385" s="371"/>
      <c r="AI385" s="495">
        <v>80</v>
      </c>
      <c r="AJ385" s="496">
        <v>10</v>
      </c>
      <c r="AK385" s="482">
        <f t="shared" si="860"/>
        <v>10</v>
      </c>
      <c r="AL385" s="371"/>
      <c r="AM385" s="232">
        <f t="shared" si="861"/>
        <v>80</v>
      </c>
      <c r="AN385" s="232" t="str">
        <f t="shared" si="862"/>
        <v/>
      </c>
      <c r="AO385" s="232" t="str">
        <f t="shared" si="863"/>
        <v/>
      </c>
      <c r="AP385" s="232">
        <f t="shared" si="893"/>
        <v>1</v>
      </c>
      <c r="AQ385" s="371"/>
      <c r="AR385" s="495">
        <v>80</v>
      </c>
      <c r="AS385" s="496">
        <v>10</v>
      </c>
      <c r="AT385" s="482">
        <f t="shared" si="864"/>
        <v>10</v>
      </c>
      <c r="AU385" s="371"/>
      <c r="AV385" s="232">
        <f t="shared" si="865"/>
        <v>80</v>
      </c>
      <c r="AW385" s="232" t="str">
        <f t="shared" si="866"/>
        <v/>
      </c>
      <c r="AX385" s="232" t="str">
        <f t="shared" si="867"/>
        <v/>
      </c>
      <c r="AY385" s="232">
        <f t="shared" si="894"/>
        <v>1</v>
      </c>
      <c r="AZ385" s="371"/>
      <c r="BA385" s="495">
        <v>80</v>
      </c>
      <c r="BB385" s="496">
        <v>10</v>
      </c>
      <c r="BC385" s="482">
        <f t="shared" si="868"/>
        <v>10</v>
      </c>
      <c r="BD385" s="371"/>
      <c r="BE385" s="232">
        <f t="shared" si="869"/>
        <v>80</v>
      </c>
      <c r="BF385" s="232" t="str">
        <f t="shared" si="870"/>
        <v/>
      </c>
      <c r="BG385" s="232" t="str">
        <f t="shared" si="871"/>
        <v/>
      </c>
      <c r="BH385" s="232">
        <f t="shared" si="895"/>
        <v>1</v>
      </c>
      <c r="BI385" s="371"/>
      <c r="BJ385" s="495">
        <v>80</v>
      </c>
      <c r="BK385" s="496">
        <v>10</v>
      </c>
      <c r="BL385" s="482">
        <f t="shared" si="872"/>
        <v>10</v>
      </c>
      <c r="BM385" s="371"/>
      <c r="BN385" s="232">
        <f t="shared" si="873"/>
        <v>80</v>
      </c>
      <c r="BO385" s="232" t="str">
        <f t="shared" si="874"/>
        <v/>
      </c>
      <c r="BP385" s="232" t="str">
        <f t="shared" si="875"/>
        <v/>
      </c>
      <c r="BQ385" s="232">
        <f t="shared" si="896"/>
        <v>1</v>
      </c>
      <c r="BR385" s="371"/>
      <c r="BS385" s="495">
        <v>70</v>
      </c>
      <c r="BT385" s="496">
        <v>20</v>
      </c>
      <c r="BU385" s="482">
        <f t="shared" si="876"/>
        <v>10</v>
      </c>
      <c r="BV385" s="371"/>
      <c r="BW385" s="232">
        <f t="shared" si="877"/>
        <v>70</v>
      </c>
      <c r="BX385" s="232" t="str">
        <f t="shared" si="878"/>
        <v/>
      </c>
      <c r="BY385" s="232" t="str">
        <f t="shared" si="879"/>
        <v/>
      </c>
      <c r="BZ385" s="232">
        <f t="shared" si="897"/>
        <v>1</v>
      </c>
      <c r="CA385" s="371"/>
      <c r="CB385" s="501">
        <f t="shared" si="880"/>
        <v>80</v>
      </c>
      <c r="CC385" s="502">
        <f t="shared" si="881"/>
        <v>10</v>
      </c>
      <c r="CD385" s="503">
        <f t="shared" si="882"/>
        <v>10</v>
      </c>
      <c r="CE385" s="371"/>
      <c r="CF385" s="232">
        <f t="shared" si="883"/>
        <v>80</v>
      </c>
      <c r="CG385" s="232" t="str">
        <f t="shared" si="884"/>
        <v/>
      </c>
      <c r="CH385" s="232" t="str">
        <f t="shared" si="885"/>
        <v/>
      </c>
      <c r="CI385" s="232">
        <f t="shared" si="898"/>
        <v>1</v>
      </c>
      <c r="CJ385" s="232"/>
      <c r="CK385" s="495">
        <v>80</v>
      </c>
      <c r="CL385" s="496">
        <v>10</v>
      </c>
      <c r="CM385" s="482">
        <f t="shared" si="886"/>
        <v>10</v>
      </c>
      <c r="CN385" s="371"/>
      <c r="CO385" s="232">
        <f t="shared" si="887"/>
        <v>80</v>
      </c>
      <c r="CP385" s="232" t="str">
        <f t="shared" si="888"/>
        <v/>
      </c>
      <c r="CQ385" s="232" t="str">
        <f t="shared" si="889"/>
        <v/>
      </c>
      <c r="CR385" s="232">
        <f t="shared" si="899"/>
        <v>1</v>
      </c>
      <c r="CS385" s="232"/>
      <c r="CT385" s="371"/>
      <c r="CU385" s="296"/>
      <c r="CV385" s="246"/>
      <c r="CW385" s="264"/>
    </row>
    <row r="386" spans="1:101" x14ac:dyDescent="0.2">
      <c r="A386" s="264"/>
      <c r="B386" s="264"/>
      <c r="C386" s="202"/>
      <c r="D386" s="271">
        <v>5</v>
      </c>
      <c r="E386" s="167" t="s">
        <v>261</v>
      </c>
      <c r="F386" s="469">
        <v>1</v>
      </c>
      <c r="G386" s="474" t="s">
        <v>49</v>
      </c>
      <c r="H386" s="475">
        <v>1</v>
      </c>
      <c r="I386" s="389" t="str">
        <f t="shared" si="850"/>
        <v/>
      </c>
      <c r="J386" s="390" t="str">
        <f t="shared" si="851"/>
        <v>x</v>
      </c>
      <c r="K386" s="391" t="str">
        <f t="shared" si="852"/>
        <v/>
      </c>
      <c r="L386" s="299"/>
      <c r="M386" s="375"/>
      <c r="N386" s="379"/>
      <c r="O386" s="236"/>
      <c r="P386" s="236"/>
      <c r="Q386" s="483">
        <v>80</v>
      </c>
      <c r="R386" s="484">
        <v>10</v>
      </c>
      <c r="S386" s="485">
        <f t="shared" si="890"/>
        <v>10</v>
      </c>
      <c r="T386" s="371"/>
      <c r="U386" s="232" t="str">
        <f t="shared" si="853"/>
        <v/>
      </c>
      <c r="V386" s="232">
        <f t="shared" si="854"/>
        <v>10</v>
      </c>
      <c r="W386" s="232" t="str">
        <f t="shared" si="855"/>
        <v/>
      </c>
      <c r="X386" s="232" t="str">
        <f t="shared" si="891"/>
        <v/>
      </c>
      <c r="Y386" s="371"/>
      <c r="Z386" s="497">
        <v>80</v>
      </c>
      <c r="AA386" s="498">
        <v>10</v>
      </c>
      <c r="AB386" s="485">
        <f t="shared" si="856"/>
        <v>10</v>
      </c>
      <c r="AC386" s="371"/>
      <c r="AD386" s="232" t="str">
        <f t="shared" si="857"/>
        <v/>
      </c>
      <c r="AE386" s="232">
        <f t="shared" si="858"/>
        <v>10</v>
      </c>
      <c r="AF386" s="232" t="str">
        <f t="shared" si="859"/>
        <v/>
      </c>
      <c r="AG386" s="232" t="str">
        <f t="shared" si="892"/>
        <v/>
      </c>
      <c r="AH386" s="371"/>
      <c r="AI386" s="497">
        <v>60</v>
      </c>
      <c r="AJ386" s="498">
        <v>20</v>
      </c>
      <c r="AK386" s="485">
        <f t="shared" si="860"/>
        <v>20</v>
      </c>
      <c r="AL386" s="371"/>
      <c r="AM386" s="232" t="str">
        <f t="shared" si="861"/>
        <v/>
      </c>
      <c r="AN386" s="232">
        <f t="shared" si="862"/>
        <v>20</v>
      </c>
      <c r="AO386" s="232" t="str">
        <f t="shared" si="863"/>
        <v/>
      </c>
      <c r="AP386" s="232" t="str">
        <f t="shared" si="893"/>
        <v/>
      </c>
      <c r="AQ386" s="371"/>
      <c r="AR386" s="497">
        <v>60</v>
      </c>
      <c r="AS386" s="498">
        <v>10</v>
      </c>
      <c r="AT386" s="485">
        <f t="shared" si="864"/>
        <v>30</v>
      </c>
      <c r="AU386" s="371"/>
      <c r="AV386" s="232" t="str">
        <f t="shared" si="865"/>
        <v/>
      </c>
      <c r="AW386" s="232">
        <f t="shared" si="866"/>
        <v>10</v>
      </c>
      <c r="AX386" s="232" t="str">
        <f t="shared" si="867"/>
        <v/>
      </c>
      <c r="AY386" s="232" t="str">
        <f t="shared" si="894"/>
        <v/>
      </c>
      <c r="AZ386" s="371"/>
      <c r="BA386" s="497">
        <v>80</v>
      </c>
      <c r="BB386" s="498">
        <v>10</v>
      </c>
      <c r="BC386" s="485">
        <f t="shared" si="868"/>
        <v>10</v>
      </c>
      <c r="BD386" s="371"/>
      <c r="BE386" s="232" t="str">
        <f t="shared" si="869"/>
        <v/>
      </c>
      <c r="BF386" s="232">
        <f t="shared" si="870"/>
        <v>10</v>
      </c>
      <c r="BG386" s="232" t="str">
        <f t="shared" si="871"/>
        <v/>
      </c>
      <c r="BH386" s="232" t="str">
        <f t="shared" si="895"/>
        <v/>
      </c>
      <c r="BI386" s="371"/>
      <c r="BJ386" s="497">
        <v>80</v>
      </c>
      <c r="BK386" s="498">
        <v>10</v>
      </c>
      <c r="BL386" s="485">
        <f t="shared" si="872"/>
        <v>10</v>
      </c>
      <c r="BM386" s="371"/>
      <c r="BN386" s="232" t="str">
        <f t="shared" si="873"/>
        <v/>
      </c>
      <c r="BO386" s="232">
        <f t="shared" si="874"/>
        <v>10</v>
      </c>
      <c r="BP386" s="232" t="str">
        <f t="shared" si="875"/>
        <v/>
      </c>
      <c r="BQ386" s="232" t="str">
        <f t="shared" si="896"/>
        <v/>
      </c>
      <c r="BR386" s="371"/>
      <c r="BS386" s="497">
        <v>50</v>
      </c>
      <c r="BT386" s="498">
        <v>30</v>
      </c>
      <c r="BU386" s="485">
        <f t="shared" si="876"/>
        <v>20</v>
      </c>
      <c r="BV386" s="371"/>
      <c r="BW386" s="232" t="str">
        <f t="shared" si="877"/>
        <v/>
      </c>
      <c r="BX386" s="232">
        <f t="shared" si="878"/>
        <v>30</v>
      </c>
      <c r="BY386" s="232" t="str">
        <f t="shared" si="879"/>
        <v/>
      </c>
      <c r="BZ386" s="232" t="str">
        <f t="shared" si="897"/>
        <v/>
      </c>
      <c r="CA386" s="371"/>
      <c r="CB386" s="504">
        <f t="shared" si="880"/>
        <v>70</v>
      </c>
      <c r="CC386" s="505">
        <f t="shared" si="881"/>
        <v>10</v>
      </c>
      <c r="CD386" s="506">
        <f t="shared" si="882"/>
        <v>20</v>
      </c>
      <c r="CE386" s="371"/>
      <c r="CF386" s="232" t="str">
        <f t="shared" si="883"/>
        <v/>
      </c>
      <c r="CG386" s="232">
        <f t="shared" si="884"/>
        <v>10</v>
      </c>
      <c r="CH386" s="232" t="str">
        <f t="shared" si="885"/>
        <v/>
      </c>
      <c r="CI386" s="232" t="str">
        <f t="shared" si="898"/>
        <v/>
      </c>
      <c r="CJ386" s="232"/>
      <c r="CK386" s="497">
        <v>80</v>
      </c>
      <c r="CL386" s="498">
        <v>10</v>
      </c>
      <c r="CM386" s="485">
        <f t="shared" si="886"/>
        <v>10</v>
      </c>
      <c r="CN386" s="371"/>
      <c r="CO386" s="232" t="str">
        <f t="shared" si="887"/>
        <v/>
      </c>
      <c r="CP386" s="232">
        <f t="shared" si="888"/>
        <v>10</v>
      </c>
      <c r="CQ386" s="232" t="str">
        <f t="shared" si="889"/>
        <v/>
      </c>
      <c r="CR386" s="232" t="str">
        <f t="shared" si="899"/>
        <v/>
      </c>
      <c r="CS386" s="232"/>
      <c r="CT386" s="371"/>
      <c r="CU386" s="296"/>
      <c r="CV386" s="246"/>
      <c r="CW386" s="264"/>
    </row>
    <row r="387" spans="1:101" ht="13.5" thickBot="1" x14ac:dyDescent="0.25">
      <c r="A387" s="264"/>
      <c r="B387" s="264"/>
      <c r="C387" s="202"/>
      <c r="D387" s="271">
        <v>6</v>
      </c>
      <c r="E387" s="168" t="s">
        <v>262</v>
      </c>
      <c r="F387" s="470">
        <v>1</v>
      </c>
      <c r="G387" s="476" t="s">
        <v>49</v>
      </c>
      <c r="H387" s="477">
        <v>1</v>
      </c>
      <c r="I387" s="392" t="str">
        <f t="shared" si="850"/>
        <v/>
      </c>
      <c r="J387" s="393" t="str">
        <f t="shared" si="851"/>
        <v>x</v>
      </c>
      <c r="K387" s="394" t="str">
        <f t="shared" si="852"/>
        <v/>
      </c>
      <c r="L387" s="299"/>
      <c r="M387" s="375"/>
      <c r="N387" s="379"/>
      <c r="O387" s="236"/>
      <c r="P387" s="236"/>
      <c r="Q387" s="489">
        <v>10</v>
      </c>
      <c r="R387" s="490">
        <v>80</v>
      </c>
      <c r="S387" s="491">
        <f t="shared" si="890"/>
        <v>10</v>
      </c>
      <c r="T387" s="371"/>
      <c r="U387" s="232" t="str">
        <f t="shared" si="853"/>
        <v/>
      </c>
      <c r="V387" s="232">
        <f t="shared" si="854"/>
        <v>80</v>
      </c>
      <c r="W387" s="232" t="str">
        <f t="shared" si="855"/>
        <v/>
      </c>
      <c r="X387" s="232">
        <f t="shared" si="891"/>
        <v>1</v>
      </c>
      <c r="Y387" s="371"/>
      <c r="Z387" s="499">
        <v>10</v>
      </c>
      <c r="AA387" s="500">
        <v>80</v>
      </c>
      <c r="AB387" s="491">
        <f t="shared" si="856"/>
        <v>10</v>
      </c>
      <c r="AC387" s="371"/>
      <c r="AD387" s="232" t="str">
        <f t="shared" si="857"/>
        <v/>
      </c>
      <c r="AE387" s="232">
        <f t="shared" si="858"/>
        <v>80</v>
      </c>
      <c r="AF387" s="232" t="str">
        <f t="shared" si="859"/>
        <v/>
      </c>
      <c r="AG387" s="232">
        <f t="shared" si="892"/>
        <v>1</v>
      </c>
      <c r="AH387" s="371"/>
      <c r="AI387" s="499">
        <v>20</v>
      </c>
      <c r="AJ387" s="500">
        <v>20</v>
      </c>
      <c r="AK387" s="491">
        <f t="shared" si="860"/>
        <v>60</v>
      </c>
      <c r="AL387" s="371"/>
      <c r="AM387" s="232" t="str">
        <f t="shared" si="861"/>
        <v/>
      </c>
      <c r="AN387" s="232">
        <f t="shared" si="862"/>
        <v>20</v>
      </c>
      <c r="AO387" s="232" t="str">
        <f t="shared" si="863"/>
        <v/>
      </c>
      <c r="AP387" s="232" t="str">
        <f t="shared" si="893"/>
        <v/>
      </c>
      <c r="AQ387" s="371"/>
      <c r="AR387" s="499">
        <v>10</v>
      </c>
      <c r="AS387" s="500">
        <v>30</v>
      </c>
      <c r="AT387" s="491">
        <f t="shared" si="864"/>
        <v>60</v>
      </c>
      <c r="AU387" s="371"/>
      <c r="AV387" s="232" t="str">
        <f t="shared" si="865"/>
        <v/>
      </c>
      <c r="AW387" s="232">
        <f t="shared" si="866"/>
        <v>30</v>
      </c>
      <c r="AX387" s="232" t="str">
        <f t="shared" si="867"/>
        <v/>
      </c>
      <c r="AY387" s="232" t="str">
        <f t="shared" si="894"/>
        <v/>
      </c>
      <c r="AZ387" s="371"/>
      <c r="BA387" s="499">
        <v>10</v>
      </c>
      <c r="BB387" s="500">
        <v>10</v>
      </c>
      <c r="BC387" s="491">
        <f t="shared" si="868"/>
        <v>80</v>
      </c>
      <c r="BD387" s="371"/>
      <c r="BE387" s="232" t="str">
        <f t="shared" si="869"/>
        <v/>
      </c>
      <c r="BF387" s="232">
        <f t="shared" si="870"/>
        <v>10</v>
      </c>
      <c r="BG387" s="232" t="str">
        <f t="shared" si="871"/>
        <v/>
      </c>
      <c r="BH387" s="232" t="str">
        <f t="shared" si="895"/>
        <v/>
      </c>
      <c r="BI387" s="371"/>
      <c r="BJ387" s="499">
        <v>10</v>
      </c>
      <c r="BK387" s="500">
        <v>10</v>
      </c>
      <c r="BL387" s="491">
        <f t="shared" si="872"/>
        <v>80</v>
      </c>
      <c r="BM387" s="371"/>
      <c r="BN387" s="232" t="str">
        <f t="shared" si="873"/>
        <v/>
      </c>
      <c r="BO387" s="232">
        <f t="shared" si="874"/>
        <v>10</v>
      </c>
      <c r="BP387" s="232" t="str">
        <f t="shared" si="875"/>
        <v/>
      </c>
      <c r="BQ387" s="232" t="str">
        <f t="shared" si="896"/>
        <v/>
      </c>
      <c r="BR387" s="371"/>
      <c r="BS387" s="499">
        <v>30</v>
      </c>
      <c r="BT387" s="500">
        <v>30</v>
      </c>
      <c r="BU387" s="491">
        <f t="shared" si="876"/>
        <v>40</v>
      </c>
      <c r="BV387" s="371"/>
      <c r="BW387" s="232" t="str">
        <f t="shared" si="877"/>
        <v/>
      </c>
      <c r="BX387" s="232">
        <f t="shared" si="878"/>
        <v>30</v>
      </c>
      <c r="BY387" s="232" t="str">
        <f t="shared" si="879"/>
        <v/>
      </c>
      <c r="BZ387" s="232" t="str">
        <f t="shared" si="897"/>
        <v/>
      </c>
      <c r="CA387" s="371"/>
      <c r="CB387" s="507">
        <f t="shared" si="880"/>
        <v>20</v>
      </c>
      <c r="CC387" s="508">
        <f t="shared" si="881"/>
        <v>30</v>
      </c>
      <c r="CD387" s="509">
        <f t="shared" si="882"/>
        <v>50</v>
      </c>
      <c r="CE387" s="371"/>
      <c r="CF387" s="232" t="str">
        <f t="shared" si="883"/>
        <v/>
      </c>
      <c r="CG387" s="232">
        <f t="shared" si="884"/>
        <v>30</v>
      </c>
      <c r="CH387" s="232" t="str">
        <f t="shared" si="885"/>
        <v/>
      </c>
      <c r="CI387" s="232" t="str">
        <f t="shared" si="898"/>
        <v/>
      </c>
      <c r="CJ387" s="232"/>
      <c r="CK387" s="499">
        <v>20</v>
      </c>
      <c r="CL387" s="500">
        <v>50</v>
      </c>
      <c r="CM387" s="491">
        <f t="shared" si="886"/>
        <v>30</v>
      </c>
      <c r="CN387" s="371"/>
      <c r="CO387" s="232" t="str">
        <f t="shared" si="887"/>
        <v/>
      </c>
      <c r="CP387" s="232">
        <f t="shared" si="888"/>
        <v>50</v>
      </c>
      <c r="CQ387" s="232" t="str">
        <f t="shared" si="889"/>
        <v/>
      </c>
      <c r="CR387" s="232">
        <f t="shared" si="899"/>
        <v>1</v>
      </c>
      <c r="CS387" s="232"/>
      <c r="CT387" s="371"/>
      <c r="CU387" s="296"/>
      <c r="CV387" s="246"/>
      <c r="CW387" s="264"/>
    </row>
    <row r="388" spans="1:101" x14ac:dyDescent="0.2">
      <c r="A388" s="264"/>
      <c r="B388" s="264"/>
      <c r="C388" s="202"/>
      <c r="D388" s="271">
        <v>7</v>
      </c>
      <c r="E388" s="166" t="s">
        <v>263</v>
      </c>
      <c r="F388" s="468">
        <v>2</v>
      </c>
      <c r="G388" s="472" t="s">
        <v>49</v>
      </c>
      <c r="H388" s="473">
        <v>1</v>
      </c>
      <c r="I388" s="170" t="str">
        <f t="shared" si="850"/>
        <v>x</v>
      </c>
      <c r="J388" s="387" t="str">
        <f t="shared" si="851"/>
        <v/>
      </c>
      <c r="K388" s="388" t="str">
        <f t="shared" si="852"/>
        <v/>
      </c>
      <c r="L388" s="299"/>
      <c r="M388" s="375"/>
      <c r="N388" s="379"/>
      <c r="O388" s="236"/>
      <c r="P388" s="236"/>
      <c r="Q388" s="480">
        <v>40</v>
      </c>
      <c r="R388" s="481">
        <v>30</v>
      </c>
      <c r="S388" s="482">
        <f t="shared" si="890"/>
        <v>30</v>
      </c>
      <c r="T388" s="371"/>
      <c r="U388" s="232">
        <f t="shared" si="853"/>
        <v>40</v>
      </c>
      <c r="V388" s="232" t="str">
        <f t="shared" si="854"/>
        <v/>
      </c>
      <c r="W388" s="232" t="str">
        <f t="shared" si="855"/>
        <v/>
      </c>
      <c r="X388" s="232">
        <f t="shared" si="891"/>
        <v>1</v>
      </c>
      <c r="Y388" s="371"/>
      <c r="Z388" s="495">
        <v>80</v>
      </c>
      <c r="AA388" s="496">
        <v>10</v>
      </c>
      <c r="AB388" s="482">
        <f t="shared" si="856"/>
        <v>10</v>
      </c>
      <c r="AC388" s="371"/>
      <c r="AD388" s="232">
        <f t="shared" si="857"/>
        <v>80</v>
      </c>
      <c r="AE388" s="232" t="str">
        <f t="shared" si="858"/>
        <v/>
      </c>
      <c r="AF388" s="232" t="str">
        <f t="shared" si="859"/>
        <v/>
      </c>
      <c r="AG388" s="232">
        <f t="shared" si="892"/>
        <v>1</v>
      </c>
      <c r="AH388" s="371"/>
      <c r="AI388" s="495">
        <v>80</v>
      </c>
      <c r="AJ388" s="496">
        <v>10</v>
      </c>
      <c r="AK388" s="482">
        <f t="shared" si="860"/>
        <v>10</v>
      </c>
      <c r="AL388" s="371"/>
      <c r="AM388" s="232">
        <f t="shared" si="861"/>
        <v>80</v>
      </c>
      <c r="AN388" s="232" t="str">
        <f t="shared" si="862"/>
        <v/>
      </c>
      <c r="AO388" s="232" t="str">
        <f t="shared" si="863"/>
        <v/>
      </c>
      <c r="AP388" s="232">
        <f t="shared" si="893"/>
        <v>1</v>
      </c>
      <c r="AQ388" s="371"/>
      <c r="AR388" s="495">
        <v>60</v>
      </c>
      <c r="AS388" s="496">
        <v>30</v>
      </c>
      <c r="AT388" s="482">
        <f t="shared" si="864"/>
        <v>10</v>
      </c>
      <c r="AU388" s="371"/>
      <c r="AV388" s="232">
        <f t="shared" si="865"/>
        <v>60</v>
      </c>
      <c r="AW388" s="232" t="str">
        <f t="shared" si="866"/>
        <v/>
      </c>
      <c r="AX388" s="232" t="str">
        <f t="shared" si="867"/>
        <v/>
      </c>
      <c r="AY388" s="232">
        <f t="shared" si="894"/>
        <v>1</v>
      </c>
      <c r="AZ388" s="371"/>
      <c r="BA388" s="495">
        <v>40</v>
      </c>
      <c r="BB388" s="496">
        <v>40</v>
      </c>
      <c r="BC388" s="482">
        <f t="shared" si="868"/>
        <v>20</v>
      </c>
      <c r="BD388" s="371"/>
      <c r="BE388" s="232">
        <f t="shared" si="869"/>
        <v>40</v>
      </c>
      <c r="BF388" s="232" t="str">
        <f t="shared" si="870"/>
        <v/>
      </c>
      <c r="BG388" s="232" t="str">
        <f t="shared" si="871"/>
        <v/>
      </c>
      <c r="BH388" s="232">
        <f t="shared" si="895"/>
        <v>1</v>
      </c>
      <c r="BI388" s="371"/>
      <c r="BJ388" s="495">
        <v>80</v>
      </c>
      <c r="BK388" s="496">
        <v>10</v>
      </c>
      <c r="BL388" s="482">
        <f t="shared" si="872"/>
        <v>10</v>
      </c>
      <c r="BM388" s="371"/>
      <c r="BN388" s="232">
        <f t="shared" si="873"/>
        <v>80</v>
      </c>
      <c r="BO388" s="232" t="str">
        <f t="shared" si="874"/>
        <v/>
      </c>
      <c r="BP388" s="232" t="str">
        <f t="shared" si="875"/>
        <v/>
      </c>
      <c r="BQ388" s="232">
        <f t="shared" si="896"/>
        <v>1</v>
      </c>
      <c r="BR388" s="371"/>
      <c r="BS388" s="495">
        <v>50</v>
      </c>
      <c r="BT388" s="496">
        <v>10</v>
      </c>
      <c r="BU388" s="482">
        <f t="shared" si="876"/>
        <v>40</v>
      </c>
      <c r="BV388" s="371"/>
      <c r="BW388" s="232">
        <f t="shared" si="877"/>
        <v>50</v>
      </c>
      <c r="BX388" s="232" t="str">
        <f t="shared" si="878"/>
        <v/>
      </c>
      <c r="BY388" s="232" t="str">
        <f t="shared" si="879"/>
        <v/>
      </c>
      <c r="BZ388" s="232">
        <f t="shared" si="897"/>
        <v>1</v>
      </c>
      <c r="CA388" s="371"/>
      <c r="CB388" s="501">
        <f t="shared" si="880"/>
        <v>70</v>
      </c>
      <c r="CC388" s="502">
        <f t="shared" si="881"/>
        <v>20</v>
      </c>
      <c r="CD388" s="503">
        <f t="shared" si="882"/>
        <v>10</v>
      </c>
      <c r="CE388" s="371"/>
      <c r="CF388" s="232">
        <f t="shared" si="883"/>
        <v>70</v>
      </c>
      <c r="CG388" s="232" t="str">
        <f t="shared" si="884"/>
        <v/>
      </c>
      <c r="CH388" s="232" t="str">
        <f t="shared" si="885"/>
        <v/>
      </c>
      <c r="CI388" s="232">
        <f t="shared" si="898"/>
        <v>1</v>
      </c>
      <c r="CJ388" s="232"/>
      <c r="CK388" s="495">
        <v>60</v>
      </c>
      <c r="CL388" s="496">
        <v>30</v>
      </c>
      <c r="CM388" s="482">
        <f t="shared" si="886"/>
        <v>10</v>
      </c>
      <c r="CN388" s="371"/>
      <c r="CO388" s="232">
        <f t="shared" si="887"/>
        <v>60</v>
      </c>
      <c r="CP388" s="232" t="str">
        <f t="shared" si="888"/>
        <v/>
      </c>
      <c r="CQ388" s="232" t="str">
        <f t="shared" si="889"/>
        <v/>
      </c>
      <c r="CR388" s="232">
        <f t="shared" si="899"/>
        <v>1</v>
      </c>
      <c r="CS388" s="232"/>
      <c r="CT388" s="371"/>
      <c r="CU388" s="300"/>
      <c r="CV388" s="246"/>
      <c r="CW388" s="264"/>
    </row>
    <row r="389" spans="1:101" x14ac:dyDescent="0.2">
      <c r="A389" s="264"/>
      <c r="B389" s="264"/>
      <c r="C389" s="202"/>
      <c r="D389" s="271">
        <v>8</v>
      </c>
      <c r="E389" s="167" t="s">
        <v>264</v>
      </c>
      <c r="F389" s="469">
        <v>1</v>
      </c>
      <c r="G389" s="474" t="s">
        <v>49</v>
      </c>
      <c r="H389" s="475">
        <v>2</v>
      </c>
      <c r="I389" s="389" t="str">
        <f t="shared" si="850"/>
        <v/>
      </c>
      <c r="J389" s="390" t="str">
        <f t="shared" si="851"/>
        <v/>
      </c>
      <c r="K389" s="391" t="str">
        <f t="shared" si="852"/>
        <v>x</v>
      </c>
      <c r="L389" s="299"/>
      <c r="M389" s="375"/>
      <c r="N389" s="379"/>
      <c r="O389" s="236"/>
      <c r="P389" s="236"/>
      <c r="Q389" s="483">
        <v>60</v>
      </c>
      <c r="R389" s="484">
        <v>20</v>
      </c>
      <c r="S389" s="485">
        <f t="shared" si="890"/>
        <v>20</v>
      </c>
      <c r="T389" s="371"/>
      <c r="U389" s="232" t="str">
        <f t="shared" si="853"/>
        <v/>
      </c>
      <c r="V389" s="232" t="str">
        <f t="shared" si="854"/>
        <v/>
      </c>
      <c r="W389" s="232">
        <f t="shared" si="855"/>
        <v>20</v>
      </c>
      <c r="X389" s="232" t="str">
        <f t="shared" si="891"/>
        <v/>
      </c>
      <c r="Y389" s="371"/>
      <c r="Z389" s="497">
        <v>80</v>
      </c>
      <c r="AA389" s="498">
        <v>10</v>
      </c>
      <c r="AB389" s="485">
        <f t="shared" si="856"/>
        <v>10</v>
      </c>
      <c r="AC389" s="371"/>
      <c r="AD389" s="232" t="str">
        <f t="shared" si="857"/>
        <v/>
      </c>
      <c r="AE389" s="232" t="str">
        <f t="shared" si="858"/>
        <v/>
      </c>
      <c r="AF389" s="232">
        <f t="shared" si="859"/>
        <v>10</v>
      </c>
      <c r="AG389" s="232" t="str">
        <f t="shared" si="892"/>
        <v/>
      </c>
      <c r="AH389" s="371"/>
      <c r="AI389" s="497">
        <v>70</v>
      </c>
      <c r="AJ389" s="498">
        <v>20</v>
      </c>
      <c r="AK389" s="485">
        <f t="shared" si="860"/>
        <v>10</v>
      </c>
      <c r="AL389" s="371"/>
      <c r="AM389" s="232" t="str">
        <f t="shared" si="861"/>
        <v/>
      </c>
      <c r="AN389" s="232" t="str">
        <f t="shared" si="862"/>
        <v/>
      </c>
      <c r="AO389" s="232">
        <f t="shared" si="863"/>
        <v>10</v>
      </c>
      <c r="AP389" s="232" t="str">
        <f t="shared" si="893"/>
        <v/>
      </c>
      <c r="AQ389" s="371"/>
      <c r="AR389" s="497">
        <v>70</v>
      </c>
      <c r="AS389" s="498">
        <v>20</v>
      </c>
      <c r="AT389" s="485">
        <f t="shared" si="864"/>
        <v>10</v>
      </c>
      <c r="AU389" s="371"/>
      <c r="AV389" s="232" t="str">
        <f t="shared" si="865"/>
        <v/>
      </c>
      <c r="AW389" s="232" t="str">
        <f t="shared" si="866"/>
        <v/>
      </c>
      <c r="AX389" s="232">
        <f t="shared" si="867"/>
        <v>10</v>
      </c>
      <c r="AY389" s="232" t="str">
        <f t="shared" si="894"/>
        <v/>
      </c>
      <c r="AZ389" s="371"/>
      <c r="BA389" s="497">
        <v>80</v>
      </c>
      <c r="BB389" s="498">
        <v>10</v>
      </c>
      <c r="BC389" s="485">
        <f t="shared" si="868"/>
        <v>10</v>
      </c>
      <c r="BD389" s="371"/>
      <c r="BE389" s="232" t="str">
        <f t="shared" si="869"/>
        <v/>
      </c>
      <c r="BF389" s="232" t="str">
        <f t="shared" si="870"/>
        <v/>
      </c>
      <c r="BG389" s="232">
        <f t="shared" si="871"/>
        <v>10</v>
      </c>
      <c r="BH389" s="232" t="str">
        <f t="shared" si="895"/>
        <v/>
      </c>
      <c r="BI389" s="371"/>
      <c r="BJ389" s="497">
        <v>80</v>
      </c>
      <c r="BK389" s="498">
        <v>10</v>
      </c>
      <c r="BL389" s="485">
        <f t="shared" si="872"/>
        <v>10</v>
      </c>
      <c r="BM389" s="371"/>
      <c r="BN389" s="232" t="str">
        <f t="shared" si="873"/>
        <v/>
      </c>
      <c r="BO389" s="232" t="str">
        <f t="shared" si="874"/>
        <v/>
      </c>
      <c r="BP389" s="232">
        <f t="shared" si="875"/>
        <v>10</v>
      </c>
      <c r="BQ389" s="232" t="str">
        <f t="shared" si="896"/>
        <v/>
      </c>
      <c r="BR389" s="371"/>
      <c r="BS389" s="497">
        <v>50</v>
      </c>
      <c r="BT389" s="498">
        <v>10</v>
      </c>
      <c r="BU389" s="485">
        <f t="shared" si="876"/>
        <v>40</v>
      </c>
      <c r="BV389" s="371"/>
      <c r="BW389" s="232" t="str">
        <f t="shared" si="877"/>
        <v/>
      </c>
      <c r="BX389" s="232" t="str">
        <f t="shared" si="878"/>
        <v/>
      </c>
      <c r="BY389" s="232">
        <f t="shared" si="879"/>
        <v>40</v>
      </c>
      <c r="BZ389" s="232" t="str">
        <f t="shared" si="897"/>
        <v/>
      </c>
      <c r="CA389" s="371"/>
      <c r="CB389" s="504">
        <f t="shared" si="880"/>
        <v>70</v>
      </c>
      <c r="CC389" s="505">
        <f t="shared" si="881"/>
        <v>10</v>
      </c>
      <c r="CD389" s="506">
        <f t="shared" si="882"/>
        <v>20</v>
      </c>
      <c r="CE389" s="371"/>
      <c r="CF389" s="232" t="str">
        <f t="shared" si="883"/>
        <v/>
      </c>
      <c r="CG389" s="232" t="str">
        <f t="shared" si="884"/>
        <v/>
      </c>
      <c r="CH389" s="232">
        <f t="shared" si="885"/>
        <v>20</v>
      </c>
      <c r="CI389" s="232" t="str">
        <f t="shared" si="898"/>
        <v/>
      </c>
      <c r="CJ389" s="232"/>
      <c r="CK389" s="497">
        <v>70</v>
      </c>
      <c r="CL389" s="498">
        <v>20</v>
      </c>
      <c r="CM389" s="485">
        <f t="shared" si="886"/>
        <v>10</v>
      </c>
      <c r="CN389" s="371"/>
      <c r="CO389" s="232" t="str">
        <f t="shared" si="887"/>
        <v/>
      </c>
      <c r="CP389" s="232" t="str">
        <f t="shared" si="888"/>
        <v/>
      </c>
      <c r="CQ389" s="232">
        <f t="shared" si="889"/>
        <v>10</v>
      </c>
      <c r="CR389" s="232" t="str">
        <f t="shared" si="899"/>
        <v/>
      </c>
      <c r="CS389" s="232"/>
      <c r="CT389" s="371"/>
      <c r="CU389" s="300"/>
      <c r="CV389" s="246"/>
      <c r="CW389" s="264"/>
    </row>
    <row r="390" spans="1:101" ht="13.5" thickBot="1" x14ac:dyDescent="0.25">
      <c r="A390" s="264"/>
      <c r="B390" s="264"/>
      <c r="C390" s="202"/>
      <c r="D390" s="271">
        <v>9</v>
      </c>
      <c r="E390" s="168" t="s">
        <v>265</v>
      </c>
      <c r="F390" s="470">
        <v>2</v>
      </c>
      <c r="G390" s="476" t="s">
        <v>49</v>
      </c>
      <c r="H390" s="477">
        <v>3</v>
      </c>
      <c r="I390" s="392" t="str">
        <f t="shared" si="850"/>
        <v/>
      </c>
      <c r="J390" s="393" t="str">
        <f t="shared" si="851"/>
        <v/>
      </c>
      <c r="K390" s="394" t="str">
        <f t="shared" si="852"/>
        <v>x</v>
      </c>
      <c r="L390" s="299"/>
      <c r="M390" s="375"/>
      <c r="N390" s="379"/>
      <c r="O390" s="236"/>
      <c r="P390" s="236"/>
      <c r="Q390" s="489">
        <v>30</v>
      </c>
      <c r="R390" s="490">
        <v>60</v>
      </c>
      <c r="S390" s="491">
        <f t="shared" si="890"/>
        <v>10</v>
      </c>
      <c r="T390" s="371"/>
      <c r="U390" s="232" t="str">
        <f t="shared" si="853"/>
        <v/>
      </c>
      <c r="V390" s="232" t="str">
        <f t="shared" si="854"/>
        <v/>
      </c>
      <c r="W390" s="232">
        <f t="shared" si="855"/>
        <v>10</v>
      </c>
      <c r="X390" s="232" t="str">
        <f t="shared" si="891"/>
        <v/>
      </c>
      <c r="Y390" s="371"/>
      <c r="Z390" s="499">
        <v>80</v>
      </c>
      <c r="AA390" s="500">
        <v>10</v>
      </c>
      <c r="AB390" s="491">
        <f t="shared" si="856"/>
        <v>10</v>
      </c>
      <c r="AC390" s="371"/>
      <c r="AD390" s="232" t="str">
        <f t="shared" si="857"/>
        <v/>
      </c>
      <c r="AE390" s="232" t="str">
        <f t="shared" si="858"/>
        <v/>
      </c>
      <c r="AF390" s="232">
        <f t="shared" si="859"/>
        <v>10</v>
      </c>
      <c r="AG390" s="232" t="str">
        <f t="shared" si="892"/>
        <v/>
      </c>
      <c r="AH390" s="371"/>
      <c r="AI390" s="499">
        <v>30</v>
      </c>
      <c r="AJ390" s="500">
        <v>40</v>
      </c>
      <c r="AK390" s="491">
        <f t="shared" si="860"/>
        <v>30</v>
      </c>
      <c r="AL390" s="371"/>
      <c r="AM390" s="232" t="str">
        <f t="shared" si="861"/>
        <v/>
      </c>
      <c r="AN390" s="232" t="str">
        <f t="shared" si="862"/>
        <v/>
      </c>
      <c r="AO390" s="232">
        <f t="shared" si="863"/>
        <v>30</v>
      </c>
      <c r="AP390" s="232" t="str">
        <f t="shared" si="893"/>
        <v/>
      </c>
      <c r="AQ390" s="371"/>
      <c r="AR390" s="499">
        <v>50</v>
      </c>
      <c r="AS390" s="500">
        <v>20</v>
      </c>
      <c r="AT390" s="491">
        <f t="shared" si="864"/>
        <v>30</v>
      </c>
      <c r="AU390" s="371"/>
      <c r="AV390" s="232" t="str">
        <f t="shared" si="865"/>
        <v/>
      </c>
      <c r="AW390" s="232" t="str">
        <f t="shared" si="866"/>
        <v/>
      </c>
      <c r="AX390" s="232">
        <f t="shared" si="867"/>
        <v>30</v>
      </c>
      <c r="AY390" s="232" t="str">
        <f t="shared" si="894"/>
        <v/>
      </c>
      <c r="AZ390" s="371"/>
      <c r="BA390" s="499">
        <v>80</v>
      </c>
      <c r="BB390" s="500">
        <v>10</v>
      </c>
      <c r="BC390" s="491">
        <f t="shared" si="868"/>
        <v>10</v>
      </c>
      <c r="BD390" s="371"/>
      <c r="BE390" s="232" t="str">
        <f t="shared" si="869"/>
        <v/>
      </c>
      <c r="BF390" s="232" t="str">
        <f t="shared" si="870"/>
        <v/>
      </c>
      <c r="BG390" s="232">
        <f t="shared" si="871"/>
        <v>10</v>
      </c>
      <c r="BH390" s="232" t="str">
        <f t="shared" si="895"/>
        <v/>
      </c>
      <c r="BI390" s="371"/>
      <c r="BJ390" s="499">
        <v>20</v>
      </c>
      <c r="BK390" s="500">
        <v>30</v>
      </c>
      <c r="BL390" s="491">
        <f t="shared" si="872"/>
        <v>50</v>
      </c>
      <c r="BM390" s="371"/>
      <c r="BN390" s="232" t="str">
        <f t="shared" si="873"/>
        <v/>
      </c>
      <c r="BO390" s="232" t="str">
        <f t="shared" si="874"/>
        <v/>
      </c>
      <c r="BP390" s="232">
        <f t="shared" si="875"/>
        <v>50</v>
      </c>
      <c r="BQ390" s="232">
        <f t="shared" si="896"/>
        <v>1</v>
      </c>
      <c r="BR390" s="371"/>
      <c r="BS390" s="499">
        <v>70</v>
      </c>
      <c r="BT390" s="500">
        <v>10</v>
      </c>
      <c r="BU390" s="491">
        <f t="shared" si="876"/>
        <v>20</v>
      </c>
      <c r="BV390" s="371"/>
      <c r="BW390" s="232" t="str">
        <f t="shared" si="877"/>
        <v/>
      </c>
      <c r="BX390" s="232" t="str">
        <f t="shared" si="878"/>
        <v/>
      </c>
      <c r="BY390" s="232">
        <f t="shared" si="879"/>
        <v>20</v>
      </c>
      <c r="BZ390" s="232" t="str">
        <f t="shared" si="897"/>
        <v/>
      </c>
      <c r="CA390" s="371"/>
      <c r="CB390" s="507">
        <f t="shared" si="880"/>
        <v>60</v>
      </c>
      <c r="CC390" s="508">
        <f t="shared" si="881"/>
        <v>20</v>
      </c>
      <c r="CD390" s="509">
        <f t="shared" si="882"/>
        <v>20</v>
      </c>
      <c r="CE390" s="371"/>
      <c r="CF390" s="232" t="str">
        <f t="shared" si="883"/>
        <v/>
      </c>
      <c r="CG390" s="232" t="str">
        <f t="shared" si="884"/>
        <v/>
      </c>
      <c r="CH390" s="232">
        <f t="shared" si="885"/>
        <v>20</v>
      </c>
      <c r="CI390" s="232" t="str">
        <f t="shared" si="898"/>
        <v/>
      </c>
      <c r="CJ390" s="232"/>
      <c r="CK390" s="499">
        <v>50</v>
      </c>
      <c r="CL390" s="500">
        <v>40</v>
      </c>
      <c r="CM390" s="491">
        <f t="shared" si="886"/>
        <v>10</v>
      </c>
      <c r="CN390" s="371"/>
      <c r="CO390" s="232" t="str">
        <f t="shared" si="887"/>
        <v/>
      </c>
      <c r="CP390" s="232" t="str">
        <f t="shared" si="888"/>
        <v/>
      </c>
      <c r="CQ390" s="232">
        <f t="shared" si="889"/>
        <v>10</v>
      </c>
      <c r="CR390" s="232" t="str">
        <f t="shared" si="899"/>
        <v/>
      </c>
      <c r="CS390" s="232"/>
      <c r="CT390" s="371"/>
      <c r="CU390" s="300"/>
      <c r="CV390" s="246"/>
      <c r="CW390" s="264"/>
    </row>
    <row r="391" spans="1:101" x14ac:dyDescent="0.2">
      <c r="A391" s="264"/>
      <c r="B391" s="264"/>
      <c r="C391" s="202"/>
      <c r="D391" s="271">
        <v>10</v>
      </c>
      <c r="E391" s="169" t="s">
        <v>266</v>
      </c>
      <c r="F391" s="471">
        <v>3</v>
      </c>
      <c r="G391" s="478" t="s">
        <v>49</v>
      </c>
      <c r="H391" s="479">
        <v>1</v>
      </c>
      <c r="I391" s="170" t="str">
        <f t="shared" si="850"/>
        <v>x</v>
      </c>
      <c r="J391" s="387" t="str">
        <f t="shared" si="851"/>
        <v/>
      </c>
      <c r="K391" s="388" t="str">
        <f t="shared" si="852"/>
        <v/>
      </c>
      <c r="L391" s="299"/>
      <c r="M391" s="375"/>
      <c r="N391" s="379"/>
      <c r="O391" s="236"/>
      <c r="P391" s="236"/>
      <c r="Q391" s="492">
        <v>40</v>
      </c>
      <c r="R391" s="493">
        <v>30</v>
      </c>
      <c r="S391" s="494">
        <f t="shared" si="890"/>
        <v>30</v>
      </c>
      <c r="T391" s="371"/>
      <c r="U391" s="232">
        <f t="shared" si="853"/>
        <v>40</v>
      </c>
      <c r="V391" s="232" t="str">
        <f t="shared" si="854"/>
        <v/>
      </c>
      <c r="W391" s="232" t="str">
        <f t="shared" si="855"/>
        <v/>
      </c>
      <c r="X391" s="232">
        <f t="shared" si="891"/>
        <v>1</v>
      </c>
      <c r="Y391" s="371"/>
      <c r="Z391" s="495">
        <v>80</v>
      </c>
      <c r="AA391" s="496">
        <v>10</v>
      </c>
      <c r="AB391" s="494">
        <f t="shared" si="856"/>
        <v>10</v>
      </c>
      <c r="AC391" s="371"/>
      <c r="AD391" s="232">
        <f t="shared" si="857"/>
        <v>80</v>
      </c>
      <c r="AE391" s="232" t="str">
        <f t="shared" si="858"/>
        <v/>
      </c>
      <c r="AF391" s="232" t="str">
        <f t="shared" si="859"/>
        <v/>
      </c>
      <c r="AG391" s="232">
        <f t="shared" si="892"/>
        <v>1</v>
      </c>
      <c r="AH391" s="371"/>
      <c r="AI391" s="495">
        <v>20</v>
      </c>
      <c r="AJ391" s="496">
        <v>20</v>
      </c>
      <c r="AK391" s="494">
        <f t="shared" si="860"/>
        <v>60</v>
      </c>
      <c r="AL391" s="371"/>
      <c r="AM391" s="232">
        <f t="shared" si="861"/>
        <v>20</v>
      </c>
      <c r="AN391" s="232" t="str">
        <f t="shared" si="862"/>
        <v/>
      </c>
      <c r="AO391" s="232" t="str">
        <f t="shared" si="863"/>
        <v/>
      </c>
      <c r="AP391" s="232" t="str">
        <f t="shared" si="893"/>
        <v/>
      </c>
      <c r="AQ391" s="371"/>
      <c r="AR391" s="495">
        <v>10</v>
      </c>
      <c r="AS391" s="496">
        <v>20</v>
      </c>
      <c r="AT391" s="494">
        <f t="shared" si="864"/>
        <v>70</v>
      </c>
      <c r="AU391" s="371"/>
      <c r="AV391" s="232">
        <f t="shared" si="865"/>
        <v>10</v>
      </c>
      <c r="AW391" s="232" t="str">
        <f t="shared" si="866"/>
        <v/>
      </c>
      <c r="AX391" s="232" t="str">
        <f t="shared" si="867"/>
        <v/>
      </c>
      <c r="AY391" s="232" t="str">
        <f t="shared" si="894"/>
        <v/>
      </c>
      <c r="AZ391" s="371"/>
      <c r="BA391" s="495">
        <v>50</v>
      </c>
      <c r="BB391" s="496">
        <v>40</v>
      </c>
      <c r="BC391" s="494">
        <f t="shared" si="868"/>
        <v>10</v>
      </c>
      <c r="BD391" s="371"/>
      <c r="BE391" s="232">
        <f t="shared" si="869"/>
        <v>50</v>
      </c>
      <c r="BF391" s="232" t="str">
        <f t="shared" si="870"/>
        <v/>
      </c>
      <c r="BG391" s="232" t="str">
        <f t="shared" si="871"/>
        <v/>
      </c>
      <c r="BH391" s="232">
        <f t="shared" si="895"/>
        <v>1</v>
      </c>
      <c r="BI391" s="371"/>
      <c r="BJ391" s="495">
        <v>10</v>
      </c>
      <c r="BK391" s="496">
        <v>10</v>
      </c>
      <c r="BL391" s="494">
        <f t="shared" si="872"/>
        <v>80</v>
      </c>
      <c r="BM391" s="371"/>
      <c r="BN391" s="232">
        <f t="shared" si="873"/>
        <v>10</v>
      </c>
      <c r="BO391" s="232" t="str">
        <f t="shared" si="874"/>
        <v/>
      </c>
      <c r="BP391" s="232" t="str">
        <f t="shared" si="875"/>
        <v/>
      </c>
      <c r="BQ391" s="232" t="str">
        <f t="shared" si="896"/>
        <v/>
      </c>
      <c r="BR391" s="371"/>
      <c r="BS391" s="495">
        <v>40</v>
      </c>
      <c r="BT391" s="496">
        <v>30</v>
      </c>
      <c r="BU391" s="494">
        <f t="shared" si="876"/>
        <v>30</v>
      </c>
      <c r="BV391" s="371"/>
      <c r="BW391" s="232">
        <f t="shared" si="877"/>
        <v>40</v>
      </c>
      <c r="BX391" s="232" t="str">
        <f t="shared" si="878"/>
        <v/>
      </c>
      <c r="BY391" s="232" t="str">
        <f t="shared" si="879"/>
        <v/>
      </c>
      <c r="BZ391" s="232">
        <f t="shared" si="897"/>
        <v>1</v>
      </c>
      <c r="CA391" s="371"/>
      <c r="CB391" s="501">
        <f t="shared" si="880"/>
        <v>40</v>
      </c>
      <c r="CC391" s="502">
        <f t="shared" si="881"/>
        <v>20</v>
      </c>
      <c r="CD391" s="503">
        <f t="shared" si="882"/>
        <v>40</v>
      </c>
      <c r="CE391" s="371"/>
      <c r="CF391" s="232">
        <f t="shared" si="883"/>
        <v>40</v>
      </c>
      <c r="CG391" s="232" t="str">
        <f t="shared" si="884"/>
        <v/>
      </c>
      <c r="CH391" s="232" t="str">
        <f t="shared" si="885"/>
        <v/>
      </c>
      <c r="CI391" s="232">
        <f t="shared" si="898"/>
        <v>1</v>
      </c>
      <c r="CJ391" s="232"/>
      <c r="CK391" s="495">
        <v>10</v>
      </c>
      <c r="CL391" s="496">
        <v>30</v>
      </c>
      <c r="CM391" s="494">
        <f t="shared" si="886"/>
        <v>60</v>
      </c>
      <c r="CN391" s="371"/>
      <c r="CO391" s="232">
        <f t="shared" si="887"/>
        <v>10</v>
      </c>
      <c r="CP391" s="232" t="str">
        <f t="shared" si="888"/>
        <v/>
      </c>
      <c r="CQ391" s="232" t="str">
        <f t="shared" si="889"/>
        <v/>
      </c>
      <c r="CR391" s="232" t="str">
        <f t="shared" si="899"/>
        <v/>
      </c>
      <c r="CS391" s="232"/>
      <c r="CT391" s="371"/>
      <c r="CU391" s="300"/>
      <c r="CV391" s="246"/>
      <c r="CW391" s="264"/>
    </row>
    <row r="392" spans="1:101" x14ac:dyDescent="0.2">
      <c r="A392" s="264"/>
      <c r="B392" s="264"/>
      <c r="C392" s="202"/>
      <c r="D392" s="271">
        <v>11</v>
      </c>
      <c r="E392" s="167" t="s">
        <v>267</v>
      </c>
      <c r="F392" s="469">
        <v>2</v>
      </c>
      <c r="G392" s="474" t="s">
        <v>49</v>
      </c>
      <c r="H392" s="475">
        <v>1</v>
      </c>
      <c r="I392" s="389" t="str">
        <f t="shared" si="850"/>
        <v>x</v>
      </c>
      <c r="J392" s="390" t="str">
        <f t="shared" si="851"/>
        <v/>
      </c>
      <c r="K392" s="391" t="str">
        <f t="shared" si="852"/>
        <v/>
      </c>
      <c r="L392" s="299"/>
      <c r="M392" s="375"/>
      <c r="N392" s="379"/>
      <c r="O392" s="236"/>
      <c r="P392" s="236"/>
      <c r="Q392" s="483">
        <v>50</v>
      </c>
      <c r="R392" s="484">
        <v>40</v>
      </c>
      <c r="S392" s="485">
        <f t="shared" si="890"/>
        <v>10</v>
      </c>
      <c r="T392" s="371"/>
      <c r="U392" s="232">
        <f t="shared" si="853"/>
        <v>50</v>
      </c>
      <c r="V392" s="232" t="str">
        <f t="shared" si="854"/>
        <v/>
      </c>
      <c r="W392" s="232" t="str">
        <f t="shared" si="855"/>
        <v/>
      </c>
      <c r="X392" s="232">
        <f t="shared" si="891"/>
        <v>1</v>
      </c>
      <c r="Y392" s="371"/>
      <c r="Z392" s="497">
        <v>80</v>
      </c>
      <c r="AA392" s="498">
        <v>10</v>
      </c>
      <c r="AB392" s="485">
        <f t="shared" si="856"/>
        <v>10</v>
      </c>
      <c r="AC392" s="371"/>
      <c r="AD392" s="232">
        <f t="shared" si="857"/>
        <v>80</v>
      </c>
      <c r="AE392" s="232" t="str">
        <f t="shared" si="858"/>
        <v/>
      </c>
      <c r="AF392" s="232" t="str">
        <f t="shared" si="859"/>
        <v/>
      </c>
      <c r="AG392" s="232">
        <f t="shared" si="892"/>
        <v>1</v>
      </c>
      <c r="AH392" s="371"/>
      <c r="AI392" s="497">
        <v>80</v>
      </c>
      <c r="AJ392" s="498">
        <v>10</v>
      </c>
      <c r="AK392" s="485">
        <f t="shared" si="860"/>
        <v>10</v>
      </c>
      <c r="AL392" s="371"/>
      <c r="AM392" s="232">
        <f t="shared" si="861"/>
        <v>80</v>
      </c>
      <c r="AN392" s="232" t="str">
        <f t="shared" si="862"/>
        <v/>
      </c>
      <c r="AO392" s="232" t="str">
        <f t="shared" si="863"/>
        <v/>
      </c>
      <c r="AP392" s="232">
        <f t="shared" si="893"/>
        <v>1</v>
      </c>
      <c r="AQ392" s="371"/>
      <c r="AR392" s="497">
        <v>60</v>
      </c>
      <c r="AS392" s="498">
        <v>30</v>
      </c>
      <c r="AT392" s="485">
        <f t="shared" si="864"/>
        <v>10</v>
      </c>
      <c r="AU392" s="371"/>
      <c r="AV392" s="232">
        <f t="shared" si="865"/>
        <v>60</v>
      </c>
      <c r="AW392" s="232" t="str">
        <f t="shared" si="866"/>
        <v/>
      </c>
      <c r="AX392" s="232" t="str">
        <f t="shared" si="867"/>
        <v/>
      </c>
      <c r="AY392" s="232">
        <f t="shared" si="894"/>
        <v>1</v>
      </c>
      <c r="AZ392" s="371"/>
      <c r="BA392" s="497">
        <v>80</v>
      </c>
      <c r="BB392" s="498">
        <v>10</v>
      </c>
      <c r="BC392" s="485">
        <f t="shared" si="868"/>
        <v>10</v>
      </c>
      <c r="BD392" s="371"/>
      <c r="BE392" s="232">
        <f t="shared" si="869"/>
        <v>80</v>
      </c>
      <c r="BF392" s="232" t="str">
        <f t="shared" si="870"/>
        <v/>
      </c>
      <c r="BG392" s="232" t="str">
        <f t="shared" si="871"/>
        <v/>
      </c>
      <c r="BH392" s="232">
        <f t="shared" si="895"/>
        <v>1</v>
      </c>
      <c r="BI392" s="371"/>
      <c r="BJ392" s="497">
        <v>80</v>
      </c>
      <c r="BK392" s="498">
        <v>10</v>
      </c>
      <c r="BL392" s="485">
        <f t="shared" si="872"/>
        <v>10</v>
      </c>
      <c r="BM392" s="371"/>
      <c r="BN392" s="232">
        <f t="shared" si="873"/>
        <v>80</v>
      </c>
      <c r="BO392" s="232" t="str">
        <f t="shared" si="874"/>
        <v/>
      </c>
      <c r="BP392" s="232" t="str">
        <f t="shared" si="875"/>
        <v/>
      </c>
      <c r="BQ392" s="232">
        <f t="shared" si="896"/>
        <v>1</v>
      </c>
      <c r="BR392" s="371"/>
      <c r="BS392" s="497">
        <v>60</v>
      </c>
      <c r="BT392" s="498">
        <v>20</v>
      </c>
      <c r="BU392" s="485">
        <f t="shared" si="876"/>
        <v>20</v>
      </c>
      <c r="BV392" s="371"/>
      <c r="BW392" s="232">
        <f t="shared" si="877"/>
        <v>60</v>
      </c>
      <c r="BX392" s="232" t="str">
        <f t="shared" si="878"/>
        <v/>
      </c>
      <c r="BY392" s="232" t="str">
        <f t="shared" si="879"/>
        <v/>
      </c>
      <c r="BZ392" s="232">
        <f t="shared" si="897"/>
        <v>1</v>
      </c>
      <c r="CA392" s="371"/>
      <c r="CB392" s="504">
        <f t="shared" si="880"/>
        <v>70</v>
      </c>
      <c r="CC392" s="505">
        <f t="shared" si="881"/>
        <v>10</v>
      </c>
      <c r="CD392" s="506">
        <f t="shared" si="882"/>
        <v>20</v>
      </c>
      <c r="CE392" s="371"/>
      <c r="CF392" s="232">
        <f t="shared" si="883"/>
        <v>70</v>
      </c>
      <c r="CG392" s="232" t="str">
        <f t="shared" si="884"/>
        <v/>
      </c>
      <c r="CH392" s="232" t="str">
        <f t="shared" si="885"/>
        <v/>
      </c>
      <c r="CI392" s="232">
        <f t="shared" si="898"/>
        <v>1</v>
      </c>
      <c r="CJ392" s="232"/>
      <c r="CK392" s="497">
        <v>70</v>
      </c>
      <c r="CL392" s="498">
        <v>20</v>
      </c>
      <c r="CM392" s="485">
        <f t="shared" si="886"/>
        <v>10</v>
      </c>
      <c r="CN392" s="371"/>
      <c r="CO392" s="232">
        <f t="shared" si="887"/>
        <v>70</v>
      </c>
      <c r="CP392" s="232" t="str">
        <f t="shared" si="888"/>
        <v/>
      </c>
      <c r="CQ392" s="232" t="str">
        <f t="shared" si="889"/>
        <v/>
      </c>
      <c r="CR392" s="232">
        <f t="shared" si="899"/>
        <v>1</v>
      </c>
      <c r="CS392" s="232"/>
      <c r="CT392" s="371"/>
      <c r="CU392" s="300"/>
      <c r="CV392" s="246"/>
      <c r="CW392" s="264"/>
    </row>
    <row r="393" spans="1:101" ht="13.5" thickBot="1" x14ac:dyDescent="0.25">
      <c r="A393" s="264"/>
      <c r="B393" s="264"/>
      <c r="C393" s="202"/>
      <c r="D393" s="271">
        <v>12</v>
      </c>
      <c r="E393" s="168" t="s">
        <v>268</v>
      </c>
      <c r="F393" s="470">
        <v>2</v>
      </c>
      <c r="G393" s="476" t="s">
        <v>49</v>
      </c>
      <c r="H393" s="477">
        <v>2</v>
      </c>
      <c r="I393" s="392" t="str">
        <f t="shared" si="850"/>
        <v/>
      </c>
      <c r="J393" s="393" t="str">
        <f t="shared" si="851"/>
        <v>x</v>
      </c>
      <c r="K393" s="394" t="str">
        <f t="shared" si="852"/>
        <v/>
      </c>
      <c r="L393" s="299"/>
      <c r="M393" s="375"/>
      <c r="N393" s="379"/>
      <c r="O393" s="236"/>
      <c r="P393" s="236"/>
      <c r="Q393" s="489">
        <v>40</v>
      </c>
      <c r="R393" s="490">
        <v>30</v>
      </c>
      <c r="S393" s="491">
        <f t="shared" si="890"/>
        <v>30</v>
      </c>
      <c r="T393" s="371"/>
      <c r="U393" s="232" t="str">
        <f t="shared" si="853"/>
        <v/>
      </c>
      <c r="V393" s="232">
        <f t="shared" si="854"/>
        <v>30</v>
      </c>
      <c r="W393" s="232" t="str">
        <f t="shared" si="855"/>
        <v/>
      </c>
      <c r="X393" s="232" t="str">
        <f t="shared" si="891"/>
        <v/>
      </c>
      <c r="Y393" s="371"/>
      <c r="Z393" s="499">
        <v>80</v>
      </c>
      <c r="AA393" s="500">
        <v>10</v>
      </c>
      <c r="AB393" s="491">
        <f t="shared" si="856"/>
        <v>10</v>
      </c>
      <c r="AC393" s="371"/>
      <c r="AD393" s="232" t="str">
        <f t="shared" si="857"/>
        <v/>
      </c>
      <c r="AE393" s="232">
        <f t="shared" si="858"/>
        <v>10</v>
      </c>
      <c r="AF393" s="232" t="str">
        <f t="shared" si="859"/>
        <v/>
      </c>
      <c r="AG393" s="232" t="str">
        <f t="shared" si="892"/>
        <v/>
      </c>
      <c r="AH393" s="371"/>
      <c r="AI393" s="499">
        <v>30</v>
      </c>
      <c r="AJ393" s="500">
        <v>40</v>
      </c>
      <c r="AK393" s="491">
        <f t="shared" si="860"/>
        <v>30</v>
      </c>
      <c r="AL393" s="371"/>
      <c r="AM393" s="232" t="str">
        <f t="shared" si="861"/>
        <v/>
      </c>
      <c r="AN393" s="232">
        <f t="shared" si="862"/>
        <v>40</v>
      </c>
      <c r="AO393" s="232" t="str">
        <f t="shared" si="863"/>
        <v/>
      </c>
      <c r="AP393" s="232">
        <f t="shared" si="893"/>
        <v>1</v>
      </c>
      <c r="AQ393" s="371"/>
      <c r="AR393" s="499">
        <v>60</v>
      </c>
      <c r="AS393" s="500">
        <v>30</v>
      </c>
      <c r="AT393" s="491">
        <f t="shared" si="864"/>
        <v>10</v>
      </c>
      <c r="AU393" s="371"/>
      <c r="AV393" s="232" t="str">
        <f t="shared" si="865"/>
        <v/>
      </c>
      <c r="AW393" s="232">
        <f t="shared" si="866"/>
        <v>30</v>
      </c>
      <c r="AX393" s="232" t="str">
        <f t="shared" si="867"/>
        <v/>
      </c>
      <c r="AY393" s="232" t="str">
        <f t="shared" si="894"/>
        <v/>
      </c>
      <c r="AZ393" s="371"/>
      <c r="BA393" s="499">
        <v>80</v>
      </c>
      <c r="BB393" s="500">
        <v>10</v>
      </c>
      <c r="BC393" s="491">
        <f t="shared" si="868"/>
        <v>10</v>
      </c>
      <c r="BD393" s="371"/>
      <c r="BE393" s="232" t="str">
        <f t="shared" si="869"/>
        <v/>
      </c>
      <c r="BF393" s="232">
        <f t="shared" si="870"/>
        <v>10</v>
      </c>
      <c r="BG393" s="232" t="str">
        <f t="shared" si="871"/>
        <v/>
      </c>
      <c r="BH393" s="232" t="str">
        <f t="shared" si="895"/>
        <v/>
      </c>
      <c r="BI393" s="371"/>
      <c r="BJ393" s="499">
        <v>80</v>
      </c>
      <c r="BK393" s="500">
        <v>10</v>
      </c>
      <c r="BL393" s="491">
        <f t="shared" si="872"/>
        <v>10</v>
      </c>
      <c r="BM393" s="371"/>
      <c r="BN393" s="232" t="str">
        <f t="shared" si="873"/>
        <v/>
      </c>
      <c r="BO393" s="232">
        <f t="shared" si="874"/>
        <v>10</v>
      </c>
      <c r="BP393" s="232" t="str">
        <f t="shared" si="875"/>
        <v/>
      </c>
      <c r="BQ393" s="232" t="str">
        <f t="shared" si="896"/>
        <v/>
      </c>
      <c r="BR393" s="371"/>
      <c r="BS393" s="499">
        <v>40</v>
      </c>
      <c r="BT393" s="500">
        <v>40</v>
      </c>
      <c r="BU393" s="491">
        <f t="shared" si="876"/>
        <v>20</v>
      </c>
      <c r="BV393" s="371"/>
      <c r="BW393" s="232" t="str">
        <f t="shared" si="877"/>
        <v/>
      </c>
      <c r="BX393" s="232">
        <f t="shared" si="878"/>
        <v>40</v>
      </c>
      <c r="BY393" s="232" t="str">
        <f t="shared" si="879"/>
        <v/>
      </c>
      <c r="BZ393" s="232">
        <f t="shared" si="897"/>
        <v>1</v>
      </c>
      <c r="CA393" s="371"/>
      <c r="CB393" s="507">
        <f t="shared" si="880"/>
        <v>60</v>
      </c>
      <c r="CC393" s="508">
        <f t="shared" si="881"/>
        <v>20</v>
      </c>
      <c r="CD393" s="509">
        <f t="shared" si="882"/>
        <v>20</v>
      </c>
      <c r="CE393" s="371"/>
      <c r="CF393" s="232" t="str">
        <f t="shared" si="883"/>
        <v/>
      </c>
      <c r="CG393" s="232">
        <f t="shared" si="884"/>
        <v>20</v>
      </c>
      <c r="CH393" s="232" t="str">
        <f t="shared" si="885"/>
        <v/>
      </c>
      <c r="CI393" s="232" t="str">
        <f t="shared" si="898"/>
        <v/>
      </c>
      <c r="CJ393" s="232"/>
      <c r="CK393" s="499">
        <v>60</v>
      </c>
      <c r="CL393" s="500">
        <v>30</v>
      </c>
      <c r="CM393" s="491">
        <f t="shared" si="886"/>
        <v>10</v>
      </c>
      <c r="CN393" s="371"/>
      <c r="CO393" s="232" t="str">
        <f t="shared" si="887"/>
        <v/>
      </c>
      <c r="CP393" s="232">
        <f t="shared" si="888"/>
        <v>30</v>
      </c>
      <c r="CQ393" s="232" t="str">
        <f t="shared" si="889"/>
        <v/>
      </c>
      <c r="CR393" s="232" t="str">
        <f t="shared" si="899"/>
        <v/>
      </c>
      <c r="CS393" s="232"/>
      <c r="CT393" s="371"/>
      <c r="CU393" s="300"/>
      <c r="CV393" s="246"/>
      <c r="CW393" s="264"/>
    </row>
    <row r="394" spans="1:101" x14ac:dyDescent="0.2">
      <c r="A394" s="264"/>
      <c r="B394" s="264"/>
      <c r="C394" s="202"/>
      <c r="D394" s="272"/>
      <c r="E394" s="235"/>
      <c r="F394" s="395">
        <f>IF(SUM(F382:F393)=0,"",SUM(F382:F393))</f>
        <v>23</v>
      </c>
      <c r="G394" s="370" t="s">
        <v>49</v>
      </c>
      <c r="H394" s="396">
        <f>IF(SUM(H382:H393)=0,"",SUM(H382:H393))</f>
        <v>17</v>
      </c>
      <c r="I394" s="397">
        <f>IF(COUNTIF(I382:I393,"=x")=0,"",COUNTIF(I382:I393,"=x"))</f>
        <v>6</v>
      </c>
      <c r="J394" s="398">
        <f>IF(COUNTIF(J382:J393,"=x")=0,"",COUNTIF(J382:J393,"=x"))</f>
        <v>4</v>
      </c>
      <c r="K394" s="399">
        <f>IF(COUNTIF(K382:K393,"=x")=0,"",COUNTIF(K382:K393,"=x"))</f>
        <v>2</v>
      </c>
      <c r="L394" s="299"/>
      <c r="M394" s="375"/>
      <c r="N394" s="379"/>
      <c r="O394" s="236"/>
      <c r="P394" s="369"/>
      <c r="Q394" s="466">
        <f>SUM(U382:U393)</f>
        <v>270</v>
      </c>
      <c r="R394" s="466">
        <f>SUM(V382:V393)</f>
        <v>150</v>
      </c>
      <c r="S394" s="466">
        <f>SUM(W382:W393)</f>
        <v>30</v>
      </c>
      <c r="T394" s="368"/>
      <c r="U394" s="232"/>
      <c r="V394" s="232"/>
      <c r="W394" s="232"/>
      <c r="X394" s="232"/>
      <c r="Y394" s="367"/>
      <c r="Z394" s="466">
        <f>SUM(AD382:AD393)</f>
        <v>410</v>
      </c>
      <c r="AA394" s="466">
        <f>SUM(AE382:AE393)</f>
        <v>110</v>
      </c>
      <c r="AB394" s="466">
        <f>SUM(AF382:AF393)</f>
        <v>20</v>
      </c>
      <c r="AC394" s="368"/>
      <c r="AD394" s="232"/>
      <c r="AE394" s="232"/>
      <c r="AF394" s="232"/>
      <c r="AG394" s="232"/>
      <c r="AH394" s="367"/>
      <c r="AI394" s="466">
        <f>SUM(AM382:AM393)</f>
        <v>360</v>
      </c>
      <c r="AJ394" s="466">
        <f>SUM(AN382:AN393)</f>
        <v>100</v>
      </c>
      <c r="AK394" s="466">
        <f>SUM(AO382:AO393)</f>
        <v>40</v>
      </c>
      <c r="AL394" s="368"/>
      <c r="AM394" s="232"/>
      <c r="AN394" s="232"/>
      <c r="AO394" s="232"/>
      <c r="AP394" s="232"/>
      <c r="AQ394" s="367"/>
      <c r="AR394" s="466">
        <f>SUM(AV382:AV393)</f>
        <v>270</v>
      </c>
      <c r="AS394" s="466">
        <f>SUM(AW382:AW393)</f>
        <v>100</v>
      </c>
      <c r="AT394" s="466">
        <f>SUM(AX382:AX393)</f>
        <v>40</v>
      </c>
      <c r="AU394" s="368"/>
      <c r="AV394" s="232"/>
      <c r="AW394" s="232"/>
      <c r="AX394" s="232"/>
      <c r="AY394" s="232"/>
      <c r="AZ394" s="367"/>
      <c r="BA394" s="466">
        <f>SUM(BE382:BE393)</f>
        <v>340</v>
      </c>
      <c r="BB394" s="466">
        <f>SUM(BF382:BF393)</f>
        <v>40</v>
      </c>
      <c r="BC394" s="466">
        <f>SUM(BG382:BG393)</f>
        <v>20</v>
      </c>
      <c r="BD394" s="368"/>
      <c r="BE394" s="232"/>
      <c r="BF394" s="232"/>
      <c r="BG394" s="232"/>
      <c r="BH394" s="232"/>
      <c r="BI394" s="367"/>
      <c r="BJ394" s="466">
        <f>SUM(BN382:BN393)</f>
        <v>270</v>
      </c>
      <c r="BK394" s="466">
        <f>SUM(BO382:BO393)</f>
        <v>40</v>
      </c>
      <c r="BL394" s="466">
        <f>SUM(BP382:BP393)</f>
        <v>60</v>
      </c>
      <c r="BM394" s="368"/>
      <c r="BN394" s="232"/>
      <c r="BO394" s="232"/>
      <c r="BP394" s="232"/>
      <c r="BQ394" s="232"/>
      <c r="BR394" s="367"/>
      <c r="BS394" s="466">
        <f>SUM(BW382:BW393)</f>
        <v>270</v>
      </c>
      <c r="BT394" s="466">
        <f>SUM(BX382:BX393)</f>
        <v>130</v>
      </c>
      <c r="BU394" s="466">
        <f>SUM(BY382:BY393)</f>
        <v>60</v>
      </c>
      <c r="BV394" s="368"/>
      <c r="BW394" s="232"/>
      <c r="BX394" s="232"/>
      <c r="BY394" s="232"/>
      <c r="BZ394" s="232"/>
      <c r="CA394" s="369"/>
      <c r="CB394" s="466">
        <f>SUM(CF382:CF393)</f>
        <v>340</v>
      </c>
      <c r="CC394" s="466">
        <f>SUM(CG382:CG393)</f>
        <v>80</v>
      </c>
      <c r="CD394" s="466">
        <f>SUM(CH382:CH393)</f>
        <v>40</v>
      </c>
      <c r="CE394" s="368"/>
      <c r="CF394" s="232"/>
      <c r="CG394" s="232"/>
      <c r="CH394" s="232"/>
      <c r="CI394" s="232"/>
      <c r="CJ394" s="232"/>
      <c r="CK394" s="466">
        <f>SUM(CO382:CO393)</f>
        <v>280</v>
      </c>
      <c r="CL394" s="466">
        <f>SUM(CP382:CP393)</f>
        <v>110</v>
      </c>
      <c r="CM394" s="466">
        <f>SUM(CQ382:CQ393)</f>
        <v>20</v>
      </c>
      <c r="CN394" s="368"/>
      <c r="CO394" s="232"/>
      <c r="CP394" s="232"/>
      <c r="CQ394" s="232"/>
      <c r="CR394" s="232"/>
      <c r="CS394" s="232"/>
      <c r="CT394" s="232"/>
      <c r="CU394" s="300"/>
      <c r="CV394" s="246"/>
      <c r="CW394" s="265"/>
    </row>
    <row r="395" spans="1:101" ht="13.5" thickBot="1" x14ac:dyDescent="0.25">
      <c r="A395" s="264"/>
      <c r="B395" s="264"/>
      <c r="C395" s="202"/>
      <c r="D395" s="289"/>
      <c r="E395" s="282"/>
      <c r="F395" s="283"/>
      <c r="G395" s="282"/>
      <c r="H395" s="282"/>
      <c r="I395" s="282"/>
      <c r="J395" s="282"/>
      <c r="K395" s="282"/>
      <c r="L395" s="293"/>
      <c r="M395" s="301"/>
      <c r="N395" s="380"/>
      <c r="O395" s="376"/>
      <c r="P395" s="284"/>
      <c r="Q395" s="285"/>
      <c r="R395" s="285"/>
      <c r="S395" s="285"/>
      <c r="T395" s="286"/>
      <c r="U395" s="287"/>
      <c r="V395" s="287"/>
      <c r="W395" s="287"/>
      <c r="X395" s="287"/>
      <c r="Y395" s="284"/>
      <c r="Z395" s="285"/>
      <c r="AA395" s="285"/>
      <c r="AB395" s="285"/>
      <c r="AC395" s="286"/>
      <c r="AD395" s="287"/>
      <c r="AE395" s="287"/>
      <c r="AF395" s="287"/>
      <c r="AG395" s="288"/>
      <c r="AH395" s="284"/>
      <c r="AI395" s="285"/>
      <c r="AJ395" s="285"/>
      <c r="AK395" s="285"/>
      <c r="AL395" s="286"/>
      <c r="AM395" s="287"/>
      <c r="AN395" s="287"/>
      <c r="AO395" s="287"/>
      <c r="AP395" s="288"/>
      <c r="AQ395" s="284"/>
      <c r="AR395" s="285"/>
      <c r="AS395" s="285"/>
      <c r="AT395" s="285"/>
      <c r="AU395" s="286"/>
      <c r="AV395" s="287"/>
      <c r="AW395" s="287"/>
      <c r="AX395" s="287"/>
      <c r="AY395" s="288"/>
      <c r="AZ395" s="284"/>
      <c r="BA395" s="285"/>
      <c r="BB395" s="285"/>
      <c r="BC395" s="285"/>
      <c r="BD395" s="286"/>
      <c r="BE395" s="287"/>
      <c r="BF395" s="287"/>
      <c r="BG395" s="287"/>
      <c r="BH395" s="288"/>
      <c r="BI395" s="284"/>
      <c r="BJ395" s="284"/>
      <c r="BK395" s="284"/>
      <c r="BL395" s="284"/>
      <c r="BM395" s="284"/>
      <c r="BN395" s="284"/>
      <c r="BO395" s="284"/>
      <c r="BP395" s="284"/>
      <c r="BQ395" s="284"/>
      <c r="BR395" s="284"/>
      <c r="BS395" s="284"/>
      <c r="BT395" s="284"/>
      <c r="BU395" s="284"/>
      <c r="BV395" s="284"/>
      <c r="BW395" s="284"/>
      <c r="BX395" s="284"/>
      <c r="BY395" s="284"/>
      <c r="BZ395" s="284"/>
      <c r="CA395" s="284"/>
      <c r="CB395" s="284"/>
      <c r="CC395" s="284"/>
      <c r="CD395" s="284"/>
      <c r="CE395" s="284"/>
      <c r="CF395" s="284"/>
      <c r="CG395" s="284"/>
      <c r="CH395" s="284"/>
      <c r="CI395" s="284"/>
      <c r="CJ395" s="288"/>
      <c r="CK395" s="288"/>
      <c r="CL395" s="288"/>
      <c r="CM395" s="288"/>
      <c r="CN395" s="288"/>
      <c r="CO395" s="288"/>
      <c r="CP395" s="288"/>
      <c r="CQ395" s="288"/>
      <c r="CR395" s="288"/>
      <c r="CS395" s="288"/>
      <c r="CT395" s="282"/>
      <c r="CU395" s="294"/>
      <c r="CV395" s="246"/>
      <c r="CW395" s="265"/>
    </row>
    <row r="396" spans="1:101" ht="14.25" thickTop="1" thickBot="1" x14ac:dyDescent="0.25">
      <c r="A396" s="256"/>
      <c r="B396" s="256"/>
      <c r="C396" s="210"/>
      <c r="D396" s="211"/>
      <c r="E396" s="247"/>
      <c r="F396" s="248"/>
      <c r="G396" s="247"/>
      <c r="H396" s="247"/>
      <c r="I396" s="247"/>
      <c r="J396" s="247"/>
      <c r="K396" s="247"/>
      <c r="L396" s="249"/>
      <c r="M396" s="250"/>
      <c r="N396" s="250"/>
      <c r="O396" s="250"/>
      <c r="P396" s="250"/>
      <c r="Q396" s="247"/>
      <c r="R396" s="247"/>
      <c r="S396" s="247"/>
      <c r="T396" s="251"/>
      <c r="U396" s="252"/>
      <c r="V396" s="252"/>
      <c r="W396" s="252"/>
      <c r="X396" s="252"/>
      <c r="Y396" s="250"/>
      <c r="Z396" s="247"/>
      <c r="AA396" s="247"/>
      <c r="AB396" s="247"/>
      <c r="AC396" s="251"/>
      <c r="AD396" s="252"/>
      <c r="AE396" s="252"/>
      <c r="AF396" s="252"/>
      <c r="AG396" s="247"/>
      <c r="AH396" s="250"/>
      <c r="AI396" s="247"/>
      <c r="AJ396" s="247"/>
      <c r="AK396" s="247"/>
      <c r="AL396" s="251"/>
      <c r="AM396" s="252"/>
      <c r="AN396" s="252"/>
      <c r="AO396" s="252"/>
      <c r="AP396" s="253"/>
      <c r="AQ396" s="250"/>
      <c r="AR396" s="247"/>
      <c r="AS396" s="247"/>
      <c r="AT396" s="247"/>
      <c r="AU396" s="251"/>
      <c r="AV396" s="252"/>
      <c r="AW396" s="252"/>
      <c r="AX396" s="252"/>
      <c r="AY396" s="247"/>
      <c r="AZ396" s="250"/>
      <c r="BA396" s="247"/>
      <c r="BB396" s="247"/>
      <c r="BC396" s="247"/>
      <c r="BD396" s="251"/>
      <c r="BE396" s="252"/>
      <c r="BF396" s="252"/>
      <c r="BG396" s="252"/>
      <c r="BH396" s="247"/>
      <c r="BI396" s="250"/>
      <c r="BJ396" s="247"/>
      <c r="BK396" s="247"/>
      <c r="BL396" s="247"/>
      <c r="BM396" s="251"/>
      <c r="BN396" s="252"/>
      <c r="BO396" s="252"/>
      <c r="BP396" s="252"/>
      <c r="BQ396" s="247"/>
      <c r="BR396" s="212"/>
      <c r="BS396" s="247"/>
      <c r="BT396" s="247"/>
      <c r="BU396" s="247"/>
      <c r="BV396" s="250"/>
      <c r="BW396" s="252"/>
      <c r="BX396" s="252"/>
      <c r="BY396" s="252"/>
      <c r="BZ396" s="247"/>
      <c r="CA396" s="247"/>
      <c r="CB396" s="253"/>
      <c r="CC396" s="253"/>
      <c r="CD396" s="253"/>
      <c r="CE396" s="253"/>
      <c r="CF396" s="247"/>
      <c r="CG396" s="247"/>
      <c r="CH396" s="247"/>
      <c r="CI396" s="247"/>
      <c r="CJ396" s="247"/>
      <c r="CK396" s="247"/>
      <c r="CL396" s="247"/>
      <c r="CM396" s="247"/>
      <c r="CN396" s="247"/>
      <c r="CO396" s="247"/>
      <c r="CP396" s="247"/>
      <c r="CQ396" s="247"/>
      <c r="CR396" s="247"/>
      <c r="CS396" s="247"/>
      <c r="CT396" s="247"/>
      <c r="CU396" s="247"/>
      <c r="CV396" s="254"/>
      <c r="CW396" s="255"/>
    </row>
    <row r="397" spans="1:101" ht="14.25" thickTop="1" thickBot="1" x14ac:dyDescent="0.25">
      <c r="A397" s="255"/>
      <c r="B397" s="255"/>
      <c r="C397" s="255"/>
      <c r="D397" s="255"/>
      <c r="E397" s="255"/>
      <c r="F397" s="255"/>
      <c r="G397" s="255"/>
      <c r="H397" s="255"/>
      <c r="I397" s="255"/>
      <c r="J397" s="255"/>
      <c r="K397" s="255"/>
      <c r="L397" s="255"/>
      <c r="M397" s="255"/>
      <c r="N397" s="255"/>
      <c r="O397" s="255"/>
      <c r="P397" s="255"/>
      <c r="Q397" s="255"/>
      <c r="R397" s="255"/>
      <c r="S397" s="255"/>
      <c r="T397" s="255"/>
      <c r="U397" s="255"/>
      <c r="V397" s="255"/>
      <c r="W397" s="255"/>
      <c r="X397" s="255"/>
      <c r="Y397" s="255"/>
      <c r="Z397" s="255"/>
      <c r="AA397" s="255"/>
      <c r="AB397" s="255"/>
      <c r="AC397" s="255"/>
      <c r="AD397" s="255"/>
      <c r="AE397" s="255"/>
      <c r="AF397" s="255"/>
      <c r="AG397" s="255"/>
      <c r="AH397" s="255"/>
      <c r="AI397" s="255"/>
      <c r="AJ397" s="255"/>
      <c r="AK397" s="255"/>
      <c r="AL397" s="255"/>
      <c r="AM397" s="255"/>
      <c r="AN397" s="255"/>
      <c r="AO397" s="255"/>
      <c r="AP397" s="255"/>
      <c r="AQ397" s="255"/>
      <c r="AR397" s="255"/>
      <c r="AS397" s="255"/>
      <c r="AT397" s="255"/>
      <c r="AU397" s="255"/>
      <c r="AV397" s="255"/>
      <c r="AW397" s="255"/>
      <c r="AX397" s="255"/>
      <c r="AY397" s="255"/>
      <c r="AZ397" s="255"/>
      <c r="BA397" s="255"/>
      <c r="BB397" s="255"/>
      <c r="BC397" s="255"/>
      <c r="BD397" s="255"/>
      <c r="BE397" s="255"/>
      <c r="BF397" s="255"/>
      <c r="BG397" s="255"/>
      <c r="BH397" s="255"/>
      <c r="BI397" s="255"/>
      <c r="BJ397" s="255"/>
      <c r="BK397" s="255"/>
      <c r="BL397" s="255"/>
      <c r="BM397" s="255"/>
      <c r="BN397" s="255"/>
      <c r="BO397" s="255"/>
      <c r="BP397" s="255"/>
      <c r="BQ397" s="255"/>
      <c r="BR397" s="255"/>
      <c r="BS397" s="255"/>
      <c r="BT397" s="255"/>
      <c r="BU397" s="255"/>
      <c r="BV397" s="255"/>
      <c r="BW397" s="255"/>
      <c r="BX397" s="255"/>
      <c r="BY397" s="255"/>
      <c r="BZ397" s="255"/>
      <c r="CA397" s="255"/>
      <c r="CB397" s="436"/>
      <c r="CC397" s="436"/>
      <c r="CD397" s="436"/>
      <c r="CE397" s="436"/>
      <c r="CF397" s="255"/>
      <c r="CG397" s="255"/>
      <c r="CH397" s="255"/>
      <c r="CI397" s="255"/>
      <c r="CJ397" s="255"/>
      <c r="CK397" s="255"/>
      <c r="CL397" s="255"/>
      <c r="CM397" s="255"/>
      <c r="CN397" s="255"/>
      <c r="CO397" s="255"/>
      <c r="CP397" s="255"/>
      <c r="CQ397" s="255"/>
      <c r="CR397" s="255"/>
      <c r="CS397" s="255"/>
      <c r="CT397" s="255"/>
      <c r="CU397" s="255"/>
      <c r="CV397" s="255"/>
      <c r="CW397" s="255"/>
    </row>
    <row r="398" spans="1:101" ht="21" thickTop="1" x14ac:dyDescent="0.3">
      <c r="A398" s="256"/>
      <c r="B398" s="256"/>
      <c r="C398" s="190"/>
      <c r="D398" s="191"/>
      <c r="E398" s="866" t="str">
        <f>E2</f>
        <v>STPS 2026</v>
      </c>
      <c r="F398" s="267"/>
      <c r="G398" s="267"/>
      <c r="H398" s="267"/>
      <c r="I398" s="192"/>
      <c r="J398" s="192"/>
      <c r="K398" s="192"/>
      <c r="L398" s="193"/>
      <c r="M398" s="192"/>
      <c r="N398" s="192"/>
      <c r="O398" s="192"/>
      <c r="P398" s="194"/>
      <c r="Q398" s="192"/>
      <c r="R398" s="192"/>
      <c r="S398" s="192"/>
      <c r="T398" s="195"/>
      <c r="U398" s="196"/>
      <c r="V398" s="196"/>
      <c r="W398" s="196"/>
      <c r="X398" s="196"/>
      <c r="Y398" s="194"/>
      <c r="Z398" s="192"/>
      <c r="AA398" s="192"/>
      <c r="AB398" s="192"/>
      <c r="AC398" s="195"/>
      <c r="AD398" s="196"/>
      <c r="AE398" s="196"/>
      <c r="AF398" s="196"/>
      <c r="AG398" s="197"/>
      <c r="AH398" s="194"/>
      <c r="AI398" s="192"/>
      <c r="AJ398" s="237"/>
      <c r="AK398" s="237"/>
      <c r="AL398" s="198"/>
      <c r="AM398" s="238"/>
      <c r="AN398" s="238"/>
      <c r="AO398" s="238"/>
      <c r="AP398" s="197"/>
      <c r="AQ398" s="239"/>
      <c r="AR398" s="240"/>
      <c r="AS398" s="199"/>
      <c r="AT398" s="200"/>
      <c r="AU398" s="198"/>
      <c r="AV398" s="196"/>
      <c r="AW398" s="196"/>
      <c r="AX398" s="196"/>
      <c r="AY398" s="197"/>
      <c r="AZ398" s="239"/>
      <c r="BA398" s="240"/>
      <c r="BB398" s="200"/>
      <c r="BC398" s="237"/>
      <c r="BD398" s="241"/>
      <c r="BE398" s="196"/>
      <c r="BF398" s="196"/>
      <c r="BG398" s="196"/>
      <c r="BH398" s="197"/>
      <c r="BI398" s="242"/>
      <c r="BJ398" s="237"/>
      <c r="BK398" s="237"/>
      <c r="BL398" s="237"/>
      <c r="BM398" s="241"/>
      <c r="BN398" s="196"/>
      <c r="BO398" s="196"/>
      <c r="BP398" s="196"/>
      <c r="BQ398" s="197"/>
      <c r="BR398" s="201"/>
      <c r="BS398" s="237"/>
      <c r="BT398" s="237"/>
      <c r="BU398" s="237"/>
      <c r="BV398" s="242"/>
      <c r="BW398" s="237"/>
      <c r="BX398" s="237"/>
      <c r="BY398" s="237"/>
      <c r="BZ398" s="237"/>
      <c r="CA398" s="237"/>
      <c r="CB398" s="437"/>
      <c r="CC398" s="437"/>
      <c r="CD398" s="437"/>
      <c r="CE398" s="437"/>
      <c r="CF398" s="237"/>
      <c r="CG398" s="237"/>
      <c r="CH398" s="237"/>
      <c r="CI398" s="237"/>
      <c r="CJ398" s="197"/>
      <c r="CK398" s="197"/>
      <c r="CL398" s="197"/>
      <c r="CM398" s="197"/>
      <c r="CN398" s="197"/>
      <c r="CO398" s="197"/>
      <c r="CP398" s="197"/>
      <c r="CQ398" s="197"/>
      <c r="CR398" s="197"/>
      <c r="CS398" s="197"/>
      <c r="CT398" s="401"/>
      <c r="CU398" s="237"/>
      <c r="CV398" s="243"/>
      <c r="CW398" s="255"/>
    </row>
    <row r="399" spans="1:101" ht="13.5" thickBot="1" x14ac:dyDescent="0.25">
      <c r="A399" s="256"/>
      <c r="B399" s="256"/>
      <c r="C399" s="202"/>
      <c r="D399" s="188"/>
      <c r="E399" s="266" t="str">
        <f>E3</f>
        <v>Skorgen Tippelag</v>
      </c>
      <c r="F399" s="406"/>
      <c r="G399" s="406"/>
      <c r="H399" s="406"/>
      <c r="I399" s="406"/>
      <c r="J399" s="406"/>
      <c r="K399" s="406"/>
      <c r="L399" s="406"/>
      <c r="M399" s="406"/>
      <c r="N399" s="406"/>
      <c r="O399" s="406"/>
      <c r="P399" s="406"/>
      <c r="Q399" s="406"/>
      <c r="R399" s="406"/>
      <c r="S399" s="406"/>
      <c r="T399" s="406"/>
      <c r="U399" s="406"/>
      <c r="V399" s="406"/>
      <c r="W399" s="406"/>
      <c r="X399" s="406"/>
      <c r="Y399" s="406"/>
      <c r="Z399" s="406"/>
      <c r="AA399" s="406"/>
      <c r="AB399" s="406"/>
      <c r="AC399" s="406"/>
      <c r="AD399" s="406"/>
      <c r="AE399" s="406"/>
      <c r="AF399" s="406"/>
      <c r="AG399" s="406"/>
      <c r="AH399" s="406"/>
      <c r="AI399" s="406"/>
      <c r="AJ399" s="406"/>
      <c r="AK399" s="406"/>
      <c r="AL399" s="406"/>
      <c r="AM399" s="406"/>
      <c r="AN399" s="406"/>
      <c r="AO399" s="406"/>
      <c r="AP399" s="406"/>
      <c r="AQ399" s="406"/>
      <c r="AR399" s="406"/>
      <c r="AS399" s="406"/>
      <c r="AT399" s="406"/>
      <c r="AU399" s="406"/>
      <c r="AV399" s="406"/>
      <c r="AW399" s="406"/>
      <c r="AX399" s="406"/>
      <c r="AY399" s="406"/>
      <c r="AZ399" s="406"/>
      <c r="BA399" s="406"/>
      <c r="BB399" s="406"/>
      <c r="BC399" s="406"/>
      <c r="BD399" s="406"/>
      <c r="BE399" s="406"/>
      <c r="BF399" s="406"/>
      <c r="BG399" s="406"/>
      <c r="BH399" s="406"/>
      <c r="BI399" s="406"/>
      <c r="BJ399" s="406"/>
      <c r="BK399" s="406"/>
      <c r="BL399" s="406"/>
      <c r="BM399" s="406"/>
      <c r="BN399" s="406"/>
      <c r="BO399" s="406"/>
      <c r="BP399" s="406"/>
      <c r="BQ399" s="406"/>
      <c r="BR399" s="406"/>
      <c r="BS399" s="406"/>
      <c r="BT399" s="406"/>
      <c r="BU399" s="406"/>
      <c r="BV399" s="406"/>
      <c r="BW399" s="406"/>
      <c r="BX399" s="406"/>
      <c r="BY399" s="406"/>
      <c r="BZ399" s="406"/>
      <c r="CA399" s="406"/>
      <c r="CB399" s="438"/>
      <c r="CC399" s="438"/>
      <c r="CD399" s="438"/>
      <c r="CE399" s="438"/>
      <c r="CF399" s="406"/>
      <c r="CG399" s="406"/>
      <c r="CH399" s="406"/>
      <c r="CI399" s="406"/>
      <c r="CJ399" s="406"/>
      <c r="CK399" s="406"/>
      <c r="CL399" s="406"/>
      <c r="CM399" s="406"/>
      <c r="CN399" s="366"/>
      <c r="CO399" s="366"/>
      <c r="CP399" s="366"/>
      <c r="CQ399" s="366"/>
      <c r="CR399" s="366"/>
      <c r="CS399" s="366"/>
      <c r="CT399" s="187"/>
      <c r="CU399" s="310"/>
      <c r="CV399" s="246"/>
      <c r="CW399" s="255"/>
    </row>
    <row r="400" spans="1:101" ht="18.75" thickTop="1" x14ac:dyDescent="0.2">
      <c r="A400" s="256"/>
      <c r="B400" s="256"/>
      <c r="C400" s="209"/>
      <c r="D400" s="290"/>
      <c r="E400" s="273"/>
      <c r="F400" s="274"/>
      <c r="G400" s="273"/>
      <c r="H400" s="273"/>
      <c r="I400" s="803" t="s">
        <v>39</v>
      </c>
      <c r="J400" s="805"/>
      <c r="K400" s="805"/>
      <c r="L400" s="291"/>
      <c r="M400" s="302"/>
      <c r="N400" s="242"/>
      <c r="O400" s="275"/>
      <c r="P400" s="275"/>
      <c r="Q400" s="808">
        <f>IF($F404="","",SUM(Q416:S416)-S402)</f>
        <v>500</v>
      </c>
      <c r="R400" s="808"/>
      <c r="S400" s="808"/>
      <c r="T400" s="276"/>
      <c r="U400" s="277"/>
      <c r="V400" s="277"/>
      <c r="W400" s="277"/>
      <c r="X400" s="277"/>
      <c r="Y400" s="275"/>
      <c r="Z400" s="808">
        <f>IF($F404="","",SUM(Z416:AB416)-AB402)</f>
        <v>470</v>
      </c>
      <c r="AA400" s="808"/>
      <c r="AB400" s="808"/>
      <c r="AC400" s="276"/>
      <c r="AD400" s="277"/>
      <c r="AE400" s="277"/>
      <c r="AF400" s="277"/>
      <c r="AG400" s="273"/>
      <c r="AH400" s="275"/>
      <c r="AI400" s="808">
        <f>IF($F404="","",SUM(AI416:AK416)-AK402)</f>
        <v>480</v>
      </c>
      <c r="AJ400" s="808"/>
      <c r="AK400" s="808"/>
      <c r="AL400" s="276"/>
      <c r="AM400" s="277"/>
      <c r="AN400" s="277"/>
      <c r="AO400" s="277"/>
      <c r="AP400" s="273"/>
      <c r="AQ400" s="275"/>
      <c r="AR400" s="808">
        <f>IF($F404="","",SUM(AR416:AT416)-AT402)</f>
        <v>410</v>
      </c>
      <c r="AS400" s="808"/>
      <c r="AT400" s="808"/>
      <c r="AU400" s="278"/>
      <c r="AV400" s="277"/>
      <c r="AW400" s="277"/>
      <c r="AX400" s="277"/>
      <c r="AY400" s="279"/>
      <c r="AZ400" s="280"/>
      <c r="BA400" s="808">
        <f>IF($F404="","",SUM(BA416:BC416)-BC402)</f>
        <v>610</v>
      </c>
      <c r="BB400" s="808"/>
      <c r="BC400" s="808"/>
      <c r="BD400" s="278"/>
      <c r="BE400" s="277"/>
      <c r="BF400" s="277"/>
      <c r="BG400" s="277"/>
      <c r="BH400" s="279"/>
      <c r="BI400" s="280"/>
      <c r="BJ400" s="808">
        <f>IF($F404="","",SUM(BJ416:BL416)-BL402)</f>
        <v>570</v>
      </c>
      <c r="BK400" s="808"/>
      <c r="BL400" s="808"/>
      <c r="BM400" s="278"/>
      <c r="BN400" s="277"/>
      <c r="BO400" s="277"/>
      <c r="BP400" s="277"/>
      <c r="BQ400" s="279"/>
      <c r="BR400" s="281"/>
      <c r="BS400" s="808">
        <f>IF($F404="","",SUM(BS416:BU416)-BU402)</f>
        <v>500</v>
      </c>
      <c r="BT400" s="808"/>
      <c r="BU400" s="808"/>
      <c r="BV400" s="280"/>
      <c r="BW400" s="279"/>
      <c r="BX400" s="279"/>
      <c r="BY400" s="279"/>
      <c r="BZ400" s="279"/>
      <c r="CA400" s="281"/>
      <c r="CB400" s="808">
        <f>IF($F404="","",SUM(CB416:CD416)-CD402)</f>
        <v>510</v>
      </c>
      <c r="CC400" s="808"/>
      <c r="CD400" s="808"/>
      <c r="CE400" s="280"/>
      <c r="CF400" s="279"/>
      <c r="CG400" s="279"/>
      <c r="CH400" s="279"/>
      <c r="CI400" s="279"/>
      <c r="CJ400" s="273"/>
      <c r="CK400" s="808">
        <f>IF($F404="","",SUM(CK416:CM416))</f>
        <v>450</v>
      </c>
      <c r="CL400" s="808"/>
      <c r="CM400" s="808"/>
      <c r="CN400" s="280"/>
      <c r="CO400" s="279"/>
      <c r="CP400" s="279"/>
      <c r="CQ400" s="279"/>
      <c r="CR400" s="273"/>
      <c r="CS400" s="273"/>
      <c r="CT400" s="273"/>
      <c r="CU400" s="292"/>
      <c r="CV400" s="246"/>
      <c r="CW400" s="255"/>
    </row>
    <row r="401" spans="1:101" x14ac:dyDescent="0.2">
      <c r="A401" s="256"/>
      <c r="B401" s="256"/>
      <c r="C401" s="209"/>
      <c r="D401" s="916">
        <v>5</v>
      </c>
      <c r="E401" s="588">
        <f>IF(D401="","",DATE($D$3,1,1)+(D401-1)*7+(6-WEEKDAY(DATE($D$3,1,1),2)))</f>
        <v>46053</v>
      </c>
      <c r="F401" s="213"/>
      <c r="G401" s="214"/>
      <c r="H401" s="214"/>
      <c r="I401" s="804">
        <f>IF(ISERROR(AVERAGE(Q400,Z400,AI400,AR400,BA400,BJ400,BS400,CB400,CK400)),"",AVERAGE(Q400,Z400,AI400,AR400,BA400,BJ400,BS400,CB400,CK400))</f>
        <v>500</v>
      </c>
      <c r="J401" s="806"/>
      <c r="K401" s="806"/>
      <c r="L401" s="295"/>
      <c r="M401" s="372"/>
      <c r="N401" s="245"/>
      <c r="O401" s="215"/>
      <c r="P401" s="215"/>
      <c r="Q401" s="710">
        <f>IF(Q400="","",Q400/Data!$X$1)</f>
        <v>0.41666666666666669</v>
      </c>
      <c r="R401" s="710"/>
      <c r="S401" s="711">
        <f>IF(SUM(X404:X415)=0,"",SUM(X404:X415))</f>
        <v>5</v>
      </c>
      <c r="T401" s="216"/>
      <c r="U401" s="217"/>
      <c r="V401" s="217"/>
      <c r="W401" s="217"/>
      <c r="X401" s="217"/>
      <c r="Y401" s="215"/>
      <c r="Z401" s="710">
        <f>IF(Z400="","",Z400/Data!$X$1)</f>
        <v>0.39166666666666666</v>
      </c>
      <c r="AA401" s="710"/>
      <c r="AB401" s="711">
        <f>IF(SUM(AG404:AG415)=0,"",SUM(AG404:AG415))</f>
        <v>5</v>
      </c>
      <c r="AC401" s="216"/>
      <c r="AD401" s="217"/>
      <c r="AE401" s="217"/>
      <c r="AF401" s="217"/>
      <c r="AG401" s="217"/>
      <c r="AH401" s="215"/>
      <c r="AI401" s="710">
        <f>IF(AI400="","",AI400/Data!$X$1)</f>
        <v>0.4</v>
      </c>
      <c r="AJ401" s="710"/>
      <c r="AK401" s="711">
        <f>IF(SUM(AP404:AP415)=0,"",SUM(AP404:AP415))</f>
        <v>7</v>
      </c>
      <c r="AL401" s="216"/>
      <c r="AM401" s="217"/>
      <c r="AN401" s="217"/>
      <c r="AO401" s="217"/>
      <c r="AP401" s="217"/>
      <c r="AQ401" s="215"/>
      <c r="AR401" s="710">
        <f>IF(AR400="","",AR400/Data!$X$1)</f>
        <v>0.34166666666666667</v>
      </c>
      <c r="AS401" s="710"/>
      <c r="AT401" s="711">
        <f>IF(SUM(AY404:AY415)=0,"",SUM(AY404:AY415))</f>
        <v>5</v>
      </c>
      <c r="AU401" s="218"/>
      <c r="AV401" s="217"/>
      <c r="AW401" s="217"/>
      <c r="AX401" s="217"/>
      <c r="AY401" s="217"/>
      <c r="AZ401" s="219"/>
      <c r="BA401" s="710">
        <f>IF(BA400="","",BA400/Data!$X$1)</f>
        <v>0.5083333333333333</v>
      </c>
      <c r="BB401" s="710"/>
      <c r="BC401" s="711">
        <f>IF(SUM(BH404:BH415)=0,"",SUM(BH404:BH415))</f>
        <v>7</v>
      </c>
      <c r="BD401" s="218"/>
      <c r="BE401" s="217"/>
      <c r="BF401" s="217"/>
      <c r="BG401" s="217"/>
      <c r="BH401" s="217"/>
      <c r="BI401" s="219"/>
      <c r="BJ401" s="710">
        <f>IF(BJ400="","",BJ400/Data!$X$1)</f>
        <v>0.47499999999999998</v>
      </c>
      <c r="BK401" s="710"/>
      <c r="BL401" s="711">
        <f>IF(SUM(BQ404:BQ415)=0,"",SUM(BQ404:BQ415))</f>
        <v>6</v>
      </c>
      <c r="BM401" s="218"/>
      <c r="BN401" s="217"/>
      <c r="BO401" s="217"/>
      <c r="BP401" s="217"/>
      <c r="BQ401" s="217"/>
      <c r="BR401" s="220"/>
      <c r="BS401" s="710">
        <f>IF(BS400="","",BS400/Data!$X$1)</f>
        <v>0.41666666666666669</v>
      </c>
      <c r="BT401" s="710"/>
      <c r="BU401" s="711">
        <f>IF(SUM(BZ404:BZ415)=0,"",SUM(BZ404:BZ415))</f>
        <v>8</v>
      </c>
      <c r="BV401" s="219"/>
      <c r="BW401" s="217"/>
      <c r="BX401" s="217"/>
      <c r="BY401" s="217"/>
      <c r="BZ401" s="217"/>
      <c r="CA401" s="220"/>
      <c r="CB401" s="710">
        <f>IF(CB400="","",CB400/Data!$X$1)</f>
        <v>0.42499999999999999</v>
      </c>
      <c r="CC401" s="710"/>
      <c r="CD401" s="711">
        <f>IF(SUM(CI404:CI415)=0,"",SUM(CI404:CI415))</f>
        <v>7</v>
      </c>
      <c r="CE401" s="219"/>
      <c r="CF401" s="217"/>
      <c r="CG401" s="217"/>
      <c r="CH401" s="217"/>
      <c r="CI401" s="217"/>
      <c r="CJ401" s="217"/>
      <c r="CK401" s="710">
        <f>IF(CK400="","",CK400/Data!$X$1)</f>
        <v>0.375</v>
      </c>
      <c r="CL401" s="710"/>
      <c r="CM401" s="711">
        <f>IF(SUM(CR404:CR415)=0,"",SUM(CR404:CR415))</f>
        <v>5</v>
      </c>
      <c r="CN401" s="219"/>
      <c r="CO401" s="217"/>
      <c r="CP401" s="217"/>
      <c r="CQ401" s="217"/>
      <c r="CR401" s="217"/>
      <c r="CS401" s="217"/>
      <c r="CT401" s="217"/>
      <c r="CU401" s="296"/>
      <c r="CV401" s="246"/>
      <c r="CW401" s="255"/>
    </row>
    <row r="402" spans="1:101" ht="13.5" thickBot="1" x14ac:dyDescent="0.25">
      <c r="A402" s="256"/>
      <c r="B402" s="256"/>
      <c r="C402" s="209"/>
      <c r="D402" s="269">
        <f>D380+1</f>
        <v>19</v>
      </c>
      <c r="E402" s="402" t="str">
        <f>IF(E401="","Sett inn dato over her",TEXT(E401,"dddd"))</f>
        <v>lørdag</v>
      </c>
      <c r="F402" s="221"/>
      <c r="G402" s="222"/>
      <c r="H402" s="222"/>
      <c r="I402" s="802"/>
      <c r="J402" s="807"/>
      <c r="K402" s="807"/>
      <c r="L402" s="297"/>
      <c r="M402" s="373"/>
      <c r="N402" s="377"/>
      <c r="O402" s="222"/>
      <c r="P402" s="222"/>
      <c r="Q402" s="385" t="str">
        <f>Data!$E$11</f>
        <v>AHH</v>
      </c>
      <c r="R402" s="386">
        <f>IF($F415="","",RANK(Q400,$Q400:$CL400))</f>
        <v>4</v>
      </c>
      <c r="S402" s="510"/>
      <c r="T402" s="216">
        <v>0</v>
      </c>
      <c r="U402" s="217"/>
      <c r="V402" s="217"/>
      <c r="W402" s="217"/>
      <c r="X402" s="217"/>
      <c r="Y402" s="215"/>
      <c r="Z402" s="385" t="str">
        <f>Data!$E$12</f>
        <v>RB</v>
      </c>
      <c r="AA402" s="386">
        <f>IF($F415="","",RANK(Z400,$Q400:$CL400))</f>
        <v>7</v>
      </c>
      <c r="AB402" s="510"/>
      <c r="AC402" s="216"/>
      <c r="AD402" s="217"/>
      <c r="AE402" s="217"/>
      <c r="AF402" s="217"/>
      <c r="AG402" s="217"/>
      <c r="AH402" s="215"/>
      <c r="AI402" s="385" t="str">
        <f>Data!$E$13</f>
        <v>EB</v>
      </c>
      <c r="AJ402" s="386">
        <f>IF($F415="","",RANK(AI400,$Q400:$CL400))</f>
        <v>6</v>
      </c>
      <c r="AK402" s="510"/>
      <c r="AL402" s="216"/>
      <c r="AM402" s="217"/>
      <c r="AN402" s="217"/>
      <c r="AO402" s="217"/>
      <c r="AP402" s="217"/>
      <c r="AQ402" s="215"/>
      <c r="AR402" s="346" t="str">
        <f>Data!$E$14</f>
        <v>KAF</v>
      </c>
      <c r="AS402" s="386">
        <f>IF($F415="","",RANK(AR400,$Q400:$CL400))</f>
        <v>9</v>
      </c>
      <c r="AT402" s="510"/>
      <c r="AU402" s="216"/>
      <c r="AV402" s="217"/>
      <c r="AW402" s="217"/>
      <c r="AX402" s="217"/>
      <c r="AY402" s="217"/>
      <c r="AZ402" s="215"/>
      <c r="BA402" s="346" t="str">
        <f>Data!$E$15</f>
        <v>ØG</v>
      </c>
      <c r="BB402" s="386">
        <f>IF($F415="","",RANK(BA400,$Q400:$CL400))</f>
        <v>1</v>
      </c>
      <c r="BC402" s="510"/>
      <c r="BD402" s="216"/>
      <c r="BE402" s="217"/>
      <c r="BF402" s="217"/>
      <c r="BG402" s="217"/>
      <c r="BH402" s="217"/>
      <c r="BI402" s="215"/>
      <c r="BJ402" s="346" t="str">
        <f>Data!$E$16</f>
        <v>JH</v>
      </c>
      <c r="BK402" s="386">
        <f>IF($F415="","",RANK(BJ400,$Q400:$CL400))</f>
        <v>2</v>
      </c>
      <c r="BL402" s="510"/>
      <c r="BM402" s="216"/>
      <c r="BN402" s="217"/>
      <c r="BO402" s="217"/>
      <c r="BP402" s="217"/>
      <c r="BQ402" s="217"/>
      <c r="BR402" s="223"/>
      <c r="BS402" s="346" t="str">
        <f>Data!$E$17</f>
        <v>TOH</v>
      </c>
      <c r="BT402" s="386">
        <f>IF($F415="","",RANK(BS400,$Q400:$CL400))</f>
        <v>4</v>
      </c>
      <c r="BU402" s="510"/>
      <c r="BV402" s="215"/>
      <c r="BW402" s="217"/>
      <c r="BX402" s="217"/>
      <c r="BY402" s="217"/>
      <c r="BZ402" s="217"/>
      <c r="CA402" s="223"/>
      <c r="CB402" s="346" t="s">
        <v>26</v>
      </c>
      <c r="CC402" s="386">
        <f>IF($F415="","",RANK(CB400,$Q400:$CM400))</f>
        <v>3</v>
      </c>
      <c r="CD402" s="511"/>
      <c r="CE402" s="215"/>
      <c r="CF402" s="217"/>
      <c r="CG402" s="217"/>
      <c r="CH402" s="217"/>
      <c r="CI402" s="217"/>
      <c r="CJ402" s="217"/>
      <c r="CK402" s="346" t="s">
        <v>27</v>
      </c>
      <c r="CL402" s="386">
        <f>IF($F415="","",RANK(CK400,$Q400:$CM400))</f>
        <v>8</v>
      </c>
      <c r="CM402" s="798"/>
      <c r="CN402" s="215"/>
      <c r="CO402" s="217"/>
      <c r="CP402" s="217"/>
      <c r="CQ402" s="217"/>
      <c r="CR402" s="217"/>
      <c r="CS402" s="217"/>
      <c r="CT402" s="217"/>
      <c r="CU402" s="296"/>
      <c r="CV402" s="246"/>
      <c r="CW402" s="255"/>
    </row>
    <row r="403" spans="1:101" ht="13.5" thickBot="1" x14ac:dyDescent="0.25">
      <c r="A403" s="264"/>
      <c r="B403" s="264"/>
      <c r="C403" s="202"/>
      <c r="D403" s="270"/>
      <c r="E403" s="224"/>
      <c r="F403" s="225"/>
      <c r="G403" s="226"/>
      <c r="H403" s="226"/>
      <c r="I403" s="227" t="s">
        <v>45</v>
      </c>
      <c r="J403" s="228" t="s">
        <v>46</v>
      </c>
      <c r="K403" s="229" t="s">
        <v>47</v>
      </c>
      <c r="L403" s="298"/>
      <c r="M403" s="374"/>
      <c r="N403" s="378"/>
      <c r="O403" s="230"/>
      <c r="P403" s="230"/>
      <c r="Q403" s="227" t="s">
        <v>45</v>
      </c>
      <c r="R403" s="228" t="s">
        <v>46</v>
      </c>
      <c r="S403" s="229" t="s">
        <v>47</v>
      </c>
      <c r="T403" s="231"/>
      <c r="U403" s="232"/>
      <c r="V403" s="232"/>
      <c r="W403" s="232"/>
      <c r="X403" s="232"/>
      <c r="Y403" s="230"/>
      <c r="Z403" s="227" t="s">
        <v>45</v>
      </c>
      <c r="AA403" s="228" t="s">
        <v>46</v>
      </c>
      <c r="AB403" s="229" t="s">
        <v>47</v>
      </c>
      <c r="AC403" s="231"/>
      <c r="AD403" s="232"/>
      <c r="AE403" s="232"/>
      <c r="AF403" s="232"/>
      <c r="AG403" s="232"/>
      <c r="AH403" s="230"/>
      <c r="AI403" s="227" t="s">
        <v>45</v>
      </c>
      <c r="AJ403" s="228" t="s">
        <v>46</v>
      </c>
      <c r="AK403" s="229" t="s">
        <v>47</v>
      </c>
      <c r="AL403" s="231"/>
      <c r="AM403" s="232"/>
      <c r="AN403" s="232"/>
      <c r="AO403" s="232"/>
      <c r="AP403" s="232"/>
      <c r="AQ403" s="230"/>
      <c r="AR403" s="227" t="s">
        <v>45</v>
      </c>
      <c r="AS403" s="228" t="s">
        <v>46</v>
      </c>
      <c r="AT403" s="229" t="s">
        <v>47</v>
      </c>
      <c r="AU403" s="231"/>
      <c r="AV403" s="232"/>
      <c r="AW403" s="232"/>
      <c r="AX403" s="232"/>
      <c r="AY403" s="232"/>
      <c r="AZ403" s="230"/>
      <c r="BA403" s="227" t="s">
        <v>45</v>
      </c>
      <c r="BB403" s="228" t="s">
        <v>46</v>
      </c>
      <c r="BC403" s="229" t="s">
        <v>47</v>
      </c>
      <c r="BD403" s="231"/>
      <c r="BE403" s="232"/>
      <c r="BF403" s="232"/>
      <c r="BG403" s="232"/>
      <c r="BH403" s="232"/>
      <c r="BI403" s="230"/>
      <c r="BJ403" s="227" t="s">
        <v>45</v>
      </c>
      <c r="BK403" s="228" t="s">
        <v>46</v>
      </c>
      <c r="BL403" s="229" t="s">
        <v>47</v>
      </c>
      <c r="BM403" s="231"/>
      <c r="BN403" s="232"/>
      <c r="BO403" s="232"/>
      <c r="BP403" s="232"/>
      <c r="BQ403" s="232"/>
      <c r="BR403" s="230"/>
      <c r="BS403" s="227" t="s">
        <v>45</v>
      </c>
      <c r="BT403" s="228" t="s">
        <v>46</v>
      </c>
      <c r="BU403" s="229" t="s">
        <v>47</v>
      </c>
      <c r="BV403" s="231"/>
      <c r="BW403" s="232"/>
      <c r="BX403" s="232"/>
      <c r="BY403" s="232"/>
      <c r="BZ403" s="233"/>
      <c r="CA403" s="230"/>
      <c r="CB403" s="227" t="s">
        <v>45</v>
      </c>
      <c r="CC403" s="228" t="s">
        <v>46</v>
      </c>
      <c r="CD403" s="229" t="s">
        <v>47</v>
      </c>
      <c r="CE403" s="231"/>
      <c r="CF403" s="232"/>
      <c r="CG403" s="232"/>
      <c r="CH403" s="232"/>
      <c r="CI403" s="232"/>
      <c r="CJ403" s="232"/>
      <c r="CK403" s="227" t="s">
        <v>45</v>
      </c>
      <c r="CL403" s="228" t="s">
        <v>46</v>
      </c>
      <c r="CM403" s="229" t="s">
        <v>47</v>
      </c>
      <c r="CN403" s="231"/>
      <c r="CO403" s="232"/>
      <c r="CP403" s="232"/>
      <c r="CQ403" s="232"/>
      <c r="CR403" s="232"/>
      <c r="CS403" s="232"/>
      <c r="CT403" s="234"/>
      <c r="CU403" s="296"/>
      <c r="CV403" s="246"/>
      <c r="CW403" s="265"/>
    </row>
    <row r="404" spans="1:101" x14ac:dyDescent="0.2">
      <c r="A404" s="264"/>
      <c r="B404" s="264"/>
      <c r="C404" s="202"/>
      <c r="D404" s="271">
        <v>1</v>
      </c>
      <c r="E404" s="166" t="s">
        <v>269</v>
      </c>
      <c r="F404" s="468">
        <v>4</v>
      </c>
      <c r="G404" s="472"/>
      <c r="H404" s="473">
        <v>1</v>
      </c>
      <c r="I404" s="170" t="str">
        <f t="shared" ref="I404:I415" si="900">IF($F404&gt;$H404,"x","")</f>
        <v>x</v>
      </c>
      <c r="J404" s="387" t="str">
        <f t="shared" ref="J404:J415" si="901">IF(F404&lt;&gt;"",IF(H404&lt;&gt;"",IF(F404=H404,"x",""),""),"")</f>
        <v/>
      </c>
      <c r="K404" s="388" t="str">
        <f t="shared" ref="K404:K415" si="902">IF($F404&lt;$H404,"x","")</f>
        <v/>
      </c>
      <c r="L404" s="299"/>
      <c r="M404" s="375"/>
      <c r="N404" s="379"/>
      <c r="O404" s="236"/>
      <c r="P404" s="236"/>
      <c r="Q404" s="480">
        <v>60</v>
      </c>
      <c r="R404" s="481">
        <v>30</v>
      </c>
      <c r="S404" s="482">
        <f>IF(Q404="","",100-SUM(Q404:R404))</f>
        <v>10</v>
      </c>
      <c r="T404" s="371"/>
      <c r="U404" s="232">
        <f t="shared" ref="U404:U415" si="903">IF($I404="x",Q404,"")</f>
        <v>60</v>
      </c>
      <c r="V404" s="232" t="str">
        <f t="shared" ref="V404:V415" si="904">IF($J404="x",R404,"")</f>
        <v/>
      </c>
      <c r="W404" s="232" t="str">
        <f t="shared" ref="W404:W415" si="905">IF($K404="x",S404,"")</f>
        <v/>
      </c>
      <c r="X404" s="232">
        <f>IF((MAX(U404,V404,W404))=0,"",IF((MAX(U404,V404,W404))=(MAX(Q404,R404,S404)),1,""))</f>
        <v>1</v>
      </c>
      <c r="Y404" s="371"/>
      <c r="Z404" s="495">
        <v>80</v>
      </c>
      <c r="AA404" s="496">
        <v>10</v>
      </c>
      <c r="AB404" s="482">
        <f t="shared" ref="AB404:AB415" si="906">IF(Z404="","",100-SUM(Z404:AA404))</f>
        <v>10</v>
      </c>
      <c r="AC404" s="371"/>
      <c r="AD404" s="232">
        <f t="shared" ref="AD404:AD415" si="907">IF($I404="x",Z404,"")</f>
        <v>80</v>
      </c>
      <c r="AE404" s="232" t="str">
        <f t="shared" ref="AE404:AE415" si="908">IF($J404="x",AA404,"")</f>
        <v/>
      </c>
      <c r="AF404" s="232" t="str">
        <f t="shared" ref="AF404:AF415" si="909">IF($K404="x",AB404,"")</f>
        <v/>
      </c>
      <c r="AG404" s="232">
        <f>IF((MAX(AD404,AE404,AF404))=0,"",IF((MAX(AD404,AE404,AF404))=(MAX(Z404,AA404,AB404)),1,""))</f>
        <v>1</v>
      </c>
      <c r="AH404" s="371"/>
      <c r="AI404" s="495">
        <v>70</v>
      </c>
      <c r="AJ404" s="496">
        <v>20</v>
      </c>
      <c r="AK404" s="482">
        <f t="shared" ref="AK404:AK415" si="910">IF(AI404="","",100-SUM(AI404:AJ404))</f>
        <v>10</v>
      </c>
      <c r="AL404" s="371"/>
      <c r="AM404" s="232">
        <f t="shared" ref="AM404:AM415" si="911">IF($I404="x",AI404,"")</f>
        <v>70</v>
      </c>
      <c r="AN404" s="232" t="str">
        <f t="shared" ref="AN404:AN415" si="912">IF($J404="x",AJ404,"")</f>
        <v/>
      </c>
      <c r="AO404" s="232" t="str">
        <f t="shared" ref="AO404:AO415" si="913">IF($K404="x",AK404,"")</f>
        <v/>
      </c>
      <c r="AP404" s="232">
        <f>IF((MAX(AM404,AN404,AO404))=0,"",IF((MAX(AM404,AN404,AO404))=(MAX(AI404,AJ404,AK404)),1,""))</f>
        <v>1</v>
      </c>
      <c r="AQ404" s="371"/>
      <c r="AR404" s="495">
        <v>60</v>
      </c>
      <c r="AS404" s="496">
        <v>30</v>
      </c>
      <c r="AT404" s="482">
        <f t="shared" ref="AT404:AT415" si="914">IF(AR404="","",100-SUM(AR404:AS404))</f>
        <v>10</v>
      </c>
      <c r="AU404" s="371"/>
      <c r="AV404" s="232">
        <f t="shared" ref="AV404:AV415" si="915">IF($I404="x",AR404,"")</f>
        <v>60</v>
      </c>
      <c r="AW404" s="232" t="str">
        <f t="shared" ref="AW404:AW415" si="916">IF($J404="x",AS404,"")</f>
        <v/>
      </c>
      <c r="AX404" s="232" t="str">
        <f t="shared" ref="AX404:AX415" si="917">IF($K404="x",AT404,"")</f>
        <v/>
      </c>
      <c r="AY404" s="232">
        <f>IF((MAX(AV404,AW404,AX404))=0,"",IF((MAX(AV404,AW404,AX404))=(MAX(AR404,AS404,AT404)),1,""))</f>
        <v>1</v>
      </c>
      <c r="AZ404" s="371"/>
      <c r="BA404" s="495">
        <v>80</v>
      </c>
      <c r="BB404" s="496">
        <v>10</v>
      </c>
      <c r="BC404" s="482">
        <f t="shared" ref="BC404:BC415" si="918">IF(BA404="","",100-SUM(BA404:BB404))</f>
        <v>10</v>
      </c>
      <c r="BD404" s="371"/>
      <c r="BE404" s="232">
        <f t="shared" ref="BE404:BE415" si="919">IF($I404="x",BA404,"")</f>
        <v>80</v>
      </c>
      <c r="BF404" s="232" t="str">
        <f t="shared" ref="BF404:BF415" si="920">IF($J404="x",BB404,"")</f>
        <v/>
      </c>
      <c r="BG404" s="232" t="str">
        <f t="shared" ref="BG404:BG415" si="921">IF($K404="x",BC404,"")</f>
        <v/>
      </c>
      <c r="BH404" s="232">
        <f>IF((MAX(BE404,BF404,BG404))=0,"",IF((MAX(BE404,BF404,BG404))=(MAX(BA404,BB404,BC404)),1,""))</f>
        <v>1</v>
      </c>
      <c r="BI404" s="371"/>
      <c r="BJ404" s="495">
        <v>80</v>
      </c>
      <c r="BK404" s="496">
        <v>10</v>
      </c>
      <c r="BL404" s="482">
        <f t="shared" ref="BL404:BL415" si="922">IF(BJ404="","",100-SUM(BJ404:BK404))</f>
        <v>10</v>
      </c>
      <c r="BM404" s="371"/>
      <c r="BN404" s="232">
        <f t="shared" ref="BN404:BN415" si="923">IF($I404="x",BJ404,"")</f>
        <v>80</v>
      </c>
      <c r="BO404" s="232" t="str">
        <f t="shared" ref="BO404:BO415" si="924">IF($J404="x",BK404,"")</f>
        <v/>
      </c>
      <c r="BP404" s="232" t="str">
        <f t="shared" ref="BP404:BP415" si="925">IF($K404="x",BL404,"")</f>
        <v/>
      </c>
      <c r="BQ404" s="232">
        <f>IF((MAX(BN404,BO404,BP404))=0,"",IF((MAX(BN404,BO404,BP404))=(MAX(BJ404,BK404,BL404)),1,""))</f>
        <v>1</v>
      </c>
      <c r="BR404" s="371"/>
      <c r="BS404" s="495">
        <v>40</v>
      </c>
      <c r="BT404" s="496">
        <v>20</v>
      </c>
      <c r="BU404" s="482">
        <f t="shared" ref="BU404:BU415" si="926">IF(BS404="","",100-SUM(BS404:BT404))</f>
        <v>40</v>
      </c>
      <c r="BV404" s="371"/>
      <c r="BW404" s="232">
        <f t="shared" ref="BW404:BW415" si="927">IF($I404="x",BS404,"")</f>
        <v>40</v>
      </c>
      <c r="BX404" s="232" t="str">
        <f t="shared" ref="BX404:BX415" si="928">IF($J404="x",BT404,"")</f>
        <v/>
      </c>
      <c r="BY404" s="232" t="str">
        <f t="shared" ref="BY404:BY415" si="929">IF($K404="x",BU404,"")</f>
        <v/>
      </c>
      <c r="BZ404" s="232">
        <f>IF((MAX(BW404,BX404,BY404))=0,"",IF((MAX(BW404,BX404,BY404))=(MAX(BS404,BT404,BU404)),1,""))</f>
        <v>1</v>
      </c>
      <c r="CA404" s="371"/>
      <c r="CB404" s="501">
        <f t="shared" ref="CB404:CB415" si="930">IFERROR(ROUNDUP((SUM(Q404,Z404,AI404,AR404,BA404,BJ404,BS404)/SUM($Q404:$S404,$Z404:$AB404,$AI404:$AK404,$AR404:$AT404,$BA404:$BC404,$BJ404:$BL404,$BS404:$BU404))*100,-1),"")</f>
        <v>70</v>
      </c>
      <c r="CC404" s="502">
        <f t="shared" ref="CC404:CC415" si="931">IFERROR(ROUNDDOWN((SUM(R404,AA404,AJ404,AS404,BB404,BK404,BT404)/SUM($Q404:$S404,$Z404:$AB404,$AI404:$AK404,$AR404:$AT404,$BA404:$BC404,$BJ404:$BL404,$BS404:$BU404))*100,-1),"")</f>
        <v>10</v>
      </c>
      <c r="CD404" s="503">
        <f t="shared" ref="CD404:CD415" si="932">IF(CB404="","",100-SUM(CB404:CC404))</f>
        <v>20</v>
      </c>
      <c r="CE404" s="371"/>
      <c r="CF404" s="232">
        <f t="shared" ref="CF404:CF415" si="933">IF($I404="x",CB404,"")</f>
        <v>70</v>
      </c>
      <c r="CG404" s="232" t="str">
        <f t="shared" ref="CG404:CG415" si="934">IF($J404="x",CC404,"")</f>
        <v/>
      </c>
      <c r="CH404" s="232" t="str">
        <f t="shared" ref="CH404:CH415" si="935">IF($K404="x",CD404,"")</f>
        <v/>
      </c>
      <c r="CI404" s="232">
        <f>IF((MAX(CF404,CG404,CH404))=0,"",IF((MAX(CF404,CG404,CH404))=(MAX(CB404,CC404,CD404)),1,""))</f>
        <v>1</v>
      </c>
      <c r="CJ404" s="232"/>
      <c r="CK404" s="495">
        <v>60</v>
      </c>
      <c r="CL404" s="496">
        <v>20</v>
      </c>
      <c r="CM404" s="482">
        <f t="shared" ref="CM404:CM415" si="936">IF(CK404="","",100-SUM(CK404:CL404))</f>
        <v>20</v>
      </c>
      <c r="CN404" s="371"/>
      <c r="CO404" s="232">
        <f t="shared" ref="CO404:CO415" si="937">IF($I404="x",CK404,"")</f>
        <v>60</v>
      </c>
      <c r="CP404" s="232" t="str">
        <f t="shared" ref="CP404:CP415" si="938">IF($J404="x",CL404,"")</f>
        <v/>
      </c>
      <c r="CQ404" s="232" t="str">
        <f t="shared" ref="CQ404:CQ415" si="939">IF($K404="x",CM404,"")</f>
        <v/>
      </c>
      <c r="CR404" s="232">
        <f>IF((MAX(CO404,CP404,CQ404))=0,"",IF((MAX(CO404,CP404,CQ404))=(MAX(CK404,CL404,CM404)),1,""))</f>
        <v>1</v>
      </c>
      <c r="CS404" s="232"/>
      <c r="CT404" s="371"/>
      <c r="CU404" s="296"/>
      <c r="CV404" s="246"/>
      <c r="CW404" s="264"/>
    </row>
    <row r="405" spans="1:101" x14ac:dyDescent="0.2">
      <c r="A405" s="264"/>
      <c r="B405" s="264"/>
      <c r="C405" s="202"/>
      <c r="D405" s="271">
        <v>2</v>
      </c>
      <c r="E405" s="167" t="s">
        <v>270</v>
      </c>
      <c r="F405" s="469">
        <v>3</v>
      </c>
      <c r="G405" s="474"/>
      <c r="H405" s="475">
        <v>2</v>
      </c>
      <c r="I405" s="389" t="str">
        <f t="shared" si="900"/>
        <v>x</v>
      </c>
      <c r="J405" s="390" t="str">
        <f t="shared" si="901"/>
        <v/>
      </c>
      <c r="K405" s="391" t="str">
        <f t="shared" si="902"/>
        <v/>
      </c>
      <c r="L405" s="299"/>
      <c r="M405" s="375"/>
      <c r="N405" s="379"/>
      <c r="O405" s="236"/>
      <c r="P405" s="236"/>
      <c r="Q405" s="483">
        <v>20</v>
      </c>
      <c r="R405" s="484">
        <v>70</v>
      </c>
      <c r="S405" s="485">
        <f t="shared" ref="S405:S415" si="940">IF(Q405="","",100-SUM(Q405:R405))</f>
        <v>10</v>
      </c>
      <c r="T405" s="371"/>
      <c r="U405" s="232">
        <f t="shared" si="903"/>
        <v>20</v>
      </c>
      <c r="V405" s="232" t="str">
        <f t="shared" si="904"/>
        <v/>
      </c>
      <c r="W405" s="232" t="str">
        <f t="shared" si="905"/>
        <v/>
      </c>
      <c r="X405" s="232" t="str">
        <f t="shared" ref="X405:X415" si="941">IF((MAX(U405,V405,W405))=0,"",IF((MAX(U405,V405,W405))=(MAX(Q405,R405,S405)),1,""))</f>
        <v/>
      </c>
      <c r="Y405" s="371"/>
      <c r="Z405" s="497">
        <v>80</v>
      </c>
      <c r="AA405" s="498">
        <v>10</v>
      </c>
      <c r="AB405" s="485">
        <f t="shared" si="906"/>
        <v>10</v>
      </c>
      <c r="AC405" s="371"/>
      <c r="AD405" s="232">
        <f t="shared" si="907"/>
        <v>80</v>
      </c>
      <c r="AE405" s="232" t="str">
        <f t="shared" si="908"/>
        <v/>
      </c>
      <c r="AF405" s="232" t="str">
        <f t="shared" si="909"/>
        <v/>
      </c>
      <c r="AG405" s="232">
        <f t="shared" ref="AG405:AG415" si="942">IF((MAX(AD405,AE405,AF405))=0,"",IF((MAX(AD405,AE405,AF405))=(MAX(Z405,AA405,AB405)),1,""))</f>
        <v>1</v>
      </c>
      <c r="AH405" s="371"/>
      <c r="AI405" s="497">
        <v>60</v>
      </c>
      <c r="AJ405" s="498">
        <v>20</v>
      </c>
      <c r="AK405" s="485">
        <f t="shared" si="910"/>
        <v>20</v>
      </c>
      <c r="AL405" s="371"/>
      <c r="AM405" s="232">
        <f t="shared" si="911"/>
        <v>60</v>
      </c>
      <c r="AN405" s="232" t="str">
        <f t="shared" si="912"/>
        <v/>
      </c>
      <c r="AO405" s="232" t="str">
        <f t="shared" si="913"/>
        <v/>
      </c>
      <c r="AP405" s="232">
        <f t="shared" ref="AP405:AP415" si="943">IF((MAX(AM405,AN405,AO405))=0,"",IF((MAX(AM405,AN405,AO405))=(MAX(AI405,AJ405,AK405)),1,""))</f>
        <v>1</v>
      </c>
      <c r="AQ405" s="371"/>
      <c r="AR405" s="497">
        <v>60</v>
      </c>
      <c r="AS405" s="498">
        <v>30</v>
      </c>
      <c r="AT405" s="485">
        <f t="shared" si="914"/>
        <v>10</v>
      </c>
      <c r="AU405" s="371"/>
      <c r="AV405" s="232">
        <f t="shared" si="915"/>
        <v>60</v>
      </c>
      <c r="AW405" s="232" t="str">
        <f t="shared" si="916"/>
        <v/>
      </c>
      <c r="AX405" s="232" t="str">
        <f t="shared" si="917"/>
        <v/>
      </c>
      <c r="AY405" s="232">
        <f t="shared" ref="AY405:AY415" si="944">IF((MAX(AV405,AW405,AX405))=0,"",IF((MAX(AV405,AW405,AX405))=(MAX(AR405,AS405,AT405)),1,""))</f>
        <v>1</v>
      </c>
      <c r="AZ405" s="371"/>
      <c r="BA405" s="497">
        <v>80</v>
      </c>
      <c r="BB405" s="498">
        <v>10</v>
      </c>
      <c r="BC405" s="485">
        <f t="shared" si="918"/>
        <v>10</v>
      </c>
      <c r="BD405" s="371"/>
      <c r="BE405" s="232">
        <f t="shared" si="919"/>
        <v>80</v>
      </c>
      <c r="BF405" s="232" t="str">
        <f t="shared" si="920"/>
        <v/>
      </c>
      <c r="BG405" s="232" t="str">
        <f t="shared" si="921"/>
        <v/>
      </c>
      <c r="BH405" s="232">
        <f t="shared" ref="BH405:BH415" si="945">IF((MAX(BE405,BF405,BG405))=0,"",IF((MAX(BE405,BF405,BG405))=(MAX(BA405,BB405,BC405)),1,""))</f>
        <v>1</v>
      </c>
      <c r="BI405" s="371"/>
      <c r="BJ405" s="497">
        <v>80</v>
      </c>
      <c r="BK405" s="498">
        <v>10</v>
      </c>
      <c r="BL405" s="485">
        <f t="shared" si="922"/>
        <v>10</v>
      </c>
      <c r="BM405" s="371"/>
      <c r="BN405" s="232">
        <f t="shared" si="923"/>
        <v>80</v>
      </c>
      <c r="BO405" s="232" t="str">
        <f t="shared" si="924"/>
        <v/>
      </c>
      <c r="BP405" s="232" t="str">
        <f t="shared" si="925"/>
        <v/>
      </c>
      <c r="BQ405" s="232">
        <f t="shared" ref="BQ405:BQ415" si="946">IF((MAX(BN405,BO405,BP405))=0,"",IF((MAX(BN405,BO405,BP405))=(MAX(BJ405,BK405,BL405)),1,""))</f>
        <v>1</v>
      </c>
      <c r="BR405" s="371"/>
      <c r="BS405" s="497">
        <v>70</v>
      </c>
      <c r="BT405" s="498">
        <v>10</v>
      </c>
      <c r="BU405" s="485">
        <f t="shared" si="926"/>
        <v>20</v>
      </c>
      <c r="BV405" s="371"/>
      <c r="BW405" s="232">
        <f t="shared" si="927"/>
        <v>70</v>
      </c>
      <c r="BX405" s="232" t="str">
        <f t="shared" si="928"/>
        <v/>
      </c>
      <c r="BY405" s="232" t="str">
        <f t="shared" si="929"/>
        <v/>
      </c>
      <c r="BZ405" s="232">
        <f t="shared" ref="BZ405:BZ415" si="947">IF((MAX(BW405,BX405,BY405))=0,"",IF((MAX(BW405,BX405,BY405))=(MAX(BS405,BT405,BU405)),1,""))</f>
        <v>1</v>
      </c>
      <c r="CA405" s="371"/>
      <c r="CB405" s="504">
        <f t="shared" si="930"/>
        <v>70</v>
      </c>
      <c r="CC405" s="505">
        <f t="shared" si="931"/>
        <v>20</v>
      </c>
      <c r="CD405" s="506">
        <f t="shared" si="932"/>
        <v>10</v>
      </c>
      <c r="CE405" s="371"/>
      <c r="CF405" s="232">
        <f t="shared" si="933"/>
        <v>70</v>
      </c>
      <c r="CG405" s="232" t="str">
        <f t="shared" si="934"/>
        <v/>
      </c>
      <c r="CH405" s="232" t="str">
        <f t="shared" si="935"/>
        <v/>
      </c>
      <c r="CI405" s="232">
        <f t="shared" ref="CI405:CI415" si="948">IF((MAX(CF405,CG405,CH405))=0,"",IF((MAX(CF405,CG405,CH405))=(MAX(CB405,CC405,CD405)),1,""))</f>
        <v>1</v>
      </c>
      <c r="CJ405" s="232"/>
      <c r="CK405" s="497">
        <v>60</v>
      </c>
      <c r="CL405" s="498">
        <v>30</v>
      </c>
      <c r="CM405" s="485">
        <f t="shared" si="936"/>
        <v>10</v>
      </c>
      <c r="CN405" s="371"/>
      <c r="CO405" s="232">
        <f t="shared" si="937"/>
        <v>60</v>
      </c>
      <c r="CP405" s="232" t="str">
        <f t="shared" si="938"/>
        <v/>
      </c>
      <c r="CQ405" s="232" t="str">
        <f t="shared" si="939"/>
        <v/>
      </c>
      <c r="CR405" s="232">
        <f t="shared" ref="CR405:CR415" si="949">IF((MAX(CO405,CP405,CQ405))=0,"",IF((MAX(CO405,CP405,CQ405))=(MAX(CK405,CL405,CM405)),1,""))</f>
        <v>1</v>
      </c>
      <c r="CS405" s="232"/>
      <c r="CT405" s="371"/>
      <c r="CU405" s="296"/>
      <c r="CV405" s="246"/>
      <c r="CW405" s="264"/>
    </row>
    <row r="406" spans="1:101" ht="13.5" thickBot="1" x14ac:dyDescent="0.25">
      <c r="A406" s="264"/>
      <c r="B406" s="264"/>
      <c r="C406" s="202"/>
      <c r="D406" s="271">
        <v>3</v>
      </c>
      <c r="E406" s="168" t="s">
        <v>271</v>
      </c>
      <c r="F406" s="470">
        <v>0</v>
      </c>
      <c r="G406" s="476"/>
      <c r="H406" s="477">
        <v>2</v>
      </c>
      <c r="I406" s="392" t="str">
        <f t="shared" si="900"/>
        <v/>
      </c>
      <c r="J406" s="393" t="str">
        <f t="shared" si="901"/>
        <v/>
      </c>
      <c r="K406" s="394" t="str">
        <f t="shared" si="902"/>
        <v>x</v>
      </c>
      <c r="L406" s="299"/>
      <c r="M406" s="375"/>
      <c r="N406" s="379"/>
      <c r="O406" s="236"/>
      <c r="P406" s="236"/>
      <c r="Q406" s="486">
        <v>10</v>
      </c>
      <c r="R406" s="487">
        <v>10</v>
      </c>
      <c r="S406" s="488">
        <f t="shared" si="940"/>
        <v>80</v>
      </c>
      <c r="T406" s="371"/>
      <c r="U406" s="232" t="str">
        <f t="shared" si="903"/>
        <v/>
      </c>
      <c r="V406" s="232" t="str">
        <f t="shared" si="904"/>
        <v/>
      </c>
      <c r="W406" s="232">
        <f t="shared" si="905"/>
        <v>80</v>
      </c>
      <c r="X406" s="232">
        <f t="shared" si="941"/>
        <v>1</v>
      </c>
      <c r="Y406" s="371"/>
      <c r="Z406" s="499">
        <v>10</v>
      </c>
      <c r="AA406" s="500">
        <v>10</v>
      </c>
      <c r="AB406" s="488">
        <f t="shared" si="906"/>
        <v>80</v>
      </c>
      <c r="AC406" s="371"/>
      <c r="AD406" s="232" t="str">
        <f t="shared" si="907"/>
        <v/>
      </c>
      <c r="AE406" s="232" t="str">
        <f t="shared" si="908"/>
        <v/>
      </c>
      <c r="AF406" s="232">
        <f t="shared" si="909"/>
        <v>80</v>
      </c>
      <c r="AG406" s="232">
        <f t="shared" si="942"/>
        <v>1</v>
      </c>
      <c r="AH406" s="371"/>
      <c r="AI406" s="499">
        <v>30</v>
      </c>
      <c r="AJ406" s="500">
        <v>30</v>
      </c>
      <c r="AK406" s="488">
        <f t="shared" si="910"/>
        <v>40</v>
      </c>
      <c r="AL406" s="371"/>
      <c r="AM406" s="232" t="str">
        <f t="shared" si="911"/>
        <v/>
      </c>
      <c r="AN406" s="232" t="str">
        <f t="shared" si="912"/>
        <v/>
      </c>
      <c r="AO406" s="232">
        <f t="shared" si="913"/>
        <v>40</v>
      </c>
      <c r="AP406" s="232">
        <f t="shared" si="943"/>
        <v>1</v>
      </c>
      <c r="AQ406" s="371"/>
      <c r="AR406" s="499">
        <v>10</v>
      </c>
      <c r="AS406" s="500">
        <v>30</v>
      </c>
      <c r="AT406" s="488">
        <f t="shared" si="914"/>
        <v>60</v>
      </c>
      <c r="AU406" s="371"/>
      <c r="AV406" s="232" t="str">
        <f t="shared" si="915"/>
        <v/>
      </c>
      <c r="AW406" s="232" t="str">
        <f t="shared" si="916"/>
        <v/>
      </c>
      <c r="AX406" s="232">
        <f t="shared" si="917"/>
        <v>60</v>
      </c>
      <c r="AY406" s="232">
        <f t="shared" si="944"/>
        <v>1</v>
      </c>
      <c r="AZ406" s="371"/>
      <c r="BA406" s="499">
        <v>10</v>
      </c>
      <c r="BB406" s="500">
        <v>10</v>
      </c>
      <c r="BC406" s="488">
        <f t="shared" si="918"/>
        <v>80</v>
      </c>
      <c r="BD406" s="371"/>
      <c r="BE406" s="232" t="str">
        <f t="shared" si="919"/>
        <v/>
      </c>
      <c r="BF406" s="232" t="str">
        <f t="shared" si="920"/>
        <v/>
      </c>
      <c r="BG406" s="232">
        <f t="shared" si="921"/>
        <v>80</v>
      </c>
      <c r="BH406" s="232">
        <f t="shared" si="945"/>
        <v>1</v>
      </c>
      <c r="BI406" s="371"/>
      <c r="BJ406" s="499">
        <v>10</v>
      </c>
      <c r="BK406" s="500">
        <v>10</v>
      </c>
      <c r="BL406" s="488">
        <f t="shared" si="922"/>
        <v>80</v>
      </c>
      <c r="BM406" s="371"/>
      <c r="BN406" s="232" t="str">
        <f t="shared" si="923"/>
        <v/>
      </c>
      <c r="BO406" s="232" t="str">
        <f t="shared" si="924"/>
        <v/>
      </c>
      <c r="BP406" s="232">
        <f t="shared" si="925"/>
        <v>80</v>
      </c>
      <c r="BQ406" s="232">
        <f t="shared" si="946"/>
        <v>1</v>
      </c>
      <c r="BR406" s="371"/>
      <c r="BS406" s="499">
        <v>30</v>
      </c>
      <c r="BT406" s="500">
        <v>20</v>
      </c>
      <c r="BU406" s="488">
        <f t="shared" si="926"/>
        <v>50</v>
      </c>
      <c r="BV406" s="371"/>
      <c r="BW406" s="232" t="str">
        <f t="shared" si="927"/>
        <v/>
      </c>
      <c r="BX406" s="232" t="str">
        <f t="shared" si="928"/>
        <v/>
      </c>
      <c r="BY406" s="232">
        <f t="shared" si="929"/>
        <v>50</v>
      </c>
      <c r="BZ406" s="232">
        <f t="shared" si="947"/>
        <v>1</v>
      </c>
      <c r="CA406" s="371"/>
      <c r="CB406" s="507">
        <f t="shared" si="930"/>
        <v>20</v>
      </c>
      <c r="CC406" s="508">
        <f t="shared" si="931"/>
        <v>10</v>
      </c>
      <c r="CD406" s="509">
        <f t="shared" si="932"/>
        <v>70</v>
      </c>
      <c r="CE406" s="371"/>
      <c r="CF406" s="232" t="str">
        <f t="shared" si="933"/>
        <v/>
      </c>
      <c r="CG406" s="232" t="str">
        <f t="shared" si="934"/>
        <v/>
      </c>
      <c r="CH406" s="232">
        <f t="shared" si="935"/>
        <v>70</v>
      </c>
      <c r="CI406" s="232">
        <f t="shared" si="948"/>
        <v>1</v>
      </c>
      <c r="CJ406" s="232"/>
      <c r="CK406" s="499">
        <v>20</v>
      </c>
      <c r="CL406" s="500">
        <v>10</v>
      </c>
      <c r="CM406" s="488">
        <f t="shared" si="936"/>
        <v>70</v>
      </c>
      <c r="CN406" s="371"/>
      <c r="CO406" s="232" t="str">
        <f t="shared" si="937"/>
        <v/>
      </c>
      <c r="CP406" s="232" t="str">
        <f t="shared" si="938"/>
        <v/>
      </c>
      <c r="CQ406" s="232">
        <f t="shared" si="939"/>
        <v>70</v>
      </c>
      <c r="CR406" s="232">
        <f t="shared" si="949"/>
        <v>1</v>
      </c>
      <c r="CS406" s="232"/>
      <c r="CT406" s="371"/>
      <c r="CU406" s="296"/>
      <c r="CV406" s="246"/>
      <c r="CW406" s="264"/>
    </row>
    <row r="407" spans="1:101" x14ac:dyDescent="0.2">
      <c r="A407" s="264"/>
      <c r="B407" s="264"/>
      <c r="C407" s="202"/>
      <c r="D407" s="271">
        <v>4</v>
      </c>
      <c r="E407" s="166" t="s">
        <v>272</v>
      </c>
      <c r="F407" s="468">
        <v>0</v>
      </c>
      <c r="G407" s="472"/>
      <c r="H407" s="473">
        <v>4</v>
      </c>
      <c r="I407" s="170" t="str">
        <f t="shared" si="900"/>
        <v/>
      </c>
      <c r="J407" s="387" t="str">
        <f t="shared" si="901"/>
        <v/>
      </c>
      <c r="K407" s="388" t="str">
        <f t="shared" si="902"/>
        <v>x</v>
      </c>
      <c r="L407" s="299"/>
      <c r="M407" s="375"/>
      <c r="N407" s="379"/>
      <c r="O407" s="236"/>
      <c r="P407" s="236"/>
      <c r="Q407" s="480">
        <v>10</v>
      </c>
      <c r="R407" s="481">
        <v>10</v>
      </c>
      <c r="S407" s="482">
        <f t="shared" si="940"/>
        <v>80</v>
      </c>
      <c r="T407" s="371"/>
      <c r="U407" s="232" t="str">
        <f t="shared" si="903"/>
        <v/>
      </c>
      <c r="V407" s="232" t="str">
        <f t="shared" si="904"/>
        <v/>
      </c>
      <c r="W407" s="232">
        <f t="shared" si="905"/>
        <v>80</v>
      </c>
      <c r="X407" s="232">
        <f t="shared" si="941"/>
        <v>1</v>
      </c>
      <c r="Y407" s="371"/>
      <c r="Z407" s="495">
        <v>10</v>
      </c>
      <c r="AA407" s="496">
        <v>10</v>
      </c>
      <c r="AB407" s="482">
        <f t="shared" si="906"/>
        <v>80</v>
      </c>
      <c r="AC407" s="371"/>
      <c r="AD407" s="232" t="str">
        <f t="shared" si="907"/>
        <v/>
      </c>
      <c r="AE407" s="232" t="str">
        <f t="shared" si="908"/>
        <v/>
      </c>
      <c r="AF407" s="232">
        <f t="shared" si="909"/>
        <v>80</v>
      </c>
      <c r="AG407" s="232">
        <f t="shared" si="942"/>
        <v>1</v>
      </c>
      <c r="AH407" s="371"/>
      <c r="AI407" s="495">
        <v>20</v>
      </c>
      <c r="AJ407" s="496">
        <v>30</v>
      </c>
      <c r="AK407" s="482">
        <f t="shared" si="910"/>
        <v>50</v>
      </c>
      <c r="AL407" s="371"/>
      <c r="AM407" s="232" t="str">
        <f t="shared" si="911"/>
        <v/>
      </c>
      <c r="AN407" s="232" t="str">
        <f t="shared" si="912"/>
        <v/>
      </c>
      <c r="AO407" s="232">
        <f t="shared" si="913"/>
        <v>50</v>
      </c>
      <c r="AP407" s="232">
        <f t="shared" si="943"/>
        <v>1</v>
      </c>
      <c r="AQ407" s="371"/>
      <c r="AR407" s="495">
        <v>10</v>
      </c>
      <c r="AS407" s="496">
        <v>10</v>
      </c>
      <c r="AT407" s="482">
        <f t="shared" si="914"/>
        <v>80</v>
      </c>
      <c r="AU407" s="371"/>
      <c r="AV407" s="232" t="str">
        <f t="shared" si="915"/>
        <v/>
      </c>
      <c r="AW407" s="232" t="str">
        <f t="shared" si="916"/>
        <v/>
      </c>
      <c r="AX407" s="232">
        <f t="shared" si="917"/>
        <v>80</v>
      </c>
      <c r="AY407" s="232">
        <f t="shared" si="944"/>
        <v>1</v>
      </c>
      <c r="AZ407" s="371"/>
      <c r="BA407" s="495">
        <v>10</v>
      </c>
      <c r="BB407" s="496">
        <v>10</v>
      </c>
      <c r="BC407" s="482">
        <f t="shared" si="918"/>
        <v>80</v>
      </c>
      <c r="BD407" s="371"/>
      <c r="BE407" s="232" t="str">
        <f t="shared" si="919"/>
        <v/>
      </c>
      <c r="BF407" s="232" t="str">
        <f t="shared" si="920"/>
        <v/>
      </c>
      <c r="BG407" s="232">
        <f t="shared" si="921"/>
        <v>80</v>
      </c>
      <c r="BH407" s="232">
        <f t="shared" si="945"/>
        <v>1</v>
      </c>
      <c r="BI407" s="371"/>
      <c r="BJ407" s="495">
        <v>10</v>
      </c>
      <c r="BK407" s="496">
        <v>10</v>
      </c>
      <c r="BL407" s="482">
        <f t="shared" si="922"/>
        <v>80</v>
      </c>
      <c r="BM407" s="371"/>
      <c r="BN407" s="232" t="str">
        <f t="shared" si="923"/>
        <v/>
      </c>
      <c r="BO407" s="232" t="str">
        <f t="shared" si="924"/>
        <v/>
      </c>
      <c r="BP407" s="232">
        <f t="shared" si="925"/>
        <v>80</v>
      </c>
      <c r="BQ407" s="232">
        <f t="shared" si="946"/>
        <v>1</v>
      </c>
      <c r="BR407" s="371"/>
      <c r="BS407" s="495">
        <v>30</v>
      </c>
      <c r="BT407" s="496">
        <v>10</v>
      </c>
      <c r="BU407" s="482">
        <f t="shared" si="926"/>
        <v>60</v>
      </c>
      <c r="BV407" s="371"/>
      <c r="BW407" s="232" t="str">
        <f t="shared" si="927"/>
        <v/>
      </c>
      <c r="BX407" s="232" t="str">
        <f t="shared" si="928"/>
        <v/>
      </c>
      <c r="BY407" s="232">
        <f t="shared" si="929"/>
        <v>60</v>
      </c>
      <c r="BZ407" s="232">
        <f t="shared" si="947"/>
        <v>1</v>
      </c>
      <c r="CA407" s="371"/>
      <c r="CB407" s="501">
        <f t="shared" si="930"/>
        <v>20</v>
      </c>
      <c r="CC407" s="502">
        <f t="shared" si="931"/>
        <v>10</v>
      </c>
      <c r="CD407" s="503">
        <f t="shared" si="932"/>
        <v>70</v>
      </c>
      <c r="CE407" s="371"/>
      <c r="CF407" s="232" t="str">
        <f t="shared" si="933"/>
        <v/>
      </c>
      <c r="CG407" s="232" t="str">
        <f t="shared" si="934"/>
        <v/>
      </c>
      <c r="CH407" s="232">
        <f t="shared" si="935"/>
        <v>70</v>
      </c>
      <c r="CI407" s="232">
        <f t="shared" si="948"/>
        <v>1</v>
      </c>
      <c r="CJ407" s="232"/>
      <c r="CK407" s="495">
        <v>10</v>
      </c>
      <c r="CL407" s="496">
        <v>10</v>
      </c>
      <c r="CM407" s="482">
        <f t="shared" si="936"/>
        <v>80</v>
      </c>
      <c r="CN407" s="371"/>
      <c r="CO407" s="232" t="str">
        <f t="shared" si="937"/>
        <v/>
      </c>
      <c r="CP407" s="232" t="str">
        <f t="shared" si="938"/>
        <v/>
      </c>
      <c r="CQ407" s="232">
        <f t="shared" si="939"/>
        <v>80</v>
      </c>
      <c r="CR407" s="232">
        <f t="shared" si="949"/>
        <v>1</v>
      </c>
      <c r="CS407" s="232"/>
      <c r="CT407" s="371"/>
      <c r="CU407" s="296"/>
      <c r="CV407" s="246"/>
      <c r="CW407" s="264"/>
    </row>
    <row r="408" spans="1:101" x14ac:dyDescent="0.2">
      <c r="A408" s="264"/>
      <c r="B408" s="264"/>
      <c r="C408" s="202"/>
      <c r="D408" s="271">
        <v>5</v>
      </c>
      <c r="E408" s="167" t="s">
        <v>273</v>
      </c>
      <c r="F408" s="469">
        <v>1</v>
      </c>
      <c r="G408" s="474"/>
      <c r="H408" s="475">
        <v>1</v>
      </c>
      <c r="I408" s="389" t="str">
        <f t="shared" si="900"/>
        <v/>
      </c>
      <c r="J408" s="390" t="str">
        <f t="shared" si="901"/>
        <v>x</v>
      </c>
      <c r="K408" s="391" t="str">
        <f t="shared" si="902"/>
        <v/>
      </c>
      <c r="L408" s="299"/>
      <c r="M408" s="375"/>
      <c r="N408" s="379"/>
      <c r="O408" s="236"/>
      <c r="P408" s="236"/>
      <c r="Q408" s="483">
        <v>10</v>
      </c>
      <c r="R408" s="484">
        <v>80</v>
      </c>
      <c r="S408" s="485">
        <f t="shared" si="940"/>
        <v>10</v>
      </c>
      <c r="T408" s="371"/>
      <c r="U408" s="232" t="str">
        <f t="shared" si="903"/>
        <v/>
      </c>
      <c r="V408" s="232">
        <f t="shared" si="904"/>
        <v>80</v>
      </c>
      <c r="W408" s="232" t="str">
        <f t="shared" si="905"/>
        <v/>
      </c>
      <c r="X408" s="232">
        <f t="shared" si="941"/>
        <v>1</v>
      </c>
      <c r="Y408" s="371"/>
      <c r="Z408" s="497">
        <v>80</v>
      </c>
      <c r="AA408" s="498">
        <v>10</v>
      </c>
      <c r="AB408" s="485">
        <f t="shared" si="906"/>
        <v>10</v>
      </c>
      <c r="AC408" s="371"/>
      <c r="AD408" s="232" t="str">
        <f t="shared" si="907"/>
        <v/>
      </c>
      <c r="AE408" s="232">
        <f t="shared" si="908"/>
        <v>10</v>
      </c>
      <c r="AF408" s="232" t="str">
        <f t="shared" si="909"/>
        <v/>
      </c>
      <c r="AG408" s="232" t="str">
        <f t="shared" si="942"/>
        <v/>
      </c>
      <c r="AH408" s="371"/>
      <c r="AI408" s="497">
        <v>60</v>
      </c>
      <c r="AJ408" s="498">
        <v>20</v>
      </c>
      <c r="AK408" s="485">
        <f t="shared" si="910"/>
        <v>20</v>
      </c>
      <c r="AL408" s="371"/>
      <c r="AM408" s="232" t="str">
        <f t="shared" si="911"/>
        <v/>
      </c>
      <c r="AN408" s="232">
        <f t="shared" si="912"/>
        <v>20</v>
      </c>
      <c r="AO408" s="232" t="str">
        <f t="shared" si="913"/>
        <v/>
      </c>
      <c r="AP408" s="232" t="str">
        <f t="shared" si="943"/>
        <v/>
      </c>
      <c r="AQ408" s="371"/>
      <c r="AR408" s="497">
        <v>60</v>
      </c>
      <c r="AS408" s="498">
        <v>30</v>
      </c>
      <c r="AT408" s="485">
        <f t="shared" si="914"/>
        <v>10</v>
      </c>
      <c r="AU408" s="371"/>
      <c r="AV408" s="232" t="str">
        <f t="shared" si="915"/>
        <v/>
      </c>
      <c r="AW408" s="232">
        <f t="shared" si="916"/>
        <v>30</v>
      </c>
      <c r="AX408" s="232" t="str">
        <f t="shared" si="917"/>
        <v/>
      </c>
      <c r="AY408" s="232" t="str">
        <f t="shared" si="944"/>
        <v/>
      </c>
      <c r="AZ408" s="371"/>
      <c r="BA408" s="497">
        <v>80</v>
      </c>
      <c r="BB408" s="498">
        <v>10</v>
      </c>
      <c r="BC408" s="485">
        <f t="shared" si="918"/>
        <v>10</v>
      </c>
      <c r="BD408" s="371"/>
      <c r="BE408" s="232" t="str">
        <f t="shared" si="919"/>
        <v/>
      </c>
      <c r="BF408" s="232">
        <f t="shared" si="920"/>
        <v>10</v>
      </c>
      <c r="BG408" s="232" t="str">
        <f t="shared" si="921"/>
        <v/>
      </c>
      <c r="BH408" s="232" t="str">
        <f t="shared" si="945"/>
        <v/>
      </c>
      <c r="BI408" s="371"/>
      <c r="BJ408" s="497">
        <v>10</v>
      </c>
      <c r="BK408" s="498">
        <v>80</v>
      </c>
      <c r="BL408" s="485">
        <f t="shared" si="922"/>
        <v>10</v>
      </c>
      <c r="BM408" s="371"/>
      <c r="BN408" s="232" t="str">
        <f t="shared" si="923"/>
        <v/>
      </c>
      <c r="BO408" s="232">
        <f t="shared" si="924"/>
        <v>80</v>
      </c>
      <c r="BP408" s="232" t="str">
        <f t="shared" si="925"/>
        <v/>
      </c>
      <c r="BQ408" s="232">
        <f t="shared" si="946"/>
        <v>1</v>
      </c>
      <c r="BR408" s="371"/>
      <c r="BS408" s="497">
        <v>30</v>
      </c>
      <c r="BT408" s="498">
        <v>40</v>
      </c>
      <c r="BU408" s="485">
        <f t="shared" si="926"/>
        <v>30</v>
      </c>
      <c r="BV408" s="371"/>
      <c r="BW408" s="232" t="str">
        <f t="shared" si="927"/>
        <v/>
      </c>
      <c r="BX408" s="232">
        <f t="shared" si="928"/>
        <v>40</v>
      </c>
      <c r="BY408" s="232" t="str">
        <f t="shared" si="929"/>
        <v/>
      </c>
      <c r="BZ408" s="232">
        <f t="shared" si="947"/>
        <v>1</v>
      </c>
      <c r="CA408" s="371"/>
      <c r="CB408" s="504">
        <f t="shared" si="930"/>
        <v>50</v>
      </c>
      <c r="CC408" s="505">
        <f t="shared" si="931"/>
        <v>30</v>
      </c>
      <c r="CD408" s="506">
        <f t="shared" si="932"/>
        <v>20</v>
      </c>
      <c r="CE408" s="371"/>
      <c r="CF408" s="232" t="str">
        <f t="shared" si="933"/>
        <v/>
      </c>
      <c r="CG408" s="232">
        <f t="shared" si="934"/>
        <v>30</v>
      </c>
      <c r="CH408" s="232" t="str">
        <f t="shared" si="935"/>
        <v/>
      </c>
      <c r="CI408" s="232" t="str">
        <f t="shared" si="948"/>
        <v/>
      </c>
      <c r="CJ408" s="232"/>
      <c r="CK408" s="497">
        <v>60</v>
      </c>
      <c r="CL408" s="498">
        <v>30</v>
      </c>
      <c r="CM408" s="485">
        <f t="shared" si="936"/>
        <v>10</v>
      </c>
      <c r="CN408" s="371"/>
      <c r="CO408" s="232" t="str">
        <f t="shared" si="937"/>
        <v/>
      </c>
      <c r="CP408" s="232">
        <f t="shared" si="938"/>
        <v>30</v>
      </c>
      <c r="CQ408" s="232" t="str">
        <f t="shared" si="939"/>
        <v/>
      </c>
      <c r="CR408" s="232" t="str">
        <f t="shared" si="949"/>
        <v/>
      </c>
      <c r="CS408" s="232"/>
      <c r="CT408" s="371"/>
      <c r="CU408" s="296"/>
      <c r="CV408" s="246"/>
      <c r="CW408" s="264"/>
    </row>
    <row r="409" spans="1:101" ht="13.5" thickBot="1" x14ac:dyDescent="0.25">
      <c r="A409" s="264"/>
      <c r="B409" s="264"/>
      <c r="C409" s="202"/>
      <c r="D409" s="271">
        <v>6</v>
      </c>
      <c r="E409" s="168" t="s">
        <v>274</v>
      </c>
      <c r="F409" s="470">
        <v>0</v>
      </c>
      <c r="G409" s="476"/>
      <c r="H409" s="477">
        <v>1</v>
      </c>
      <c r="I409" s="392" t="str">
        <f t="shared" si="900"/>
        <v/>
      </c>
      <c r="J409" s="393" t="str">
        <f t="shared" si="901"/>
        <v/>
      </c>
      <c r="K409" s="394" t="str">
        <f t="shared" si="902"/>
        <v>x</v>
      </c>
      <c r="L409" s="299"/>
      <c r="M409" s="375"/>
      <c r="N409" s="379"/>
      <c r="O409" s="236"/>
      <c r="P409" s="236"/>
      <c r="Q409" s="489">
        <v>10</v>
      </c>
      <c r="R409" s="490">
        <v>80</v>
      </c>
      <c r="S409" s="491">
        <f t="shared" si="940"/>
        <v>10</v>
      </c>
      <c r="T409" s="371"/>
      <c r="U409" s="232" t="str">
        <f t="shared" si="903"/>
        <v/>
      </c>
      <c r="V409" s="232" t="str">
        <f t="shared" si="904"/>
        <v/>
      </c>
      <c r="W409" s="232">
        <f t="shared" si="905"/>
        <v>10</v>
      </c>
      <c r="X409" s="232" t="str">
        <f t="shared" si="941"/>
        <v/>
      </c>
      <c r="Y409" s="371"/>
      <c r="Z409" s="499">
        <v>80</v>
      </c>
      <c r="AA409" s="500">
        <v>10</v>
      </c>
      <c r="AB409" s="491">
        <f t="shared" si="906"/>
        <v>10</v>
      </c>
      <c r="AC409" s="371"/>
      <c r="AD409" s="232" t="str">
        <f t="shared" si="907"/>
        <v/>
      </c>
      <c r="AE409" s="232" t="str">
        <f t="shared" si="908"/>
        <v/>
      </c>
      <c r="AF409" s="232">
        <f t="shared" si="909"/>
        <v>10</v>
      </c>
      <c r="AG409" s="232" t="str">
        <f t="shared" si="942"/>
        <v/>
      </c>
      <c r="AH409" s="371"/>
      <c r="AI409" s="499">
        <v>30</v>
      </c>
      <c r="AJ409" s="500">
        <v>20</v>
      </c>
      <c r="AK409" s="491">
        <f t="shared" si="910"/>
        <v>50</v>
      </c>
      <c r="AL409" s="371"/>
      <c r="AM409" s="232" t="str">
        <f t="shared" si="911"/>
        <v/>
      </c>
      <c r="AN409" s="232" t="str">
        <f t="shared" si="912"/>
        <v/>
      </c>
      <c r="AO409" s="232">
        <f t="shared" si="913"/>
        <v>50</v>
      </c>
      <c r="AP409" s="232">
        <f t="shared" si="943"/>
        <v>1</v>
      </c>
      <c r="AQ409" s="371"/>
      <c r="AR409" s="499">
        <v>10</v>
      </c>
      <c r="AS409" s="500">
        <v>40</v>
      </c>
      <c r="AT409" s="491">
        <f t="shared" si="914"/>
        <v>50</v>
      </c>
      <c r="AU409" s="371"/>
      <c r="AV409" s="232" t="str">
        <f t="shared" si="915"/>
        <v/>
      </c>
      <c r="AW409" s="232" t="str">
        <f t="shared" si="916"/>
        <v/>
      </c>
      <c r="AX409" s="232">
        <f t="shared" si="917"/>
        <v>50</v>
      </c>
      <c r="AY409" s="232">
        <f t="shared" si="944"/>
        <v>1</v>
      </c>
      <c r="AZ409" s="371"/>
      <c r="BA409" s="499">
        <v>10</v>
      </c>
      <c r="BB409" s="500">
        <v>10</v>
      </c>
      <c r="BC409" s="491">
        <f t="shared" si="918"/>
        <v>80</v>
      </c>
      <c r="BD409" s="371"/>
      <c r="BE409" s="232" t="str">
        <f t="shared" si="919"/>
        <v/>
      </c>
      <c r="BF409" s="232" t="str">
        <f t="shared" si="920"/>
        <v/>
      </c>
      <c r="BG409" s="232">
        <f t="shared" si="921"/>
        <v>80</v>
      </c>
      <c r="BH409" s="232">
        <f t="shared" si="945"/>
        <v>1</v>
      </c>
      <c r="BI409" s="371"/>
      <c r="BJ409" s="499">
        <v>10</v>
      </c>
      <c r="BK409" s="500">
        <v>10</v>
      </c>
      <c r="BL409" s="491">
        <f t="shared" si="922"/>
        <v>80</v>
      </c>
      <c r="BM409" s="371"/>
      <c r="BN409" s="232" t="str">
        <f t="shared" si="923"/>
        <v/>
      </c>
      <c r="BO409" s="232" t="str">
        <f t="shared" si="924"/>
        <v/>
      </c>
      <c r="BP409" s="232">
        <f t="shared" si="925"/>
        <v>80</v>
      </c>
      <c r="BQ409" s="232">
        <f t="shared" si="946"/>
        <v>1</v>
      </c>
      <c r="BR409" s="371"/>
      <c r="BS409" s="499">
        <v>40</v>
      </c>
      <c r="BT409" s="500">
        <v>10</v>
      </c>
      <c r="BU409" s="491">
        <f t="shared" si="926"/>
        <v>50</v>
      </c>
      <c r="BV409" s="371"/>
      <c r="BW409" s="232" t="str">
        <f t="shared" si="927"/>
        <v/>
      </c>
      <c r="BX409" s="232" t="str">
        <f t="shared" si="928"/>
        <v/>
      </c>
      <c r="BY409" s="232">
        <f t="shared" si="929"/>
        <v>50</v>
      </c>
      <c r="BZ409" s="232">
        <f t="shared" si="947"/>
        <v>1</v>
      </c>
      <c r="CA409" s="371"/>
      <c r="CB409" s="507">
        <f t="shared" si="930"/>
        <v>30</v>
      </c>
      <c r="CC409" s="508">
        <f t="shared" si="931"/>
        <v>20</v>
      </c>
      <c r="CD409" s="509">
        <f t="shared" si="932"/>
        <v>50</v>
      </c>
      <c r="CE409" s="371"/>
      <c r="CF409" s="232" t="str">
        <f t="shared" si="933"/>
        <v/>
      </c>
      <c r="CG409" s="232" t="str">
        <f t="shared" si="934"/>
        <v/>
      </c>
      <c r="CH409" s="232">
        <f t="shared" si="935"/>
        <v>50</v>
      </c>
      <c r="CI409" s="232">
        <f t="shared" si="948"/>
        <v>1</v>
      </c>
      <c r="CJ409" s="232"/>
      <c r="CK409" s="499">
        <v>20</v>
      </c>
      <c r="CL409" s="500">
        <v>60</v>
      </c>
      <c r="CM409" s="491">
        <f t="shared" si="936"/>
        <v>20</v>
      </c>
      <c r="CN409" s="371"/>
      <c r="CO409" s="232" t="str">
        <f t="shared" si="937"/>
        <v/>
      </c>
      <c r="CP409" s="232" t="str">
        <f t="shared" si="938"/>
        <v/>
      </c>
      <c r="CQ409" s="232">
        <f t="shared" si="939"/>
        <v>20</v>
      </c>
      <c r="CR409" s="232" t="str">
        <f t="shared" si="949"/>
        <v/>
      </c>
      <c r="CS409" s="232"/>
      <c r="CT409" s="371"/>
      <c r="CU409" s="296"/>
      <c r="CV409" s="246"/>
      <c r="CW409" s="264"/>
    </row>
    <row r="410" spans="1:101" x14ac:dyDescent="0.2">
      <c r="A410" s="264"/>
      <c r="B410" s="264"/>
      <c r="C410" s="202"/>
      <c r="D410" s="271">
        <v>7</v>
      </c>
      <c r="E410" s="166" t="s">
        <v>275</v>
      </c>
      <c r="F410" s="468">
        <v>1</v>
      </c>
      <c r="G410" s="472"/>
      <c r="H410" s="473">
        <v>1</v>
      </c>
      <c r="I410" s="170" t="str">
        <f t="shared" si="900"/>
        <v/>
      </c>
      <c r="J410" s="387" t="str">
        <f t="shared" si="901"/>
        <v>x</v>
      </c>
      <c r="K410" s="388" t="str">
        <f t="shared" si="902"/>
        <v/>
      </c>
      <c r="L410" s="299"/>
      <c r="M410" s="375"/>
      <c r="N410" s="379"/>
      <c r="O410" s="236"/>
      <c r="P410" s="236"/>
      <c r="Q410" s="480">
        <v>80</v>
      </c>
      <c r="R410" s="481">
        <v>10</v>
      </c>
      <c r="S410" s="482">
        <f t="shared" si="940"/>
        <v>10</v>
      </c>
      <c r="T410" s="371"/>
      <c r="U410" s="232" t="str">
        <f t="shared" si="903"/>
        <v/>
      </c>
      <c r="V410" s="232">
        <f t="shared" si="904"/>
        <v>10</v>
      </c>
      <c r="W410" s="232" t="str">
        <f t="shared" si="905"/>
        <v/>
      </c>
      <c r="X410" s="232" t="str">
        <f t="shared" si="941"/>
        <v/>
      </c>
      <c r="Y410" s="371"/>
      <c r="Z410" s="495">
        <v>80</v>
      </c>
      <c r="AA410" s="496">
        <v>10</v>
      </c>
      <c r="AB410" s="482">
        <f t="shared" si="906"/>
        <v>10</v>
      </c>
      <c r="AC410" s="371"/>
      <c r="AD410" s="232" t="str">
        <f t="shared" si="907"/>
        <v/>
      </c>
      <c r="AE410" s="232">
        <f t="shared" si="908"/>
        <v>10</v>
      </c>
      <c r="AF410" s="232" t="str">
        <f t="shared" si="909"/>
        <v/>
      </c>
      <c r="AG410" s="232" t="str">
        <f t="shared" si="942"/>
        <v/>
      </c>
      <c r="AH410" s="371"/>
      <c r="AI410" s="495">
        <v>80</v>
      </c>
      <c r="AJ410" s="496">
        <v>10</v>
      </c>
      <c r="AK410" s="482">
        <f t="shared" si="910"/>
        <v>10</v>
      </c>
      <c r="AL410" s="371"/>
      <c r="AM410" s="232" t="str">
        <f t="shared" si="911"/>
        <v/>
      </c>
      <c r="AN410" s="232">
        <f t="shared" si="912"/>
        <v>10</v>
      </c>
      <c r="AO410" s="232" t="str">
        <f t="shared" si="913"/>
        <v/>
      </c>
      <c r="AP410" s="232" t="str">
        <f t="shared" si="943"/>
        <v/>
      </c>
      <c r="AQ410" s="371"/>
      <c r="AR410" s="495">
        <v>80</v>
      </c>
      <c r="AS410" s="496">
        <v>10</v>
      </c>
      <c r="AT410" s="482">
        <f t="shared" si="914"/>
        <v>10</v>
      </c>
      <c r="AU410" s="371"/>
      <c r="AV410" s="232" t="str">
        <f t="shared" si="915"/>
        <v/>
      </c>
      <c r="AW410" s="232">
        <f t="shared" si="916"/>
        <v>10</v>
      </c>
      <c r="AX410" s="232" t="str">
        <f t="shared" si="917"/>
        <v/>
      </c>
      <c r="AY410" s="232" t="str">
        <f t="shared" si="944"/>
        <v/>
      </c>
      <c r="AZ410" s="371"/>
      <c r="BA410" s="495">
        <v>80</v>
      </c>
      <c r="BB410" s="496">
        <v>10</v>
      </c>
      <c r="BC410" s="482">
        <f t="shared" si="918"/>
        <v>10</v>
      </c>
      <c r="BD410" s="371"/>
      <c r="BE410" s="232" t="str">
        <f t="shared" si="919"/>
        <v/>
      </c>
      <c r="BF410" s="232">
        <f t="shared" si="920"/>
        <v>10</v>
      </c>
      <c r="BG410" s="232" t="str">
        <f t="shared" si="921"/>
        <v/>
      </c>
      <c r="BH410" s="232" t="str">
        <f t="shared" si="945"/>
        <v/>
      </c>
      <c r="BI410" s="371"/>
      <c r="BJ410" s="495">
        <v>80</v>
      </c>
      <c r="BK410" s="496">
        <v>10</v>
      </c>
      <c r="BL410" s="482">
        <f t="shared" si="922"/>
        <v>10</v>
      </c>
      <c r="BM410" s="371"/>
      <c r="BN410" s="232" t="str">
        <f t="shared" si="923"/>
        <v/>
      </c>
      <c r="BO410" s="232">
        <f t="shared" si="924"/>
        <v>10</v>
      </c>
      <c r="BP410" s="232" t="str">
        <f t="shared" si="925"/>
        <v/>
      </c>
      <c r="BQ410" s="232" t="str">
        <f t="shared" si="946"/>
        <v/>
      </c>
      <c r="BR410" s="371"/>
      <c r="BS410" s="495">
        <v>30</v>
      </c>
      <c r="BT410" s="496">
        <v>50</v>
      </c>
      <c r="BU410" s="482">
        <f t="shared" si="926"/>
        <v>20</v>
      </c>
      <c r="BV410" s="371"/>
      <c r="BW410" s="232" t="str">
        <f t="shared" si="927"/>
        <v/>
      </c>
      <c r="BX410" s="232">
        <f t="shared" si="928"/>
        <v>50</v>
      </c>
      <c r="BY410" s="232" t="str">
        <f t="shared" si="929"/>
        <v/>
      </c>
      <c r="BZ410" s="232">
        <f t="shared" si="947"/>
        <v>1</v>
      </c>
      <c r="CA410" s="371"/>
      <c r="CB410" s="501">
        <f t="shared" si="930"/>
        <v>80</v>
      </c>
      <c r="CC410" s="502">
        <f t="shared" si="931"/>
        <v>10</v>
      </c>
      <c r="CD410" s="503">
        <f t="shared" si="932"/>
        <v>10</v>
      </c>
      <c r="CE410" s="371"/>
      <c r="CF410" s="232" t="str">
        <f t="shared" si="933"/>
        <v/>
      </c>
      <c r="CG410" s="232">
        <f t="shared" si="934"/>
        <v>10</v>
      </c>
      <c r="CH410" s="232" t="str">
        <f t="shared" si="935"/>
        <v/>
      </c>
      <c r="CI410" s="232" t="str">
        <f t="shared" si="948"/>
        <v/>
      </c>
      <c r="CJ410" s="232"/>
      <c r="CK410" s="495">
        <v>80</v>
      </c>
      <c r="CL410" s="496">
        <v>10</v>
      </c>
      <c r="CM410" s="482">
        <f t="shared" si="936"/>
        <v>10</v>
      </c>
      <c r="CN410" s="371"/>
      <c r="CO410" s="232" t="str">
        <f t="shared" si="937"/>
        <v/>
      </c>
      <c r="CP410" s="232">
        <f t="shared" si="938"/>
        <v>10</v>
      </c>
      <c r="CQ410" s="232" t="str">
        <f t="shared" si="939"/>
        <v/>
      </c>
      <c r="CR410" s="232" t="str">
        <f t="shared" si="949"/>
        <v/>
      </c>
      <c r="CS410" s="232"/>
      <c r="CT410" s="371"/>
      <c r="CU410" s="300"/>
      <c r="CV410" s="246"/>
      <c r="CW410" s="264"/>
    </row>
    <row r="411" spans="1:101" x14ac:dyDescent="0.2">
      <c r="A411" s="264"/>
      <c r="B411" s="264"/>
      <c r="C411" s="202"/>
      <c r="D411" s="271">
        <v>8</v>
      </c>
      <c r="E411" s="167" t="s">
        <v>276</v>
      </c>
      <c r="F411" s="469">
        <v>2</v>
      </c>
      <c r="G411" s="474"/>
      <c r="H411" s="475">
        <v>1</v>
      </c>
      <c r="I411" s="389" t="str">
        <f t="shared" si="900"/>
        <v>x</v>
      </c>
      <c r="J411" s="390" t="str">
        <f t="shared" si="901"/>
        <v/>
      </c>
      <c r="K411" s="391" t="str">
        <f t="shared" si="902"/>
        <v/>
      </c>
      <c r="L411" s="299"/>
      <c r="M411" s="375"/>
      <c r="N411" s="379"/>
      <c r="O411" s="236"/>
      <c r="P411" s="236"/>
      <c r="Q411" s="483">
        <v>30</v>
      </c>
      <c r="R411" s="484">
        <v>40</v>
      </c>
      <c r="S411" s="485">
        <f t="shared" si="940"/>
        <v>30</v>
      </c>
      <c r="T411" s="371"/>
      <c r="U411" s="232">
        <f t="shared" si="903"/>
        <v>30</v>
      </c>
      <c r="V411" s="232" t="str">
        <f t="shared" si="904"/>
        <v/>
      </c>
      <c r="W411" s="232" t="str">
        <f t="shared" si="905"/>
        <v/>
      </c>
      <c r="X411" s="232" t="str">
        <f t="shared" si="941"/>
        <v/>
      </c>
      <c r="Y411" s="371"/>
      <c r="Z411" s="497">
        <v>10</v>
      </c>
      <c r="AA411" s="498">
        <v>80</v>
      </c>
      <c r="AB411" s="485">
        <f t="shared" si="906"/>
        <v>10</v>
      </c>
      <c r="AC411" s="371"/>
      <c r="AD411" s="232">
        <f t="shared" si="907"/>
        <v>10</v>
      </c>
      <c r="AE411" s="232" t="str">
        <f t="shared" si="908"/>
        <v/>
      </c>
      <c r="AF411" s="232" t="str">
        <f t="shared" si="909"/>
        <v/>
      </c>
      <c r="AG411" s="232" t="str">
        <f t="shared" si="942"/>
        <v/>
      </c>
      <c r="AH411" s="371"/>
      <c r="AI411" s="497">
        <v>10</v>
      </c>
      <c r="AJ411" s="498">
        <v>10</v>
      </c>
      <c r="AK411" s="485">
        <f t="shared" si="910"/>
        <v>80</v>
      </c>
      <c r="AL411" s="371"/>
      <c r="AM411" s="232">
        <f t="shared" si="911"/>
        <v>10</v>
      </c>
      <c r="AN411" s="232" t="str">
        <f t="shared" si="912"/>
        <v/>
      </c>
      <c r="AO411" s="232" t="str">
        <f t="shared" si="913"/>
        <v/>
      </c>
      <c r="AP411" s="232" t="str">
        <f t="shared" si="943"/>
        <v/>
      </c>
      <c r="AQ411" s="371"/>
      <c r="AR411" s="497">
        <v>10</v>
      </c>
      <c r="AS411" s="498">
        <v>40</v>
      </c>
      <c r="AT411" s="485">
        <f t="shared" si="914"/>
        <v>50</v>
      </c>
      <c r="AU411" s="371"/>
      <c r="AV411" s="232">
        <f t="shared" si="915"/>
        <v>10</v>
      </c>
      <c r="AW411" s="232" t="str">
        <f t="shared" si="916"/>
        <v/>
      </c>
      <c r="AX411" s="232" t="str">
        <f t="shared" si="917"/>
        <v/>
      </c>
      <c r="AY411" s="232" t="str">
        <f t="shared" si="944"/>
        <v/>
      </c>
      <c r="AZ411" s="371"/>
      <c r="BA411" s="497">
        <v>10</v>
      </c>
      <c r="BB411" s="498">
        <v>10</v>
      </c>
      <c r="BC411" s="485">
        <f t="shared" si="918"/>
        <v>80</v>
      </c>
      <c r="BD411" s="371"/>
      <c r="BE411" s="232">
        <f t="shared" si="919"/>
        <v>10</v>
      </c>
      <c r="BF411" s="232" t="str">
        <f t="shared" si="920"/>
        <v/>
      </c>
      <c r="BG411" s="232" t="str">
        <f t="shared" si="921"/>
        <v/>
      </c>
      <c r="BH411" s="232" t="str">
        <f t="shared" si="945"/>
        <v/>
      </c>
      <c r="BI411" s="371"/>
      <c r="BJ411" s="497">
        <v>10</v>
      </c>
      <c r="BK411" s="498">
        <v>10</v>
      </c>
      <c r="BL411" s="485">
        <f t="shared" si="922"/>
        <v>80</v>
      </c>
      <c r="BM411" s="371"/>
      <c r="BN411" s="232">
        <f t="shared" si="923"/>
        <v>10</v>
      </c>
      <c r="BO411" s="232" t="str">
        <f t="shared" si="924"/>
        <v/>
      </c>
      <c r="BP411" s="232" t="str">
        <f t="shared" si="925"/>
        <v/>
      </c>
      <c r="BQ411" s="232" t="str">
        <f t="shared" si="946"/>
        <v/>
      </c>
      <c r="BR411" s="371"/>
      <c r="BS411" s="497">
        <v>20</v>
      </c>
      <c r="BT411" s="498">
        <v>10</v>
      </c>
      <c r="BU411" s="485">
        <f t="shared" si="926"/>
        <v>70</v>
      </c>
      <c r="BV411" s="371"/>
      <c r="BW411" s="232">
        <f t="shared" si="927"/>
        <v>20</v>
      </c>
      <c r="BX411" s="232" t="str">
        <f t="shared" si="928"/>
        <v/>
      </c>
      <c r="BY411" s="232" t="str">
        <f t="shared" si="929"/>
        <v/>
      </c>
      <c r="BZ411" s="232" t="str">
        <f t="shared" si="947"/>
        <v/>
      </c>
      <c r="CA411" s="371"/>
      <c r="CB411" s="504">
        <f t="shared" si="930"/>
        <v>20</v>
      </c>
      <c r="CC411" s="505">
        <f t="shared" si="931"/>
        <v>20</v>
      </c>
      <c r="CD411" s="506">
        <f t="shared" si="932"/>
        <v>60</v>
      </c>
      <c r="CE411" s="371"/>
      <c r="CF411" s="232">
        <f t="shared" si="933"/>
        <v>20</v>
      </c>
      <c r="CG411" s="232" t="str">
        <f t="shared" si="934"/>
        <v/>
      </c>
      <c r="CH411" s="232" t="str">
        <f t="shared" si="935"/>
        <v/>
      </c>
      <c r="CI411" s="232" t="str">
        <f t="shared" si="948"/>
        <v/>
      </c>
      <c r="CJ411" s="232"/>
      <c r="CK411" s="497">
        <v>20</v>
      </c>
      <c r="CL411" s="498">
        <v>10</v>
      </c>
      <c r="CM411" s="485">
        <f t="shared" si="936"/>
        <v>70</v>
      </c>
      <c r="CN411" s="371"/>
      <c r="CO411" s="232">
        <f t="shared" si="937"/>
        <v>20</v>
      </c>
      <c r="CP411" s="232" t="str">
        <f t="shared" si="938"/>
        <v/>
      </c>
      <c r="CQ411" s="232" t="str">
        <f t="shared" si="939"/>
        <v/>
      </c>
      <c r="CR411" s="232" t="str">
        <f t="shared" si="949"/>
        <v/>
      </c>
      <c r="CS411" s="232"/>
      <c r="CT411" s="371"/>
      <c r="CU411" s="300"/>
      <c r="CV411" s="246"/>
      <c r="CW411" s="264"/>
    </row>
    <row r="412" spans="1:101" ht="13.5" thickBot="1" x14ac:dyDescent="0.25">
      <c r="A412" s="264"/>
      <c r="B412" s="264"/>
      <c r="C412" s="202"/>
      <c r="D412" s="271">
        <v>9</v>
      </c>
      <c r="E412" s="168" t="s">
        <v>277</v>
      </c>
      <c r="F412" s="470">
        <v>3</v>
      </c>
      <c r="G412" s="476"/>
      <c r="H412" s="477">
        <v>0</v>
      </c>
      <c r="I412" s="392" t="str">
        <f t="shared" si="900"/>
        <v>x</v>
      </c>
      <c r="J412" s="393" t="str">
        <f t="shared" si="901"/>
        <v/>
      </c>
      <c r="K412" s="394" t="str">
        <f t="shared" si="902"/>
        <v/>
      </c>
      <c r="L412" s="299"/>
      <c r="M412" s="375"/>
      <c r="N412" s="379"/>
      <c r="O412" s="236"/>
      <c r="P412" s="236"/>
      <c r="Q412" s="489">
        <v>70</v>
      </c>
      <c r="R412" s="490">
        <v>20</v>
      </c>
      <c r="S412" s="491">
        <f t="shared" si="940"/>
        <v>10</v>
      </c>
      <c r="T412" s="371"/>
      <c r="U412" s="232">
        <f t="shared" si="903"/>
        <v>70</v>
      </c>
      <c r="V412" s="232" t="str">
        <f t="shared" si="904"/>
        <v/>
      </c>
      <c r="W412" s="232" t="str">
        <f t="shared" si="905"/>
        <v/>
      </c>
      <c r="X412" s="232">
        <f t="shared" si="941"/>
        <v>1</v>
      </c>
      <c r="Y412" s="371"/>
      <c r="Z412" s="499">
        <v>10</v>
      </c>
      <c r="AA412" s="500">
        <v>10</v>
      </c>
      <c r="AB412" s="491">
        <f t="shared" si="906"/>
        <v>80</v>
      </c>
      <c r="AC412" s="371"/>
      <c r="AD412" s="232">
        <f t="shared" si="907"/>
        <v>10</v>
      </c>
      <c r="AE412" s="232" t="str">
        <f t="shared" si="908"/>
        <v/>
      </c>
      <c r="AF412" s="232" t="str">
        <f t="shared" si="909"/>
        <v/>
      </c>
      <c r="AG412" s="232" t="str">
        <f t="shared" si="942"/>
        <v/>
      </c>
      <c r="AH412" s="371"/>
      <c r="AI412" s="499">
        <v>80</v>
      </c>
      <c r="AJ412" s="500">
        <v>10</v>
      </c>
      <c r="AK412" s="491">
        <f t="shared" si="910"/>
        <v>10</v>
      </c>
      <c r="AL412" s="371"/>
      <c r="AM412" s="232">
        <f t="shared" si="911"/>
        <v>80</v>
      </c>
      <c r="AN412" s="232" t="str">
        <f t="shared" si="912"/>
        <v/>
      </c>
      <c r="AO412" s="232" t="str">
        <f t="shared" si="913"/>
        <v/>
      </c>
      <c r="AP412" s="232">
        <f t="shared" si="943"/>
        <v>1</v>
      </c>
      <c r="AQ412" s="371"/>
      <c r="AR412" s="499">
        <v>10</v>
      </c>
      <c r="AS412" s="500">
        <v>40</v>
      </c>
      <c r="AT412" s="491">
        <f t="shared" si="914"/>
        <v>50</v>
      </c>
      <c r="AU412" s="371"/>
      <c r="AV412" s="232">
        <f t="shared" si="915"/>
        <v>10</v>
      </c>
      <c r="AW412" s="232" t="str">
        <f t="shared" si="916"/>
        <v/>
      </c>
      <c r="AX412" s="232" t="str">
        <f t="shared" si="917"/>
        <v/>
      </c>
      <c r="AY412" s="232" t="str">
        <f t="shared" si="944"/>
        <v/>
      </c>
      <c r="AZ412" s="371"/>
      <c r="BA412" s="499">
        <v>80</v>
      </c>
      <c r="BB412" s="500">
        <v>10</v>
      </c>
      <c r="BC412" s="491">
        <f t="shared" si="918"/>
        <v>10</v>
      </c>
      <c r="BD412" s="371"/>
      <c r="BE412" s="232">
        <f t="shared" si="919"/>
        <v>80</v>
      </c>
      <c r="BF412" s="232" t="str">
        <f t="shared" si="920"/>
        <v/>
      </c>
      <c r="BG412" s="232" t="str">
        <f t="shared" si="921"/>
        <v/>
      </c>
      <c r="BH412" s="232">
        <f t="shared" si="945"/>
        <v>1</v>
      </c>
      <c r="BI412" s="371"/>
      <c r="BJ412" s="499">
        <v>10</v>
      </c>
      <c r="BK412" s="500">
        <v>80</v>
      </c>
      <c r="BL412" s="491">
        <f t="shared" si="922"/>
        <v>10</v>
      </c>
      <c r="BM412" s="371"/>
      <c r="BN412" s="232">
        <f t="shared" si="923"/>
        <v>10</v>
      </c>
      <c r="BO412" s="232" t="str">
        <f t="shared" si="924"/>
        <v/>
      </c>
      <c r="BP412" s="232" t="str">
        <f t="shared" si="925"/>
        <v/>
      </c>
      <c r="BQ412" s="232" t="str">
        <f t="shared" si="946"/>
        <v/>
      </c>
      <c r="BR412" s="371"/>
      <c r="BS412" s="499">
        <v>30</v>
      </c>
      <c r="BT412" s="500">
        <v>40</v>
      </c>
      <c r="BU412" s="491">
        <f t="shared" si="926"/>
        <v>30</v>
      </c>
      <c r="BV412" s="371"/>
      <c r="BW412" s="232">
        <f t="shared" si="927"/>
        <v>30</v>
      </c>
      <c r="BX412" s="232" t="str">
        <f t="shared" si="928"/>
        <v/>
      </c>
      <c r="BY412" s="232" t="str">
        <f t="shared" si="929"/>
        <v/>
      </c>
      <c r="BZ412" s="232" t="str">
        <f t="shared" si="947"/>
        <v/>
      </c>
      <c r="CA412" s="371"/>
      <c r="CB412" s="507">
        <f t="shared" si="930"/>
        <v>50</v>
      </c>
      <c r="CC412" s="508">
        <f t="shared" si="931"/>
        <v>30</v>
      </c>
      <c r="CD412" s="509">
        <f t="shared" si="932"/>
        <v>20</v>
      </c>
      <c r="CE412" s="371"/>
      <c r="CF412" s="232">
        <f t="shared" si="933"/>
        <v>50</v>
      </c>
      <c r="CG412" s="232" t="str">
        <f t="shared" si="934"/>
        <v/>
      </c>
      <c r="CH412" s="232" t="str">
        <f t="shared" si="935"/>
        <v/>
      </c>
      <c r="CI412" s="232">
        <f t="shared" si="948"/>
        <v>1</v>
      </c>
      <c r="CJ412" s="232"/>
      <c r="CK412" s="499">
        <v>10</v>
      </c>
      <c r="CL412" s="500">
        <v>40</v>
      </c>
      <c r="CM412" s="491">
        <f t="shared" si="936"/>
        <v>50</v>
      </c>
      <c r="CN412" s="371"/>
      <c r="CO412" s="232">
        <f t="shared" si="937"/>
        <v>10</v>
      </c>
      <c r="CP412" s="232" t="str">
        <f t="shared" si="938"/>
        <v/>
      </c>
      <c r="CQ412" s="232" t="str">
        <f t="shared" si="939"/>
        <v/>
      </c>
      <c r="CR412" s="232" t="str">
        <f t="shared" si="949"/>
        <v/>
      </c>
      <c r="CS412" s="232"/>
      <c r="CT412" s="371"/>
      <c r="CU412" s="300"/>
      <c r="CV412" s="246"/>
      <c r="CW412" s="264"/>
    </row>
    <row r="413" spans="1:101" x14ac:dyDescent="0.2">
      <c r="A413" s="264"/>
      <c r="B413" s="264"/>
      <c r="C413" s="202"/>
      <c r="D413" s="271">
        <v>10</v>
      </c>
      <c r="E413" s="169" t="s">
        <v>278</v>
      </c>
      <c r="F413" s="471">
        <v>1</v>
      </c>
      <c r="G413" s="478"/>
      <c r="H413" s="479">
        <v>0</v>
      </c>
      <c r="I413" s="170" t="str">
        <f t="shared" si="900"/>
        <v>x</v>
      </c>
      <c r="J413" s="387" t="str">
        <f t="shared" si="901"/>
        <v/>
      </c>
      <c r="K413" s="388" t="str">
        <f t="shared" si="902"/>
        <v/>
      </c>
      <c r="L413" s="299"/>
      <c r="M413" s="375"/>
      <c r="N413" s="379"/>
      <c r="O413" s="236"/>
      <c r="P413" s="236"/>
      <c r="Q413" s="492">
        <v>30</v>
      </c>
      <c r="R413" s="493">
        <v>60</v>
      </c>
      <c r="S413" s="494">
        <f t="shared" si="940"/>
        <v>10</v>
      </c>
      <c r="T413" s="371"/>
      <c r="U413" s="232">
        <f t="shared" si="903"/>
        <v>30</v>
      </c>
      <c r="V413" s="232" t="str">
        <f t="shared" si="904"/>
        <v/>
      </c>
      <c r="W413" s="232" t="str">
        <f t="shared" si="905"/>
        <v/>
      </c>
      <c r="X413" s="232" t="str">
        <f t="shared" si="941"/>
        <v/>
      </c>
      <c r="Y413" s="371"/>
      <c r="Z413" s="495">
        <v>80</v>
      </c>
      <c r="AA413" s="496">
        <v>10</v>
      </c>
      <c r="AB413" s="494">
        <f t="shared" si="906"/>
        <v>10</v>
      </c>
      <c r="AC413" s="371"/>
      <c r="AD413" s="232">
        <f t="shared" si="907"/>
        <v>80</v>
      </c>
      <c r="AE413" s="232" t="str">
        <f t="shared" si="908"/>
        <v/>
      </c>
      <c r="AF413" s="232" t="str">
        <f t="shared" si="909"/>
        <v/>
      </c>
      <c r="AG413" s="232">
        <f t="shared" si="942"/>
        <v>1</v>
      </c>
      <c r="AH413" s="371"/>
      <c r="AI413" s="495">
        <v>50</v>
      </c>
      <c r="AJ413" s="496">
        <v>30</v>
      </c>
      <c r="AK413" s="494">
        <f t="shared" si="910"/>
        <v>20</v>
      </c>
      <c r="AL413" s="371"/>
      <c r="AM413" s="232">
        <f t="shared" si="911"/>
        <v>50</v>
      </c>
      <c r="AN413" s="232" t="str">
        <f t="shared" si="912"/>
        <v/>
      </c>
      <c r="AO413" s="232" t="str">
        <f t="shared" si="913"/>
        <v/>
      </c>
      <c r="AP413" s="232">
        <f t="shared" si="943"/>
        <v>1</v>
      </c>
      <c r="AQ413" s="371"/>
      <c r="AR413" s="495">
        <v>20</v>
      </c>
      <c r="AS413" s="496">
        <v>40</v>
      </c>
      <c r="AT413" s="494">
        <f t="shared" si="914"/>
        <v>40</v>
      </c>
      <c r="AU413" s="371"/>
      <c r="AV413" s="232">
        <f t="shared" si="915"/>
        <v>20</v>
      </c>
      <c r="AW413" s="232" t="str">
        <f t="shared" si="916"/>
        <v/>
      </c>
      <c r="AX413" s="232" t="str">
        <f t="shared" si="917"/>
        <v/>
      </c>
      <c r="AY413" s="232" t="str">
        <f t="shared" si="944"/>
        <v/>
      </c>
      <c r="AZ413" s="371"/>
      <c r="BA413" s="495">
        <v>80</v>
      </c>
      <c r="BB413" s="496">
        <v>10</v>
      </c>
      <c r="BC413" s="494">
        <f t="shared" si="918"/>
        <v>10</v>
      </c>
      <c r="BD413" s="371"/>
      <c r="BE413" s="232">
        <f t="shared" si="919"/>
        <v>80</v>
      </c>
      <c r="BF413" s="232" t="str">
        <f t="shared" si="920"/>
        <v/>
      </c>
      <c r="BG413" s="232" t="str">
        <f t="shared" si="921"/>
        <v/>
      </c>
      <c r="BH413" s="232">
        <f t="shared" si="945"/>
        <v>1</v>
      </c>
      <c r="BI413" s="371"/>
      <c r="BJ413" s="495">
        <v>30</v>
      </c>
      <c r="BK413" s="496">
        <v>40</v>
      </c>
      <c r="BL413" s="494">
        <f t="shared" si="922"/>
        <v>30</v>
      </c>
      <c r="BM413" s="371"/>
      <c r="BN413" s="232">
        <f t="shared" si="923"/>
        <v>30</v>
      </c>
      <c r="BO413" s="232" t="str">
        <f t="shared" si="924"/>
        <v/>
      </c>
      <c r="BP413" s="232" t="str">
        <f t="shared" si="925"/>
        <v/>
      </c>
      <c r="BQ413" s="232" t="str">
        <f t="shared" si="946"/>
        <v/>
      </c>
      <c r="BR413" s="371"/>
      <c r="BS413" s="495">
        <v>60</v>
      </c>
      <c r="BT413" s="496">
        <v>30</v>
      </c>
      <c r="BU413" s="494">
        <f t="shared" si="926"/>
        <v>10</v>
      </c>
      <c r="BV413" s="371"/>
      <c r="BW413" s="232">
        <f t="shared" si="927"/>
        <v>60</v>
      </c>
      <c r="BX413" s="232" t="str">
        <f t="shared" si="928"/>
        <v/>
      </c>
      <c r="BY413" s="232" t="str">
        <f t="shared" si="929"/>
        <v/>
      </c>
      <c r="BZ413" s="232">
        <f t="shared" si="947"/>
        <v>1</v>
      </c>
      <c r="CA413" s="371"/>
      <c r="CB413" s="501">
        <f t="shared" si="930"/>
        <v>50</v>
      </c>
      <c r="CC413" s="502">
        <f t="shared" si="931"/>
        <v>30</v>
      </c>
      <c r="CD413" s="503">
        <f t="shared" si="932"/>
        <v>20</v>
      </c>
      <c r="CE413" s="371"/>
      <c r="CF413" s="232">
        <f t="shared" si="933"/>
        <v>50</v>
      </c>
      <c r="CG413" s="232" t="str">
        <f t="shared" si="934"/>
        <v/>
      </c>
      <c r="CH413" s="232" t="str">
        <f t="shared" si="935"/>
        <v/>
      </c>
      <c r="CI413" s="232">
        <f t="shared" si="948"/>
        <v>1</v>
      </c>
      <c r="CJ413" s="232"/>
      <c r="CK413" s="495">
        <v>60</v>
      </c>
      <c r="CL413" s="496">
        <v>30</v>
      </c>
      <c r="CM413" s="494">
        <f t="shared" si="936"/>
        <v>10</v>
      </c>
      <c r="CN413" s="371"/>
      <c r="CO413" s="232">
        <f t="shared" si="937"/>
        <v>60</v>
      </c>
      <c r="CP413" s="232" t="str">
        <f t="shared" si="938"/>
        <v/>
      </c>
      <c r="CQ413" s="232" t="str">
        <f t="shared" si="939"/>
        <v/>
      </c>
      <c r="CR413" s="232">
        <f t="shared" si="949"/>
        <v>1</v>
      </c>
      <c r="CS413" s="232"/>
      <c r="CT413" s="371"/>
      <c r="CU413" s="300"/>
      <c r="CV413" s="246"/>
      <c r="CW413" s="264"/>
    </row>
    <row r="414" spans="1:101" x14ac:dyDescent="0.2">
      <c r="A414" s="264"/>
      <c r="B414" s="264"/>
      <c r="C414" s="202"/>
      <c r="D414" s="271">
        <v>11</v>
      </c>
      <c r="E414" s="167" t="s">
        <v>279</v>
      </c>
      <c r="F414" s="469">
        <v>1</v>
      </c>
      <c r="G414" s="474"/>
      <c r="H414" s="475">
        <v>1</v>
      </c>
      <c r="I414" s="389" t="str">
        <f t="shared" si="900"/>
        <v/>
      </c>
      <c r="J414" s="390" t="str">
        <f t="shared" si="901"/>
        <v>x</v>
      </c>
      <c r="K414" s="391" t="str">
        <f t="shared" si="902"/>
        <v/>
      </c>
      <c r="L414" s="299"/>
      <c r="M414" s="375"/>
      <c r="N414" s="379"/>
      <c r="O414" s="236"/>
      <c r="P414" s="236"/>
      <c r="Q414" s="483">
        <v>70</v>
      </c>
      <c r="R414" s="484">
        <v>20</v>
      </c>
      <c r="S414" s="485">
        <f t="shared" si="940"/>
        <v>10</v>
      </c>
      <c r="T414" s="371"/>
      <c r="U414" s="232" t="str">
        <f t="shared" si="903"/>
        <v/>
      </c>
      <c r="V414" s="232">
        <f t="shared" si="904"/>
        <v>20</v>
      </c>
      <c r="W414" s="232" t="str">
        <f t="shared" si="905"/>
        <v/>
      </c>
      <c r="X414" s="232" t="str">
        <f t="shared" si="941"/>
        <v/>
      </c>
      <c r="Y414" s="371"/>
      <c r="Z414" s="497">
        <v>80</v>
      </c>
      <c r="AA414" s="498">
        <v>10</v>
      </c>
      <c r="AB414" s="485">
        <f t="shared" si="906"/>
        <v>10</v>
      </c>
      <c r="AC414" s="371"/>
      <c r="AD414" s="232" t="str">
        <f t="shared" si="907"/>
        <v/>
      </c>
      <c r="AE414" s="232">
        <f t="shared" si="908"/>
        <v>10</v>
      </c>
      <c r="AF414" s="232" t="str">
        <f t="shared" si="909"/>
        <v/>
      </c>
      <c r="AG414" s="232" t="str">
        <f t="shared" si="942"/>
        <v/>
      </c>
      <c r="AH414" s="371"/>
      <c r="AI414" s="497">
        <v>60</v>
      </c>
      <c r="AJ414" s="498">
        <v>30</v>
      </c>
      <c r="AK414" s="485">
        <f t="shared" si="910"/>
        <v>10</v>
      </c>
      <c r="AL414" s="371"/>
      <c r="AM414" s="232" t="str">
        <f t="shared" si="911"/>
        <v/>
      </c>
      <c r="AN414" s="232">
        <f t="shared" si="912"/>
        <v>30</v>
      </c>
      <c r="AO414" s="232" t="str">
        <f t="shared" si="913"/>
        <v/>
      </c>
      <c r="AP414" s="232" t="str">
        <f t="shared" si="943"/>
        <v/>
      </c>
      <c r="AQ414" s="371"/>
      <c r="AR414" s="497">
        <v>80</v>
      </c>
      <c r="AS414" s="498">
        <v>10</v>
      </c>
      <c r="AT414" s="485">
        <f t="shared" si="914"/>
        <v>10</v>
      </c>
      <c r="AU414" s="371"/>
      <c r="AV414" s="232" t="str">
        <f t="shared" si="915"/>
        <v/>
      </c>
      <c r="AW414" s="232">
        <f t="shared" si="916"/>
        <v>10</v>
      </c>
      <c r="AX414" s="232" t="str">
        <f t="shared" si="917"/>
        <v/>
      </c>
      <c r="AY414" s="232" t="str">
        <f t="shared" si="944"/>
        <v/>
      </c>
      <c r="AZ414" s="371"/>
      <c r="BA414" s="497">
        <v>80</v>
      </c>
      <c r="BB414" s="498">
        <v>10</v>
      </c>
      <c r="BC414" s="485">
        <f t="shared" si="918"/>
        <v>10</v>
      </c>
      <c r="BD414" s="371"/>
      <c r="BE414" s="232" t="str">
        <f t="shared" si="919"/>
        <v/>
      </c>
      <c r="BF414" s="232">
        <f t="shared" si="920"/>
        <v>10</v>
      </c>
      <c r="BG414" s="232" t="str">
        <f t="shared" si="921"/>
        <v/>
      </c>
      <c r="BH414" s="232" t="str">
        <f t="shared" si="945"/>
        <v/>
      </c>
      <c r="BI414" s="371"/>
      <c r="BJ414" s="497">
        <v>80</v>
      </c>
      <c r="BK414" s="498">
        <v>10</v>
      </c>
      <c r="BL414" s="485">
        <f t="shared" si="922"/>
        <v>10</v>
      </c>
      <c r="BM414" s="371"/>
      <c r="BN414" s="232" t="str">
        <f t="shared" si="923"/>
        <v/>
      </c>
      <c r="BO414" s="232">
        <f t="shared" si="924"/>
        <v>10</v>
      </c>
      <c r="BP414" s="232" t="str">
        <f t="shared" si="925"/>
        <v/>
      </c>
      <c r="BQ414" s="232" t="str">
        <f t="shared" si="946"/>
        <v/>
      </c>
      <c r="BR414" s="371"/>
      <c r="BS414" s="497">
        <v>80</v>
      </c>
      <c r="BT414" s="498">
        <v>10</v>
      </c>
      <c r="BU414" s="485">
        <f t="shared" si="926"/>
        <v>10</v>
      </c>
      <c r="BV414" s="371"/>
      <c r="BW414" s="232" t="str">
        <f t="shared" si="927"/>
        <v/>
      </c>
      <c r="BX414" s="232">
        <f t="shared" si="928"/>
        <v>10</v>
      </c>
      <c r="BY414" s="232" t="str">
        <f t="shared" si="929"/>
        <v/>
      </c>
      <c r="BZ414" s="232" t="str">
        <f t="shared" si="947"/>
        <v/>
      </c>
      <c r="CA414" s="371"/>
      <c r="CB414" s="504">
        <f t="shared" si="930"/>
        <v>80</v>
      </c>
      <c r="CC414" s="505">
        <f t="shared" si="931"/>
        <v>10</v>
      </c>
      <c r="CD414" s="506">
        <f t="shared" si="932"/>
        <v>10</v>
      </c>
      <c r="CE414" s="371"/>
      <c r="CF414" s="232" t="str">
        <f t="shared" si="933"/>
        <v/>
      </c>
      <c r="CG414" s="232">
        <f t="shared" si="934"/>
        <v>10</v>
      </c>
      <c r="CH414" s="232" t="str">
        <f t="shared" si="935"/>
        <v/>
      </c>
      <c r="CI414" s="232" t="str">
        <f t="shared" si="948"/>
        <v/>
      </c>
      <c r="CJ414" s="232"/>
      <c r="CK414" s="497">
        <v>70</v>
      </c>
      <c r="CL414" s="498">
        <v>20</v>
      </c>
      <c r="CM414" s="485">
        <f t="shared" si="936"/>
        <v>10</v>
      </c>
      <c r="CN414" s="371"/>
      <c r="CO414" s="232" t="str">
        <f t="shared" si="937"/>
        <v/>
      </c>
      <c r="CP414" s="232">
        <f t="shared" si="938"/>
        <v>20</v>
      </c>
      <c r="CQ414" s="232" t="str">
        <f t="shared" si="939"/>
        <v/>
      </c>
      <c r="CR414" s="232" t="str">
        <f t="shared" si="949"/>
        <v/>
      </c>
      <c r="CS414" s="232"/>
      <c r="CT414" s="371"/>
      <c r="CU414" s="300"/>
      <c r="CV414" s="246"/>
      <c r="CW414" s="264"/>
    </row>
    <row r="415" spans="1:101" ht="13.5" thickBot="1" x14ac:dyDescent="0.25">
      <c r="A415" s="264"/>
      <c r="B415" s="264"/>
      <c r="C415" s="202"/>
      <c r="D415" s="271">
        <v>12</v>
      </c>
      <c r="E415" s="168" t="s">
        <v>280</v>
      </c>
      <c r="F415" s="470">
        <v>0</v>
      </c>
      <c r="G415" s="476"/>
      <c r="H415" s="477">
        <v>2</v>
      </c>
      <c r="I415" s="392" t="str">
        <f t="shared" si="900"/>
        <v/>
      </c>
      <c r="J415" s="393" t="str">
        <f t="shared" si="901"/>
        <v/>
      </c>
      <c r="K415" s="394" t="str">
        <f t="shared" si="902"/>
        <v>x</v>
      </c>
      <c r="L415" s="299"/>
      <c r="M415" s="375"/>
      <c r="N415" s="379"/>
      <c r="O415" s="236"/>
      <c r="P415" s="236"/>
      <c r="Q415" s="489">
        <v>60</v>
      </c>
      <c r="R415" s="490">
        <v>30</v>
      </c>
      <c r="S415" s="491">
        <f t="shared" si="940"/>
        <v>10</v>
      </c>
      <c r="T415" s="371"/>
      <c r="U415" s="232" t="str">
        <f t="shared" si="903"/>
        <v/>
      </c>
      <c r="V415" s="232" t="str">
        <f t="shared" si="904"/>
        <v/>
      </c>
      <c r="W415" s="232">
        <f t="shared" si="905"/>
        <v>10</v>
      </c>
      <c r="X415" s="232" t="str">
        <f t="shared" si="941"/>
        <v/>
      </c>
      <c r="Y415" s="371"/>
      <c r="Z415" s="499">
        <v>80</v>
      </c>
      <c r="AA415" s="500">
        <v>10</v>
      </c>
      <c r="AB415" s="491">
        <f t="shared" si="906"/>
        <v>10</v>
      </c>
      <c r="AC415" s="371"/>
      <c r="AD415" s="232" t="str">
        <f t="shared" si="907"/>
        <v/>
      </c>
      <c r="AE415" s="232" t="str">
        <f t="shared" si="908"/>
        <v/>
      </c>
      <c r="AF415" s="232">
        <f t="shared" si="909"/>
        <v>10</v>
      </c>
      <c r="AG415" s="232" t="str">
        <f t="shared" si="942"/>
        <v/>
      </c>
      <c r="AH415" s="371"/>
      <c r="AI415" s="499">
        <v>70</v>
      </c>
      <c r="AJ415" s="500">
        <v>20</v>
      </c>
      <c r="AK415" s="491">
        <f t="shared" si="910"/>
        <v>10</v>
      </c>
      <c r="AL415" s="371"/>
      <c r="AM415" s="232" t="str">
        <f t="shared" si="911"/>
        <v/>
      </c>
      <c r="AN415" s="232" t="str">
        <f t="shared" si="912"/>
        <v/>
      </c>
      <c r="AO415" s="232">
        <f t="shared" si="913"/>
        <v>10</v>
      </c>
      <c r="AP415" s="232" t="str">
        <f t="shared" si="943"/>
        <v/>
      </c>
      <c r="AQ415" s="371"/>
      <c r="AR415" s="499">
        <v>60</v>
      </c>
      <c r="AS415" s="500">
        <v>30</v>
      </c>
      <c r="AT415" s="491">
        <f t="shared" si="914"/>
        <v>10</v>
      </c>
      <c r="AU415" s="371"/>
      <c r="AV415" s="232" t="str">
        <f t="shared" si="915"/>
        <v/>
      </c>
      <c r="AW415" s="232" t="str">
        <f t="shared" si="916"/>
        <v/>
      </c>
      <c r="AX415" s="232">
        <f t="shared" si="917"/>
        <v>10</v>
      </c>
      <c r="AY415" s="232" t="str">
        <f t="shared" si="944"/>
        <v/>
      </c>
      <c r="AZ415" s="371"/>
      <c r="BA415" s="499">
        <v>80</v>
      </c>
      <c r="BB415" s="500">
        <v>10</v>
      </c>
      <c r="BC415" s="491">
        <f t="shared" si="918"/>
        <v>10</v>
      </c>
      <c r="BD415" s="371"/>
      <c r="BE415" s="232" t="str">
        <f t="shared" si="919"/>
        <v/>
      </c>
      <c r="BF415" s="232" t="str">
        <f t="shared" si="920"/>
        <v/>
      </c>
      <c r="BG415" s="232">
        <f t="shared" si="921"/>
        <v>10</v>
      </c>
      <c r="BH415" s="232" t="str">
        <f t="shared" si="945"/>
        <v/>
      </c>
      <c r="BI415" s="371"/>
      <c r="BJ415" s="499">
        <v>40</v>
      </c>
      <c r="BK415" s="500">
        <v>40</v>
      </c>
      <c r="BL415" s="491">
        <f t="shared" si="922"/>
        <v>20</v>
      </c>
      <c r="BM415" s="371"/>
      <c r="BN415" s="232" t="str">
        <f t="shared" si="923"/>
        <v/>
      </c>
      <c r="BO415" s="232" t="str">
        <f t="shared" si="924"/>
        <v/>
      </c>
      <c r="BP415" s="232">
        <f t="shared" si="925"/>
        <v>20</v>
      </c>
      <c r="BQ415" s="232" t="str">
        <f t="shared" si="946"/>
        <v/>
      </c>
      <c r="BR415" s="371"/>
      <c r="BS415" s="499">
        <v>60</v>
      </c>
      <c r="BT415" s="500">
        <v>20</v>
      </c>
      <c r="BU415" s="491">
        <f t="shared" si="926"/>
        <v>20</v>
      </c>
      <c r="BV415" s="371"/>
      <c r="BW415" s="232" t="str">
        <f t="shared" si="927"/>
        <v/>
      </c>
      <c r="BX415" s="232" t="str">
        <f t="shared" si="928"/>
        <v/>
      </c>
      <c r="BY415" s="232">
        <f t="shared" si="929"/>
        <v>20</v>
      </c>
      <c r="BZ415" s="232" t="str">
        <f t="shared" si="947"/>
        <v/>
      </c>
      <c r="CA415" s="371"/>
      <c r="CB415" s="507">
        <f t="shared" si="930"/>
        <v>70</v>
      </c>
      <c r="CC415" s="508">
        <f t="shared" si="931"/>
        <v>20</v>
      </c>
      <c r="CD415" s="509">
        <f t="shared" si="932"/>
        <v>10</v>
      </c>
      <c r="CE415" s="371"/>
      <c r="CF415" s="232" t="str">
        <f t="shared" si="933"/>
        <v/>
      </c>
      <c r="CG415" s="232" t="str">
        <f t="shared" si="934"/>
        <v/>
      </c>
      <c r="CH415" s="232">
        <f t="shared" si="935"/>
        <v>10</v>
      </c>
      <c r="CI415" s="232" t="str">
        <f t="shared" si="948"/>
        <v/>
      </c>
      <c r="CJ415" s="232"/>
      <c r="CK415" s="499">
        <v>60</v>
      </c>
      <c r="CL415" s="500">
        <v>30</v>
      </c>
      <c r="CM415" s="491">
        <f t="shared" si="936"/>
        <v>10</v>
      </c>
      <c r="CN415" s="371"/>
      <c r="CO415" s="232" t="str">
        <f t="shared" si="937"/>
        <v/>
      </c>
      <c r="CP415" s="232" t="str">
        <f t="shared" si="938"/>
        <v/>
      </c>
      <c r="CQ415" s="232">
        <f t="shared" si="939"/>
        <v>10</v>
      </c>
      <c r="CR415" s="232" t="str">
        <f t="shared" si="949"/>
        <v/>
      </c>
      <c r="CS415" s="232"/>
      <c r="CT415" s="371"/>
      <c r="CU415" s="300"/>
      <c r="CV415" s="246"/>
      <c r="CW415" s="264"/>
    </row>
    <row r="416" spans="1:101" x14ac:dyDescent="0.2">
      <c r="A416" s="264"/>
      <c r="B416" s="264"/>
      <c r="C416" s="202"/>
      <c r="D416" s="272"/>
      <c r="E416" s="235"/>
      <c r="F416" s="395">
        <f>IF(SUM(F404:F415)=0,"",SUM(F404:F415))</f>
        <v>16</v>
      </c>
      <c r="G416" s="370" t="s">
        <v>49</v>
      </c>
      <c r="H416" s="396">
        <f>IF(SUM(H404:H415)=0,"",SUM(H404:H415))</f>
        <v>16</v>
      </c>
      <c r="I416" s="397">
        <f>IF(COUNTIF(I404:I415,"=x")=0,"",COUNTIF(I404:I415,"=x"))</f>
        <v>5</v>
      </c>
      <c r="J416" s="398">
        <f>IF(COUNTIF(J404:J415,"=x")=0,"",COUNTIF(J404:J415,"=x"))</f>
        <v>3</v>
      </c>
      <c r="K416" s="399">
        <f>IF(COUNTIF(K404:K415,"=x")=0,"",COUNTIF(K404:K415,"=x"))</f>
        <v>4</v>
      </c>
      <c r="L416" s="299"/>
      <c r="M416" s="375"/>
      <c r="N416" s="379"/>
      <c r="O416" s="236"/>
      <c r="P416" s="369"/>
      <c r="Q416" s="466">
        <f>SUM(U404:U415)</f>
        <v>210</v>
      </c>
      <c r="R416" s="466">
        <f>SUM(V404:V415)</f>
        <v>110</v>
      </c>
      <c r="S416" s="466">
        <f>SUM(W404:W415)</f>
        <v>180</v>
      </c>
      <c r="T416" s="368"/>
      <c r="U416" s="232"/>
      <c r="V416" s="232"/>
      <c r="W416" s="232"/>
      <c r="X416" s="232"/>
      <c r="Y416" s="367"/>
      <c r="Z416" s="466">
        <f>SUM(AD404:AD415)</f>
        <v>260</v>
      </c>
      <c r="AA416" s="466">
        <f>SUM(AE404:AE415)</f>
        <v>30</v>
      </c>
      <c r="AB416" s="466">
        <f>SUM(AF404:AF415)</f>
        <v>180</v>
      </c>
      <c r="AC416" s="368"/>
      <c r="AD416" s="232"/>
      <c r="AE416" s="232"/>
      <c r="AF416" s="232"/>
      <c r="AG416" s="232"/>
      <c r="AH416" s="367"/>
      <c r="AI416" s="466">
        <f>SUM(AM404:AM415)</f>
        <v>270</v>
      </c>
      <c r="AJ416" s="466">
        <f>SUM(AN404:AN415)</f>
        <v>60</v>
      </c>
      <c r="AK416" s="466">
        <f>SUM(AO404:AO415)</f>
        <v>150</v>
      </c>
      <c r="AL416" s="368"/>
      <c r="AM416" s="232"/>
      <c r="AN416" s="232"/>
      <c r="AO416" s="232"/>
      <c r="AP416" s="232"/>
      <c r="AQ416" s="367"/>
      <c r="AR416" s="466">
        <f>SUM(AV404:AV415)</f>
        <v>160</v>
      </c>
      <c r="AS416" s="466">
        <f>SUM(AW404:AW415)</f>
        <v>50</v>
      </c>
      <c r="AT416" s="466">
        <f>SUM(AX404:AX415)</f>
        <v>200</v>
      </c>
      <c r="AU416" s="368"/>
      <c r="AV416" s="232"/>
      <c r="AW416" s="232"/>
      <c r="AX416" s="232"/>
      <c r="AY416" s="232"/>
      <c r="AZ416" s="367"/>
      <c r="BA416" s="466">
        <f>SUM(BE404:BE415)</f>
        <v>330</v>
      </c>
      <c r="BB416" s="466">
        <f>SUM(BF404:BF415)</f>
        <v>30</v>
      </c>
      <c r="BC416" s="466">
        <f>SUM(BG404:BG415)</f>
        <v>250</v>
      </c>
      <c r="BD416" s="368"/>
      <c r="BE416" s="232"/>
      <c r="BF416" s="232"/>
      <c r="BG416" s="232"/>
      <c r="BH416" s="232"/>
      <c r="BI416" s="367"/>
      <c r="BJ416" s="466">
        <f>SUM(BN404:BN415)</f>
        <v>210</v>
      </c>
      <c r="BK416" s="466">
        <f>SUM(BO404:BO415)</f>
        <v>100</v>
      </c>
      <c r="BL416" s="466">
        <f>SUM(BP404:BP415)</f>
        <v>260</v>
      </c>
      <c r="BM416" s="368"/>
      <c r="BN416" s="232"/>
      <c r="BO416" s="232"/>
      <c r="BP416" s="232"/>
      <c r="BQ416" s="232"/>
      <c r="BR416" s="367"/>
      <c r="BS416" s="466">
        <f>SUM(BW404:BW415)</f>
        <v>220</v>
      </c>
      <c r="BT416" s="466">
        <f>SUM(BX404:BX415)</f>
        <v>100</v>
      </c>
      <c r="BU416" s="466">
        <f>SUM(BY404:BY415)</f>
        <v>180</v>
      </c>
      <c r="BV416" s="368"/>
      <c r="BW416" s="232"/>
      <c r="BX416" s="232"/>
      <c r="BY416" s="232"/>
      <c r="BZ416" s="232"/>
      <c r="CA416" s="369"/>
      <c r="CB416" s="466">
        <f>SUM(CF404:CF415)</f>
        <v>260</v>
      </c>
      <c r="CC416" s="466">
        <f>SUM(CG404:CG415)</f>
        <v>50</v>
      </c>
      <c r="CD416" s="466">
        <f>SUM(CH404:CH415)</f>
        <v>200</v>
      </c>
      <c r="CE416" s="368"/>
      <c r="CF416" s="232"/>
      <c r="CG416" s="232"/>
      <c r="CH416" s="232"/>
      <c r="CI416" s="232"/>
      <c r="CJ416" s="232"/>
      <c r="CK416" s="466">
        <f>SUM(CO404:CO415)</f>
        <v>210</v>
      </c>
      <c r="CL416" s="466">
        <f>SUM(CP404:CP415)</f>
        <v>60</v>
      </c>
      <c r="CM416" s="466">
        <f>SUM(CQ404:CQ415)</f>
        <v>180</v>
      </c>
      <c r="CN416" s="368"/>
      <c r="CO416" s="232"/>
      <c r="CP416" s="232"/>
      <c r="CQ416" s="232"/>
      <c r="CR416" s="232"/>
      <c r="CS416" s="232"/>
      <c r="CT416" s="232"/>
      <c r="CU416" s="300"/>
      <c r="CV416" s="246"/>
      <c r="CW416" s="265"/>
    </row>
    <row r="417" spans="1:101" ht="13.5" thickBot="1" x14ac:dyDescent="0.25">
      <c r="A417" s="264"/>
      <c r="B417" s="264"/>
      <c r="C417" s="202"/>
      <c r="D417" s="289"/>
      <c r="E417" s="282"/>
      <c r="F417" s="283"/>
      <c r="G417" s="282"/>
      <c r="H417" s="282"/>
      <c r="I417" s="282"/>
      <c r="J417" s="282"/>
      <c r="K417" s="282"/>
      <c r="L417" s="293"/>
      <c r="M417" s="301"/>
      <c r="N417" s="380"/>
      <c r="O417" s="376"/>
      <c r="P417" s="284"/>
      <c r="Q417" s="285"/>
      <c r="R417" s="285"/>
      <c r="S417" s="285"/>
      <c r="T417" s="286"/>
      <c r="U417" s="287"/>
      <c r="V417" s="287"/>
      <c r="W417" s="287"/>
      <c r="X417" s="287"/>
      <c r="Y417" s="284"/>
      <c r="Z417" s="285"/>
      <c r="AA417" s="285"/>
      <c r="AB417" s="285"/>
      <c r="AC417" s="286"/>
      <c r="AD417" s="287"/>
      <c r="AE417" s="287"/>
      <c r="AF417" s="287"/>
      <c r="AG417" s="288"/>
      <c r="AH417" s="284"/>
      <c r="AI417" s="285"/>
      <c r="AJ417" s="285"/>
      <c r="AK417" s="285"/>
      <c r="AL417" s="286"/>
      <c r="AM417" s="287"/>
      <c r="AN417" s="287"/>
      <c r="AO417" s="287"/>
      <c r="AP417" s="288"/>
      <c r="AQ417" s="284"/>
      <c r="AR417" s="285"/>
      <c r="AS417" s="285"/>
      <c r="AT417" s="285"/>
      <c r="AU417" s="286"/>
      <c r="AV417" s="287"/>
      <c r="AW417" s="287"/>
      <c r="AX417" s="287"/>
      <c r="AY417" s="288"/>
      <c r="AZ417" s="284"/>
      <c r="BA417" s="285"/>
      <c r="BB417" s="285"/>
      <c r="BC417" s="285"/>
      <c r="BD417" s="286"/>
      <c r="BE417" s="287"/>
      <c r="BF417" s="287"/>
      <c r="BG417" s="287"/>
      <c r="BH417" s="288"/>
      <c r="BI417" s="284"/>
      <c r="BJ417" s="284"/>
      <c r="BK417" s="284"/>
      <c r="BL417" s="284"/>
      <c r="BM417" s="284"/>
      <c r="BN417" s="284"/>
      <c r="BO417" s="284"/>
      <c r="BP417" s="284"/>
      <c r="BQ417" s="284"/>
      <c r="BR417" s="284"/>
      <c r="BS417" s="284"/>
      <c r="BT417" s="284"/>
      <c r="BU417" s="284"/>
      <c r="BV417" s="284"/>
      <c r="BW417" s="284"/>
      <c r="BX417" s="284"/>
      <c r="BY417" s="284"/>
      <c r="BZ417" s="284"/>
      <c r="CA417" s="284"/>
      <c r="CB417" s="284"/>
      <c r="CC417" s="284"/>
      <c r="CD417" s="284"/>
      <c r="CE417" s="284"/>
      <c r="CF417" s="284"/>
      <c r="CG417" s="284"/>
      <c r="CH417" s="284"/>
      <c r="CI417" s="284"/>
      <c r="CJ417" s="288"/>
      <c r="CK417" s="288"/>
      <c r="CL417" s="288"/>
      <c r="CM417" s="288"/>
      <c r="CN417" s="288"/>
      <c r="CO417" s="288"/>
      <c r="CP417" s="288"/>
      <c r="CQ417" s="288"/>
      <c r="CR417" s="288"/>
      <c r="CS417" s="288"/>
      <c r="CT417" s="282"/>
      <c r="CU417" s="294"/>
      <c r="CV417" s="246"/>
      <c r="CW417" s="265"/>
    </row>
    <row r="418" spans="1:101" ht="14.25" thickTop="1" thickBot="1" x14ac:dyDescent="0.25">
      <c r="A418" s="256"/>
      <c r="B418" s="256"/>
      <c r="C418" s="210"/>
      <c r="D418" s="211"/>
      <c r="E418" s="247"/>
      <c r="F418" s="248"/>
      <c r="G418" s="247"/>
      <c r="H418" s="247"/>
      <c r="I418" s="247"/>
      <c r="J418" s="247"/>
      <c r="K418" s="247"/>
      <c r="L418" s="249"/>
      <c r="M418" s="250"/>
      <c r="N418" s="250"/>
      <c r="O418" s="250"/>
      <c r="P418" s="250"/>
      <c r="Q418" s="247"/>
      <c r="R418" s="247"/>
      <c r="S418" s="247"/>
      <c r="T418" s="251"/>
      <c r="U418" s="252"/>
      <c r="V418" s="252"/>
      <c r="W418" s="252"/>
      <c r="X418" s="252"/>
      <c r="Y418" s="250"/>
      <c r="Z418" s="247"/>
      <c r="AA418" s="247"/>
      <c r="AB418" s="247"/>
      <c r="AC418" s="251"/>
      <c r="AD418" s="252"/>
      <c r="AE418" s="252"/>
      <c r="AF418" s="252"/>
      <c r="AG418" s="247"/>
      <c r="AH418" s="250"/>
      <c r="AI418" s="247"/>
      <c r="AJ418" s="247"/>
      <c r="AK418" s="247"/>
      <c r="AL418" s="251"/>
      <c r="AM418" s="252"/>
      <c r="AN418" s="252"/>
      <c r="AO418" s="252"/>
      <c r="AP418" s="253"/>
      <c r="AQ418" s="250"/>
      <c r="AR418" s="247"/>
      <c r="AS418" s="247"/>
      <c r="AT418" s="247"/>
      <c r="AU418" s="251"/>
      <c r="AV418" s="252"/>
      <c r="AW418" s="252"/>
      <c r="AX418" s="252"/>
      <c r="AY418" s="247"/>
      <c r="AZ418" s="250"/>
      <c r="BA418" s="247"/>
      <c r="BB418" s="247"/>
      <c r="BC418" s="247"/>
      <c r="BD418" s="251"/>
      <c r="BE418" s="252"/>
      <c r="BF418" s="252"/>
      <c r="BG418" s="252"/>
      <c r="BH418" s="247"/>
      <c r="BI418" s="250"/>
      <c r="BJ418" s="247"/>
      <c r="BK418" s="247"/>
      <c r="BL418" s="247"/>
      <c r="BM418" s="251"/>
      <c r="BN418" s="252"/>
      <c r="BO418" s="252"/>
      <c r="BP418" s="252"/>
      <c r="BQ418" s="247"/>
      <c r="BR418" s="212"/>
      <c r="BS418" s="247"/>
      <c r="BT418" s="247"/>
      <c r="BU418" s="247"/>
      <c r="BV418" s="250"/>
      <c r="BW418" s="252"/>
      <c r="BX418" s="252"/>
      <c r="BY418" s="252"/>
      <c r="BZ418" s="247"/>
      <c r="CA418" s="247"/>
      <c r="CB418" s="253"/>
      <c r="CC418" s="253"/>
      <c r="CD418" s="253"/>
      <c r="CE418" s="253"/>
      <c r="CF418" s="247"/>
      <c r="CG418" s="247"/>
      <c r="CH418" s="247"/>
      <c r="CI418" s="247"/>
      <c r="CJ418" s="247"/>
      <c r="CK418" s="247"/>
      <c r="CL418" s="247"/>
      <c r="CM418" s="247"/>
      <c r="CN418" s="247"/>
      <c r="CO418" s="247"/>
      <c r="CP418" s="247"/>
      <c r="CQ418" s="247"/>
      <c r="CR418" s="247"/>
      <c r="CS418" s="247"/>
      <c r="CT418" s="247"/>
      <c r="CU418" s="247"/>
      <c r="CV418" s="254"/>
      <c r="CW418" s="255"/>
    </row>
    <row r="419" spans="1:101" ht="14.25" thickTop="1" thickBot="1" x14ac:dyDescent="0.25">
      <c r="A419" s="255"/>
      <c r="B419" s="255"/>
      <c r="C419" s="255"/>
      <c r="D419" s="255"/>
      <c r="E419" s="255"/>
      <c r="F419" s="255"/>
      <c r="G419" s="255"/>
      <c r="H419" s="255"/>
      <c r="I419" s="255"/>
      <c r="J419" s="255"/>
      <c r="K419" s="255"/>
      <c r="L419" s="255"/>
      <c r="M419" s="255"/>
      <c r="N419" s="255"/>
      <c r="O419" s="255"/>
      <c r="P419" s="255"/>
      <c r="Q419" s="255"/>
      <c r="R419" s="255"/>
      <c r="S419" s="255"/>
      <c r="T419" s="255"/>
      <c r="U419" s="255"/>
      <c r="V419" s="255"/>
      <c r="W419" s="255"/>
      <c r="X419" s="255"/>
      <c r="Y419" s="255"/>
      <c r="Z419" s="255"/>
      <c r="AA419" s="255"/>
      <c r="AB419" s="255"/>
      <c r="AC419" s="255"/>
      <c r="AD419" s="255"/>
      <c r="AE419" s="255"/>
      <c r="AF419" s="255"/>
      <c r="AG419" s="255"/>
      <c r="AH419" s="255"/>
      <c r="AI419" s="255"/>
      <c r="AJ419" s="255"/>
      <c r="AK419" s="255"/>
      <c r="AL419" s="255"/>
      <c r="AM419" s="255"/>
      <c r="AN419" s="255"/>
      <c r="AO419" s="255"/>
      <c r="AP419" s="255"/>
      <c r="AQ419" s="255"/>
      <c r="AR419" s="255"/>
      <c r="AS419" s="255"/>
      <c r="AT419" s="255"/>
      <c r="AU419" s="255"/>
      <c r="AV419" s="255"/>
      <c r="AW419" s="255"/>
      <c r="AX419" s="255"/>
      <c r="AY419" s="255"/>
      <c r="AZ419" s="255"/>
      <c r="BA419" s="255"/>
      <c r="BB419" s="255"/>
      <c r="BC419" s="255"/>
      <c r="BD419" s="255"/>
      <c r="BE419" s="255"/>
      <c r="BF419" s="255"/>
      <c r="BG419" s="255"/>
      <c r="BH419" s="255"/>
      <c r="BI419" s="255"/>
      <c r="BJ419" s="255"/>
      <c r="BK419" s="255"/>
      <c r="BL419" s="255"/>
      <c r="BM419" s="255"/>
      <c r="BN419" s="255"/>
      <c r="BO419" s="255"/>
      <c r="BP419" s="255"/>
      <c r="BQ419" s="255"/>
      <c r="BR419" s="255"/>
      <c r="BS419" s="255"/>
      <c r="BT419" s="255"/>
      <c r="BU419" s="255"/>
      <c r="BV419" s="255"/>
      <c r="BW419" s="255"/>
      <c r="BX419" s="255"/>
      <c r="BY419" s="255"/>
      <c r="BZ419" s="255"/>
      <c r="CA419" s="255"/>
      <c r="CB419" s="436"/>
      <c r="CC419" s="436"/>
      <c r="CD419" s="436"/>
      <c r="CE419" s="436"/>
      <c r="CF419" s="255"/>
      <c r="CG419" s="255"/>
      <c r="CH419" s="255"/>
      <c r="CI419" s="255"/>
      <c r="CJ419" s="255"/>
      <c r="CK419" s="255"/>
      <c r="CL419" s="255"/>
      <c r="CM419" s="255"/>
      <c r="CN419" s="255"/>
      <c r="CO419" s="255"/>
      <c r="CP419" s="255"/>
      <c r="CQ419" s="255"/>
      <c r="CR419" s="255"/>
      <c r="CS419" s="255"/>
      <c r="CT419" s="255"/>
      <c r="CU419" s="255"/>
      <c r="CV419" s="255"/>
      <c r="CW419" s="255"/>
    </row>
    <row r="420" spans="1:101" ht="21" thickTop="1" x14ac:dyDescent="0.3">
      <c r="A420" s="256"/>
      <c r="B420" s="256"/>
      <c r="C420" s="190"/>
      <c r="D420" s="191"/>
      <c r="E420" s="866" t="str">
        <f>E2</f>
        <v>STPS 2026</v>
      </c>
      <c r="F420" s="267"/>
      <c r="G420" s="267"/>
      <c r="H420" s="267"/>
      <c r="I420" s="192"/>
      <c r="J420" s="192"/>
      <c r="K420" s="192"/>
      <c r="L420" s="193"/>
      <c r="M420" s="192"/>
      <c r="N420" s="192"/>
      <c r="O420" s="192"/>
      <c r="P420" s="194"/>
      <c r="Q420" s="192"/>
      <c r="R420" s="192"/>
      <c r="S420" s="192"/>
      <c r="T420" s="195"/>
      <c r="U420" s="196"/>
      <c r="V420" s="196"/>
      <c r="W420" s="196"/>
      <c r="X420" s="196"/>
      <c r="Y420" s="194"/>
      <c r="Z420" s="192"/>
      <c r="AA420" s="192"/>
      <c r="AB420" s="192"/>
      <c r="AC420" s="195"/>
      <c r="AD420" s="196"/>
      <c r="AE420" s="196"/>
      <c r="AF420" s="196"/>
      <c r="AG420" s="197"/>
      <c r="AH420" s="194"/>
      <c r="AI420" s="192"/>
      <c r="AJ420" s="237"/>
      <c r="AK420" s="237"/>
      <c r="AL420" s="198"/>
      <c r="AM420" s="238"/>
      <c r="AN420" s="238"/>
      <c r="AO420" s="238"/>
      <c r="AP420" s="197"/>
      <c r="AQ420" s="239"/>
      <c r="AR420" s="240"/>
      <c r="AS420" s="199"/>
      <c r="AT420" s="200"/>
      <c r="AU420" s="198"/>
      <c r="AV420" s="196"/>
      <c r="AW420" s="196"/>
      <c r="AX420" s="196"/>
      <c r="AY420" s="197"/>
      <c r="AZ420" s="239"/>
      <c r="BA420" s="240"/>
      <c r="BB420" s="200"/>
      <c r="BC420" s="237"/>
      <c r="BD420" s="241"/>
      <c r="BE420" s="196"/>
      <c r="BF420" s="196"/>
      <c r="BG420" s="196"/>
      <c r="BH420" s="197"/>
      <c r="BI420" s="242"/>
      <c r="BJ420" s="237"/>
      <c r="BK420" s="237"/>
      <c r="BL420" s="237"/>
      <c r="BM420" s="241"/>
      <c r="BN420" s="196"/>
      <c r="BO420" s="196"/>
      <c r="BP420" s="196"/>
      <c r="BQ420" s="197"/>
      <c r="BR420" s="201"/>
      <c r="BS420" s="237"/>
      <c r="BT420" s="237"/>
      <c r="BU420" s="237"/>
      <c r="BV420" s="242"/>
      <c r="BW420" s="237"/>
      <c r="BX420" s="237"/>
      <c r="BY420" s="237"/>
      <c r="BZ420" s="237"/>
      <c r="CA420" s="237"/>
      <c r="CB420" s="437"/>
      <c r="CC420" s="437"/>
      <c r="CD420" s="437"/>
      <c r="CE420" s="437"/>
      <c r="CF420" s="237"/>
      <c r="CG420" s="237"/>
      <c r="CH420" s="237"/>
      <c r="CI420" s="237"/>
      <c r="CJ420" s="197"/>
      <c r="CK420" s="197"/>
      <c r="CL420" s="197"/>
      <c r="CM420" s="197"/>
      <c r="CN420" s="197"/>
      <c r="CO420" s="197"/>
      <c r="CP420" s="197"/>
      <c r="CQ420" s="197"/>
      <c r="CR420" s="197"/>
      <c r="CS420" s="197"/>
      <c r="CT420" s="401"/>
      <c r="CU420" s="237"/>
      <c r="CV420" s="243"/>
      <c r="CW420" s="255"/>
    </row>
    <row r="421" spans="1:101" ht="13.5" thickBot="1" x14ac:dyDescent="0.25">
      <c r="A421" s="256"/>
      <c r="B421" s="256"/>
      <c r="C421" s="202"/>
      <c r="D421" s="188"/>
      <c r="E421" s="266" t="str">
        <f>E3</f>
        <v>Skorgen Tippelag</v>
      </c>
      <c r="F421" s="406"/>
      <c r="G421" s="406"/>
      <c r="H421" s="406"/>
      <c r="I421" s="406"/>
      <c r="J421" s="406"/>
      <c r="K421" s="406"/>
      <c r="L421" s="406"/>
      <c r="M421" s="406"/>
      <c r="N421" s="406"/>
      <c r="O421" s="406"/>
      <c r="P421" s="406"/>
      <c r="Q421" s="406"/>
      <c r="R421" s="406"/>
      <c r="S421" s="406"/>
      <c r="T421" s="406"/>
      <c r="U421" s="406"/>
      <c r="V421" s="406"/>
      <c r="W421" s="406"/>
      <c r="X421" s="406"/>
      <c r="Y421" s="406"/>
      <c r="Z421" s="406"/>
      <c r="AA421" s="406"/>
      <c r="AB421" s="406"/>
      <c r="AC421" s="406"/>
      <c r="AD421" s="406"/>
      <c r="AE421" s="406"/>
      <c r="AF421" s="406"/>
      <c r="AG421" s="406"/>
      <c r="AH421" s="406"/>
      <c r="AI421" s="406"/>
      <c r="AJ421" s="406"/>
      <c r="AK421" s="406"/>
      <c r="AL421" s="406"/>
      <c r="AM421" s="406"/>
      <c r="AN421" s="406"/>
      <c r="AO421" s="406"/>
      <c r="AP421" s="406"/>
      <c r="AQ421" s="406"/>
      <c r="AR421" s="406"/>
      <c r="AS421" s="406"/>
      <c r="AT421" s="406"/>
      <c r="AU421" s="406"/>
      <c r="AV421" s="406"/>
      <c r="AW421" s="406"/>
      <c r="AX421" s="406"/>
      <c r="AY421" s="406"/>
      <c r="AZ421" s="406"/>
      <c r="BA421" s="406"/>
      <c r="BB421" s="406"/>
      <c r="BC421" s="406"/>
      <c r="BD421" s="406"/>
      <c r="BE421" s="406"/>
      <c r="BF421" s="406"/>
      <c r="BG421" s="406"/>
      <c r="BH421" s="406"/>
      <c r="BI421" s="406"/>
      <c r="BJ421" s="406"/>
      <c r="BK421" s="406"/>
      <c r="BL421" s="406"/>
      <c r="BM421" s="406"/>
      <c r="BN421" s="406"/>
      <c r="BO421" s="406"/>
      <c r="BP421" s="406"/>
      <c r="BQ421" s="406"/>
      <c r="BR421" s="406"/>
      <c r="BS421" s="406"/>
      <c r="BT421" s="406"/>
      <c r="BU421" s="406"/>
      <c r="BV421" s="406"/>
      <c r="BW421" s="406"/>
      <c r="BX421" s="406"/>
      <c r="BY421" s="406"/>
      <c r="BZ421" s="406"/>
      <c r="CA421" s="406"/>
      <c r="CB421" s="438"/>
      <c r="CC421" s="438"/>
      <c r="CD421" s="438"/>
      <c r="CE421" s="438"/>
      <c r="CF421" s="406"/>
      <c r="CG421" s="406"/>
      <c r="CH421" s="406"/>
      <c r="CI421" s="406"/>
      <c r="CJ421" s="406"/>
      <c r="CK421" s="406"/>
      <c r="CL421" s="406"/>
      <c r="CM421" s="406"/>
      <c r="CN421" s="366"/>
      <c r="CO421" s="366"/>
      <c r="CP421" s="366"/>
      <c r="CQ421" s="366"/>
      <c r="CR421" s="366"/>
      <c r="CS421" s="366"/>
      <c r="CT421" s="187"/>
      <c r="CU421" s="310"/>
      <c r="CV421" s="246"/>
      <c r="CW421" s="255"/>
    </row>
    <row r="422" spans="1:101" ht="18.75" thickTop="1" x14ac:dyDescent="0.2">
      <c r="A422" s="256"/>
      <c r="B422" s="256"/>
      <c r="C422" s="209"/>
      <c r="D422" s="290"/>
      <c r="E422" s="273"/>
      <c r="F422" s="274"/>
      <c r="G422" s="273"/>
      <c r="H422" s="273"/>
      <c r="I422" s="803" t="s">
        <v>39</v>
      </c>
      <c r="J422" s="805"/>
      <c r="K422" s="805"/>
      <c r="L422" s="291"/>
      <c r="M422" s="302"/>
      <c r="N422" s="242"/>
      <c r="O422" s="275"/>
      <c r="P422" s="275"/>
      <c r="Q422" s="808">
        <f>IF($F426="","",SUM(Q438:S438)-S424)</f>
        <v>490</v>
      </c>
      <c r="R422" s="808"/>
      <c r="S422" s="808"/>
      <c r="T422" s="276"/>
      <c r="U422" s="277"/>
      <c r="V422" s="277"/>
      <c r="W422" s="277"/>
      <c r="X422" s="277"/>
      <c r="Y422" s="275"/>
      <c r="Z422" s="808">
        <f>IF($F426="","",SUM(Z438:AB438)-AB424)</f>
        <v>470</v>
      </c>
      <c r="AA422" s="808"/>
      <c r="AB422" s="808"/>
      <c r="AC422" s="276"/>
      <c r="AD422" s="277"/>
      <c r="AE422" s="277"/>
      <c r="AF422" s="277"/>
      <c r="AG422" s="273"/>
      <c r="AH422" s="275"/>
      <c r="AI422" s="808">
        <f>IF($F426="","",SUM(AI438:AK438)-AK424)</f>
        <v>550</v>
      </c>
      <c r="AJ422" s="808"/>
      <c r="AK422" s="808"/>
      <c r="AL422" s="276"/>
      <c r="AM422" s="277"/>
      <c r="AN422" s="277"/>
      <c r="AO422" s="277"/>
      <c r="AP422" s="273"/>
      <c r="AQ422" s="275"/>
      <c r="AR422" s="808">
        <f>IF($F426="","",SUM(AR438:AT438)-AT424)</f>
        <v>430</v>
      </c>
      <c r="AS422" s="808"/>
      <c r="AT422" s="808"/>
      <c r="AU422" s="278"/>
      <c r="AV422" s="277"/>
      <c r="AW422" s="277"/>
      <c r="AX422" s="277"/>
      <c r="AY422" s="279"/>
      <c r="AZ422" s="280"/>
      <c r="BA422" s="808">
        <f>IF($F426="","",SUM(BA438:BC438)-BC424)</f>
        <v>470</v>
      </c>
      <c r="BB422" s="808"/>
      <c r="BC422" s="808"/>
      <c r="BD422" s="278"/>
      <c r="BE422" s="277"/>
      <c r="BF422" s="277"/>
      <c r="BG422" s="277"/>
      <c r="BH422" s="279"/>
      <c r="BI422" s="280"/>
      <c r="BJ422" s="808">
        <f>IF($F426="","",SUM(BJ438:BL438)-BL424)</f>
        <v>540</v>
      </c>
      <c r="BK422" s="808"/>
      <c r="BL422" s="808"/>
      <c r="BM422" s="278"/>
      <c r="BN422" s="277"/>
      <c r="BO422" s="277"/>
      <c r="BP422" s="277"/>
      <c r="BQ422" s="279"/>
      <c r="BR422" s="281"/>
      <c r="BS422" s="808">
        <f>IF($F426="","",SUM(BS438:BU438)-BU424)</f>
        <v>370</v>
      </c>
      <c r="BT422" s="808"/>
      <c r="BU422" s="808"/>
      <c r="BV422" s="280"/>
      <c r="BW422" s="279"/>
      <c r="BX422" s="279"/>
      <c r="BY422" s="279"/>
      <c r="BZ422" s="279"/>
      <c r="CA422" s="281"/>
      <c r="CB422" s="808">
        <f>IF($F426="","",SUM(CB438:CD438)-CD424)</f>
        <v>490</v>
      </c>
      <c r="CC422" s="808"/>
      <c r="CD422" s="808"/>
      <c r="CE422" s="280"/>
      <c r="CF422" s="279"/>
      <c r="CG422" s="279"/>
      <c r="CH422" s="279"/>
      <c r="CI422" s="279"/>
      <c r="CJ422" s="273"/>
      <c r="CK422" s="808">
        <f>IF($F426="","",SUM(CK438:CM438))</f>
        <v>460</v>
      </c>
      <c r="CL422" s="808"/>
      <c r="CM422" s="808"/>
      <c r="CN422" s="280"/>
      <c r="CO422" s="279"/>
      <c r="CP422" s="279"/>
      <c r="CQ422" s="279"/>
      <c r="CR422" s="273"/>
      <c r="CS422" s="273"/>
      <c r="CT422" s="273"/>
      <c r="CU422" s="292"/>
      <c r="CV422" s="246"/>
      <c r="CW422" s="255"/>
    </row>
    <row r="423" spans="1:101" x14ac:dyDescent="0.2">
      <c r="A423" s="256"/>
      <c r="B423" s="256"/>
      <c r="C423" s="209"/>
      <c r="D423" s="916">
        <v>6</v>
      </c>
      <c r="E423" s="588">
        <f>IF(D423="","",DATE($D$3,1,1)+(D423-1)*7+(6-WEEKDAY(DATE($D$3,1,1),2)))</f>
        <v>46060</v>
      </c>
      <c r="F423" s="213"/>
      <c r="G423" s="214"/>
      <c r="H423" s="214"/>
      <c r="I423" s="804">
        <f>IF(ISERROR(AVERAGE(Q422,Z422,AI422,AR422,BA422,BJ422,BS422,CB422,CK422)),"",AVERAGE(Q422,Z422,AI422,AR422,BA422,BJ422,BS422,CB422,CK422))</f>
        <v>474.44444444444446</v>
      </c>
      <c r="J423" s="806"/>
      <c r="K423" s="806"/>
      <c r="L423" s="295"/>
      <c r="M423" s="372"/>
      <c r="N423" s="245"/>
      <c r="O423" s="215"/>
      <c r="P423" s="215"/>
      <c r="Q423" s="710">
        <f>IF(Q422="","",Q422/Data!$X$1)</f>
        <v>0.40833333333333333</v>
      </c>
      <c r="R423" s="710"/>
      <c r="S423" s="711">
        <f>IF(SUM(X426:X437)=0,"",SUM(X426:X437))</f>
        <v>6</v>
      </c>
      <c r="T423" s="216"/>
      <c r="U423" s="217"/>
      <c r="V423" s="217"/>
      <c r="W423" s="217"/>
      <c r="X423" s="217"/>
      <c r="Y423" s="215"/>
      <c r="Z423" s="710">
        <f>IF(Z422="","",Z422/Data!$X$1)</f>
        <v>0.39166666666666666</v>
      </c>
      <c r="AA423" s="710"/>
      <c r="AB423" s="711">
        <f>IF(SUM(AG426:AG437)=0,"",SUM(AG426:AG437))</f>
        <v>5</v>
      </c>
      <c r="AC423" s="216"/>
      <c r="AD423" s="217"/>
      <c r="AE423" s="217"/>
      <c r="AF423" s="217"/>
      <c r="AG423" s="217"/>
      <c r="AH423" s="215"/>
      <c r="AI423" s="710">
        <f>IF(AI422="","",AI422/Data!$X$1)</f>
        <v>0.45833333333333331</v>
      </c>
      <c r="AJ423" s="710"/>
      <c r="AK423" s="711">
        <f>IF(SUM(AP426:AP437)=0,"",SUM(AP426:AP437))</f>
        <v>8</v>
      </c>
      <c r="AL423" s="216"/>
      <c r="AM423" s="217"/>
      <c r="AN423" s="217"/>
      <c r="AO423" s="217"/>
      <c r="AP423" s="217"/>
      <c r="AQ423" s="215"/>
      <c r="AR423" s="710">
        <f>IF(AR422="","",AR422/Data!$X$1)</f>
        <v>0.35833333333333334</v>
      </c>
      <c r="AS423" s="710"/>
      <c r="AT423" s="711">
        <f>IF(SUM(AY426:AY437)=0,"",SUM(AY426:AY437))</f>
        <v>5</v>
      </c>
      <c r="AU423" s="218"/>
      <c r="AV423" s="217"/>
      <c r="AW423" s="217"/>
      <c r="AX423" s="217"/>
      <c r="AY423" s="217"/>
      <c r="AZ423" s="219"/>
      <c r="BA423" s="710">
        <f>IF(BA422="","",BA422/Data!$X$1)</f>
        <v>0.39166666666666666</v>
      </c>
      <c r="BB423" s="710"/>
      <c r="BC423" s="711">
        <f>IF(SUM(BH426:BH437)=0,"",SUM(BH426:BH437))</f>
        <v>5</v>
      </c>
      <c r="BD423" s="218"/>
      <c r="BE423" s="217"/>
      <c r="BF423" s="217"/>
      <c r="BG423" s="217"/>
      <c r="BH423" s="217"/>
      <c r="BI423" s="219"/>
      <c r="BJ423" s="710">
        <f>IF(BJ422="","",BJ422/Data!$X$1)</f>
        <v>0.45</v>
      </c>
      <c r="BK423" s="710"/>
      <c r="BL423" s="711">
        <f>IF(SUM(BQ426:BQ437)=0,"",SUM(BQ426:BQ437))</f>
        <v>6</v>
      </c>
      <c r="BM423" s="218"/>
      <c r="BN423" s="217"/>
      <c r="BO423" s="217"/>
      <c r="BP423" s="217"/>
      <c r="BQ423" s="217"/>
      <c r="BR423" s="220"/>
      <c r="BS423" s="710">
        <f>IF(BS422="","",BS422/Data!$X$1)</f>
        <v>0.30833333333333335</v>
      </c>
      <c r="BT423" s="710"/>
      <c r="BU423" s="711">
        <f>IF(SUM(BZ426:BZ437)=0,"",SUM(BZ426:BZ437))</f>
        <v>4</v>
      </c>
      <c r="BV423" s="219"/>
      <c r="BW423" s="217"/>
      <c r="BX423" s="217"/>
      <c r="BY423" s="217"/>
      <c r="BZ423" s="217"/>
      <c r="CA423" s="220"/>
      <c r="CB423" s="710">
        <f>IF(CB422="","",CB422/Data!$X$1)</f>
        <v>0.40833333333333333</v>
      </c>
      <c r="CC423" s="710"/>
      <c r="CD423" s="711">
        <f>IF(SUM(CI426:CI437)=0,"",SUM(CI426:CI437))</f>
        <v>5</v>
      </c>
      <c r="CE423" s="219"/>
      <c r="CF423" s="217"/>
      <c r="CG423" s="217"/>
      <c r="CH423" s="217"/>
      <c r="CI423" s="217"/>
      <c r="CJ423" s="217"/>
      <c r="CK423" s="710">
        <f>IF(CK422="","",CK422/Data!$X$1)</f>
        <v>0.38333333333333336</v>
      </c>
      <c r="CL423" s="710"/>
      <c r="CM423" s="711">
        <f>IF(SUM(CR426:CR437)=0,"",SUM(CR426:CR437))</f>
        <v>6</v>
      </c>
      <c r="CN423" s="219"/>
      <c r="CO423" s="217"/>
      <c r="CP423" s="217"/>
      <c r="CQ423" s="217"/>
      <c r="CR423" s="217"/>
      <c r="CS423" s="217"/>
      <c r="CT423" s="217"/>
      <c r="CU423" s="296"/>
      <c r="CV423" s="246"/>
      <c r="CW423" s="255"/>
    </row>
    <row r="424" spans="1:101" ht="13.5" thickBot="1" x14ac:dyDescent="0.25">
      <c r="A424" s="256"/>
      <c r="B424" s="256"/>
      <c r="C424" s="209"/>
      <c r="D424" s="269">
        <f>D402+1</f>
        <v>20</v>
      </c>
      <c r="E424" s="402" t="str">
        <f>IF(E423="","Sett inn dato over her",TEXT(E423,"dddd"))</f>
        <v>lørdag</v>
      </c>
      <c r="F424" s="221"/>
      <c r="G424" s="222"/>
      <c r="H424" s="222"/>
      <c r="I424" s="802"/>
      <c r="J424" s="807"/>
      <c r="K424" s="807"/>
      <c r="L424" s="297"/>
      <c r="M424" s="373"/>
      <c r="N424" s="377"/>
      <c r="O424" s="222"/>
      <c r="P424" s="222"/>
      <c r="Q424" s="385" t="str">
        <f>Data!$E$11</f>
        <v>AHH</v>
      </c>
      <c r="R424" s="386">
        <f>IF($F437="","",RANK(Q422,$Q422:$CL422))</f>
        <v>3</v>
      </c>
      <c r="S424" s="510"/>
      <c r="T424" s="216">
        <v>0</v>
      </c>
      <c r="U424" s="217"/>
      <c r="V424" s="217"/>
      <c r="W424" s="217"/>
      <c r="X424" s="217"/>
      <c r="Y424" s="215"/>
      <c r="Z424" s="385" t="str">
        <f>Data!$E$12</f>
        <v>RB</v>
      </c>
      <c r="AA424" s="386">
        <f>IF($F437="","",RANK(Z422,$Q422:$CL422))</f>
        <v>5</v>
      </c>
      <c r="AB424" s="510"/>
      <c r="AC424" s="216"/>
      <c r="AD424" s="217"/>
      <c r="AE424" s="217"/>
      <c r="AF424" s="217"/>
      <c r="AG424" s="217"/>
      <c r="AH424" s="215"/>
      <c r="AI424" s="385" t="str">
        <f>Data!$E$13</f>
        <v>EB</v>
      </c>
      <c r="AJ424" s="386">
        <f>IF($F437="","",RANK(AI422,$Q422:$CL422))</f>
        <v>1</v>
      </c>
      <c r="AK424" s="510"/>
      <c r="AL424" s="216"/>
      <c r="AM424" s="217"/>
      <c r="AN424" s="217"/>
      <c r="AO424" s="217"/>
      <c r="AP424" s="217"/>
      <c r="AQ424" s="215"/>
      <c r="AR424" s="346" t="str">
        <f>Data!$E$14</f>
        <v>KAF</v>
      </c>
      <c r="AS424" s="386">
        <f>IF($F437="","",RANK(AR422,$Q422:$CL422))</f>
        <v>8</v>
      </c>
      <c r="AT424" s="510"/>
      <c r="AU424" s="216"/>
      <c r="AV424" s="217"/>
      <c r="AW424" s="217"/>
      <c r="AX424" s="217"/>
      <c r="AY424" s="217"/>
      <c r="AZ424" s="215"/>
      <c r="BA424" s="346" t="str">
        <f>Data!$E$15</f>
        <v>ØG</v>
      </c>
      <c r="BB424" s="386">
        <f>IF($F437="","",RANK(BA422,$Q422:$CL422))</f>
        <v>5</v>
      </c>
      <c r="BC424" s="510"/>
      <c r="BD424" s="216"/>
      <c r="BE424" s="217"/>
      <c r="BF424" s="217"/>
      <c r="BG424" s="217"/>
      <c r="BH424" s="217"/>
      <c r="BI424" s="215"/>
      <c r="BJ424" s="346" t="str">
        <f>Data!$E$16</f>
        <v>JH</v>
      </c>
      <c r="BK424" s="386">
        <f>IF($F437="","",RANK(BJ422,$Q422:$CL422))</f>
        <v>2</v>
      </c>
      <c r="BL424" s="510"/>
      <c r="BM424" s="216"/>
      <c r="BN424" s="217"/>
      <c r="BO424" s="217"/>
      <c r="BP424" s="217"/>
      <c r="BQ424" s="217"/>
      <c r="BR424" s="223"/>
      <c r="BS424" s="346" t="str">
        <f>Data!$E$17</f>
        <v>TOH</v>
      </c>
      <c r="BT424" s="386">
        <f>IF($F437="","",RANK(BS422,$Q422:$CL422))</f>
        <v>9</v>
      </c>
      <c r="BU424" s="510">
        <v>50</v>
      </c>
      <c r="BV424" s="215"/>
      <c r="BW424" s="217"/>
      <c r="BX424" s="217"/>
      <c r="BY424" s="217"/>
      <c r="BZ424" s="217"/>
      <c r="CA424" s="223"/>
      <c r="CB424" s="346" t="s">
        <v>26</v>
      </c>
      <c r="CC424" s="386">
        <f>IF($F437="","",RANK(CB422,$Q422:$CM422))</f>
        <v>3</v>
      </c>
      <c r="CD424" s="511"/>
      <c r="CE424" s="215"/>
      <c r="CF424" s="217"/>
      <c r="CG424" s="217"/>
      <c r="CH424" s="217"/>
      <c r="CI424" s="217"/>
      <c r="CJ424" s="217"/>
      <c r="CK424" s="346" t="s">
        <v>27</v>
      </c>
      <c r="CL424" s="386">
        <f>IF($F437="","",RANK(CK422,$Q422:$CM422))</f>
        <v>7</v>
      </c>
      <c r="CM424" s="798"/>
      <c r="CN424" s="215"/>
      <c r="CO424" s="217"/>
      <c r="CP424" s="217"/>
      <c r="CQ424" s="217"/>
      <c r="CR424" s="217"/>
      <c r="CS424" s="217"/>
      <c r="CT424" s="217"/>
      <c r="CU424" s="296"/>
      <c r="CV424" s="246"/>
      <c r="CW424" s="255"/>
    </row>
    <row r="425" spans="1:101" ht="13.5" thickBot="1" x14ac:dyDescent="0.25">
      <c r="A425" s="264"/>
      <c r="B425" s="264"/>
      <c r="C425" s="202"/>
      <c r="D425" s="270"/>
      <c r="E425" s="224"/>
      <c r="F425" s="225"/>
      <c r="G425" s="226"/>
      <c r="H425" s="226"/>
      <c r="I425" s="227" t="s">
        <v>45</v>
      </c>
      <c r="J425" s="228" t="s">
        <v>46</v>
      </c>
      <c r="K425" s="229" t="s">
        <v>47</v>
      </c>
      <c r="L425" s="298"/>
      <c r="M425" s="374"/>
      <c r="N425" s="378"/>
      <c r="O425" s="230"/>
      <c r="P425" s="230"/>
      <c r="Q425" s="227" t="s">
        <v>45</v>
      </c>
      <c r="R425" s="228" t="s">
        <v>46</v>
      </c>
      <c r="S425" s="229" t="s">
        <v>47</v>
      </c>
      <c r="T425" s="231"/>
      <c r="U425" s="232"/>
      <c r="V425" s="232"/>
      <c r="W425" s="232"/>
      <c r="X425" s="232"/>
      <c r="Y425" s="230"/>
      <c r="Z425" s="227" t="s">
        <v>45</v>
      </c>
      <c r="AA425" s="228" t="s">
        <v>46</v>
      </c>
      <c r="AB425" s="229" t="s">
        <v>47</v>
      </c>
      <c r="AC425" s="231"/>
      <c r="AD425" s="232"/>
      <c r="AE425" s="232"/>
      <c r="AF425" s="232"/>
      <c r="AG425" s="232"/>
      <c r="AH425" s="230"/>
      <c r="AI425" s="227" t="s">
        <v>45</v>
      </c>
      <c r="AJ425" s="228" t="s">
        <v>46</v>
      </c>
      <c r="AK425" s="229" t="s">
        <v>47</v>
      </c>
      <c r="AL425" s="231"/>
      <c r="AM425" s="232"/>
      <c r="AN425" s="232"/>
      <c r="AO425" s="232"/>
      <c r="AP425" s="232"/>
      <c r="AQ425" s="230"/>
      <c r="AR425" s="227" t="s">
        <v>45</v>
      </c>
      <c r="AS425" s="228" t="s">
        <v>46</v>
      </c>
      <c r="AT425" s="229" t="s">
        <v>47</v>
      </c>
      <c r="AU425" s="231"/>
      <c r="AV425" s="232"/>
      <c r="AW425" s="232"/>
      <c r="AX425" s="232"/>
      <c r="AY425" s="232"/>
      <c r="AZ425" s="230"/>
      <c r="BA425" s="227" t="s">
        <v>45</v>
      </c>
      <c r="BB425" s="228" t="s">
        <v>46</v>
      </c>
      <c r="BC425" s="229" t="s">
        <v>47</v>
      </c>
      <c r="BD425" s="231"/>
      <c r="BE425" s="232"/>
      <c r="BF425" s="232"/>
      <c r="BG425" s="232"/>
      <c r="BH425" s="232"/>
      <c r="BI425" s="230"/>
      <c r="BJ425" s="227" t="s">
        <v>45</v>
      </c>
      <c r="BK425" s="228" t="s">
        <v>46</v>
      </c>
      <c r="BL425" s="229" t="s">
        <v>47</v>
      </c>
      <c r="BM425" s="231"/>
      <c r="BN425" s="232"/>
      <c r="BO425" s="232"/>
      <c r="BP425" s="232"/>
      <c r="BQ425" s="232"/>
      <c r="BR425" s="230"/>
      <c r="BS425" s="227" t="s">
        <v>45</v>
      </c>
      <c r="BT425" s="228" t="s">
        <v>46</v>
      </c>
      <c r="BU425" s="229" t="s">
        <v>47</v>
      </c>
      <c r="BV425" s="231"/>
      <c r="BW425" s="232"/>
      <c r="BX425" s="232"/>
      <c r="BY425" s="232"/>
      <c r="BZ425" s="233"/>
      <c r="CA425" s="230"/>
      <c r="CB425" s="227" t="s">
        <v>45</v>
      </c>
      <c r="CC425" s="228" t="s">
        <v>46</v>
      </c>
      <c r="CD425" s="229" t="s">
        <v>47</v>
      </c>
      <c r="CE425" s="231"/>
      <c r="CF425" s="232"/>
      <c r="CG425" s="232"/>
      <c r="CH425" s="232"/>
      <c r="CI425" s="232"/>
      <c r="CJ425" s="232"/>
      <c r="CK425" s="227" t="s">
        <v>45</v>
      </c>
      <c r="CL425" s="228" t="s">
        <v>46</v>
      </c>
      <c r="CM425" s="229" t="s">
        <v>47</v>
      </c>
      <c r="CN425" s="231"/>
      <c r="CO425" s="232"/>
      <c r="CP425" s="232"/>
      <c r="CQ425" s="232"/>
      <c r="CR425" s="232"/>
      <c r="CS425" s="232"/>
      <c r="CT425" s="234"/>
      <c r="CU425" s="296"/>
      <c r="CV425" s="246"/>
      <c r="CW425" s="265"/>
    </row>
    <row r="426" spans="1:101" x14ac:dyDescent="0.2">
      <c r="A426" s="264"/>
      <c r="B426" s="264"/>
      <c r="C426" s="202"/>
      <c r="D426" s="271">
        <v>1</v>
      </c>
      <c r="E426" s="166" t="s">
        <v>281</v>
      </c>
      <c r="F426" s="468">
        <v>2</v>
      </c>
      <c r="G426" s="472" t="s">
        <v>49</v>
      </c>
      <c r="H426" s="473">
        <v>3</v>
      </c>
      <c r="I426" s="170" t="str">
        <f t="shared" ref="I426:I437" si="950">IF($F426&gt;$H426,"x","")</f>
        <v/>
      </c>
      <c r="J426" s="387" t="str">
        <f t="shared" ref="J426:J437" si="951">IF(F426&lt;&gt;"",IF(H426&lt;&gt;"",IF(F426=H426,"x",""),""),"")</f>
        <v/>
      </c>
      <c r="K426" s="388" t="str">
        <f t="shared" ref="K426:K437" si="952">IF($F426&lt;$H426,"x","")</f>
        <v>x</v>
      </c>
      <c r="L426" s="299"/>
      <c r="M426" s="375"/>
      <c r="N426" s="379"/>
      <c r="O426" s="236"/>
      <c r="P426" s="236"/>
      <c r="Q426" s="480">
        <v>60</v>
      </c>
      <c r="R426" s="481">
        <v>20</v>
      </c>
      <c r="S426" s="482">
        <f>IF(Q426="","",100-SUM(Q426:R426))</f>
        <v>20</v>
      </c>
      <c r="T426" s="371"/>
      <c r="U426" s="232" t="str">
        <f t="shared" ref="U426:U437" si="953">IF($I426="x",Q426,"")</f>
        <v/>
      </c>
      <c r="V426" s="232" t="str">
        <f t="shared" ref="V426:V437" si="954">IF($J426="x",R426,"")</f>
        <v/>
      </c>
      <c r="W426" s="232">
        <f t="shared" ref="W426:W437" si="955">IF($K426="x",S426,"")</f>
        <v>20</v>
      </c>
      <c r="X426" s="232" t="str">
        <f>IF((MAX(U426,V426,W426))=0,"",IF((MAX(U426,V426,W426))=(MAX(Q426,R426,S426)),1,""))</f>
        <v/>
      </c>
      <c r="Y426" s="371"/>
      <c r="Z426" s="495">
        <v>80</v>
      </c>
      <c r="AA426" s="496">
        <v>10</v>
      </c>
      <c r="AB426" s="482">
        <f t="shared" ref="AB426:AB437" si="956">IF(Z426="","",100-SUM(Z426:AA426))</f>
        <v>10</v>
      </c>
      <c r="AC426" s="371"/>
      <c r="AD426" s="232" t="str">
        <f t="shared" ref="AD426:AD437" si="957">IF($I426="x",Z426,"")</f>
        <v/>
      </c>
      <c r="AE426" s="232" t="str">
        <f t="shared" ref="AE426:AE437" si="958">IF($J426="x",AA426,"")</f>
        <v/>
      </c>
      <c r="AF426" s="232">
        <f t="shared" ref="AF426:AF437" si="959">IF($K426="x",AB426,"")</f>
        <v>10</v>
      </c>
      <c r="AG426" s="232" t="str">
        <f>IF((MAX(AD426,AE426,AF426))=0,"",IF((MAX(AD426,AE426,AF426))=(MAX(Z426,AA426,AB426)),1,""))</f>
        <v/>
      </c>
      <c r="AH426" s="371"/>
      <c r="AI426" s="495">
        <v>80</v>
      </c>
      <c r="AJ426" s="496">
        <v>10</v>
      </c>
      <c r="AK426" s="482">
        <f t="shared" ref="AK426:AK437" si="960">IF(AI426="","",100-SUM(AI426:AJ426))</f>
        <v>10</v>
      </c>
      <c r="AL426" s="371"/>
      <c r="AM426" s="232" t="str">
        <f t="shared" ref="AM426:AM437" si="961">IF($I426="x",AI426,"")</f>
        <v/>
      </c>
      <c r="AN426" s="232" t="str">
        <f t="shared" ref="AN426:AN437" si="962">IF($J426="x",AJ426,"")</f>
        <v/>
      </c>
      <c r="AO426" s="232">
        <f t="shared" ref="AO426:AO437" si="963">IF($K426="x",AK426,"")</f>
        <v>10</v>
      </c>
      <c r="AP426" s="232" t="str">
        <f>IF((MAX(AM426,AN426,AO426))=0,"",IF((MAX(AM426,AN426,AO426))=(MAX(AI426,AJ426,AK426)),1,""))</f>
        <v/>
      </c>
      <c r="AQ426" s="371"/>
      <c r="AR426" s="495">
        <v>80</v>
      </c>
      <c r="AS426" s="496">
        <v>10</v>
      </c>
      <c r="AT426" s="482">
        <f t="shared" ref="AT426:AT437" si="964">IF(AR426="","",100-SUM(AR426:AS426))</f>
        <v>10</v>
      </c>
      <c r="AU426" s="371"/>
      <c r="AV426" s="232" t="str">
        <f t="shared" ref="AV426:AV437" si="965">IF($I426="x",AR426,"")</f>
        <v/>
      </c>
      <c r="AW426" s="232" t="str">
        <f t="shared" ref="AW426:AW437" si="966">IF($J426="x",AS426,"")</f>
        <v/>
      </c>
      <c r="AX426" s="232">
        <f t="shared" ref="AX426:AX437" si="967">IF($K426="x",AT426,"")</f>
        <v>10</v>
      </c>
      <c r="AY426" s="232" t="str">
        <f>IF((MAX(AV426,AW426,AX426))=0,"",IF((MAX(AV426,AW426,AX426))=(MAX(AR426,AS426,AT426)),1,""))</f>
        <v/>
      </c>
      <c r="AZ426" s="371"/>
      <c r="BA426" s="495">
        <v>80</v>
      </c>
      <c r="BB426" s="496">
        <v>10</v>
      </c>
      <c r="BC426" s="482">
        <f t="shared" ref="BC426:BC437" si="968">IF(BA426="","",100-SUM(BA426:BB426))</f>
        <v>10</v>
      </c>
      <c r="BD426" s="371"/>
      <c r="BE426" s="232" t="str">
        <f t="shared" ref="BE426:BE437" si="969">IF($I426="x",BA426,"")</f>
        <v/>
      </c>
      <c r="BF426" s="232" t="str">
        <f t="shared" ref="BF426:BF437" si="970">IF($J426="x",BB426,"")</f>
        <v/>
      </c>
      <c r="BG426" s="232">
        <f t="shared" ref="BG426:BG437" si="971">IF($K426="x",BC426,"")</f>
        <v>10</v>
      </c>
      <c r="BH426" s="232" t="str">
        <f>IF((MAX(BE426,BF426,BG426))=0,"",IF((MAX(BE426,BF426,BG426))=(MAX(BA426,BB426,BC426)),1,""))</f>
        <v/>
      </c>
      <c r="BI426" s="371"/>
      <c r="BJ426" s="495">
        <v>10</v>
      </c>
      <c r="BK426" s="496">
        <v>10</v>
      </c>
      <c r="BL426" s="482">
        <f t="shared" ref="BL426:BL437" si="972">IF(BJ426="","",100-SUM(BJ426:BK426))</f>
        <v>80</v>
      </c>
      <c r="BM426" s="371"/>
      <c r="BN426" s="232" t="str">
        <f t="shared" ref="BN426:BN437" si="973">IF($I426="x",BJ426,"")</f>
        <v/>
      </c>
      <c r="BO426" s="232" t="str">
        <f t="shared" ref="BO426:BO437" si="974">IF($J426="x",BK426,"")</f>
        <v/>
      </c>
      <c r="BP426" s="232">
        <f t="shared" ref="BP426:BP437" si="975">IF($K426="x",BL426,"")</f>
        <v>80</v>
      </c>
      <c r="BQ426" s="232">
        <f>IF((MAX(BN426,BO426,BP426))=0,"",IF((MAX(BN426,BO426,BP426))=(MAX(BJ426,BK426,BL426)),1,""))</f>
        <v>1</v>
      </c>
      <c r="BR426" s="371"/>
      <c r="BS426" s="495">
        <v>50</v>
      </c>
      <c r="BT426" s="496">
        <v>30</v>
      </c>
      <c r="BU426" s="482">
        <f t="shared" ref="BU426:BU437" si="976">IF(BS426="","",100-SUM(BS426:BT426))</f>
        <v>20</v>
      </c>
      <c r="BV426" s="371"/>
      <c r="BW426" s="232" t="str">
        <f t="shared" ref="BW426:BW437" si="977">IF($I426="x",BS426,"")</f>
        <v/>
      </c>
      <c r="BX426" s="232" t="str">
        <f t="shared" ref="BX426:BX437" si="978">IF($J426="x",BT426,"")</f>
        <v/>
      </c>
      <c r="BY426" s="232">
        <f t="shared" ref="BY426:BY437" si="979">IF($K426="x",BU426,"")</f>
        <v>20</v>
      </c>
      <c r="BZ426" s="232" t="str">
        <f>IF((MAX(BW426,BX426,BY426))=0,"",IF((MAX(BW426,BX426,BY426))=(MAX(BS426,BT426,BU426)),1,""))</f>
        <v/>
      </c>
      <c r="CA426" s="371"/>
      <c r="CB426" s="501">
        <f t="shared" ref="CB426:CB437" si="980">IFERROR(ROUNDUP((SUM(Q426,Z426,AI426,AR426,BA426,BJ426,BS426)/SUM($Q426:$S426,$Z426:$AB426,$AI426:$AK426,$AR426:$AT426,$BA426:$BC426,$BJ426:$BL426,$BS426:$BU426))*100,-1),"")</f>
        <v>70</v>
      </c>
      <c r="CC426" s="502">
        <f t="shared" ref="CC426:CC437" si="981">IFERROR(ROUNDDOWN((SUM(R426,AA426,AJ426,AS426,BB426,BK426,BT426)/SUM($Q426:$S426,$Z426:$AB426,$AI426:$AK426,$AR426:$AT426,$BA426:$BC426,$BJ426:$BL426,$BS426:$BU426))*100,-1),"")</f>
        <v>10</v>
      </c>
      <c r="CD426" s="503">
        <f t="shared" ref="CD426:CD437" si="982">IF(CB426="","",100-SUM(CB426:CC426))</f>
        <v>20</v>
      </c>
      <c r="CE426" s="371"/>
      <c r="CF426" s="232" t="str">
        <f t="shared" ref="CF426:CF437" si="983">IF($I426="x",CB426,"")</f>
        <v/>
      </c>
      <c r="CG426" s="232" t="str">
        <f t="shared" ref="CG426:CG437" si="984">IF($J426="x",CC426,"")</f>
        <v/>
      </c>
      <c r="CH426" s="232">
        <f t="shared" ref="CH426:CH437" si="985">IF($K426="x",CD426,"")</f>
        <v>20</v>
      </c>
      <c r="CI426" s="232" t="str">
        <f>IF((MAX(CF426,CG426,CH426))=0,"",IF((MAX(CF426,CG426,CH426))=(MAX(CB426,CC426,CD426)),1,""))</f>
        <v/>
      </c>
      <c r="CJ426" s="232"/>
      <c r="CK426" s="495">
        <v>80</v>
      </c>
      <c r="CL426" s="496">
        <v>10</v>
      </c>
      <c r="CM426" s="482">
        <f t="shared" ref="CM426:CM437" si="986">IF(CK426="","",100-SUM(CK426:CL426))</f>
        <v>10</v>
      </c>
      <c r="CN426" s="371"/>
      <c r="CO426" s="232" t="str">
        <f t="shared" ref="CO426:CO437" si="987">IF($I426="x",CK426,"")</f>
        <v/>
      </c>
      <c r="CP426" s="232" t="str">
        <f t="shared" ref="CP426:CP437" si="988">IF($J426="x",CL426,"")</f>
        <v/>
      </c>
      <c r="CQ426" s="232">
        <f t="shared" ref="CQ426:CQ437" si="989">IF($K426="x",CM426,"")</f>
        <v>10</v>
      </c>
      <c r="CR426" s="232" t="str">
        <f>IF((MAX(CO426,CP426,CQ426))=0,"",IF((MAX(CO426,CP426,CQ426))=(MAX(CK426,CL426,CM426)),1,""))</f>
        <v/>
      </c>
      <c r="CS426" s="232"/>
      <c r="CT426" s="371"/>
      <c r="CU426" s="296"/>
      <c r="CV426" s="246"/>
      <c r="CW426" s="264"/>
    </row>
    <row r="427" spans="1:101" x14ac:dyDescent="0.2">
      <c r="A427" s="264"/>
      <c r="B427" s="264"/>
      <c r="C427" s="202"/>
      <c r="D427" s="271">
        <v>2</v>
      </c>
      <c r="E427" s="167" t="s">
        <v>282</v>
      </c>
      <c r="F427" s="469">
        <v>3</v>
      </c>
      <c r="G427" s="474" t="s">
        <v>49</v>
      </c>
      <c r="H427" s="475">
        <v>0</v>
      </c>
      <c r="I427" s="389" t="str">
        <f t="shared" si="950"/>
        <v>x</v>
      </c>
      <c r="J427" s="390" t="str">
        <f t="shared" si="951"/>
        <v/>
      </c>
      <c r="K427" s="391" t="str">
        <f t="shared" si="952"/>
        <v/>
      </c>
      <c r="L427" s="299"/>
      <c r="M427" s="375"/>
      <c r="N427" s="379"/>
      <c r="O427" s="236"/>
      <c r="P427" s="236"/>
      <c r="Q427" s="483">
        <v>80</v>
      </c>
      <c r="R427" s="484">
        <v>10</v>
      </c>
      <c r="S427" s="485">
        <f t="shared" ref="S427:S437" si="990">IF(Q427="","",100-SUM(Q427:R427))</f>
        <v>10</v>
      </c>
      <c r="T427" s="371"/>
      <c r="U427" s="232">
        <f t="shared" si="953"/>
        <v>80</v>
      </c>
      <c r="V427" s="232" t="str">
        <f t="shared" si="954"/>
        <v/>
      </c>
      <c r="W427" s="232" t="str">
        <f t="shared" si="955"/>
        <v/>
      </c>
      <c r="X427" s="232">
        <f t="shared" ref="X427:X437" si="991">IF((MAX(U427,V427,W427))=0,"",IF((MAX(U427,V427,W427))=(MAX(Q427,R427,S427)),1,""))</f>
        <v>1</v>
      </c>
      <c r="Y427" s="371"/>
      <c r="Z427" s="497">
        <v>80</v>
      </c>
      <c r="AA427" s="498">
        <v>10</v>
      </c>
      <c r="AB427" s="485">
        <f t="shared" si="956"/>
        <v>10</v>
      </c>
      <c r="AC427" s="371"/>
      <c r="AD427" s="232">
        <f t="shared" si="957"/>
        <v>80</v>
      </c>
      <c r="AE427" s="232" t="str">
        <f t="shared" si="958"/>
        <v/>
      </c>
      <c r="AF427" s="232" t="str">
        <f t="shared" si="959"/>
        <v/>
      </c>
      <c r="AG427" s="232">
        <f t="shared" ref="AG427:AG437" si="992">IF((MAX(AD427,AE427,AF427))=0,"",IF((MAX(AD427,AE427,AF427))=(MAX(Z427,AA427,AB427)),1,""))</f>
        <v>1</v>
      </c>
      <c r="AH427" s="371"/>
      <c r="AI427" s="497">
        <v>80</v>
      </c>
      <c r="AJ427" s="498">
        <v>10</v>
      </c>
      <c r="AK427" s="485">
        <f t="shared" si="960"/>
        <v>10</v>
      </c>
      <c r="AL427" s="371"/>
      <c r="AM427" s="232">
        <f t="shared" si="961"/>
        <v>80</v>
      </c>
      <c r="AN427" s="232" t="str">
        <f t="shared" si="962"/>
        <v/>
      </c>
      <c r="AO427" s="232" t="str">
        <f t="shared" si="963"/>
        <v/>
      </c>
      <c r="AP427" s="232">
        <f t="shared" ref="AP427:AP437" si="993">IF((MAX(AM427,AN427,AO427))=0,"",IF((MAX(AM427,AN427,AO427))=(MAX(AI427,AJ427,AK427)),1,""))</f>
        <v>1</v>
      </c>
      <c r="AQ427" s="371"/>
      <c r="AR427" s="497">
        <v>80</v>
      </c>
      <c r="AS427" s="498">
        <v>10</v>
      </c>
      <c r="AT427" s="485">
        <f t="shared" si="964"/>
        <v>10</v>
      </c>
      <c r="AU427" s="371"/>
      <c r="AV427" s="232">
        <f t="shared" si="965"/>
        <v>80</v>
      </c>
      <c r="AW427" s="232" t="str">
        <f t="shared" si="966"/>
        <v/>
      </c>
      <c r="AX427" s="232" t="str">
        <f t="shared" si="967"/>
        <v/>
      </c>
      <c r="AY427" s="232">
        <f t="shared" ref="AY427:AY437" si="994">IF((MAX(AV427,AW427,AX427))=0,"",IF((MAX(AV427,AW427,AX427))=(MAX(AR427,AS427,AT427)),1,""))</f>
        <v>1</v>
      </c>
      <c r="AZ427" s="371"/>
      <c r="BA427" s="497">
        <v>80</v>
      </c>
      <c r="BB427" s="498">
        <v>10</v>
      </c>
      <c r="BC427" s="485">
        <f t="shared" si="968"/>
        <v>10</v>
      </c>
      <c r="BD427" s="371"/>
      <c r="BE427" s="232">
        <f t="shared" si="969"/>
        <v>80</v>
      </c>
      <c r="BF427" s="232" t="str">
        <f t="shared" si="970"/>
        <v/>
      </c>
      <c r="BG427" s="232" t="str">
        <f t="shared" si="971"/>
        <v/>
      </c>
      <c r="BH427" s="232">
        <f t="shared" ref="BH427:BH437" si="995">IF((MAX(BE427,BF427,BG427))=0,"",IF((MAX(BE427,BF427,BG427))=(MAX(BA427,BB427,BC427)),1,""))</f>
        <v>1</v>
      </c>
      <c r="BI427" s="371"/>
      <c r="BJ427" s="497">
        <v>80</v>
      </c>
      <c r="BK427" s="498">
        <v>10</v>
      </c>
      <c r="BL427" s="485">
        <f t="shared" si="972"/>
        <v>10</v>
      </c>
      <c r="BM427" s="371"/>
      <c r="BN427" s="232">
        <f t="shared" si="973"/>
        <v>80</v>
      </c>
      <c r="BO427" s="232" t="str">
        <f t="shared" si="974"/>
        <v/>
      </c>
      <c r="BP427" s="232" t="str">
        <f t="shared" si="975"/>
        <v/>
      </c>
      <c r="BQ427" s="232">
        <f t="shared" ref="BQ427:BQ437" si="996">IF((MAX(BN427,BO427,BP427))=0,"",IF((MAX(BN427,BO427,BP427))=(MAX(BJ427,BK427,BL427)),1,""))</f>
        <v>1</v>
      </c>
      <c r="BR427" s="371"/>
      <c r="BS427" s="497">
        <v>70</v>
      </c>
      <c r="BT427" s="498">
        <v>10</v>
      </c>
      <c r="BU427" s="485">
        <f t="shared" si="976"/>
        <v>20</v>
      </c>
      <c r="BV427" s="371"/>
      <c r="BW427" s="232">
        <f t="shared" si="977"/>
        <v>70</v>
      </c>
      <c r="BX427" s="232" t="str">
        <f t="shared" si="978"/>
        <v/>
      </c>
      <c r="BY427" s="232" t="str">
        <f t="shared" si="979"/>
        <v/>
      </c>
      <c r="BZ427" s="232">
        <f t="shared" ref="BZ427:BZ437" si="997">IF((MAX(BW427,BX427,BY427))=0,"",IF((MAX(BW427,BX427,BY427))=(MAX(BS427,BT427,BU427)),1,""))</f>
        <v>1</v>
      </c>
      <c r="CA427" s="371"/>
      <c r="CB427" s="504">
        <f t="shared" si="980"/>
        <v>80</v>
      </c>
      <c r="CC427" s="505">
        <f t="shared" si="981"/>
        <v>10</v>
      </c>
      <c r="CD427" s="506">
        <f t="shared" si="982"/>
        <v>10</v>
      </c>
      <c r="CE427" s="371"/>
      <c r="CF427" s="232">
        <f t="shared" si="983"/>
        <v>80</v>
      </c>
      <c r="CG427" s="232" t="str">
        <f t="shared" si="984"/>
        <v/>
      </c>
      <c r="CH427" s="232" t="str">
        <f t="shared" si="985"/>
        <v/>
      </c>
      <c r="CI427" s="232">
        <f t="shared" ref="CI427:CI437" si="998">IF((MAX(CF427,CG427,CH427))=0,"",IF((MAX(CF427,CG427,CH427))=(MAX(CB427,CC427,CD427)),1,""))</f>
        <v>1</v>
      </c>
      <c r="CJ427" s="232"/>
      <c r="CK427" s="497">
        <v>80</v>
      </c>
      <c r="CL427" s="498">
        <v>10</v>
      </c>
      <c r="CM427" s="485">
        <f t="shared" si="986"/>
        <v>10</v>
      </c>
      <c r="CN427" s="371"/>
      <c r="CO427" s="232">
        <f t="shared" si="987"/>
        <v>80</v>
      </c>
      <c r="CP427" s="232" t="str">
        <f t="shared" si="988"/>
        <v/>
      </c>
      <c r="CQ427" s="232" t="str">
        <f t="shared" si="989"/>
        <v/>
      </c>
      <c r="CR427" s="232">
        <f t="shared" ref="CR427:CR437" si="999">IF((MAX(CO427,CP427,CQ427))=0,"",IF((MAX(CO427,CP427,CQ427))=(MAX(CK427,CL427,CM427)),1,""))</f>
        <v>1</v>
      </c>
      <c r="CS427" s="232"/>
      <c r="CT427" s="371"/>
      <c r="CU427" s="296"/>
      <c r="CV427" s="246"/>
      <c r="CW427" s="264"/>
    </row>
    <row r="428" spans="1:101" ht="13.5" thickBot="1" x14ac:dyDescent="0.25">
      <c r="A428" s="264"/>
      <c r="B428" s="264"/>
      <c r="C428" s="202"/>
      <c r="D428" s="271">
        <v>3</v>
      </c>
      <c r="E428" s="168" t="s">
        <v>283</v>
      </c>
      <c r="F428" s="470">
        <v>1</v>
      </c>
      <c r="G428" s="476" t="s">
        <v>49</v>
      </c>
      <c r="H428" s="477">
        <v>1</v>
      </c>
      <c r="I428" s="392" t="str">
        <f t="shared" si="950"/>
        <v/>
      </c>
      <c r="J428" s="393" t="str">
        <f t="shared" si="951"/>
        <v>x</v>
      </c>
      <c r="K428" s="394" t="str">
        <f t="shared" si="952"/>
        <v/>
      </c>
      <c r="L428" s="299"/>
      <c r="M428" s="375"/>
      <c r="N428" s="379"/>
      <c r="O428" s="236"/>
      <c r="P428" s="236"/>
      <c r="Q428" s="486">
        <v>30</v>
      </c>
      <c r="R428" s="487">
        <v>30</v>
      </c>
      <c r="S428" s="488">
        <f t="shared" si="990"/>
        <v>40</v>
      </c>
      <c r="T428" s="371"/>
      <c r="U428" s="232" t="str">
        <f t="shared" si="953"/>
        <v/>
      </c>
      <c r="V428" s="232">
        <f t="shared" si="954"/>
        <v>30</v>
      </c>
      <c r="W428" s="232" t="str">
        <f t="shared" si="955"/>
        <v/>
      </c>
      <c r="X428" s="232" t="str">
        <f t="shared" si="991"/>
        <v/>
      </c>
      <c r="Y428" s="371"/>
      <c r="Z428" s="499">
        <v>10</v>
      </c>
      <c r="AA428" s="500">
        <v>10</v>
      </c>
      <c r="AB428" s="488">
        <f t="shared" si="956"/>
        <v>80</v>
      </c>
      <c r="AC428" s="371"/>
      <c r="AD428" s="232" t="str">
        <f t="shared" si="957"/>
        <v/>
      </c>
      <c r="AE428" s="232">
        <f t="shared" si="958"/>
        <v>10</v>
      </c>
      <c r="AF428" s="232" t="str">
        <f t="shared" si="959"/>
        <v/>
      </c>
      <c r="AG428" s="232" t="str">
        <f t="shared" si="992"/>
        <v/>
      </c>
      <c r="AH428" s="371"/>
      <c r="AI428" s="499">
        <v>20</v>
      </c>
      <c r="AJ428" s="500">
        <v>30</v>
      </c>
      <c r="AK428" s="488">
        <f t="shared" si="960"/>
        <v>50</v>
      </c>
      <c r="AL428" s="371"/>
      <c r="AM428" s="232" t="str">
        <f t="shared" si="961"/>
        <v/>
      </c>
      <c r="AN428" s="232">
        <f t="shared" si="962"/>
        <v>30</v>
      </c>
      <c r="AO428" s="232" t="str">
        <f t="shared" si="963"/>
        <v/>
      </c>
      <c r="AP428" s="232" t="str">
        <f t="shared" si="993"/>
        <v/>
      </c>
      <c r="AQ428" s="371"/>
      <c r="AR428" s="499">
        <v>10</v>
      </c>
      <c r="AS428" s="500">
        <v>30</v>
      </c>
      <c r="AT428" s="488">
        <f t="shared" si="964"/>
        <v>60</v>
      </c>
      <c r="AU428" s="371"/>
      <c r="AV428" s="232" t="str">
        <f t="shared" si="965"/>
        <v/>
      </c>
      <c r="AW428" s="232">
        <f t="shared" si="966"/>
        <v>30</v>
      </c>
      <c r="AX428" s="232" t="str">
        <f t="shared" si="967"/>
        <v/>
      </c>
      <c r="AY428" s="232" t="str">
        <f t="shared" si="994"/>
        <v/>
      </c>
      <c r="AZ428" s="371"/>
      <c r="BA428" s="499">
        <v>10</v>
      </c>
      <c r="BB428" s="500">
        <v>10</v>
      </c>
      <c r="BC428" s="488">
        <f t="shared" si="968"/>
        <v>80</v>
      </c>
      <c r="BD428" s="371"/>
      <c r="BE428" s="232" t="str">
        <f t="shared" si="969"/>
        <v/>
      </c>
      <c r="BF428" s="232">
        <f t="shared" si="970"/>
        <v>10</v>
      </c>
      <c r="BG428" s="232" t="str">
        <f t="shared" si="971"/>
        <v/>
      </c>
      <c r="BH428" s="232" t="str">
        <f t="shared" si="995"/>
        <v/>
      </c>
      <c r="BI428" s="371"/>
      <c r="BJ428" s="499">
        <v>10</v>
      </c>
      <c r="BK428" s="500">
        <v>10</v>
      </c>
      <c r="BL428" s="488">
        <f t="shared" si="972"/>
        <v>80</v>
      </c>
      <c r="BM428" s="371"/>
      <c r="BN428" s="232" t="str">
        <f t="shared" si="973"/>
        <v/>
      </c>
      <c r="BO428" s="232">
        <f t="shared" si="974"/>
        <v>10</v>
      </c>
      <c r="BP428" s="232" t="str">
        <f t="shared" si="975"/>
        <v/>
      </c>
      <c r="BQ428" s="232" t="str">
        <f t="shared" si="996"/>
        <v/>
      </c>
      <c r="BR428" s="371"/>
      <c r="BS428" s="499">
        <v>20</v>
      </c>
      <c r="BT428" s="500">
        <v>30</v>
      </c>
      <c r="BU428" s="488">
        <f t="shared" si="976"/>
        <v>50</v>
      </c>
      <c r="BV428" s="371"/>
      <c r="BW428" s="232" t="str">
        <f t="shared" si="977"/>
        <v/>
      </c>
      <c r="BX428" s="232">
        <f t="shared" si="978"/>
        <v>30</v>
      </c>
      <c r="BY428" s="232" t="str">
        <f t="shared" si="979"/>
        <v/>
      </c>
      <c r="BZ428" s="232" t="str">
        <f t="shared" si="997"/>
        <v/>
      </c>
      <c r="CA428" s="371"/>
      <c r="CB428" s="507">
        <f t="shared" si="980"/>
        <v>20</v>
      </c>
      <c r="CC428" s="508">
        <f t="shared" si="981"/>
        <v>20</v>
      </c>
      <c r="CD428" s="509">
        <f t="shared" si="982"/>
        <v>60</v>
      </c>
      <c r="CE428" s="371"/>
      <c r="CF428" s="232" t="str">
        <f t="shared" si="983"/>
        <v/>
      </c>
      <c r="CG428" s="232">
        <f t="shared" si="984"/>
        <v>20</v>
      </c>
      <c r="CH428" s="232" t="str">
        <f t="shared" si="985"/>
        <v/>
      </c>
      <c r="CI428" s="232" t="str">
        <f t="shared" si="998"/>
        <v/>
      </c>
      <c r="CJ428" s="232"/>
      <c r="CK428" s="499">
        <v>10</v>
      </c>
      <c r="CL428" s="500">
        <v>10</v>
      </c>
      <c r="CM428" s="488">
        <f t="shared" si="986"/>
        <v>80</v>
      </c>
      <c r="CN428" s="371"/>
      <c r="CO428" s="232" t="str">
        <f t="shared" si="987"/>
        <v/>
      </c>
      <c r="CP428" s="232">
        <f t="shared" si="988"/>
        <v>10</v>
      </c>
      <c r="CQ428" s="232" t="str">
        <f t="shared" si="989"/>
        <v/>
      </c>
      <c r="CR428" s="232" t="str">
        <f t="shared" si="999"/>
        <v/>
      </c>
      <c r="CS428" s="232"/>
      <c r="CT428" s="371"/>
      <c r="CU428" s="296"/>
      <c r="CV428" s="246"/>
      <c r="CW428" s="264"/>
    </row>
    <row r="429" spans="1:101" x14ac:dyDescent="0.2">
      <c r="A429" s="264"/>
      <c r="B429" s="264"/>
      <c r="C429" s="202"/>
      <c r="D429" s="271">
        <v>4</v>
      </c>
      <c r="E429" s="166" t="s">
        <v>284</v>
      </c>
      <c r="F429" s="468">
        <v>0</v>
      </c>
      <c r="G429" s="472" t="s">
        <v>49</v>
      </c>
      <c r="H429" s="473">
        <v>2</v>
      </c>
      <c r="I429" s="170" t="str">
        <f t="shared" si="950"/>
        <v/>
      </c>
      <c r="J429" s="387" t="str">
        <f t="shared" si="951"/>
        <v/>
      </c>
      <c r="K429" s="388" t="str">
        <f t="shared" si="952"/>
        <v>x</v>
      </c>
      <c r="L429" s="299"/>
      <c r="M429" s="375"/>
      <c r="N429" s="379"/>
      <c r="O429" s="236"/>
      <c r="P429" s="236"/>
      <c r="Q429" s="480">
        <v>30</v>
      </c>
      <c r="R429" s="481">
        <v>30</v>
      </c>
      <c r="S429" s="482">
        <f t="shared" si="990"/>
        <v>40</v>
      </c>
      <c r="T429" s="371"/>
      <c r="U429" s="232" t="str">
        <f t="shared" si="953"/>
        <v/>
      </c>
      <c r="V429" s="232" t="str">
        <f t="shared" si="954"/>
        <v/>
      </c>
      <c r="W429" s="232">
        <f t="shared" si="955"/>
        <v>40</v>
      </c>
      <c r="X429" s="232">
        <f t="shared" si="991"/>
        <v>1</v>
      </c>
      <c r="Y429" s="371"/>
      <c r="Z429" s="495">
        <v>10</v>
      </c>
      <c r="AA429" s="496">
        <v>10</v>
      </c>
      <c r="AB429" s="482">
        <f t="shared" si="956"/>
        <v>80</v>
      </c>
      <c r="AC429" s="371"/>
      <c r="AD429" s="232" t="str">
        <f t="shared" si="957"/>
        <v/>
      </c>
      <c r="AE429" s="232" t="str">
        <f t="shared" si="958"/>
        <v/>
      </c>
      <c r="AF429" s="232">
        <f t="shared" si="959"/>
        <v>80</v>
      </c>
      <c r="AG429" s="232">
        <f t="shared" si="992"/>
        <v>1</v>
      </c>
      <c r="AH429" s="371"/>
      <c r="AI429" s="495">
        <v>30</v>
      </c>
      <c r="AJ429" s="496">
        <v>30</v>
      </c>
      <c r="AK429" s="482">
        <f t="shared" si="960"/>
        <v>40</v>
      </c>
      <c r="AL429" s="371"/>
      <c r="AM429" s="232" t="str">
        <f t="shared" si="961"/>
        <v/>
      </c>
      <c r="AN429" s="232" t="str">
        <f t="shared" si="962"/>
        <v/>
      </c>
      <c r="AO429" s="232">
        <f t="shared" si="963"/>
        <v>40</v>
      </c>
      <c r="AP429" s="232">
        <f t="shared" si="993"/>
        <v>1</v>
      </c>
      <c r="AQ429" s="371"/>
      <c r="AR429" s="495">
        <v>10</v>
      </c>
      <c r="AS429" s="496">
        <v>30</v>
      </c>
      <c r="AT429" s="482">
        <f t="shared" si="964"/>
        <v>60</v>
      </c>
      <c r="AU429" s="371"/>
      <c r="AV429" s="232" t="str">
        <f t="shared" si="965"/>
        <v/>
      </c>
      <c r="AW429" s="232" t="str">
        <f t="shared" si="966"/>
        <v/>
      </c>
      <c r="AX429" s="232">
        <f t="shared" si="967"/>
        <v>60</v>
      </c>
      <c r="AY429" s="232">
        <f t="shared" si="994"/>
        <v>1</v>
      </c>
      <c r="AZ429" s="371"/>
      <c r="BA429" s="495">
        <v>80</v>
      </c>
      <c r="BB429" s="496">
        <v>10</v>
      </c>
      <c r="BC429" s="482">
        <f t="shared" si="968"/>
        <v>10</v>
      </c>
      <c r="BD429" s="371"/>
      <c r="BE429" s="232" t="str">
        <f t="shared" si="969"/>
        <v/>
      </c>
      <c r="BF429" s="232" t="str">
        <f t="shared" si="970"/>
        <v/>
      </c>
      <c r="BG429" s="232">
        <f t="shared" si="971"/>
        <v>10</v>
      </c>
      <c r="BH429" s="232" t="str">
        <f t="shared" si="995"/>
        <v/>
      </c>
      <c r="BI429" s="371"/>
      <c r="BJ429" s="495">
        <v>20</v>
      </c>
      <c r="BK429" s="496">
        <v>40</v>
      </c>
      <c r="BL429" s="482">
        <f t="shared" si="972"/>
        <v>40</v>
      </c>
      <c r="BM429" s="371"/>
      <c r="BN429" s="232" t="str">
        <f t="shared" si="973"/>
        <v/>
      </c>
      <c r="BO429" s="232" t="str">
        <f t="shared" si="974"/>
        <v/>
      </c>
      <c r="BP429" s="232">
        <f t="shared" si="975"/>
        <v>40</v>
      </c>
      <c r="BQ429" s="232">
        <f t="shared" si="996"/>
        <v>1</v>
      </c>
      <c r="BR429" s="371"/>
      <c r="BS429" s="495">
        <v>30</v>
      </c>
      <c r="BT429" s="496">
        <v>40</v>
      </c>
      <c r="BU429" s="482">
        <f t="shared" si="976"/>
        <v>30</v>
      </c>
      <c r="BV429" s="371"/>
      <c r="BW429" s="232" t="str">
        <f t="shared" si="977"/>
        <v/>
      </c>
      <c r="BX429" s="232" t="str">
        <f t="shared" si="978"/>
        <v/>
      </c>
      <c r="BY429" s="232">
        <f t="shared" si="979"/>
        <v>30</v>
      </c>
      <c r="BZ429" s="232" t="str">
        <f t="shared" si="997"/>
        <v/>
      </c>
      <c r="CA429" s="371"/>
      <c r="CB429" s="501">
        <f t="shared" si="980"/>
        <v>30</v>
      </c>
      <c r="CC429" s="502">
        <f t="shared" si="981"/>
        <v>20</v>
      </c>
      <c r="CD429" s="503">
        <f t="shared" si="982"/>
        <v>50</v>
      </c>
      <c r="CE429" s="371"/>
      <c r="CF429" s="232" t="str">
        <f t="shared" si="983"/>
        <v/>
      </c>
      <c r="CG429" s="232" t="str">
        <f t="shared" si="984"/>
        <v/>
      </c>
      <c r="CH429" s="232">
        <f t="shared" si="985"/>
        <v>50</v>
      </c>
      <c r="CI429" s="232">
        <f t="shared" si="998"/>
        <v>1</v>
      </c>
      <c r="CJ429" s="232"/>
      <c r="CK429" s="495">
        <v>30</v>
      </c>
      <c r="CL429" s="496">
        <v>30</v>
      </c>
      <c r="CM429" s="482">
        <f t="shared" si="986"/>
        <v>40</v>
      </c>
      <c r="CN429" s="371"/>
      <c r="CO429" s="232" t="str">
        <f t="shared" si="987"/>
        <v/>
      </c>
      <c r="CP429" s="232" t="str">
        <f t="shared" si="988"/>
        <v/>
      </c>
      <c r="CQ429" s="232">
        <f t="shared" si="989"/>
        <v>40</v>
      </c>
      <c r="CR429" s="232">
        <f t="shared" si="999"/>
        <v>1</v>
      </c>
      <c r="CS429" s="232"/>
      <c r="CT429" s="371"/>
      <c r="CU429" s="296"/>
      <c r="CV429" s="246"/>
      <c r="CW429" s="264"/>
    </row>
    <row r="430" spans="1:101" x14ac:dyDescent="0.2">
      <c r="A430" s="264"/>
      <c r="B430" s="264"/>
      <c r="C430" s="202"/>
      <c r="D430" s="271">
        <v>5</v>
      </c>
      <c r="E430" s="167" t="s">
        <v>285</v>
      </c>
      <c r="F430" s="469">
        <v>1</v>
      </c>
      <c r="G430" s="474" t="s">
        <v>49</v>
      </c>
      <c r="H430" s="475">
        <v>2</v>
      </c>
      <c r="I430" s="389" t="str">
        <f t="shared" si="950"/>
        <v/>
      </c>
      <c r="J430" s="390" t="str">
        <f t="shared" si="951"/>
        <v/>
      </c>
      <c r="K430" s="391" t="str">
        <f t="shared" si="952"/>
        <v>x</v>
      </c>
      <c r="L430" s="299"/>
      <c r="M430" s="375"/>
      <c r="N430" s="379"/>
      <c r="O430" s="236"/>
      <c r="P430" s="236"/>
      <c r="Q430" s="483">
        <v>50</v>
      </c>
      <c r="R430" s="484">
        <v>30</v>
      </c>
      <c r="S430" s="485">
        <f t="shared" si="990"/>
        <v>20</v>
      </c>
      <c r="T430" s="371"/>
      <c r="U430" s="232" t="str">
        <f t="shared" si="953"/>
        <v/>
      </c>
      <c r="V430" s="232" t="str">
        <f t="shared" si="954"/>
        <v/>
      </c>
      <c r="W430" s="232">
        <f t="shared" si="955"/>
        <v>20</v>
      </c>
      <c r="X430" s="232" t="str">
        <f t="shared" si="991"/>
        <v/>
      </c>
      <c r="Y430" s="371"/>
      <c r="Z430" s="497">
        <v>80</v>
      </c>
      <c r="AA430" s="498">
        <v>10</v>
      </c>
      <c r="AB430" s="485">
        <f t="shared" si="956"/>
        <v>10</v>
      </c>
      <c r="AC430" s="371"/>
      <c r="AD430" s="232" t="str">
        <f t="shared" si="957"/>
        <v/>
      </c>
      <c r="AE430" s="232" t="str">
        <f t="shared" si="958"/>
        <v/>
      </c>
      <c r="AF430" s="232">
        <f t="shared" si="959"/>
        <v>10</v>
      </c>
      <c r="AG430" s="232" t="str">
        <f t="shared" si="992"/>
        <v/>
      </c>
      <c r="AH430" s="371"/>
      <c r="AI430" s="497">
        <v>40</v>
      </c>
      <c r="AJ430" s="498">
        <v>20</v>
      </c>
      <c r="AK430" s="485">
        <f t="shared" si="960"/>
        <v>40</v>
      </c>
      <c r="AL430" s="371"/>
      <c r="AM430" s="232" t="str">
        <f t="shared" si="961"/>
        <v/>
      </c>
      <c r="AN430" s="232" t="str">
        <f t="shared" si="962"/>
        <v/>
      </c>
      <c r="AO430" s="232">
        <f t="shared" si="963"/>
        <v>40</v>
      </c>
      <c r="AP430" s="232">
        <f t="shared" si="993"/>
        <v>1</v>
      </c>
      <c r="AQ430" s="371"/>
      <c r="AR430" s="497">
        <v>60</v>
      </c>
      <c r="AS430" s="498">
        <v>30</v>
      </c>
      <c r="AT430" s="485">
        <f t="shared" si="964"/>
        <v>10</v>
      </c>
      <c r="AU430" s="371"/>
      <c r="AV430" s="232" t="str">
        <f t="shared" si="965"/>
        <v/>
      </c>
      <c r="AW430" s="232" t="str">
        <f t="shared" si="966"/>
        <v/>
      </c>
      <c r="AX430" s="232">
        <f t="shared" si="967"/>
        <v>10</v>
      </c>
      <c r="AY430" s="232" t="str">
        <f t="shared" si="994"/>
        <v/>
      </c>
      <c r="AZ430" s="371"/>
      <c r="BA430" s="497">
        <v>10</v>
      </c>
      <c r="BB430" s="498">
        <v>10</v>
      </c>
      <c r="BC430" s="485">
        <f t="shared" si="968"/>
        <v>80</v>
      </c>
      <c r="BD430" s="371"/>
      <c r="BE430" s="232" t="str">
        <f t="shared" si="969"/>
        <v/>
      </c>
      <c r="BF430" s="232" t="str">
        <f t="shared" si="970"/>
        <v/>
      </c>
      <c r="BG430" s="232">
        <f t="shared" si="971"/>
        <v>80</v>
      </c>
      <c r="BH430" s="232">
        <f t="shared" si="995"/>
        <v>1</v>
      </c>
      <c r="BI430" s="371"/>
      <c r="BJ430" s="497">
        <v>30</v>
      </c>
      <c r="BK430" s="498">
        <v>40</v>
      </c>
      <c r="BL430" s="485">
        <f t="shared" si="972"/>
        <v>30</v>
      </c>
      <c r="BM430" s="371"/>
      <c r="BN430" s="232" t="str">
        <f t="shared" si="973"/>
        <v/>
      </c>
      <c r="BO430" s="232" t="str">
        <f t="shared" si="974"/>
        <v/>
      </c>
      <c r="BP430" s="232">
        <f t="shared" si="975"/>
        <v>30</v>
      </c>
      <c r="BQ430" s="232" t="str">
        <f t="shared" si="996"/>
        <v/>
      </c>
      <c r="BR430" s="371"/>
      <c r="BS430" s="497">
        <v>50</v>
      </c>
      <c r="BT430" s="498">
        <v>30</v>
      </c>
      <c r="BU430" s="485">
        <f t="shared" si="976"/>
        <v>20</v>
      </c>
      <c r="BV430" s="371"/>
      <c r="BW430" s="232" t="str">
        <f t="shared" si="977"/>
        <v/>
      </c>
      <c r="BX430" s="232" t="str">
        <f t="shared" si="978"/>
        <v/>
      </c>
      <c r="BY430" s="232">
        <f t="shared" si="979"/>
        <v>20</v>
      </c>
      <c r="BZ430" s="232" t="str">
        <f t="shared" si="997"/>
        <v/>
      </c>
      <c r="CA430" s="371"/>
      <c r="CB430" s="504">
        <f t="shared" si="980"/>
        <v>50</v>
      </c>
      <c r="CC430" s="505">
        <f t="shared" si="981"/>
        <v>20</v>
      </c>
      <c r="CD430" s="506">
        <f t="shared" si="982"/>
        <v>30</v>
      </c>
      <c r="CE430" s="371"/>
      <c r="CF430" s="232" t="str">
        <f t="shared" si="983"/>
        <v/>
      </c>
      <c r="CG430" s="232" t="str">
        <f t="shared" si="984"/>
        <v/>
      </c>
      <c r="CH430" s="232">
        <f t="shared" si="985"/>
        <v>30</v>
      </c>
      <c r="CI430" s="232" t="str">
        <f t="shared" si="998"/>
        <v/>
      </c>
      <c r="CJ430" s="232"/>
      <c r="CK430" s="497">
        <v>40</v>
      </c>
      <c r="CL430" s="498">
        <v>20</v>
      </c>
      <c r="CM430" s="485">
        <f t="shared" si="986"/>
        <v>40</v>
      </c>
      <c r="CN430" s="371"/>
      <c r="CO430" s="232" t="str">
        <f t="shared" si="987"/>
        <v/>
      </c>
      <c r="CP430" s="232" t="str">
        <f t="shared" si="988"/>
        <v/>
      </c>
      <c r="CQ430" s="232">
        <f t="shared" si="989"/>
        <v>40</v>
      </c>
      <c r="CR430" s="232">
        <f t="shared" si="999"/>
        <v>1</v>
      </c>
      <c r="CS430" s="232"/>
      <c r="CT430" s="371"/>
      <c r="CU430" s="296"/>
      <c r="CV430" s="246"/>
      <c r="CW430" s="264"/>
    </row>
    <row r="431" spans="1:101" ht="13.5" thickBot="1" x14ac:dyDescent="0.25">
      <c r="A431" s="264"/>
      <c r="B431" s="264"/>
      <c r="C431" s="202"/>
      <c r="D431" s="271">
        <v>6</v>
      </c>
      <c r="E431" s="168" t="s">
        <v>286</v>
      </c>
      <c r="F431" s="470">
        <v>1</v>
      </c>
      <c r="G431" s="476" t="s">
        <v>49</v>
      </c>
      <c r="H431" s="477">
        <v>3</v>
      </c>
      <c r="I431" s="392" t="str">
        <f t="shared" si="950"/>
        <v/>
      </c>
      <c r="J431" s="393" t="str">
        <f t="shared" si="951"/>
        <v/>
      </c>
      <c r="K431" s="394" t="str">
        <f t="shared" si="952"/>
        <v>x</v>
      </c>
      <c r="L431" s="299"/>
      <c r="M431" s="375"/>
      <c r="N431" s="379"/>
      <c r="O431" s="236"/>
      <c r="P431" s="236"/>
      <c r="Q431" s="489">
        <v>20</v>
      </c>
      <c r="R431" s="490">
        <v>20</v>
      </c>
      <c r="S431" s="491">
        <f t="shared" si="990"/>
        <v>60</v>
      </c>
      <c r="T431" s="371"/>
      <c r="U431" s="232" t="str">
        <f t="shared" si="953"/>
        <v/>
      </c>
      <c r="V431" s="232" t="str">
        <f t="shared" si="954"/>
        <v/>
      </c>
      <c r="W431" s="232">
        <f t="shared" si="955"/>
        <v>60</v>
      </c>
      <c r="X431" s="232">
        <f t="shared" si="991"/>
        <v>1</v>
      </c>
      <c r="Y431" s="371"/>
      <c r="Z431" s="499">
        <v>10</v>
      </c>
      <c r="AA431" s="500">
        <v>10</v>
      </c>
      <c r="AB431" s="491">
        <f t="shared" si="956"/>
        <v>80</v>
      </c>
      <c r="AC431" s="371"/>
      <c r="AD431" s="232" t="str">
        <f t="shared" si="957"/>
        <v/>
      </c>
      <c r="AE431" s="232" t="str">
        <f t="shared" si="958"/>
        <v/>
      </c>
      <c r="AF431" s="232">
        <f t="shared" si="959"/>
        <v>80</v>
      </c>
      <c r="AG431" s="232">
        <f t="shared" si="992"/>
        <v>1</v>
      </c>
      <c r="AH431" s="371"/>
      <c r="AI431" s="499">
        <v>10</v>
      </c>
      <c r="AJ431" s="500">
        <v>10</v>
      </c>
      <c r="AK431" s="491">
        <f t="shared" si="960"/>
        <v>80</v>
      </c>
      <c r="AL431" s="371"/>
      <c r="AM431" s="232" t="str">
        <f t="shared" si="961"/>
        <v/>
      </c>
      <c r="AN431" s="232" t="str">
        <f t="shared" si="962"/>
        <v/>
      </c>
      <c r="AO431" s="232">
        <f t="shared" si="963"/>
        <v>80</v>
      </c>
      <c r="AP431" s="232">
        <f t="shared" si="993"/>
        <v>1</v>
      </c>
      <c r="AQ431" s="371"/>
      <c r="AR431" s="499">
        <v>10</v>
      </c>
      <c r="AS431" s="500">
        <v>10</v>
      </c>
      <c r="AT431" s="491">
        <f t="shared" si="964"/>
        <v>80</v>
      </c>
      <c r="AU431" s="371"/>
      <c r="AV431" s="232" t="str">
        <f t="shared" si="965"/>
        <v/>
      </c>
      <c r="AW431" s="232" t="str">
        <f t="shared" si="966"/>
        <v/>
      </c>
      <c r="AX431" s="232">
        <f t="shared" si="967"/>
        <v>80</v>
      </c>
      <c r="AY431" s="232">
        <f t="shared" si="994"/>
        <v>1</v>
      </c>
      <c r="AZ431" s="371"/>
      <c r="BA431" s="499">
        <v>10</v>
      </c>
      <c r="BB431" s="500">
        <v>10</v>
      </c>
      <c r="BC431" s="491">
        <f t="shared" si="968"/>
        <v>80</v>
      </c>
      <c r="BD431" s="371"/>
      <c r="BE431" s="232" t="str">
        <f t="shared" si="969"/>
        <v/>
      </c>
      <c r="BF431" s="232" t="str">
        <f t="shared" si="970"/>
        <v/>
      </c>
      <c r="BG431" s="232">
        <f t="shared" si="971"/>
        <v>80</v>
      </c>
      <c r="BH431" s="232">
        <f t="shared" si="995"/>
        <v>1</v>
      </c>
      <c r="BI431" s="371"/>
      <c r="BJ431" s="499">
        <v>10</v>
      </c>
      <c r="BK431" s="500">
        <v>10</v>
      </c>
      <c r="BL431" s="491">
        <f t="shared" si="972"/>
        <v>80</v>
      </c>
      <c r="BM431" s="371"/>
      <c r="BN431" s="232" t="str">
        <f t="shared" si="973"/>
        <v/>
      </c>
      <c r="BO431" s="232" t="str">
        <f t="shared" si="974"/>
        <v/>
      </c>
      <c r="BP431" s="232">
        <f t="shared" si="975"/>
        <v>80</v>
      </c>
      <c r="BQ431" s="232">
        <f t="shared" si="996"/>
        <v>1</v>
      </c>
      <c r="BR431" s="371"/>
      <c r="BS431" s="499">
        <v>20</v>
      </c>
      <c r="BT431" s="500">
        <v>20</v>
      </c>
      <c r="BU431" s="491">
        <f t="shared" si="976"/>
        <v>60</v>
      </c>
      <c r="BV431" s="371"/>
      <c r="BW431" s="232" t="str">
        <f t="shared" si="977"/>
        <v/>
      </c>
      <c r="BX431" s="232" t="str">
        <f t="shared" si="978"/>
        <v/>
      </c>
      <c r="BY431" s="232">
        <f t="shared" si="979"/>
        <v>60</v>
      </c>
      <c r="BZ431" s="232">
        <f t="shared" si="997"/>
        <v>1</v>
      </c>
      <c r="CA431" s="371"/>
      <c r="CB431" s="507">
        <f t="shared" si="980"/>
        <v>20</v>
      </c>
      <c r="CC431" s="508">
        <f t="shared" si="981"/>
        <v>10</v>
      </c>
      <c r="CD431" s="509">
        <f t="shared" si="982"/>
        <v>70</v>
      </c>
      <c r="CE431" s="371"/>
      <c r="CF431" s="232" t="str">
        <f t="shared" si="983"/>
        <v/>
      </c>
      <c r="CG431" s="232" t="str">
        <f t="shared" si="984"/>
        <v/>
      </c>
      <c r="CH431" s="232">
        <f t="shared" si="985"/>
        <v>70</v>
      </c>
      <c r="CI431" s="232">
        <f t="shared" si="998"/>
        <v>1</v>
      </c>
      <c r="CJ431" s="232"/>
      <c r="CK431" s="499">
        <v>20</v>
      </c>
      <c r="CL431" s="500">
        <v>10</v>
      </c>
      <c r="CM431" s="491">
        <f t="shared" si="986"/>
        <v>70</v>
      </c>
      <c r="CN431" s="371"/>
      <c r="CO431" s="232" t="str">
        <f t="shared" si="987"/>
        <v/>
      </c>
      <c r="CP431" s="232" t="str">
        <f t="shared" si="988"/>
        <v/>
      </c>
      <c r="CQ431" s="232">
        <f t="shared" si="989"/>
        <v>70</v>
      </c>
      <c r="CR431" s="232">
        <f t="shared" si="999"/>
        <v>1</v>
      </c>
      <c r="CS431" s="232"/>
      <c r="CT431" s="371"/>
      <c r="CU431" s="296"/>
      <c r="CV431" s="246"/>
      <c r="CW431" s="264"/>
    </row>
    <row r="432" spans="1:101" x14ac:dyDescent="0.2">
      <c r="A432" s="264"/>
      <c r="B432" s="264"/>
      <c r="C432" s="202"/>
      <c r="D432" s="271">
        <v>7</v>
      </c>
      <c r="E432" s="166" t="s">
        <v>287</v>
      </c>
      <c r="F432" s="468">
        <v>2</v>
      </c>
      <c r="G432" s="472" t="s">
        <v>49</v>
      </c>
      <c r="H432" s="473">
        <v>1</v>
      </c>
      <c r="I432" s="170" t="str">
        <f t="shared" si="950"/>
        <v>x</v>
      </c>
      <c r="J432" s="387" t="str">
        <f t="shared" si="951"/>
        <v/>
      </c>
      <c r="K432" s="388" t="str">
        <f t="shared" si="952"/>
        <v/>
      </c>
      <c r="L432" s="299"/>
      <c r="M432" s="375"/>
      <c r="N432" s="379"/>
      <c r="O432" s="236"/>
      <c r="P432" s="236"/>
      <c r="Q432" s="480">
        <v>40</v>
      </c>
      <c r="R432" s="481">
        <v>30</v>
      </c>
      <c r="S432" s="482">
        <f t="shared" si="990"/>
        <v>30</v>
      </c>
      <c r="T432" s="371"/>
      <c r="U432" s="232">
        <f t="shared" si="953"/>
        <v>40</v>
      </c>
      <c r="V432" s="232" t="str">
        <f t="shared" si="954"/>
        <v/>
      </c>
      <c r="W432" s="232" t="str">
        <f t="shared" si="955"/>
        <v/>
      </c>
      <c r="X432" s="232">
        <f t="shared" si="991"/>
        <v>1</v>
      </c>
      <c r="Y432" s="371"/>
      <c r="Z432" s="495">
        <v>80</v>
      </c>
      <c r="AA432" s="496">
        <v>10</v>
      </c>
      <c r="AB432" s="482">
        <f t="shared" si="956"/>
        <v>10</v>
      </c>
      <c r="AC432" s="371"/>
      <c r="AD432" s="232">
        <f t="shared" si="957"/>
        <v>80</v>
      </c>
      <c r="AE432" s="232" t="str">
        <f t="shared" si="958"/>
        <v/>
      </c>
      <c r="AF432" s="232" t="str">
        <f t="shared" si="959"/>
        <v/>
      </c>
      <c r="AG432" s="232">
        <f t="shared" si="992"/>
        <v>1</v>
      </c>
      <c r="AH432" s="371"/>
      <c r="AI432" s="495">
        <v>80</v>
      </c>
      <c r="AJ432" s="496">
        <v>10</v>
      </c>
      <c r="AK432" s="482">
        <f t="shared" si="960"/>
        <v>10</v>
      </c>
      <c r="AL432" s="371"/>
      <c r="AM432" s="232">
        <f t="shared" si="961"/>
        <v>80</v>
      </c>
      <c r="AN432" s="232" t="str">
        <f t="shared" si="962"/>
        <v/>
      </c>
      <c r="AO432" s="232" t="str">
        <f t="shared" si="963"/>
        <v/>
      </c>
      <c r="AP432" s="232">
        <f t="shared" si="993"/>
        <v>1</v>
      </c>
      <c r="AQ432" s="371"/>
      <c r="AR432" s="495">
        <v>60</v>
      </c>
      <c r="AS432" s="496">
        <v>30</v>
      </c>
      <c r="AT432" s="482">
        <f t="shared" si="964"/>
        <v>10</v>
      </c>
      <c r="AU432" s="371"/>
      <c r="AV432" s="232">
        <f t="shared" si="965"/>
        <v>60</v>
      </c>
      <c r="AW432" s="232" t="str">
        <f t="shared" si="966"/>
        <v/>
      </c>
      <c r="AX432" s="232" t="str">
        <f t="shared" si="967"/>
        <v/>
      </c>
      <c r="AY432" s="232">
        <f t="shared" si="994"/>
        <v>1</v>
      </c>
      <c r="AZ432" s="371"/>
      <c r="BA432" s="495">
        <v>80</v>
      </c>
      <c r="BB432" s="496">
        <v>10</v>
      </c>
      <c r="BC432" s="482">
        <f t="shared" si="968"/>
        <v>10</v>
      </c>
      <c r="BD432" s="371"/>
      <c r="BE432" s="232">
        <f t="shared" si="969"/>
        <v>80</v>
      </c>
      <c r="BF432" s="232" t="str">
        <f t="shared" si="970"/>
        <v/>
      </c>
      <c r="BG432" s="232" t="str">
        <f t="shared" si="971"/>
        <v/>
      </c>
      <c r="BH432" s="232">
        <f t="shared" si="995"/>
        <v>1</v>
      </c>
      <c r="BI432" s="371"/>
      <c r="BJ432" s="495">
        <v>80</v>
      </c>
      <c r="BK432" s="496">
        <v>10</v>
      </c>
      <c r="BL432" s="482">
        <f t="shared" si="972"/>
        <v>10</v>
      </c>
      <c r="BM432" s="371"/>
      <c r="BN432" s="232">
        <f t="shared" si="973"/>
        <v>80</v>
      </c>
      <c r="BO432" s="232" t="str">
        <f t="shared" si="974"/>
        <v/>
      </c>
      <c r="BP432" s="232" t="str">
        <f t="shared" si="975"/>
        <v/>
      </c>
      <c r="BQ432" s="232">
        <f t="shared" si="996"/>
        <v>1</v>
      </c>
      <c r="BR432" s="371"/>
      <c r="BS432" s="495">
        <v>60</v>
      </c>
      <c r="BT432" s="496">
        <v>30</v>
      </c>
      <c r="BU432" s="482">
        <f t="shared" si="976"/>
        <v>10</v>
      </c>
      <c r="BV432" s="371"/>
      <c r="BW432" s="232">
        <f t="shared" si="977"/>
        <v>60</v>
      </c>
      <c r="BX432" s="232" t="str">
        <f t="shared" si="978"/>
        <v/>
      </c>
      <c r="BY432" s="232" t="str">
        <f t="shared" si="979"/>
        <v/>
      </c>
      <c r="BZ432" s="232">
        <f t="shared" si="997"/>
        <v>1</v>
      </c>
      <c r="CA432" s="371"/>
      <c r="CB432" s="501">
        <f t="shared" si="980"/>
        <v>70</v>
      </c>
      <c r="CC432" s="502">
        <f t="shared" si="981"/>
        <v>10</v>
      </c>
      <c r="CD432" s="503">
        <f t="shared" si="982"/>
        <v>20</v>
      </c>
      <c r="CE432" s="371"/>
      <c r="CF432" s="232">
        <f t="shared" si="983"/>
        <v>70</v>
      </c>
      <c r="CG432" s="232" t="str">
        <f t="shared" si="984"/>
        <v/>
      </c>
      <c r="CH432" s="232" t="str">
        <f t="shared" si="985"/>
        <v/>
      </c>
      <c r="CI432" s="232">
        <f t="shared" si="998"/>
        <v>1</v>
      </c>
      <c r="CJ432" s="232"/>
      <c r="CK432" s="495">
        <v>60</v>
      </c>
      <c r="CL432" s="496">
        <v>30</v>
      </c>
      <c r="CM432" s="482">
        <f t="shared" si="986"/>
        <v>10</v>
      </c>
      <c r="CN432" s="371"/>
      <c r="CO432" s="232">
        <f t="shared" si="987"/>
        <v>60</v>
      </c>
      <c r="CP432" s="232" t="str">
        <f t="shared" si="988"/>
        <v/>
      </c>
      <c r="CQ432" s="232" t="str">
        <f t="shared" si="989"/>
        <v/>
      </c>
      <c r="CR432" s="232">
        <f t="shared" si="999"/>
        <v>1</v>
      </c>
      <c r="CS432" s="232"/>
      <c r="CT432" s="371"/>
      <c r="CU432" s="300"/>
      <c r="CV432" s="246"/>
      <c r="CW432" s="264"/>
    </row>
    <row r="433" spans="1:101" x14ac:dyDescent="0.2">
      <c r="A433" s="264"/>
      <c r="B433" s="264"/>
      <c r="C433" s="202"/>
      <c r="D433" s="271">
        <v>8</v>
      </c>
      <c r="E433" s="167" t="s">
        <v>288</v>
      </c>
      <c r="F433" s="469">
        <v>0</v>
      </c>
      <c r="G433" s="474" t="s">
        <v>49</v>
      </c>
      <c r="H433" s="475">
        <v>0</v>
      </c>
      <c r="I433" s="389" t="str">
        <f t="shared" si="950"/>
        <v/>
      </c>
      <c r="J433" s="390" t="str">
        <f t="shared" si="951"/>
        <v>x</v>
      </c>
      <c r="K433" s="391" t="str">
        <f t="shared" si="952"/>
        <v/>
      </c>
      <c r="L433" s="299"/>
      <c r="M433" s="375"/>
      <c r="N433" s="379"/>
      <c r="O433" s="236"/>
      <c r="P433" s="236"/>
      <c r="Q433" s="483">
        <v>80</v>
      </c>
      <c r="R433" s="484">
        <v>10</v>
      </c>
      <c r="S433" s="485">
        <f t="shared" si="990"/>
        <v>10</v>
      </c>
      <c r="T433" s="371"/>
      <c r="U433" s="232" t="str">
        <f t="shared" si="953"/>
        <v/>
      </c>
      <c r="V433" s="232">
        <f t="shared" si="954"/>
        <v>10</v>
      </c>
      <c r="W433" s="232" t="str">
        <f t="shared" si="955"/>
        <v/>
      </c>
      <c r="X433" s="232" t="str">
        <f t="shared" si="991"/>
        <v/>
      </c>
      <c r="Y433" s="371"/>
      <c r="Z433" s="497">
        <v>80</v>
      </c>
      <c r="AA433" s="498">
        <v>10</v>
      </c>
      <c r="AB433" s="485">
        <f t="shared" si="956"/>
        <v>10</v>
      </c>
      <c r="AC433" s="371"/>
      <c r="AD433" s="232" t="str">
        <f t="shared" si="957"/>
        <v/>
      </c>
      <c r="AE433" s="232">
        <f t="shared" si="958"/>
        <v>10</v>
      </c>
      <c r="AF433" s="232" t="str">
        <f t="shared" si="959"/>
        <v/>
      </c>
      <c r="AG433" s="232" t="str">
        <f t="shared" si="992"/>
        <v/>
      </c>
      <c r="AH433" s="371"/>
      <c r="AI433" s="497">
        <v>60</v>
      </c>
      <c r="AJ433" s="498">
        <v>20</v>
      </c>
      <c r="AK433" s="485">
        <f t="shared" si="960"/>
        <v>20</v>
      </c>
      <c r="AL433" s="371"/>
      <c r="AM433" s="232" t="str">
        <f t="shared" si="961"/>
        <v/>
      </c>
      <c r="AN433" s="232">
        <f t="shared" si="962"/>
        <v>20</v>
      </c>
      <c r="AO433" s="232" t="str">
        <f t="shared" si="963"/>
        <v/>
      </c>
      <c r="AP433" s="232" t="str">
        <f t="shared" si="993"/>
        <v/>
      </c>
      <c r="AQ433" s="371"/>
      <c r="AR433" s="497">
        <v>80</v>
      </c>
      <c r="AS433" s="498">
        <v>10</v>
      </c>
      <c r="AT433" s="485">
        <f t="shared" si="964"/>
        <v>10</v>
      </c>
      <c r="AU433" s="371"/>
      <c r="AV433" s="232" t="str">
        <f t="shared" si="965"/>
        <v/>
      </c>
      <c r="AW433" s="232">
        <f t="shared" si="966"/>
        <v>10</v>
      </c>
      <c r="AX433" s="232" t="str">
        <f t="shared" si="967"/>
        <v/>
      </c>
      <c r="AY433" s="232" t="str">
        <f t="shared" si="994"/>
        <v/>
      </c>
      <c r="AZ433" s="371"/>
      <c r="BA433" s="497">
        <v>80</v>
      </c>
      <c r="BB433" s="498">
        <v>10</v>
      </c>
      <c r="BC433" s="485">
        <f t="shared" si="968"/>
        <v>10</v>
      </c>
      <c r="BD433" s="371"/>
      <c r="BE433" s="232" t="str">
        <f t="shared" si="969"/>
        <v/>
      </c>
      <c r="BF433" s="232">
        <f t="shared" si="970"/>
        <v>10</v>
      </c>
      <c r="BG433" s="232" t="str">
        <f t="shared" si="971"/>
        <v/>
      </c>
      <c r="BH433" s="232" t="str">
        <f t="shared" si="995"/>
        <v/>
      </c>
      <c r="BI433" s="371"/>
      <c r="BJ433" s="497">
        <v>80</v>
      </c>
      <c r="BK433" s="498">
        <v>10</v>
      </c>
      <c r="BL433" s="485">
        <f t="shared" si="972"/>
        <v>10</v>
      </c>
      <c r="BM433" s="371"/>
      <c r="BN433" s="232" t="str">
        <f t="shared" si="973"/>
        <v/>
      </c>
      <c r="BO433" s="232">
        <f t="shared" si="974"/>
        <v>10</v>
      </c>
      <c r="BP433" s="232" t="str">
        <f t="shared" si="975"/>
        <v/>
      </c>
      <c r="BQ433" s="232" t="str">
        <f t="shared" si="996"/>
        <v/>
      </c>
      <c r="BR433" s="371"/>
      <c r="BS433" s="497">
        <v>80</v>
      </c>
      <c r="BT433" s="498">
        <v>10</v>
      </c>
      <c r="BU433" s="485">
        <f t="shared" si="976"/>
        <v>10</v>
      </c>
      <c r="BV433" s="371"/>
      <c r="BW433" s="232" t="str">
        <f t="shared" si="977"/>
        <v/>
      </c>
      <c r="BX433" s="232">
        <f t="shared" si="978"/>
        <v>10</v>
      </c>
      <c r="BY433" s="232" t="str">
        <f t="shared" si="979"/>
        <v/>
      </c>
      <c r="BZ433" s="232" t="str">
        <f t="shared" si="997"/>
        <v/>
      </c>
      <c r="CA433" s="371"/>
      <c r="CB433" s="504">
        <f t="shared" si="980"/>
        <v>80</v>
      </c>
      <c r="CC433" s="505">
        <f t="shared" si="981"/>
        <v>10</v>
      </c>
      <c r="CD433" s="506">
        <f t="shared" si="982"/>
        <v>10</v>
      </c>
      <c r="CE433" s="371"/>
      <c r="CF433" s="232" t="str">
        <f t="shared" si="983"/>
        <v/>
      </c>
      <c r="CG433" s="232">
        <f t="shared" si="984"/>
        <v>10</v>
      </c>
      <c r="CH433" s="232" t="str">
        <f t="shared" si="985"/>
        <v/>
      </c>
      <c r="CI433" s="232" t="str">
        <f t="shared" si="998"/>
        <v/>
      </c>
      <c r="CJ433" s="232"/>
      <c r="CK433" s="497">
        <v>80</v>
      </c>
      <c r="CL433" s="498">
        <v>10</v>
      </c>
      <c r="CM433" s="485">
        <f t="shared" si="986"/>
        <v>10</v>
      </c>
      <c r="CN433" s="371"/>
      <c r="CO433" s="232" t="str">
        <f t="shared" si="987"/>
        <v/>
      </c>
      <c r="CP433" s="232">
        <f t="shared" si="988"/>
        <v>10</v>
      </c>
      <c r="CQ433" s="232" t="str">
        <f t="shared" si="989"/>
        <v/>
      </c>
      <c r="CR433" s="232" t="str">
        <f t="shared" si="999"/>
        <v/>
      </c>
      <c r="CS433" s="232"/>
      <c r="CT433" s="371"/>
      <c r="CU433" s="300"/>
      <c r="CV433" s="246"/>
      <c r="CW433" s="264"/>
    </row>
    <row r="434" spans="1:101" ht="13.5" thickBot="1" x14ac:dyDescent="0.25">
      <c r="A434" s="264"/>
      <c r="B434" s="264"/>
      <c r="C434" s="202"/>
      <c r="D434" s="271">
        <v>9</v>
      </c>
      <c r="E434" s="168" t="s">
        <v>289</v>
      </c>
      <c r="F434" s="470">
        <v>2</v>
      </c>
      <c r="G434" s="476" t="s">
        <v>49</v>
      </c>
      <c r="H434" s="477">
        <v>3</v>
      </c>
      <c r="I434" s="392" t="str">
        <f t="shared" si="950"/>
        <v/>
      </c>
      <c r="J434" s="393" t="str">
        <f t="shared" si="951"/>
        <v/>
      </c>
      <c r="K434" s="394" t="str">
        <f t="shared" si="952"/>
        <v>x</v>
      </c>
      <c r="L434" s="299"/>
      <c r="M434" s="375"/>
      <c r="N434" s="379"/>
      <c r="O434" s="236"/>
      <c r="P434" s="236"/>
      <c r="Q434" s="489">
        <v>40</v>
      </c>
      <c r="R434" s="490">
        <v>30</v>
      </c>
      <c r="S434" s="491">
        <f t="shared" si="990"/>
        <v>30</v>
      </c>
      <c r="T434" s="371"/>
      <c r="U434" s="232" t="str">
        <f t="shared" si="953"/>
        <v/>
      </c>
      <c r="V434" s="232" t="str">
        <f t="shared" si="954"/>
        <v/>
      </c>
      <c r="W434" s="232">
        <f t="shared" si="955"/>
        <v>30</v>
      </c>
      <c r="X434" s="232" t="str">
        <f t="shared" si="991"/>
        <v/>
      </c>
      <c r="Y434" s="371"/>
      <c r="Z434" s="499">
        <v>80</v>
      </c>
      <c r="AA434" s="500">
        <v>10</v>
      </c>
      <c r="AB434" s="491">
        <f t="shared" si="956"/>
        <v>10</v>
      </c>
      <c r="AC434" s="371"/>
      <c r="AD434" s="232" t="str">
        <f t="shared" si="957"/>
        <v/>
      </c>
      <c r="AE434" s="232" t="str">
        <f t="shared" si="958"/>
        <v/>
      </c>
      <c r="AF434" s="232">
        <f t="shared" si="959"/>
        <v>10</v>
      </c>
      <c r="AG434" s="232" t="str">
        <f t="shared" si="992"/>
        <v/>
      </c>
      <c r="AH434" s="371"/>
      <c r="AI434" s="499">
        <v>40</v>
      </c>
      <c r="AJ434" s="500">
        <v>20</v>
      </c>
      <c r="AK434" s="491">
        <f t="shared" si="960"/>
        <v>40</v>
      </c>
      <c r="AL434" s="371"/>
      <c r="AM434" s="232" t="str">
        <f t="shared" si="961"/>
        <v/>
      </c>
      <c r="AN434" s="232" t="str">
        <f t="shared" si="962"/>
        <v/>
      </c>
      <c r="AO434" s="232">
        <f t="shared" si="963"/>
        <v>40</v>
      </c>
      <c r="AP434" s="232">
        <f t="shared" si="993"/>
        <v>1</v>
      </c>
      <c r="AQ434" s="371"/>
      <c r="AR434" s="499">
        <v>50</v>
      </c>
      <c r="AS434" s="500">
        <v>40</v>
      </c>
      <c r="AT434" s="491">
        <f t="shared" si="964"/>
        <v>10</v>
      </c>
      <c r="AU434" s="371"/>
      <c r="AV434" s="232" t="str">
        <f t="shared" si="965"/>
        <v/>
      </c>
      <c r="AW434" s="232" t="str">
        <f t="shared" si="966"/>
        <v/>
      </c>
      <c r="AX434" s="232">
        <f t="shared" si="967"/>
        <v>10</v>
      </c>
      <c r="AY434" s="232" t="str">
        <f t="shared" si="994"/>
        <v/>
      </c>
      <c r="AZ434" s="371"/>
      <c r="BA434" s="499">
        <v>80</v>
      </c>
      <c r="BB434" s="500">
        <v>10</v>
      </c>
      <c r="BC434" s="491">
        <f t="shared" si="968"/>
        <v>10</v>
      </c>
      <c r="BD434" s="371"/>
      <c r="BE434" s="232" t="str">
        <f t="shared" si="969"/>
        <v/>
      </c>
      <c r="BF434" s="232" t="str">
        <f t="shared" si="970"/>
        <v/>
      </c>
      <c r="BG434" s="232">
        <f t="shared" si="971"/>
        <v>10</v>
      </c>
      <c r="BH434" s="232" t="str">
        <f t="shared" si="995"/>
        <v/>
      </c>
      <c r="BI434" s="371"/>
      <c r="BJ434" s="499">
        <v>80</v>
      </c>
      <c r="BK434" s="500">
        <v>10</v>
      </c>
      <c r="BL434" s="491">
        <f t="shared" si="972"/>
        <v>10</v>
      </c>
      <c r="BM434" s="371"/>
      <c r="BN434" s="232" t="str">
        <f t="shared" si="973"/>
        <v/>
      </c>
      <c r="BO434" s="232" t="str">
        <f t="shared" si="974"/>
        <v/>
      </c>
      <c r="BP434" s="232">
        <f t="shared" si="975"/>
        <v>10</v>
      </c>
      <c r="BQ434" s="232" t="str">
        <f t="shared" si="996"/>
        <v/>
      </c>
      <c r="BR434" s="371"/>
      <c r="BS434" s="499">
        <v>40</v>
      </c>
      <c r="BT434" s="500">
        <v>30</v>
      </c>
      <c r="BU434" s="491">
        <f t="shared" si="976"/>
        <v>30</v>
      </c>
      <c r="BV434" s="371"/>
      <c r="BW434" s="232" t="str">
        <f t="shared" si="977"/>
        <v/>
      </c>
      <c r="BX434" s="232" t="str">
        <f t="shared" si="978"/>
        <v/>
      </c>
      <c r="BY434" s="232">
        <f t="shared" si="979"/>
        <v>30</v>
      </c>
      <c r="BZ434" s="232" t="str">
        <f t="shared" si="997"/>
        <v/>
      </c>
      <c r="CA434" s="371"/>
      <c r="CB434" s="507">
        <f t="shared" si="980"/>
        <v>60</v>
      </c>
      <c r="CC434" s="508">
        <f t="shared" si="981"/>
        <v>20</v>
      </c>
      <c r="CD434" s="509">
        <f t="shared" si="982"/>
        <v>20</v>
      </c>
      <c r="CE434" s="371"/>
      <c r="CF434" s="232" t="str">
        <f t="shared" si="983"/>
        <v/>
      </c>
      <c r="CG434" s="232" t="str">
        <f t="shared" si="984"/>
        <v/>
      </c>
      <c r="CH434" s="232">
        <f t="shared" si="985"/>
        <v>20</v>
      </c>
      <c r="CI434" s="232" t="str">
        <f t="shared" si="998"/>
        <v/>
      </c>
      <c r="CJ434" s="232"/>
      <c r="CK434" s="499">
        <v>60</v>
      </c>
      <c r="CL434" s="500">
        <v>20</v>
      </c>
      <c r="CM434" s="491">
        <f t="shared" si="986"/>
        <v>20</v>
      </c>
      <c r="CN434" s="371"/>
      <c r="CO434" s="232" t="str">
        <f t="shared" si="987"/>
        <v/>
      </c>
      <c r="CP434" s="232" t="str">
        <f t="shared" si="988"/>
        <v/>
      </c>
      <c r="CQ434" s="232">
        <f t="shared" si="989"/>
        <v>20</v>
      </c>
      <c r="CR434" s="232" t="str">
        <f t="shared" si="999"/>
        <v/>
      </c>
      <c r="CS434" s="232"/>
      <c r="CT434" s="371"/>
      <c r="CU434" s="300"/>
      <c r="CV434" s="246"/>
      <c r="CW434" s="264"/>
    </row>
    <row r="435" spans="1:101" x14ac:dyDescent="0.2">
      <c r="A435" s="264"/>
      <c r="B435" s="264"/>
      <c r="C435" s="202"/>
      <c r="D435" s="271">
        <v>10</v>
      </c>
      <c r="E435" s="169" t="s">
        <v>290</v>
      </c>
      <c r="F435" s="471">
        <v>1</v>
      </c>
      <c r="G435" s="478" t="s">
        <v>49</v>
      </c>
      <c r="H435" s="479">
        <v>0</v>
      </c>
      <c r="I435" s="170" t="str">
        <f t="shared" si="950"/>
        <v>x</v>
      </c>
      <c r="J435" s="387" t="str">
        <f t="shared" si="951"/>
        <v/>
      </c>
      <c r="K435" s="388" t="str">
        <f t="shared" si="952"/>
        <v/>
      </c>
      <c r="L435" s="299"/>
      <c r="M435" s="375"/>
      <c r="N435" s="379"/>
      <c r="O435" s="236"/>
      <c r="P435" s="236"/>
      <c r="Q435" s="492">
        <v>70</v>
      </c>
      <c r="R435" s="493">
        <v>20</v>
      </c>
      <c r="S435" s="494">
        <f t="shared" si="990"/>
        <v>10</v>
      </c>
      <c r="T435" s="371"/>
      <c r="U435" s="232">
        <f t="shared" si="953"/>
        <v>70</v>
      </c>
      <c r="V435" s="232" t="str">
        <f t="shared" si="954"/>
        <v/>
      </c>
      <c r="W435" s="232" t="str">
        <f t="shared" si="955"/>
        <v/>
      </c>
      <c r="X435" s="232">
        <f t="shared" si="991"/>
        <v>1</v>
      </c>
      <c r="Y435" s="371"/>
      <c r="Z435" s="495">
        <v>80</v>
      </c>
      <c r="AA435" s="496">
        <v>10</v>
      </c>
      <c r="AB435" s="494">
        <f t="shared" si="956"/>
        <v>10</v>
      </c>
      <c r="AC435" s="371"/>
      <c r="AD435" s="232">
        <f t="shared" si="957"/>
        <v>80</v>
      </c>
      <c r="AE435" s="232" t="str">
        <f t="shared" si="958"/>
        <v/>
      </c>
      <c r="AF435" s="232" t="str">
        <f t="shared" si="959"/>
        <v/>
      </c>
      <c r="AG435" s="232">
        <f t="shared" si="992"/>
        <v>1</v>
      </c>
      <c r="AH435" s="371"/>
      <c r="AI435" s="495">
        <v>70</v>
      </c>
      <c r="AJ435" s="496">
        <v>10</v>
      </c>
      <c r="AK435" s="494">
        <f t="shared" si="960"/>
        <v>20</v>
      </c>
      <c r="AL435" s="371"/>
      <c r="AM435" s="232">
        <f t="shared" si="961"/>
        <v>70</v>
      </c>
      <c r="AN435" s="232" t="str">
        <f t="shared" si="962"/>
        <v/>
      </c>
      <c r="AO435" s="232" t="str">
        <f t="shared" si="963"/>
        <v/>
      </c>
      <c r="AP435" s="232">
        <f t="shared" si="993"/>
        <v>1</v>
      </c>
      <c r="AQ435" s="371"/>
      <c r="AR435" s="495">
        <v>40</v>
      </c>
      <c r="AS435" s="496">
        <v>40</v>
      </c>
      <c r="AT435" s="494">
        <f t="shared" si="964"/>
        <v>20</v>
      </c>
      <c r="AU435" s="371"/>
      <c r="AV435" s="232">
        <f t="shared" si="965"/>
        <v>40</v>
      </c>
      <c r="AW435" s="232" t="str">
        <f t="shared" si="966"/>
        <v/>
      </c>
      <c r="AX435" s="232" t="str">
        <f t="shared" si="967"/>
        <v/>
      </c>
      <c r="AY435" s="232">
        <f t="shared" si="994"/>
        <v>1</v>
      </c>
      <c r="AZ435" s="371"/>
      <c r="BA435" s="495">
        <v>80</v>
      </c>
      <c r="BB435" s="496">
        <v>10</v>
      </c>
      <c r="BC435" s="494">
        <f t="shared" si="968"/>
        <v>10</v>
      </c>
      <c r="BD435" s="371"/>
      <c r="BE435" s="232">
        <f t="shared" si="969"/>
        <v>80</v>
      </c>
      <c r="BF435" s="232" t="str">
        <f t="shared" si="970"/>
        <v/>
      </c>
      <c r="BG435" s="232" t="str">
        <f t="shared" si="971"/>
        <v/>
      </c>
      <c r="BH435" s="232">
        <f t="shared" si="995"/>
        <v>1</v>
      </c>
      <c r="BI435" s="371"/>
      <c r="BJ435" s="495">
        <v>60</v>
      </c>
      <c r="BK435" s="496">
        <v>30</v>
      </c>
      <c r="BL435" s="494">
        <f t="shared" si="972"/>
        <v>10</v>
      </c>
      <c r="BM435" s="371"/>
      <c r="BN435" s="232">
        <f t="shared" si="973"/>
        <v>60</v>
      </c>
      <c r="BO435" s="232" t="str">
        <f t="shared" si="974"/>
        <v/>
      </c>
      <c r="BP435" s="232" t="str">
        <f t="shared" si="975"/>
        <v/>
      </c>
      <c r="BQ435" s="232">
        <f t="shared" si="996"/>
        <v>1</v>
      </c>
      <c r="BR435" s="371"/>
      <c r="BS435" s="495">
        <v>50</v>
      </c>
      <c r="BT435" s="496">
        <v>30</v>
      </c>
      <c r="BU435" s="494">
        <f t="shared" si="976"/>
        <v>20</v>
      </c>
      <c r="BV435" s="371"/>
      <c r="BW435" s="232">
        <f t="shared" si="977"/>
        <v>50</v>
      </c>
      <c r="BX435" s="232" t="str">
        <f t="shared" si="978"/>
        <v/>
      </c>
      <c r="BY435" s="232" t="str">
        <f t="shared" si="979"/>
        <v/>
      </c>
      <c r="BZ435" s="232">
        <f t="shared" si="997"/>
        <v>1</v>
      </c>
      <c r="CA435" s="371"/>
      <c r="CB435" s="501">
        <f t="shared" si="980"/>
        <v>70</v>
      </c>
      <c r="CC435" s="502">
        <f t="shared" si="981"/>
        <v>20</v>
      </c>
      <c r="CD435" s="503">
        <f t="shared" si="982"/>
        <v>10</v>
      </c>
      <c r="CE435" s="371"/>
      <c r="CF435" s="232">
        <f t="shared" si="983"/>
        <v>70</v>
      </c>
      <c r="CG435" s="232" t="str">
        <f t="shared" si="984"/>
        <v/>
      </c>
      <c r="CH435" s="232" t="str">
        <f t="shared" si="985"/>
        <v/>
      </c>
      <c r="CI435" s="232">
        <f t="shared" si="998"/>
        <v>1</v>
      </c>
      <c r="CJ435" s="232"/>
      <c r="CK435" s="495">
        <v>70</v>
      </c>
      <c r="CL435" s="496">
        <v>20</v>
      </c>
      <c r="CM435" s="494">
        <f t="shared" si="986"/>
        <v>10</v>
      </c>
      <c r="CN435" s="371"/>
      <c r="CO435" s="232">
        <f t="shared" si="987"/>
        <v>70</v>
      </c>
      <c r="CP435" s="232" t="str">
        <f t="shared" si="988"/>
        <v/>
      </c>
      <c r="CQ435" s="232" t="str">
        <f t="shared" si="989"/>
        <v/>
      </c>
      <c r="CR435" s="232">
        <f t="shared" si="999"/>
        <v>1</v>
      </c>
      <c r="CS435" s="232"/>
      <c r="CT435" s="371"/>
      <c r="CU435" s="300"/>
      <c r="CV435" s="246"/>
      <c r="CW435" s="264"/>
    </row>
    <row r="436" spans="1:101" x14ac:dyDescent="0.2">
      <c r="A436" s="264"/>
      <c r="B436" s="264"/>
      <c r="C436" s="202"/>
      <c r="D436" s="271">
        <v>11</v>
      </c>
      <c r="E436" s="167" t="s">
        <v>291</v>
      </c>
      <c r="F436" s="469">
        <v>0</v>
      </c>
      <c r="G436" s="474" t="s">
        <v>49</v>
      </c>
      <c r="H436" s="475">
        <v>0</v>
      </c>
      <c r="I436" s="389" t="str">
        <f t="shared" si="950"/>
        <v/>
      </c>
      <c r="J436" s="390" t="str">
        <f t="shared" si="951"/>
        <v>x</v>
      </c>
      <c r="K436" s="391" t="str">
        <f t="shared" si="952"/>
        <v/>
      </c>
      <c r="L436" s="299"/>
      <c r="M436" s="375"/>
      <c r="N436" s="379"/>
      <c r="O436" s="236"/>
      <c r="P436" s="236"/>
      <c r="Q436" s="483">
        <v>30</v>
      </c>
      <c r="R436" s="484">
        <v>60</v>
      </c>
      <c r="S436" s="485">
        <f t="shared" si="990"/>
        <v>10</v>
      </c>
      <c r="T436" s="371"/>
      <c r="U436" s="232" t="str">
        <f t="shared" si="953"/>
        <v/>
      </c>
      <c r="V436" s="232">
        <f t="shared" si="954"/>
        <v>60</v>
      </c>
      <c r="W436" s="232" t="str">
        <f t="shared" si="955"/>
        <v/>
      </c>
      <c r="X436" s="232">
        <f t="shared" si="991"/>
        <v>1</v>
      </c>
      <c r="Y436" s="371"/>
      <c r="Z436" s="497">
        <v>80</v>
      </c>
      <c r="AA436" s="498">
        <v>10</v>
      </c>
      <c r="AB436" s="485">
        <f t="shared" si="956"/>
        <v>10</v>
      </c>
      <c r="AC436" s="371"/>
      <c r="AD436" s="232" t="str">
        <f t="shared" si="957"/>
        <v/>
      </c>
      <c r="AE436" s="232">
        <f t="shared" si="958"/>
        <v>10</v>
      </c>
      <c r="AF436" s="232" t="str">
        <f t="shared" si="959"/>
        <v/>
      </c>
      <c r="AG436" s="232" t="str">
        <f t="shared" si="992"/>
        <v/>
      </c>
      <c r="AH436" s="371"/>
      <c r="AI436" s="497">
        <v>30</v>
      </c>
      <c r="AJ436" s="498">
        <v>40</v>
      </c>
      <c r="AK436" s="485">
        <f t="shared" si="960"/>
        <v>30</v>
      </c>
      <c r="AL436" s="371"/>
      <c r="AM436" s="232" t="str">
        <f t="shared" si="961"/>
        <v/>
      </c>
      <c r="AN436" s="232">
        <f t="shared" si="962"/>
        <v>40</v>
      </c>
      <c r="AO436" s="232" t="str">
        <f t="shared" si="963"/>
        <v/>
      </c>
      <c r="AP436" s="232">
        <f t="shared" si="993"/>
        <v>1</v>
      </c>
      <c r="AQ436" s="371"/>
      <c r="AR436" s="497">
        <v>60</v>
      </c>
      <c r="AS436" s="498">
        <v>30</v>
      </c>
      <c r="AT436" s="485">
        <f t="shared" si="964"/>
        <v>10</v>
      </c>
      <c r="AU436" s="371"/>
      <c r="AV436" s="232" t="str">
        <f t="shared" si="965"/>
        <v/>
      </c>
      <c r="AW436" s="232">
        <f t="shared" si="966"/>
        <v>30</v>
      </c>
      <c r="AX436" s="232" t="str">
        <f t="shared" si="967"/>
        <v/>
      </c>
      <c r="AY436" s="232" t="str">
        <f t="shared" si="994"/>
        <v/>
      </c>
      <c r="AZ436" s="371"/>
      <c r="BA436" s="497">
        <v>80</v>
      </c>
      <c r="BB436" s="498">
        <v>10</v>
      </c>
      <c r="BC436" s="485">
        <f t="shared" si="968"/>
        <v>10</v>
      </c>
      <c r="BD436" s="371"/>
      <c r="BE436" s="232" t="str">
        <f t="shared" si="969"/>
        <v/>
      </c>
      <c r="BF436" s="232">
        <f t="shared" si="970"/>
        <v>10</v>
      </c>
      <c r="BG436" s="232" t="str">
        <f t="shared" si="971"/>
        <v/>
      </c>
      <c r="BH436" s="232" t="str">
        <f t="shared" si="995"/>
        <v/>
      </c>
      <c r="BI436" s="371"/>
      <c r="BJ436" s="497">
        <v>20</v>
      </c>
      <c r="BK436" s="498">
        <v>30</v>
      </c>
      <c r="BL436" s="485">
        <f t="shared" si="972"/>
        <v>50</v>
      </c>
      <c r="BM436" s="371"/>
      <c r="BN436" s="232" t="str">
        <f t="shared" si="973"/>
        <v/>
      </c>
      <c r="BO436" s="232">
        <f t="shared" si="974"/>
        <v>30</v>
      </c>
      <c r="BP436" s="232" t="str">
        <f t="shared" si="975"/>
        <v/>
      </c>
      <c r="BQ436" s="232" t="str">
        <f t="shared" si="996"/>
        <v/>
      </c>
      <c r="BR436" s="371"/>
      <c r="BS436" s="497">
        <v>40</v>
      </c>
      <c r="BT436" s="498">
        <v>30</v>
      </c>
      <c r="BU436" s="485">
        <f t="shared" si="976"/>
        <v>30</v>
      </c>
      <c r="BV436" s="371"/>
      <c r="BW436" s="232" t="str">
        <f t="shared" si="977"/>
        <v/>
      </c>
      <c r="BX436" s="232">
        <f t="shared" si="978"/>
        <v>30</v>
      </c>
      <c r="BY436" s="232" t="str">
        <f t="shared" si="979"/>
        <v/>
      </c>
      <c r="BZ436" s="232" t="str">
        <f t="shared" si="997"/>
        <v/>
      </c>
      <c r="CA436" s="371"/>
      <c r="CB436" s="504">
        <f t="shared" si="980"/>
        <v>50</v>
      </c>
      <c r="CC436" s="505">
        <f t="shared" si="981"/>
        <v>30</v>
      </c>
      <c r="CD436" s="506">
        <f t="shared" si="982"/>
        <v>20</v>
      </c>
      <c r="CE436" s="371"/>
      <c r="CF436" s="232" t="str">
        <f t="shared" si="983"/>
        <v/>
      </c>
      <c r="CG436" s="232">
        <f t="shared" si="984"/>
        <v>30</v>
      </c>
      <c r="CH436" s="232" t="str">
        <f t="shared" si="985"/>
        <v/>
      </c>
      <c r="CI436" s="232" t="str">
        <f t="shared" si="998"/>
        <v/>
      </c>
      <c r="CJ436" s="232"/>
      <c r="CK436" s="497">
        <v>60</v>
      </c>
      <c r="CL436" s="498">
        <v>30</v>
      </c>
      <c r="CM436" s="485">
        <f t="shared" si="986"/>
        <v>10</v>
      </c>
      <c r="CN436" s="371"/>
      <c r="CO436" s="232" t="str">
        <f t="shared" si="987"/>
        <v/>
      </c>
      <c r="CP436" s="232">
        <f t="shared" si="988"/>
        <v>30</v>
      </c>
      <c r="CQ436" s="232" t="str">
        <f t="shared" si="989"/>
        <v/>
      </c>
      <c r="CR436" s="232" t="str">
        <f t="shared" si="999"/>
        <v/>
      </c>
      <c r="CS436" s="232"/>
      <c r="CT436" s="371"/>
      <c r="CU436" s="300"/>
      <c r="CV436" s="246"/>
      <c r="CW436" s="264"/>
    </row>
    <row r="437" spans="1:101" ht="13.5" thickBot="1" x14ac:dyDescent="0.25">
      <c r="A437" s="264"/>
      <c r="B437" s="264"/>
      <c r="C437" s="202"/>
      <c r="D437" s="271">
        <v>12</v>
      </c>
      <c r="E437" s="168" t="s">
        <v>292</v>
      </c>
      <c r="F437" s="470">
        <v>0</v>
      </c>
      <c r="G437" s="476" t="s">
        <v>49</v>
      </c>
      <c r="H437" s="477">
        <v>2</v>
      </c>
      <c r="I437" s="392" t="str">
        <f t="shared" si="950"/>
        <v/>
      </c>
      <c r="J437" s="393" t="str">
        <f t="shared" si="951"/>
        <v/>
      </c>
      <c r="K437" s="394" t="str">
        <f t="shared" si="952"/>
        <v>x</v>
      </c>
      <c r="L437" s="299"/>
      <c r="M437" s="375"/>
      <c r="N437" s="379"/>
      <c r="O437" s="236"/>
      <c r="P437" s="236"/>
      <c r="Q437" s="489">
        <v>40</v>
      </c>
      <c r="R437" s="490">
        <v>30</v>
      </c>
      <c r="S437" s="491">
        <f t="shared" si="990"/>
        <v>30</v>
      </c>
      <c r="T437" s="371"/>
      <c r="U437" s="232" t="str">
        <f t="shared" si="953"/>
        <v/>
      </c>
      <c r="V437" s="232" t="str">
        <f t="shared" si="954"/>
        <v/>
      </c>
      <c r="W437" s="232">
        <f t="shared" si="955"/>
        <v>30</v>
      </c>
      <c r="X437" s="232" t="str">
        <f t="shared" si="991"/>
        <v/>
      </c>
      <c r="Y437" s="371"/>
      <c r="Z437" s="499">
        <v>80</v>
      </c>
      <c r="AA437" s="500">
        <v>10</v>
      </c>
      <c r="AB437" s="491">
        <f t="shared" si="956"/>
        <v>10</v>
      </c>
      <c r="AC437" s="371"/>
      <c r="AD437" s="232" t="str">
        <f t="shared" si="957"/>
        <v/>
      </c>
      <c r="AE437" s="232" t="str">
        <f t="shared" si="958"/>
        <v/>
      </c>
      <c r="AF437" s="232">
        <f t="shared" si="959"/>
        <v>10</v>
      </c>
      <c r="AG437" s="232" t="str">
        <f t="shared" si="992"/>
        <v/>
      </c>
      <c r="AH437" s="371"/>
      <c r="AI437" s="499">
        <v>60</v>
      </c>
      <c r="AJ437" s="500">
        <v>20</v>
      </c>
      <c r="AK437" s="491">
        <f t="shared" si="960"/>
        <v>20</v>
      </c>
      <c r="AL437" s="371"/>
      <c r="AM437" s="232" t="str">
        <f t="shared" si="961"/>
        <v/>
      </c>
      <c r="AN437" s="232" t="str">
        <f t="shared" si="962"/>
        <v/>
      </c>
      <c r="AO437" s="232">
        <f t="shared" si="963"/>
        <v>20</v>
      </c>
      <c r="AP437" s="232" t="str">
        <f t="shared" si="993"/>
        <v/>
      </c>
      <c r="AQ437" s="371"/>
      <c r="AR437" s="499">
        <v>60</v>
      </c>
      <c r="AS437" s="500">
        <v>30</v>
      </c>
      <c r="AT437" s="491">
        <f t="shared" si="964"/>
        <v>10</v>
      </c>
      <c r="AU437" s="371"/>
      <c r="AV437" s="232" t="str">
        <f t="shared" si="965"/>
        <v/>
      </c>
      <c r="AW437" s="232" t="str">
        <f t="shared" si="966"/>
        <v/>
      </c>
      <c r="AX437" s="232">
        <f t="shared" si="967"/>
        <v>10</v>
      </c>
      <c r="AY437" s="232" t="str">
        <f t="shared" si="994"/>
        <v/>
      </c>
      <c r="AZ437" s="371"/>
      <c r="BA437" s="499">
        <v>80</v>
      </c>
      <c r="BB437" s="500">
        <v>10</v>
      </c>
      <c r="BC437" s="491">
        <f t="shared" si="968"/>
        <v>10</v>
      </c>
      <c r="BD437" s="371"/>
      <c r="BE437" s="232" t="str">
        <f t="shared" si="969"/>
        <v/>
      </c>
      <c r="BF437" s="232" t="str">
        <f t="shared" si="970"/>
        <v/>
      </c>
      <c r="BG437" s="232">
        <f t="shared" si="971"/>
        <v>10</v>
      </c>
      <c r="BH437" s="232" t="str">
        <f t="shared" si="995"/>
        <v/>
      </c>
      <c r="BI437" s="371"/>
      <c r="BJ437" s="499">
        <v>30</v>
      </c>
      <c r="BK437" s="500">
        <v>40</v>
      </c>
      <c r="BL437" s="491">
        <f t="shared" si="972"/>
        <v>30</v>
      </c>
      <c r="BM437" s="371"/>
      <c r="BN437" s="232" t="str">
        <f t="shared" si="973"/>
        <v/>
      </c>
      <c r="BO437" s="232" t="str">
        <f t="shared" si="974"/>
        <v/>
      </c>
      <c r="BP437" s="232">
        <f t="shared" si="975"/>
        <v>30</v>
      </c>
      <c r="BQ437" s="232" t="str">
        <f t="shared" si="996"/>
        <v/>
      </c>
      <c r="BR437" s="371"/>
      <c r="BS437" s="499">
        <v>40</v>
      </c>
      <c r="BT437" s="500">
        <v>50</v>
      </c>
      <c r="BU437" s="491">
        <f t="shared" si="976"/>
        <v>10</v>
      </c>
      <c r="BV437" s="371"/>
      <c r="BW437" s="232" t="str">
        <f t="shared" si="977"/>
        <v/>
      </c>
      <c r="BX437" s="232" t="str">
        <f t="shared" si="978"/>
        <v/>
      </c>
      <c r="BY437" s="232">
        <f t="shared" si="979"/>
        <v>10</v>
      </c>
      <c r="BZ437" s="232" t="str">
        <f t="shared" si="997"/>
        <v/>
      </c>
      <c r="CA437" s="371"/>
      <c r="CB437" s="507">
        <f t="shared" si="980"/>
        <v>60</v>
      </c>
      <c r="CC437" s="508">
        <f t="shared" si="981"/>
        <v>20</v>
      </c>
      <c r="CD437" s="509">
        <f t="shared" si="982"/>
        <v>20</v>
      </c>
      <c r="CE437" s="371"/>
      <c r="CF437" s="232" t="str">
        <f t="shared" si="983"/>
        <v/>
      </c>
      <c r="CG437" s="232" t="str">
        <f t="shared" si="984"/>
        <v/>
      </c>
      <c r="CH437" s="232">
        <f t="shared" si="985"/>
        <v>20</v>
      </c>
      <c r="CI437" s="232" t="str">
        <f t="shared" si="998"/>
        <v/>
      </c>
      <c r="CJ437" s="232"/>
      <c r="CK437" s="499">
        <v>60</v>
      </c>
      <c r="CL437" s="500">
        <v>20</v>
      </c>
      <c r="CM437" s="491">
        <f t="shared" si="986"/>
        <v>20</v>
      </c>
      <c r="CN437" s="371"/>
      <c r="CO437" s="232" t="str">
        <f t="shared" si="987"/>
        <v/>
      </c>
      <c r="CP437" s="232" t="str">
        <f t="shared" si="988"/>
        <v/>
      </c>
      <c r="CQ437" s="232">
        <f t="shared" si="989"/>
        <v>20</v>
      </c>
      <c r="CR437" s="232" t="str">
        <f t="shared" si="999"/>
        <v/>
      </c>
      <c r="CS437" s="232"/>
      <c r="CT437" s="371"/>
      <c r="CU437" s="300"/>
      <c r="CV437" s="246"/>
      <c r="CW437" s="264"/>
    </row>
    <row r="438" spans="1:101" x14ac:dyDescent="0.2">
      <c r="A438" s="264"/>
      <c r="B438" s="264"/>
      <c r="C438" s="202"/>
      <c r="D438" s="272"/>
      <c r="E438" s="235"/>
      <c r="F438" s="395">
        <f>IF(SUM(F426:F437)=0,"",SUM(F426:F437))</f>
        <v>13</v>
      </c>
      <c r="G438" s="370" t="s">
        <v>49</v>
      </c>
      <c r="H438" s="396">
        <f>IF(SUM(H426:H437)=0,"",SUM(H426:H437))</f>
        <v>17</v>
      </c>
      <c r="I438" s="397">
        <f>IF(COUNTIF(I426:I437,"=x")=0,"",COUNTIF(I426:I437,"=x"))</f>
        <v>3</v>
      </c>
      <c r="J438" s="398">
        <f>IF(COUNTIF(J426:J437,"=x")=0,"",COUNTIF(J426:J437,"=x"))</f>
        <v>3</v>
      </c>
      <c r="K438" s="399">
        <f>IF(COUNTIF(K426:K437,"=x")=0,"",COUNTIF(K426:K437,"=x"))</f>
        <v>6</v>
      </c>
      <c r="L438" s="299"/>
      <c r="M438" s="375"/>
      <c r="N438" s="379"/>
      <c r="O438" s="236"/>
      <c r="P438" s="369"/>
      <c r="Q438" s="466">
        <f>SUM(U426:U437)</f>
        <v>190</v>
      </c>
      <c r="R438" s="466">
        <f>SUM(V426:V437)</f>
        <v>100</v>
      </c>
      <c r="S438" s="466">
        <f>SUM(W426:W437)</f>
        <v>200</v>
      </c>
      <c r="T438" s="368"/>
      <c r="U438" s="232"/>
      <c r="V438" s="232"/>
      <c r="W438" s="232"/>
      <c r="X438" s="232"/>
      <c r="Y438" s="367"/>
      <c r="Z438" s="466">
        <f>SUM(AD426:AD437)</f>
        <v>240</v>
      </c>
      <c r="AA438" s="466">
        <f>SUM(AE426:AE437)</f>
        <v>30</v>
      </c>
      <c r="AB438" s="466">
        <f>SUM(AF426:AF437)</f>
        <v>200</v>
      </c>
      <c r="AC438" s="368"/>
      <c r="AD438" s="232"/>
      <c r="AE438" s="232"/>
      <c r="AF438" s="232"/>
      <c r="AG438" s="232"/>
      <c r="AH438" s="367"/>
      <c r="AI438" s="466">
        <f>SUM(AM426:AM437)</f>
        <v>230</v>
      </c>
      <c r="AJ438" s="466">
        <f>SUM(AN426:AN437)</f>
        <v>90</v>
      </c>
      <c r="AK438" s="466">
        <f>SUM(AO426:AO437)</f>
        <v>230</v>
      </c>
      <c r="AL438" s="368"/>
      <c r="AM438" s="232"/>
      <c r="AN438" s="232"/>
      <c r="AO438" s="232"/>
      <c r="AP438" s="232"/>
      <c r="AQ438" s="367"/>
      <c r="AR438" s="466">
        <f>SUM(AV426:AV437)</f>
        <v>180</v>
      </c>
      <c r="AS438" s="466">
        <f>SUM(AW426:AW437)</f>
        <v>70</v>
      </c>
      <c r="AT438" s="466">
        <f>SUM(AX426:AX437)</f>
        <v>180</v>
      </c>
      <c r="AU438" s="368"/>
      <c r="AV438" s="232"/>
      <c r="AW438" s="232"/>
      <c r="AX438" s="232"/>
      <c r="AY438" s="232"/>
      <c r="AZ438" s="367"/>
      <c r="BA438" s="466">
        <f>SUM(BE426:BE437)</f>
        <v>240</v>
      </c>
      <c r="BB438" s="466">
        <f>SUM(BF426:BF437)</f>
        <v>30</v>
      </c>
      <c r="BC438" s="466">
        <f>SUM(BG426:BG437)</f>
        <v>200</v>
      </c>
      <c r="BD438" s="368"/>
      <c r="BE438" s="232"/>
      <c r="BF438" s="232"/>
      <c r="BG438" s="232"/>
      <c r="BH438" s="232"/>
      <c r="BI438" s="367"/>
      <c r="BJ438" s="466">
        <f>SUM(BN426:BN437)</f>
        <v>220</v>
      </c>
      <c r="BK438" s="466">
        <f>SUM(BO426:BO437)</f>
        <v>50</v>
      </c>
      <c r="BL438" s="466">
        <f>SUM(BP426:BP437)</f>
        <v>270</v>
      </c>
      <c r="BM438" s="368"/>
      <c r="BN438" s="232"/>
      <c r="BO438" s="232"/>
      <c r="BP438" s="232"/>
      <c r="BQ438" s="232"/>
      <c r="BR438" s="367"/>
      <c r="BS438" s="466">
        <f>SUM(BW426:BW437)</f>
        <v>180</v>
      </c>
      <c r="BT438" s="466">
        <f>SUM(BX426:BX437)</f>
        <v>70</v>
      </c>
      <c r="BU438" s="466">
        <f>SUM(BY426:BY437)</f>
        <v>170</v>
      </c>
      <c r="BV438" s="368"/>
      <c r="BW438" s="232"/>
      <c r="BX438" s="232"/>
      <c r="BY438" s="232"/>
      <c r="BZ438" s="232"/>
      <c r="CA438" s="369"/>
      <c r="CB438" s="466">
        <f>SUM(CF426:CF437)</f>
        <v>220</v>
      </c>
      <c r="CC438" s="466">
        <f>SUM(CG426:CG437)</f>
        <v>60</v>
      </c>
      <c r="CD438" s="466">
        <f>SUM(CH426:CH437)</f>
        <v>210</v>
      </c>
      <c r="CE438" s="368"/>
      <c r="CF438" s="232"/>
      <c r="CG438" s="232"/>
      <c r="CH438" s="232"/>
      <c r="CI438" s="232"/>
      <c r="CJ438" s="232"/>
      <c r="CK438" s="466">
        <f>SUM(CO426:CO437)</f>
        <v>210</v>
      </c>
      <c r="CL438" s="466">
        <f>SUM(CP426:CP437)</f>
        <v>50</v>
      </c>
      <c r="CM438" s="466">
        <f>SUM(CQ426:CQ437)</f>
        <v>200</v>
      </c>
      <c r="CN438" s="368"/>
      <c r="CO438" s="232"/>
      <c r="CP438" s="232"/>
      <c r="CQ438" s="232"/>
      <c r="CR438" s="232"/>
      <c r="CS438" s="232"/>
      <c r="CT438" s="232"/>
      <c r="CU438" s="300"/>
      <c r="CV438" s="246"/>
      <c r="CW438" s="265"/>
    </row>
    <row r="439" spans="1:101" ht="13.5" thickBot="1" x14ac:dyDescent="0.25">
      <c r="A439" s="264"/>
      <c r="B439" s="264"/>
      <c r="C439" s="202"/>
      <c r="D439" s="289"/>
      <c r="E439" s="282"/>
      <c r="F439" s="283"/>
      <c r="G439" s="282"/>
      <c r="H439" s="282"/>
      <c r="I439" s="282"/>
      <c r="J439" s="282"/>
      <c r="K439" s="282"/>
      <c r="L439" s="293"/>
      <c r="M439" s="301"/>
      <c r="N439" s="380"/>
      <c r="O439" s="376"/>
      <c r="P439" s="284"/>
      <c r="Q439" s="285"/>
      <c r="R439" s="285"/>
      <c r="S439" s="285"/>
      <c r="T439" s="286"/>
      <c r="U439" s="287"/>
      <c r="V439" s="287"/>
      <c r="W439" s="287"/>
      <c r="X439" s="287"/>
      <c r="Y439" s="284"/>
      <c r="Z439" s="285"/>
      <c r="AA439" s="285"/>
      <c r="AB439" s="285"/>
      <c r="AC439" s="286"/>
      <c r="AD439" s="287"/>
      <c r="AE439" s="287"/>
      <c r="AF439" s="287"/>
      <c r="AG439" s="288"/>
      <c r="AH439" s="284"/>
      <c r="AI439" s="285"/>
      <c r="AJ439" s="285"/>
      <c r="AK439" s="285"/>
      <c r="AL439" s="286"/>
      <c r="AM439" s="287"/>
      <c r="AN439" s="287"/>
      <c r="AO439" s="287"/>
      <c r="AP439" s="288"/>
      <c r="AQ439" s="284"/>
      <c r="AR439" s="285"/>
      <c r="AS439" s="285"/>
      <c r="AT439" s="285"/>
      <c r="AU439" s="286"/>
      <c r="AV439" s="287"/>
      <c r="AW439" s="287"/>
      <c r="AX439" s="287"/>
      <c r="AY439" s="288"/>
      <c r="AZ439" s="284"/>
      <c r="BA439" s="285"/>
      <c r="BB439" s="285"/>
      <c r="BC439" s="285"/>
      <c r="BD439" s="286"/>
      <c r="BE439" s="287"/>
      <c r="BF439" s="287"/>
      <c r="BG439" s="287"/>
      <c r="BH439" s="288"/>
      <c r="BI439" s="284"/>
      <c r="BJ439" s="284"/>
      <c r="BK439" s="284"/>
      <c r="BL439" s="284"/>
      <c r="BM439" s="284"/>
      <c r="BN439" s="284"/>
      <c r="BO439" s="284"/>
      <c r="BP439" s="284"/>
      <c r="BQ439" s="284"/>
      <c r="BR439" s="284"/>
      <c r="BS439" s="284"/>
      <c r="BT439" s="284"/>
      <c r="BU439" s="284"/>
      <c r="BV439" s="284"/>
      <c r="BW439" s="284"/>
      <c r="BX439" s="284"/>
      <c r="BY439" s="284"/>
      <c r="BZ439" s="284"/>
      <c r="CA439" s="284"/>
      <c r="CB439" s="284"/>
      <c r="CC439" s="284"/>
      <c r="CD439" s="284"/>
      <c r="CE439" s="284"/>
      <c r="CF439" s="284"/>
      <c r="CG439" s="284"/>
      <c r="CH439" s="284"/>
      <c r="CI439" s="284"/>
      <c r="CJ439" s="288"/>
      <c r="CK439" s="288"/>
      <c r="CL439" s="288"/>
      <c r="CM439" s="288"/>
      <c r="CN439" s="288"/>
      <c r="CO439" s="288"/>
      <c r="CP439" s="288"/>
      <c r="CQ439" s="288"/>
      <c r="CR439" s="288"/>
      <c r="CS439" s="288"/>
      <c r="CT439" s="282"/>
      <c r="CU439" s="294"/>
      <c r="CV439" s="246"/>
      <c r="CW439" s="265"/>
    </row>
    <row r="440" spans="1:101" ht="14.25" thickTop="1" thickBot="1" x14ac:dyDescent="0.25">
      <c r="A440" s="256"/>
      <c r="B440" s="256"/>
      <c r="C440" s="210"/>
      <c r="D440" s="211"/>
      <c r="E440" s="247"/>
      <c r="F440" s="248"/>
      <c r="G440" s="247"/>
      <c r="H440" s="247"/>
      <c r="I440" s="247"/>
      <c r="J440" s="247"/>
      <c r="K440" s="247"/>
      <c r="L440" s="249"/>
      <c r="M440" s="250"/>
      <c r="N440" s="250"/>
      <c r="O440" s="250"/>
      <c r="P440" s="250"/>
      <c r="Q440" s="247"/>
      <c r="R440" s="247"/>
      <c r="S440" s="247"/>
      <c r="T440" s="251"/>
      <c r="U440" s="252"/>
      <c r="V440" s="252"/>
      <c r="W440" s="252"/>
      <c r="X440" s="252"/>
      <c r="Y440" s="250"/>
      <c r="Z440" s="247"/>
      <c r="AA440" s="247"/>
      <c r="AB440" s="247"/>
      <c r="AC440" s="251"/>
      <c r="AD440" s="252"/>
      <c r="AE440" s="252"/>
      <c r="AF440" s="252"/>
      <c r="AG440" s="247"/>
      <c r="AH440" s="250"/>
      <c r="AI440" s="247"/>
      <c r="AJ440" s="247"/>
      <c r="AK440" s="247"/>
      <c r="AL440" s="251"/>
      <c r="AM440" s="252"/>
      <c r="AN440" s="252"/>
      <c r="AO440" s="252"/>
      <c r="AP440" s="253"/>
      <c r="AQ440" s="250"/>
      <c r="AR440" s="247"/>
      <c r="AS440" s="247"/>
      <c r="AT440" s="247"/>
      <c r="AU440" s="251"/>
      <c r="AV440" s="252"/>
      <c r="AW440" s="252"/>
      <c r="AX440" s="252"/>
      <c r="AY440" s="247"/>
      <c r="AZ440" s="250"/>
      <c r="BA440" s="247"/>
      <c r="BB440" s="247"/>
      <c r="BC440" s="247"/>
      <c r="BD440" s="251"/>
      <c r="BE440" s="252"/>
      <c r="BF440" s="252"/>
      <c r="BG440" s="252"/>
      <c r="BH440" s="247"/>
      <c r="BI440" s="250"/>
      <c r="BJ440" s="247"/>
      <c r="BK440" s="247"/>
      <c r="BL440" s="247"/>
      <c r="BM440" s="251"/>
      <c r="BN440" s="252"/>
      <c r="BO440" s="252"/>
      <c r="BP440" s="252"/>
      <c r="BQ440" s="247"/>
      <c r="BR440" s="212"/>
      <c r="BS440" s="247"/>
      <c r="BT440" s="247"/>
      <c r="BU440" s="247"/>
      <c r="BV440" s="250"/>
      <c r="BW440" s="252"/>
      <c r="BX440" s="252"/>
      <c r="BY440" s="252"/>
      <c r="BZ440" s="247"/>
      <c r="CA440" s="247"/>
      <c r="CB440" s="253"/>
      <c r="CC440" s="253"/>
      <c r="CD440" s="253"/>
      <c r="CE440" s="253"/>
      <c r="CF440" s="247"/>
      <c r="CG440" s="247"/>
      <c r="CH440" s="247"/>
      <c r="CI440" s="247"/>
      <c r="CJ440" s="247"/>
      <c r="CK440" s="247"/>
      <c r="CL440" s="247"/>
      <c r="CM440" s="247"/>
      <c r="CN440" s="247"/>
      <c r="CO440" s="247"/>
      <c r="CP440" s="247"/>
      <c r="CQ440" s="247"/>
      <c r="CR440" s="247"/>
      <c r="CS440" s="247"/>
      <c r="CT440" s="247"/>
      <c r="CU440" s="247"/>
      <c r="CV440" s="254"/>
      <c r="CW440" s="255"/>
    </row>
    <row r="441" spans="1:101" ht="14.25" thickTop="1" thickBot="1" x14ac:dyDescent="0.25">
      <c r="A441" s="255"/>
      <c r="B441" s="255"/>
      <c r="C441" s="255"/>
      <c r="D441" s="255"/>
      <c r="E441" s="255"/>
      <c r="F441" s="255"/>
      <c r="G441" s="255"/>
      <c r="H441" s="255"/>
      <c r="I441" s="255"/>
      <c r="J441" s="255"/>
      <c r="K441" s="255"/>
      <c r="L441" s="255"/>
      <c r="M441" s="255"/>
      <c r="N441" s="255"/>
      <c r="O441" s="255"/>
      <c r="P441" s="255"/>
      <c r="Q441" s="255"/>
      <c r="R441" s="255"/>
      <c r="S441" s="255"/>
      <c r="T441" s="255"/>
      <c r="U441" s="255"/>
      <c r="V441" s="255"/>
      <c r="W441" s="255"/>
      <c r="X441" s="255"/>
      <c r="Y441" s="255"/>
      <c r="Z441" s="255"/>
      <c r="AA441" s="255"/>
      <c r="AB441" s="255"/>
      <c r="AC441" s="255"/>
      <c r="AD441" s="255"/>
      <c r="AE441" s="255"/>
      <c r="AF441" s="255"/>
      <c r="AG441" s="255"/>
      <c r="AH441" s="255"/>
      <c r="AI441" s="255"/>
      <c r="AJ441" s="255"/>
      <c r="AK441" s="255"/>
      <c r="AL441" s="255"/>
      <c r="AM441" s="255"/>
      <c r="AN441" s="255"/>
      <c r="AO441" s="255"/>
      <c r="AP441" s="255"/>
      <c r="AQ441" s="255"/>
      <c r="AR441" s="255"/>
      <c r="AS441" s="255"/>
      <c r="AT441" s="255"/>
      <c r="AU441" s="255"/>
      <c r="AV441" s="255"/>
      <c r="AW441" s="255"/>
      <c r="AX441" s="255"/>
      <c r="AY441" s="255"/>
      <c r="AZ441" s="255"/>
      <c r="BA441" s="255"/>
      <c r="BB441" s="255"/>
      <c r="BC441" s="255"/>
      <c r="BD441" s="255"/>
      <c r="BE441" s="255"/>
      <c r="BF441" s="255"/>
      <c r="BG441" s="255"/>
      <c r="BH441" s="255"/>
      <c r="BI441" s="255"/>
      <c r="BJ441" s="255"/>
      <c r="BK441" s="255"/>
      <c r="BL441" s="255"/>
      <c r="BM441" s="255"/>
      <c r="BN441" s="255"/>
      <c r="BO441" s="255"/>
      <c r="BP441" s="255"/>
      <c r="BQ441" s="255"/>
      <c r="BR441" s="255"/>
      <c r="BS441" s="255"/>
      <c r="BT441" s="255"/>
      <c r="BU441" s="255"/>
      <c r="BV441" s="255"/>
      <c r="BW441" s="255"/>
      <c r="BX441" s="255"/>
      <c r="BY441" s="255"/>
      <c r="BZ441" s="255"/>
      <c r="CA441" s="255"/>
      <c r="CB441" s="436"/>
      <c r="CC441" s="436"/>
      <c r="CD441" s="436"/>
      <c r="CE441" s="436"/>
      <c r="CF441" s="255"/>
      <c r="CG441" s="255"/>
      <c r="CH441" s="255"/>
      <c r="CI441" s="255"/>
      <c r="CJ441" s="255"/>
      <c r="CK441" s="255"/>
      <c r="CL441" s="255"/>
      <c r="CM441" s="255"/>
      <c r="CN441" s="255"/>
      <c r="CO441" s="255"/>
      <c r="CP441" s="255"/>
      <c r="CQ441" s="255"/>
      <c r="CR441" s="255"/>
      <c r="CS441" s="255"/>
      <c r="CT441" s="255"/>
      <c r="CU441" s="255"/>
      <c r="CV441" s="255"/>
      <c r="CW441" s="255"/>
    </row>
    <row r="442" spans="1:101" ht="21" thickTop="1" x14ac:dyDescent="0.3">
      <c r="A442" s="256"/>
      <c r="B442" s="256"/>
      <c r="C442" s="190"/>
      <c r="D442" s="191"/>
      <c r="E442" s="866" t="str">
        <f>E2</f>
        <v>STPS 2026</v>
      </c>
      <c r="F442" s="267"/>
      <c r="G442" s="267"/>
      <c r="H442" s="267"/>
      <c r="I442" s="192"/>
      <c r="J442" s="192"/>
      <c r="K442" s="192"/>
      <c r="L442" s="193"/>
      <c r="M442" s="192"/>
      <c r="N442" s="192"/>
      <c r="O442" s="192"/>
      <c r="P442" s="194"/>
      <c r="Q442" s="192"/>
      <c r="R442" s="192"/>
      <c r="S442" s="192"/>
      <c r="T442" s="195"/>
      <c r="U442" s="196"/>
      <c r="V442" s="196"/>
      <c r="W442" s="196"/>
      <c r="X442" s="196"/>
      <c r="Y442" s="194"/>
      <c r="Z442" s="192"/>
      <c r="AA442" s="192"/>
      <c r="AB442" s="192"/>
      <c r="AC442" s="195"/>
      <c r="AD442" s="196"/>
      <c r="AE442" s="196"/>
      <c r="AF442" s="196"/>
      <c r="AG442" s="197"/>
      <c r="AH442" s="194"/>
      <c r="AI442" s="192"/>
      <c r="AJ442" s="237"/>
      <c r="AK442" s="237"/>
      <c r="AL442" s="198"/>
      <c r="AM442" s="238"/>
      <c r="AN442" s="238"/>
      <c r="AO442" s="238"/>
      <c r="AP442" s="197"/>
      <c r="AQ442" s="239"/>
      <c r="AR442" s="240"/>
      <c r="AS442" s="199"/>
      <c r="AT442" s="200"/>
      <c r="AU442" s="198"/>
      <c r="AV442" s="196"/>
      <c r="AW442" s="196"/>
      <c r="AX442" s="196"/>
      <c r="AY442" s="197"/>
      <c r="AZ442" s="239"/>
      <c r="BA442" s="240"/>
      <c r="BB442" s="200"/>
      <c r="BC442" s="237"/>
      <c r="BD442" s="241"/>
      <c r="BE442" s="196"/>
      <c r="BF442" s="196"/>
      <c r="BG442" s="196"/>
      <c r="BH442" s="197"/>
      <c r="BI442" s="242"/>
      <c r="BJ442" s="237"/>
      <c r="BK442" s="237"/>
      <c r="BL442" s="237"/>
      <c r="BM442" s="241"/>
      <c r="BN442" s="196"/>
      <c r="BO442" s="196"/>
      <c r="BP442" s="196"/>
      <c r="BQ442" s="197"/>
      <c r="BR442" s="201"/>
      <c r="BS442" s="237"/>
      <c r="BT442" s="237"/>
      <c r="BU442" s="237"/>
      <c r="BV442" s="242"/>
      <c r="BW442" s="237"/>
      <c r="BX442" s="237"/>
      <c r="BY442" s="237"/>
      <c r="BZ442" s="237"/>
      <c r="CA442" s="237"/>
      <c r="CB442" s="437"/>
      <c r="CC442" s="437"/>
      <c r="CD442" s="437"/>
      <c r="CE442" s="437"/>
      <c r="CF442" s="237"/>
      <c r="CG442" s="237"/>
      <c r="CH442" s="237"/>
      <c r="CI442" s="237"/>
      <c r="CJ442" s="197"/>
      <c r="CK442" s="197"/>
      <c r="CL442" s="197"/>
      <c r="CM442" s="197"/>
      <c r="CN442" s="197"/>
      <c r="CO442" s="197"/>
      <c r="CP442" s="197"/>
      <c r="CQ442" s="197"/>
      <c r="CR442" s="197"/>
      <c r="CS442" s="197"/>
      <c r="CT442" s="401"/>
      <c r="CU442" s="237"/>
      <c r="CV442" s="243"/>
      <c r="CW442" s="255"/>
    </row>
    <row r="443" spans="1:101" ht="13.5" thickBot="1" x14ac:dyDescent="0.25">
      <c r="A443" s="256"/>
      <c r="B443" s="256"/>
      <c r="C443" s="202"/>
      <c r="D443" s="188"/>
      <c r="E443" s="266" t="str">
        <f>E3</f>
        <v>Skorgen Tippelag</v>
      </c>
      <c r="F443" s="406"/>
      <c r="G443" s="406"/>
      <c r="H443" s="406"/>
      <c r="I443" s="406"/>
      <c r="J443" s="406"/>
      <c r="K443" s="406"/>
      <c r="L443" s="406"/>
      <c r="M443" s="406"/>
      <c r="N443" s="406"/>
      <c r="O443" s="406"/>
      <c r="P443" s="406"/>
      <c r="Q443" s="406"/>
      <c r="R443" s="406"/>
      <c r="S443" s="406"/>
      <c r="T443" s="406"/>
      <c r="U443" s="406"/>
      <c r="V443" s="406"/>
      <c r="W443" s="406"/>
      <c r="X443" s="406"/>
      <c r="Y443" s="406"/>
      <c r="Z443" s="406"/>
      <c r="AA443" s="406"/>
      <c r="AB443" s="406"/>
      <c r="AC443" s="406"/>
      <c r="AD443" s="406"/>
      <c r="AE443" s="406"/>
      <c r="AF443" s="406"/>
      <c r="AG443" s="406"/>
      <c r="AH443" s="406"/>
      <c r="AI443" s="406"/>
      <c r="AJ443" s="406"/>
      <c r="AK443" s="406"/>
      <c r="AL443" s="406"/>
      <c r="AM443" s="406"/>
      <c r="AN443" s="406"/>
      <c r="AO443" s="406"/>
      <c r="AP443" s="406"/>
      <c r="AQ443" s="406"/>
      <c r="AR443" s="406"/>
      <c r="AS443" s="406"/>
      <c r="AT443" s="406"/>
      <c r="AU443" s="406"/>
      <c r="AV443" s="406"/>
      <c r="AW443" s="406"/>
      <c r="AX443" s="406"/>
      <c r="AY443" s="406"/>
      <c r="AZ443" s="406"/>
      <c r="BA443" s="406"/>
      <c r="BB443" s="406"/>
      <c r="BC443" s="406"/>
      <c r="BD443" s="406"/>
      <c r="BE443" s="406"/>
      <c r="BF443" s="406"/>
      <c r="BG443" s="406"/>
      <c r="BH443" s="406"/>
      <c r="BI443" s="406"/>
      <c r="BJ443" s="406"/>
      <c r="BK443" s="406"/>
      <c r="BL443" s="406"/>
      <c r="BM443" s="406"/>
      <c r="BN443" s="406"/>
      <c r="BO443" s="406"/>
      <c r="BP443" s="406"/>
      <c r="BQ443" s="406"/>
      <c r="BR443" s="406"/>
      <c r="BS443" s="406"/>
      <c r="BT443" s="406"/>
      <c r="BU443" s="406"/>
      <c r="BV443" s="406"/>
      <c r="BW443" s="406"/>
      <c r="BX443" s="406"/>
      <c r="BY443" s="406"/>
      <c r="BZ443" s="406"/>
      <c r="CA443" s="406"/>
      <c r="CB443" s="438"/>
      <c r="CC443" s="438"/>
      <c r="CD443" s="438"/>
      <c r="CE443" s="438"/>
      <c r="CF443" s="406"/>
      <c r="CG443" s="406"/>
      <c r="CH443" s="406"/>
      <c r="CI443" s="406"/>
      <c r="CJ443" s="406"/>
      <c r="CK443" s="406"/>
      <c r="CL443" s="406"/>
      <c r="CM443" s="406"/>
      <c r="CN443" s="366"/>
      <c r="CO443" s="366"/>
      <c r="CP443" s="366"/>
      <c r="CQ443" s="366"/>
      <c r="CR443" s="366"/>
      <c r="CS443" s="366"/>
      <c r="CT443" s="187"/>
      <c r="CU443" s="310"/>
      <c r="CV443" s="246"/>
      <c r="CW443" s="255"/>
    </row>
    <row r="444" spans="1:101" ht="18.75" thickTop="1" x14ac:dyDescent="0.2">
      <c r="A444" s="256"/>
      <c r="B444" s="256"/>
      <c r="C444" s="209"/>
      <c r="D444" s="290"/>
      <c r="E444" s="273"/>
      <c r="F444" s="274"/>
      <c r="G444" s="273"/>
      <c r="H444" s="273"/>
      <c r="I444" s="803" t="s">
        <v>39</v>
      </c>
      <c r="J444" s="805"/>
      <c r="K444" s="805"/>
      <c r="L444" s="291"/>
      <c r="M444" s="302"/>
      <c r="N444" s="242"/>
      <c r="O444" s="275"/>
      <c r="P444" s="275"/>
      <c r="Q444" s="808">
        <f>IF($F448="","",SUM(Q460:S460)-S446)</f>
        <v>460</v>
      </c>
      <c r="R444" s="808"/>
      <c r="S444" s="808"/>
      <c r="T444" s="276"/>
      <c r="U444" s="277"/>
      <c r="V444" s="277"/>
      <c r="W444" s="277"/>
      <c r="X444" s="277"/>
      <c r="Y444" s="275"/>
      <c r="Z444" s="808">
        <f>IF($F448="","",SUM(Z460:AB460)-AB446)</f>
        <v>420</v>
      </c>
      <c r="AA444" s="808"/>
      <c r="AB444" s="808"/>
      <c r="AC444" s="276"/>
      <c r="AD444" s="277"/>
      <c r="AE444" s="277"/>
      <c r="AF444" s="277"/>
      <c r="AG444" s="273"/>
      <c r="AH444" s="275"/>
      <c r="AI444" s="808">
        <f>IF($F448="","",SUM(AI460:AK460)-AK446)</f>
        <v>470</v>
      </c>
      <c r="AJ444" s="808"/>
      <c r="AK444" s="808"/>
      <c r="AL444" s="276"/>
      <c r="AM444" s="277"/>
      <c r="AN444" s="277"/>
      <c r="AO444" s="277"/>
      <c r="AP444" s="273"/>
      <c r="AQ444" s="275"/>
      <c r="AR444" s="808">
        <f>IF($F448="","",SUM(AR460:AT460)-AT446)</f>
        <v>430</v>
      </c>
      <c r="AS444" s="808"/>
      <c r="AT444" s="808"/>
      <c r="AU444" s="278"/>
      <c r="AV444" s="277"/>
      <c r="AW444" s="277"/>
      <c r="AX444" s="277"/>
      <c r="AY444" s="279"/>
      <c r="AZ444" s="280"/>
      <c r="BA444" s="808">
        <f>IF($F448="","",SUM(BA460:BC460)-BC446)</f>
        <v>530</v>
      </c>
      <c r="BB444" s="808"/>
      <c r="BC444" s="808"/>
      <c r="BD444" s="278"/>
      <c r="BE444" s="277"/>
      <c r="BF444" s="277"/>
      <c r="BG444" s="277"/>
      <c r="BH444" s="279"/>
      <c r="BI444" s="280"/>
      <c r="BJ444" s="808">
        <f>IF($F448="","",SUM(BJ460:BL460)-BL446)</f>
        <v>470</v>
      </c>
      <c r="BK444" s="808"/>
      <c r="BL444" s="808"/>
      <c r="BM444" s="278"/>
      <c r="BN444" s="277"/>
      <c r="BO444" s="277"/>
      <c r="BP444" s="277"/>
      <c r="BQ444" s="279"/>
      <c r="BR444" s="281"/>
      <c r="BS444" s="808">
        <f>IF($F448="","",SUM(BS460:BU460)-BU446)</f>
        <v>500</v>
      </c>
      <c r="BT444" s="808"/>
      <c r="BU444" s="808"/>
      <c r="BV444" s="280"/>
      <c r="BW444" s="279"/>
      <c r="BX444" s="279"/>
      <c r="BY444" s="279"/>
      <c r="BZ444" s="279"/>
      <c r="CA444" s="281"/>
      <c r="CB444" s="808">
        <f>IF($F448="","",SUM(CB460:CD460)-CD446)</f>
        <v>470</v>
      </c>
      <c r="CC444" s="808"/>
      <c r="CD444" s="808"/>
      <c r="CE444" s="280"/>
      <c r="CF444" s="279"/>
      <c r="CG444" s="279"/>
      <c r="CH444" s="279"/>
      <c r="CI444" s="279"/>
      <c r="CJ444" s="273"/>
      <c r="CK444" s="808">
        <f>IF($F448="","",SUM(CK460:CM460))</f>
        <v>460</v>
      </c>
      <c r="CL444" s="808"/>
      <c r="CM444" s="808"/>
      <c r="CN444" s="280"/>
      <c r="CO444" s="279"/>
      <c r="CP444" s="279"/>
      <c r="CQ444" s="279"/>
      <c r="CR444" s="273"/>
      <c r="CS444" s="273"/>
      <c r="CT444" s="273"/>
      <c r="CU444" s="292"/>
      <c r="CV444" s="246"/>
      <c r="CW444" s="255"/>
    </row>
    <row r="445" spans="1:101" x14ac:dyDescent="0.2">
      <c r="A445" s="256"/>
      <c r="B445" s="256"/>
      <c r="C445" s="209"/>
      <c r="D445" s="916">
        <v>7</v>
      </c>
      <c r="E445" s="588">
        <f>IF(D445="","",DATE($D$3,1,1)+(D445-1)*7+(6-WEEKDAY(DATE($D$3,1,1),2)))</f>
        <v>46067</v>
      </c>
      <c r="F445" s="213"/>
      <c r="G445" s="214"/>
      <c r="H445" s="214"/>
      <c r="I445" s="804">
        <f>IF(ISERROR(AVERAGE(Q444,Z444,AI444,AR444,BA444,BJ444,BS444,CB444,CK444)),"",AVERAGE(Q444,Z444,AI444,AR444,BA444,BJ444,BS444,CB444,CK444))</f>
        <v>467.77777777777777</v>
      </c>
      <c r="J445" s="806"/>
      <c r="K445" s="806"/>
      <c r="L445" s="295"/>
      <c r="M445" s="372"/>
      <c r="N445" s="245"/>
      <c r="O445" s="215"/>
      <c r="P445" s="215"/>
      <c r="Q445" s="710">
        <f>IF(Q444="","",Q444/Data!$X$1)</f>
        <v>0.38333333333333336</v>
      </c>
      <c r="R445" s="710"/>
      <c r="S445" s="711">
        <f>IF(SUM(X448:X459)=0,"",SUM(X448:X459))</f>
        <v>5</v>
      </c>
      <c r="T445" s="216"/>
      <c r="U445" s="217"/>
      <c r="V445" s="217"/>
      <c r="W445" s="217"/>
      <c r="X445" s="217"/>
      <c r="Y445" s="215"/>
      <c r="Z445" s="710">
        <f>IF(Z444="","",Z444/Data!$X$1)</f>
        <v>0.35</v>
      </c>
      <c r="AA445" s="710"/>
      <c r="AB445" s="711">
        <f>IF(SUM(AG448:AG459)=0,"",SUM(AG448:AG459))</f>
        <v>5</v>
      </c>
      <c r="AC445" s="216"/>
      <c r="AD445" s="217"/>
      <c r="AE445" s="217"/>
      <c r="AF445" s="217"/>
      <c r="AG445" s="217"/>
      <c r="AH445" s="215"/>
      <c r="AI445" s="710">
        <f>IF(AI444="","",AI444/Data!$X$1)</f>
        <v>0.39166666666666666</v>
      </c>
      <c r="AJ445" s="710"/>
      <c r="AK445" s="711">
        <f>IF(SUM(AP448:AP459)=0,"",SUM(AP448:AP459))</f>
        <v>5</v>
      </c>
      <c r="AL445" s="216"/>
      <c r="AM445" s="217"/>
      <c r="AN445" s="217"/>
      <c r="AO445" s="217"/>
      <c r="AP445" s="217"/>
      <c r="AQ445" s="215"/>
      <c r="AR445" s="710">
        <f>IF(AR444="","",AR444/Data!$X$1)</f>
        <v>0.35833333333333334</v>
      </c>
      <c r="AS445" s="710"/>
      <c r="AT445" s="711">
        <f>IF(SUM(AY448:AY459)=0,"",SUM(AY448:AY459))</f>
        <v>5</v>
      </c>
      <c r="AU445" s="218"/>
      <c r="AV445" s="217"/>
      <c r="AW445" s="217"/>
      <c r="AX445" s="217"/>
      <c r="AY445" s="217"/>
      <c r="AZ445" s="219"/>
      <c r="BA445" s="710">
        <f>IF(BA444="","",BA444/Data!$X$1)</f>
        <v>0.44166666666666665</v>
      </c>
      <c r="BB445" s="710"/>
      <c r="BC445" s="711">
        <f>IF(SUM(BH448:BH459)=0,"",SUM(BH448:BH459))</f>
        <v>5</v>
      </c>
      <c r="BD445" s="218"/>
      <c r="BE445" s="217"/>
      <c r="BF445" s="217"/>
      <c r="BG445" s="217"/>
      <c r="BH445" s="217"/>
      <c r="BI445" s="219"/>
      <c r="BJ445" s="710">
        <f>IF(BJ444="","",BJ444/Data!$X$1)</f>
        <v>0.39166666666666666</v>
      </c>
      <c r="BK445" s="710"/>
      <c r="BL445" s="711">
        <f>IF(SUM(BQ448:BQ459)=0,"",SUM(BQ448:BQ459))</f>
        <v>5</v>
      </c>
      <c r="BM445" s="218"/>
      <c r="BN445" s="217"/>
      <c r="BO445" s="217"/>
      <c r="BP445" s="217"/>
      <c r="BQ445" s="217"/>
      <c r="BR445" s="220"/>
      <c r="BS445" s="710">
        <f>IF(BS444="","",BS444/Data!$X$1)</f>
        <v>0.41666666666666669</v>
      </c>
      <c r="BT445" s="710"/>
      <c r="BU445" s="711">
        <f>IF(SUM(BZ448:BZ459)=0,"",SUM(BZ448:BZ459))</f>
        <v>7</v>
      </c>
      <c r="BV445" s="219"/>
      <c r="BW445" s="217"/>
      <c r="BX445" s="217"/>
      <c r="BY445" s="217"/>
      <c r="BZ445" s="217"/>
      <c r="CA445" s="220"/>
      <c r="CB445" s="710">
        <f>IF(CB444="","",CB444/Data!$X$1)</f>
        <v>0.39166666666666666</v>
      </c>
      <c r="CC445" s="710"/>
      <c r="CD445" s="711">
        <f>IF(SUM(CI448:CI459)=0,"",SUM(CI448:CI459))</f>
        <v>5</v>
      </c>
      <c r="CE445" s="219"/>
      <c r="CF445" s="217"/>
      <c r="CG445" s="217"/>
      <c r="CH445" s="217"/>
      <c r="CI445" s="217"/>
      <c r="CJ445" s="217"/>
      <c r="CK445" s="710">
        <f>IF(CK444="","",CK444/Data!$X$1)</f>
        <v>0.38333333333333336</v>
      </c>
      <c r="CL445" s="710"/>
      <c r="CM445" s="711">
        <f>IF(SUM(CR448:CR459)=0,"",SUM(CR448:CR459))</f>
        <v>5</v>
      </c>
      <c r="CN445" s="219"/>
      <c r="CO445" s="217"/>
      <c r="CP445" s="217"/>
      <c r="CQ445" s="217"/>
      <c r="CR445" s="217"/>
      <c r="CS445" s="217"/>
      <c r="CT445" s="217"/>
      <c r="CU445" s="296"/>
      <c r="CV445" s="246"/>
      <c r="CW445" s="255"/>
    </row>
    <row r="446" spans="1:101" ht="13.5" thickBot="1" x14ac:dyDescent="0.25">
      <c r="A446" s="256"/>
      <c r="B446" s="256"/>
      <c r="C446" s="209"/>
      <c r="D446" s="269">
        <f>D424+1</f>
        <v>21</v>
      </c>
      <c r="E446" s="402" t="str">
        <f>IF(E445="","Sett inn dato over her",TEXT(E445,"dddd"))</f>
        <v>lørdag</v>
      </c>
      <c r="F446" s="221"/>
      <c r="G446" s="222"/>
      <c r="H446" s="222"/>
      <c r="I446" s="802"/>
      <c r="J446" s="807"/>
      <c r="K446" s="807"/>
      <c r="L446" s="297"/>
      <c r="M446" s="373"/>
      <c r="N446" s="377"/>
      <c r="O446" s="222"/>
      <c r="P446" s="222"/>
      <c r="Q446" s="385" t="str">
        <f>Data!$E$11</f>
        <v>AHH</v>
      </c>
      <c r="R446" s="386">
        <f>IF($F459="","",RANK(Q444,$Q444:$CL444))</f>
        <v>6</v>
      </c>
      <c r="S446" s="510"/>
      <c r="T446" s="216">
        <v>0</v>
      </c>
      <c r="U446" s="217"/>
      <c r="V446" s="217"/>
      <c r="W446" s="217"/>
      <c r="X446" s="217"/>
      <c r="Y446" s="215"/>
      <c r="Z446" s="385" t="str">
        <f>Data!$E$12</f>
        <v>RB</v>
      </c>
      <c r="AA446" s="386">
        <f>IF($F459="","",RANK(Z444,$Q444:$CL444))</f>
        <v>9</v>
      </c>
      <c r="AB446" s="510">
        <v>50</v>
      </c>
      <c r="AC446" s="216"/>
      <c r="AD446" s="217"/>
      <c r="AE446" s="217"/>
      <c r="AF446" s="217"/>
      <c r="AG446" s="217"/>
      <c r="AH446" s="215"/>
      <c r="AI446" s="385" t="str">
        <f>Data!$E$13</f>
        <v>EB</v>
      </c>
      <c r="AJ446" s="386">
        <f>IF($F459="","",RANK(AI444,$Q444:$CL444))</f>
        <v>3</v>
      </c>
      <c r="AK446" s="510"/>
      <c r="AL446" s="216"/>
      <c r="AM446" s="217"/>
      <c r="AN446" s="217"/>
      <c r="AO446" s="217"/>
      <c r="AP446" s="217"/>
      <c r="AQ446" s="215"/>
      <c r="AR446" s="346" t="str">
        <f>Data!$E$14</f>
        <v>KAF</v>
      </c>
      <c r="AS446" s="386">
        <f>IF($F459="","",RANK(AR444,$Q444:$CL444))</f>
        <v>8</v>
      </c>
      <c r="AT446" s="510"/>
      <c r="AU446" s="216"/>
      <c r="AV446" s="217"/>
      <c r="AW446" s="217"/>
      <c r="AX446" s="217"/>
      <c r="AY446" s="217"/>
      <c r="AZ446" s="215"/>
      <c r="BA446" s="346" t="str">
        <f>Data!$E$15</f>
        <v>ØG</v>
      </c>
      <c r="BB446" s="386">
        <f>IF($F459="","",RANK(BA444,$Q444:$CL444))</f>
        <v>1</v>
      </c>
      <c r="BC446" s="510"/>
      <c r="BD446" s="216"/>
      <c r="BE446" s="217"/>
      <c r="BF446" s="217"/>
      <c r="BG446" s="217"/>
      <c r="BH446" s="217"/>
      <c r="BI446" s="215"/>
      <c r="BJ446" s="346" t="str">
        <f>Data!$E$16</f>
        <v>JH</v>
      </c>
      <c r="BK446" s="386">
        <f>IF($F459="","",RANK(BJ444,$Q444:$CL444))</f>
        <v>3</v>
      </c>
      <c r="BL446" s="510"/>
      <c r="BM446" s="216"/>
      <c r="BN446" s="217"/>
      <c r="BO446" s="217"/>
      <c r="BP446" s="217"/>
      <c r="BQ446" s="217"/>
      <c r="BR446" s="223"/>
      <c r="BS446" s="346" t="str">
        <f>Data!$E$17</f>
        <v>TOH</v>
      </c>
      <c r="BT446" s="386">
        <f>IF($F459="","",RANK(BS444,$Q444:$CL444))</f>
        <v>2</v>
      </c>
      <c r="BU446" s="510"/>
      <c r="BV446" s="215"/>
      <c r="BW446" s="217"/>
      <c r="BX446" s="217"/>
      <c r="BY446" s="217"/>
      <c r="BZ446" s="217"/>
      <c r="CA446" s="223"/>
      <c r="CB446" s="346" t="s">
        <v>26</v>
      </c>
      <c r="CC446" s="386">
        <f>IF($F459="","",RANK(CB444,$Q444:$CM444))</f>
        <v>3</v>
      </c>
      <c r="CD446" s="511"/>
      <c r="CE446" s="215"/>
      <c r="CF446" s="217"/>
      <c r="CG446" s="217"/>
      <c r="CH446" s="217"/>
      <c r="CI446" s="217"/>
      <c r="CJ446" s="217"/>
      <c r="CK446" s="346" t="s">
        <v>27</v>
      </c>
      <c r="CL446" s="386">
        <f>IF($F459="","",RANK(CK444,$Q444:$CM444))</f>
        <v>6</v>
      </c>
      <c r="CM446" s="798"/>
      <c r="CN446" s="215"/>
      <c r="CO446" s="217"/>
      <c r="CP446" s="217"/>
      <c r="CQ446" s="217"/>
      <c r="CR446" s="217"/>
      <c r="CS446" s="217"/>
      <c r="CT446" s="217"/>
      <c r="CU446" s="296"/>
      <c r="CV446" s="246"/>
      <c r="CW446" s="255"/>
    </row>
    <row r="447" spans="1:101" ht="13.5" thickBot="1" x14ac:dyDescent="0.25">
      <c r="A447" s="264"/>
      <c r="B447" s="264"/>
      <c r="C447" s="202"/>
      <c r="D447" s="270"/>
      <c r="E447" s="224"/>
      <c r="F447" s="225"/>
      <c r="G447" s="226"/>
      <c r="H447" s="226"/>
      <c r="I447" s="227" t="s">
        <v>45</v>
      </c>
      <c r="J447" s="228" t="s">
        <v>46</v>
      </c>
      <c r="K447" s="229" t="s">
        <v>47</v>
      </c>
      <c r="L447" s="298"/>
      <c r="M447" s="374"/>
      <c r="N447" s="378"/>
      <c r="O447" s="230"/>
      <c r="P447" s="230"/>
      <c r="Q447" s="227" t="s">
        <v>45</v>
      </c>
      <c r="R447" s="228" t="s">
        <v>46</v>
      </c>
      <c r="S447" s="229" t="s">
        <v>47</v>
      </c>
      <c r="T447" s="231"/>
      <c r="U447" s="232"/>
      <c r="V447" s="232"/>
      <c r="W447" s="232"/>
      <c r="X447" s="232"/>
      <c r="Y447" s="230"/>
      <c r="Z447" s="227" t="s">
        <v>45</v>
      </c>
      <c r="AA447" s="228" t="s">
        <v>46</v>
      </c>
      <c r="AB447" s="229" t="s">
        <v>47</v>
      </c>
      <c r="AC447" s="231"/>
      <c r="AD447" s="232"/>
      <c r="AE447" s="232"/>
      <c r="AF447" s="232"/>
      <c r="AG447" s="232"/>
      <c r="AH447" s="230"/>
      <c r="AI447" s="227" t="s">
        <v>45</v>
      </c>
      <c r="AJ447" s="228" t="s">
        <v>46</v>
      </c>
      <c r="AK447" s="229" t="s">
        <v>47</v>
      </c>
      <c r="AL447" s="231"/>
      <c r="AM447" s="232"/>
      <c r="AN447" s="232"/>
      <c r="AO447" s="232"/>
      <c r="AP447" s="232"/>
      <c r="AQ447" s="230"/>
      <c r="AR447" s="227" t="s">
        <v>45</v>
      </c>
      <c r="AS447" s="228" t="s">
        <v>46</v>
      </c>
      <c r="AT447" s="229" t="s">
        <v>47</v>
      </c>
      <c r="AU447" s="231"/>
      <c r="AV447" s="232"/>
      <c r="AW447" s="232"/>
      <c r="AX447" s="232"/>
      <c r="AY447" s="232"/>
      <c r="AZ447" s="230"/>
      <c r="BA447" s="227" t="s">
        <v>45</v>
      </c>
      <c r="BB447" s="228" t="s">
        <v>46</v>
      </c>
      <c r="BC447" s="229" t="s">
        <v>47</v>
      </c>
      <c r="BD447" s="231"/>
      <c r="BE447" s="232"/>
      <c r="BF447" s="232"/>
      <c r="BG447" s="232"/>
      <c r="BH447" s="232"/>
      <c r="BI447" s="230"/>
      <c r="BJ447" s="227" t="s">
        <v>45</v>
      </c>
      <c r="BK447" s="228" t="s">
        <v>46</v>
      </c>
      <c r="BL447" s="229" t="s">
        <v>47</v>
      </c>
      <c r="BM447" s="231"/>
      <c r="BN447" s="232"/>
      <c r="BO447" s="232"/>
      <c r="BP447" s="232"/>
      <c r="BQ447" s="232"/>
      <c r="BR447" s="230"/>
      <c r="BS447" s="227" t="s">
        <v>45</v>
      </c>
      <c r="BT447" s="228" t="s">
        <v>46</v>
      </c>
      <c r="BU447" s="229" t="s">
        <v>47</v>
      </c>
      <c r="BV447" s="231"/>
      <c r="BW447" s="232"/>
      <c r="BX447" s="232"/>
      <c r="BY447" s="232"/>
      <c r="BZ447" s="233"/>
      <c r="CA447" s="230"/>
      <c r="CB447" s="227" t="s">
        <v>45</v>
      </c>
      <c r="CC447" s="228" t="s">
        <v>46</v>
      </c>
      <c r="CD447" s="229" t="s">
        <v>47</v>
      </c>
      <c r="CE447" s="231"/>
      <c r="CF447" s="232"/>
      <c r="CG447" s="232"/>
      <c r="CH447" s="232"/>
      <c r="CI447" s="232"/>
      <c r="CJ447" s="232"/>
      <c r="CK447" s="227" t="s">
        <v>45</v>
      </c>
      <c r="CL447" s="228" t="s">
        <v>46</v>
      </c>
      <c r="CM447" s="229" t="s">
        <v>47</v>
      </c>
      <c r="CN447" s="231"/>
      <c r="CO447" s="232"/>
      <c r="CP447" s="232"/>
      <c r="CQ447" s="232"/>
      <c r="CR447" s="232"/>
      <c r="CS447" s="232"/>
      <c r="CT447" s="234"/>
      <c r="CU447" s="296"/>
      <c r="CV447" s="246"/>
      <c r="CW447" s="265"/>
    </row>
    <row r="448" spans="1:101" x14ac:dyDescent="0.2">
      <c r="A448" s="264"/>
      <c r="B448" s="264"/>
      <c r="C448" s="202"/>
      <c r="D448" s="271">
        <v>1</v>
      </c>
      <c r="E448" s="166" t="s">
        <v>222</v>
      </c>
      <c r="F448" s="468">
        <v>3</v>
      </c>
      <c r="G448" s="472" t="s">
        <v>49</v>
      </c>
      <c r="H448" s="473">
        <v>0</v>
      </c>
      <c r="I448" s="170" t="str">
        <f t="shared" ref="I448:I459" si="1000">IF($F448&gt;$H448,"x","")</f>
        <v>x</v>
      </c>
      <c r="J448" s="387" t="str">
        <f t="shared" ref="J448:J459" si="1001">IF(F448&lt;&gt;"",IF(H448&lt;&gt;"",IF(F448=H448,"x",""),""),"")</f>
        <v/>
      </c>
      <c r="K448" s="388" t="str">
        <f t="shared" ref="K448:K459" si="1002">IF($F448&lt;$H448,"x","")</f>
        <v/>
      </c>
      <c r="L448" s="299"/>
      <c r="M448" s="375"/>
      <c r="N448" s="379"/>
      <c r="O448" s="236"/>
      <c r="P448" s="236"/>
      <c r="Q448" s="480">
        <v>70</v>
      </c>
      <c r="R448" s="481">
        <v>20</v>
      </c>
      <c r="S448" s="482">
        <f>IF(Q448="","",100-SUM(Q448:R448))</f>
        <v>10</v>
      </c>
      <c r="T448" s="371"/>
      <c r="U448" s="232">
        <f t="shared" ref="U448:U459" si="1003">IF($I448="x",Q448,"")</f>
        <v>70</v>
      </c>
      <c r="V448" s="232" t="str">
        <f t="shared" ref="V448:V459" si="1004">IF($J448="x",R448,"")</f>
        <v/>
      </c>
      <c r="W448" s="232" t="str">
        <f t="shared" ref="W448:W459" si="1005">IF($K448="x",S448,"")</f>
        <v/>
      </c>
      <c r="X448" s="232">
        <f>IF((MAX(U448,V448,W448))=0,"",IF((MAX(U448,V448,W448))=(MAX(Q448,R448,S448)),1,""))</f>
        <v>1</v>
      </c>
      <c r="Y448" s="371"/>
      <c r="Z448" s="495">
        <v>80</v>
      </c>
      <c r="AA448" s="496">
        <v>10</v>
      </c>
      <c r="AB448" s="482">
        <f t="shared" ref="AB448:AB459" si="1006">IF(Z448="","",100-SUM(Z448:AA448))</f>
        <v>10</v>
      </c>
      <c r="AC448" s="371"/>
      <c r="AD448" s="232">
        <f t="shared" ref="AD448:AD459" si="1007">IF($I448="x",Z448,"")</f>
        <v>80</v>
      </c>
      <c r="AE448" s="232" t="str">
        <f t="shared" ref="AE448:AE459" si="1008">IF($J448="x",AA448,"")</f>
        <v/>
      </c>
      <c r="AF448" s="232" t="str">
        <f t="shared" ref="AF448:AF459" si="1009">IF($K448="x",AB448,"")</f>
        <v/>
      </c>
      <c r="AG448" s="232">
        <f>IF((MAX(AD448,AE448,AF448))=0,"",IF((MAX(AD448,AE448,AF448))=(MAX(Z448,AA448,AB448)),1,""))</f>
        <v>1</v>
      </c>
      <c r="AH448" s="371"/>
      <c r="AI448" s="495">
        <v>80</v>
      </c>
      <c r="AJ448" s="496">
        <v>10</v>
      </c>
      <c r="AK448" s="482">
        <f t="shared" ref="AK448:AK459" si="1010">IF(AI448="","",100-SUM(AI448:AJ448))</f>
        <v>10</v>
      </c>
      <c r="AL448" s="371"/>
      <c r="AM448" s="232">
        <f t="shared" ref="AM448:AM459" si="1011">IF($I448="x",AI448,"")</f>
        <v>80</v>
      </c>
      <c r="AN448" s="232" t="str">
        <f t="shared" ref="AN448:AN459" si="1012">IF($J448="x",AJ448,"")</f>
        <v/>
      </c>
      <c r="AO448" s="232" t="str">
        <f t="shared" ref="AO448:AO459" si="1013">IF($K448="x",AK448,"")</f>
        <v/>
      </c>
      <c r="AP448" s="232">
        <f>IF((MAX(AM448,AN448,AO448))=0,"",IF((MAX(AM448,AN448,AO448))=(MAX(AI448,AJ448,AK448)),1,""))</f>
        <v>1</v>
      </c>
      <c r="AQ448" s="371"/>
      <c r="AR448" s="495">
        <v>80</v>
      </c>
      <c r="AS448" s="496">
        <v>10</v>
      </c>
      <c r="AT448" s="482">
        <f t="shared" ref="AT448:AT459" si="1014">IF(AR448="","",100-SUM(AR448:AS448))</f>
        <v>10</v>
      </c>
      <c r="AU448" s="371"/>
      <c r="AV448" s="232">
        <f t="shared" ref="AV448:AV459" si="1015">IF($I448="x",AR448,"")</f>
        <v>80</v>
      </c>
      <c r="AW448" s="232" t="str">
        <f t="shared" ref="AW448:AW459" si="1016">IF($J448="x",AS448,"")</f>
        <v/>
      </c>
      <c r="AX448" s="232" t="str">
        <f t="shared" ref="AX448:AX459" si="1017">IF($K448="x",AT448,"")</f>
        <v/>
      </c>
      <c r="AY448" s="232">
        <f>IF((MAX(AV448,AW448,AX448))=0,"",IF((MAX(AV448,AW448,AX448))=(MAX(AR448,AS448,AT448)),1,""))</f>
        <v>1</v>
      </c>
      <c r="AZ448" s="371"/>
      <c r="BA448" s="495">
        <v>80</v>
      </c>
      <c r="BB448" s="496">
        <v>10</v>
      </c>
      <c r="BC448" s="482">
        <f t="shared" ref="BC448:BC459" si="1018">IF(BA448="","",100-SUM(BA448:BB448))</f>
        <v>10</v>
      </c>
      <c r="BD448" s="371"/>
      <c r="BE448" s="232">
        <f t="shared" ref="BE448:BE459" si="1019">IF($I448="x",BA448,"")</f>
        <v>80</v>
      </c>
      <c r="BF448" s="232" t="str">
        <f t="shared" ref="BF448:BF459" si="1020">IF($J448="x",BB448,"")</f>
        <v/>
      </c>
      <c r="BG448" s="232" t="str">
        <f t="shared" ref="BG448:BG459" si="1021">IF($K448="x",BC448,"")</f>
        <v/>
      </c>
      <c r="BH448" s="232">
        <f>IF((MAX(BE448,BF448,BG448))=0,"",IF((MAX(BE448,BF448,BG448))=(MAX(BA448,BB448,BC448)),1,""))</f>
        <v>1</v>
      </c>
      <c r="BI448" s="371"/>
      <c r="BJ448" s="495">
        <v>80</v>
      </c>
      <c r="BK448" s="496">
        <v>10</v>
      </c>
      <c r="BL448" s="482">
        <f t="shared" ref="BL448:BL459" si="1022">IF(BJ448="","",100-SUM(BJ448:BK448))</f>
        <v>10</v>
      </c>
      <c r="BM448" s="371"/>
      <c r="BN448" s="232">
        <f t="shared" ref="BN448:BN459" si="1023">IF($I448="x",BJ448,"")</f>
        <v>80</v>
      </c>
      <c r="BO448" s="232" t="str">
        <f t="shared" ref="BO448:BO459" si="1024">IF($J448="x",BK448,"")</f>
        <v/>
      </c>
      <c r="BP448" s="232" t="str">
        <f t="shared" ref="BP448:BP459" si="1025">IF($K448="x",BL448,"")</f>
        <v/>
      </c>
      <c r="BQ448" s="232">
        <f>IF((MAX(BN448,BO448,BP448))=0,"",IF((MAX(BN448,BO448,BP448))=(MAX(BJ448,BK448,BL448)),1,""))</f>
        <v>1</v>
      </c>
      <c r="BR448" s="371"/>
      <c r="BS448" s="495">
        <v>70</v>
      </c>
      <c r="BT448" s="496">
        <v>20</v>
      </c>
      <c r="BU448" s="482">
        <f t="shared" ref="BU448:BU459" si="1026">IF(BS448="","",100-SUM(BS448:BT448))</f>
        <v>10</v>
      </c>
      <c r="BV448" s="371"/>
      <c r="BW448" s="232">
        <f t="shared" ref="BW448:BW459" si="1027">IF($I448="x",BS448,"")</f>
        <v>70</v>
      </c>
      <c r="BX448" s="232" t="str">
        <f t="shared" ref="BX448:BX459" si="1028">IF($J448="x",BT448,"")</f>
        <v/>
      </c>
      <c r="BY448" s="232" t="str">
        <f t="shared" ref="BY448:BY459" si="1029">IF($K448="x",BU448,"")</f>
        <v/>
      </c>
      <c r="BZ448" s="232">
        <f>IF((MAX(BW448,BX448,BY448))=0,"",IF((MAX(BW448,BX448,BY448))=(MAX(BS448,BT448,BU448)),1,""))</f>
        <v>1</v>
      </c>
      <c r="CA448" s="371"/>
      <c r="CB448" s="501">
        <f t="shared" ref="CB448:CB459" si="1030">IFERROR(ROUNDUP((SUM(Q448,Z448,AI448,AR448,BA448,BJ448,BS448)/SUM($Q448:$S448,$Z448:$AB448,$AI448:$AK448,$AR448:$AT448,$BA448:$BC448,$BJ448:$BL448,$BS448:$BU448))*100,-1),"")</f>
        <v>80</v>
      </c>
      <c r="CC448" s="502">
        <f t="shared" ref="CC448:CC459" si="1031">IFERROR(ROUNDDOWN((SUM(R448,AA448,AJ448,AS448,BB448,BK448,BT448)/SUM($Q448:$S448,$Z448:$AB448,$AI448:$AK448,$AR448:$AT448,$BA448:$BC448,$BJ448:$BL448,$BS448:$BU448))*100,-1),"")</f>
        <v>10</v>
      </c>
      <c r="CD448" s="503">
        <f t="shared" ref="CD448:CD459" si="1032">IF(CB448="","",100-SUM(CB448:CC448))</f>
        <v>10</v>
      </c>
      <c r="CE448" s="371"/>
      <c r="CF448" s="232">
        <f t="shared" ref="CF448:CF459" si="1033">IF($I448="x",CB448,"")</f>
        <v>80</v>
      </c>
      <c r="CG448" s="232" t="str">
        <f t="shared" ref="CG448:CG459" si="1034">IF($J448="x",CC448,"")</f>
        <v/>
      </c>
      <c r="CH448" s="232" t="str">
        <f t="shared" ref="CH448:CH459" si="1035">IF($K448="x",CD448,"")</f>
        <v/>
      </c>
      <c r="CI448" s="232">
        <f>IF((MAX(CF448,CG448,CH448))=0,"",IF((MAX(CF448,CG448,CH448))=(MAX(CB448,CC448,CD448)),1,""))</f>
        <v>1</v>
      </c>
      <c r="CJ448" s="232"/>
      <c r="CK448" s="495">
        <v>70</v>
      </c>
      <c r="CL448" s="496">
        <v>20</v>
      </c>
      <c r="CM448" s="482">
        <f t="shared" ref="CM448:CM459" si="1036">IF(CK448="","",100-SUM(CK448:CL448))</f>
        <v>10</v>
      </c>
      <c r="CN448" s="371"/>
      <c r="CO448" s="232">
        <f t="shared" ref="CO448:CO459" si="1037">IF($I448="x",CK448,"")</f>
        <v>70</v>
      </c>
      <c r="CP448" s="232" t="str">
        <f t="shared" ref="CP448:CP459" si="1038">IF($J448="x",CL448,"")</f>
        <v/>
      </c>
      <c r="CQ448" s="232" t="str">
        <f t="shared" ref="CQ448:CQ459" si="1039">IF($K448="x",CM448,"")</f>
        <v/>
      </c>
      <c r="CR448" s="232">
        <f>IF((MAX(CO448,CP448,CQ448))=0,"",IF((MAX(CO448,CP448,CQ448))=(MAX(CK448,CL448,CM448)),1,""))</f>
        <v>1</v>
      </c>
      <c r="CS448" s="232"/>
      <c r="CT448" s="371"/>
      <c r="CU448" s="296"/>
      <c r="CV448" s="246"/>
      <c r="CW448" s="264"/>
    </row>
    <row r="449" spans="1:101" x14ac:dyDescent="0.2">
      <c r="A449" s="264"/>
      <c r="B449" s="264"/>
      <c r="C449" s="202"/>
      <c r="D449" s="271">
        <v>2</v>
      </c>
      <c r="E449" s="167" t="s">
        <v>293</v>
      </c>
      <c r="F449" s="469">
        <v>1</v>
      </c>
      <c r="G449" s="474" t="s">
        <v>49</v>
      </c>
      <c r="H449" s="475">
        <v>3</v>
      </c>
      <c r="I449" s="389" t="str">
        <f t="shared" si="1000"/>
        <v/>
      </c>
      <c r="J449" s="390" t="str">
        <f t="shared" si="1001"/>
        <v/>
      </c>
      <c r="K449" s="391" t="str">
        <f t="shared" si="1002"/>
        <v>x</v>
      </c>
      <c r="L449" s="299"/>
      <c r="M449" s="375"/>
      <c r="N449" s="379"/>
      <c r="O449" s="236"/>
      <c r="P449" s="236"/>
      <c r="Q449" s="483">
        <v>40</v>
      </c>
      <c r="R449" s="484">
        <v>30</v>
      </c>
      <c r="S449" s="485">
        <f t="shared" ref="S449:S459" si="1040">IF(Q449="","",100-SUM(Q449:R449))</f>
        <v>30</v>
      </c>
      <c r="T449" s="371"/>
      <c r="U449" s="232" t="str">
        <f t="shared" si="1003"/>
        <v/>
      </c>
      <c r="V449" s="232" t="str">
        <f t="shared" si="1004"/>
        <v/>
      </c>
      <c r="W449" s="232">
        <f t="shared" si="1005"/>
        <v>30</v>
      </c>
      <c r="X449" s="232" t="str">
        <f t="shared" ref="X449:X459" si="1041">IF((MAX(U449,V449,W449))=0,"",IF((MAX(U449,V449,W449))=(MAX(Q449,R449,S449)),1,""))</f>
        <v/>
      </c>
      <c r="Y449" s="371"/>
      <c r="Z449" s="497">
        <v>80</v>
      </c>
      <c r="AA449" s="498">
        <v>10</v>
      </c>
      <c r="AB449" s="485">
        <f t="shared" si="1006"/>
        <v>10</v>
      </c>
      <c r="AC449" s="371"/>
      <c r="AD449" s="232" t="str">
        <f t="shared" si="1007"/>
        <v/>
      </c>
      <c r="AE449" s="232" t="str">
        <f t="shared" si="1008"/>
        <v/>
      </c>
      <c r="AF449" s="232">
        <f t="shared" si="1009"/>
        <v>10</v>
      </c>
      <c r="AG449" s="232" t="str">
        <f t="shared" ref="AG449:AG459" si="1042">IF((MAX(AD449,AE449,AF449))=0,"",IF((MAX(AD449,AE449,AF449))=(MAX(Z449,AA449,AB449)),1,""))</f>
        <v/>
      </c>
      <c r="AH449" s="371"/>
      <c r="AI449" s="497">
        <v>60</v>
      </c>
      <c r="AJ449" s="498">
        <v>20</v>
      </c>
      <c r="AK449" s="485">
        <f t="shared" si="1010"/>
        <v>20</v>
      </c>
      <c r="AL449" s="371"/>
      <c r="AM449" s="232" t="str">
        <f t="shared" si="1011"/>
        <v/>
      </c>
      <c r="AN449" s="232" t="str">
        <f t="shared" si="1012"/>
        <v/>
      </c>
      <c r="AO449" s="232">
        <f t="shared" si="1013"/>
        <v>20</v>
      </c>
      <c r="AP449" s="232" t="str">
        <f t="shared" ref="AP449:AP459" si="1043">IF((MAX(AM449,AN449,AO449))=0,"",IF((MAX(AM449,AN449,AO449))=(MAX(AI449,AJ449,AK449)),1,""))</f>
        <v/>
      </c>
      <c r="AQ449" s="371"/>
      <c r="AR449" s="497">
        <v>60</v>
      </c>
      <c r="AS449" s="498">
        <v>30</v>
      </c>
      <c r="AT449" s="485">
        <f t="shared" si="1014"/>
        <v>10</v>
      </c>
      <c r="AU449" s="371"/>
      <c r="AV449" s="232" t="str">
        <f t="shared" si="1015"/>
        <v/>
      </c>
      <c r="AW449" s="232" t="str">
        <f t="shared" si="1016"/>
        <v/>
      </c>
      <c r="AX449" s="232">
        <f t="shared" si="1017"/>
        <v>10</v>
      </c>
      <c r="AY449" s="232" t="str">
        <f t="shared" ref="AY449:AY459" si="1044">IF((MAX(AV449,AW449,AX449))=0,"",IF((MAX(AV449,AW449,AX449))=(MAX(AR449,AS449,AT449)),1,""))</f>
        <v/>
      </c>
      <c r="AZ449" s="371"/>
      <c r="BA449" s="497">
        <v>80</v>
      </c>
      <c r="BB449" s="498">
        <v>10</v>
      </c>
      <c r="BC449" s="485">
        <f t="shared" si="1018"/>
        <v>10</v>
      </c>
      <c r="BD449" s="371"/>
      <c r="BE449" s="232" t="str">
        <f t="shared" si="1019"/>
        <v/>
      </c>
      <c r="BF449" s="232" t="str">
        <f t="shared" si="1020"/>
        <v/>
      </c>
      <c r="BG449" s="232">
        <f t="shared" si="1021"/>
        <v>10</v>
      </c>
      <c r="BH449" s="232" t="str">
        <f t="shared" ref="BH449:BH459" si="1045">IF((MAX(BE449,BF449,BG449))=0,"",IF((MAX(BE449,BF449,BG449))=(MAX(BA449,BB449,BC449)),1,""))</f>
        <v/>
      </c>
      <c r="BI449" s="371"/>
      <c r="BJ449" s="497">
        <v>80</v>
      </c>
      <c r="BK449" s="498">
        <v>10</v>
      </c>
      <c r="BL449" s="485">
        <f t="shared" si="1022"/>
        <v>10</v>
      </c>
      <c r="BM449" s="371"/>
      <c r="BN449" s="232" t="str">
        <f t="shared" si="1023"/>
        <v/>
      </c>
      <c r="BO449" s="232" t="str">
        <f t="shared" si="1024"/>
        <v/>
      </c>
      <c r="BP449" s="232">
        <f t="shared" si="1025"/>
        <v>10</v>
      </c>
      <c r="BQ449" s="232" t="str">
        <f t="shared" ref="BQ449:BQ459" si="1046">IF((MAX(BN449,BO449,BP449))=0,"",IF((MAX(BN449,BO449,BP449))=(MAX(BJ449,BK449,BL449)),1,""))</f>
        <v/>
      </c>
      <c r="BR449" s="371"/>
      <c r="BS449" s="497">
        <v>40</v>
      </c>
      <c r="BT449" s="498">
        <v>20</v>
      </c>
      <c r="BU449" s="485">
        <f t="shared" si="1026"/>
        <v>40</v>
      </c>
      <c r="BV449" s="371"/>
      <c r="BW449" s="232" t="str">
        <f t="shared" si="1027"/>
        <v/>
      </c>
      <c r="BX449" s="232" t="str">
        <f t="shared" si="1028"/>
        <v/>
      </c>
      <c r="BY449" s="232">
        <f t="shared" si="1029"/>
        <v>40</v>
      </c>
      <c r="BZ449" s="232">
        <f t="shared" ref="BZ449:BZ459" si="1047">IF((MAX(BW449,BX449,BY449))=0,"",IF((MAX(BW449,BX449,BY449))=(MAX(BS449,BT449,BU449)),1,""))</f>
        <v>1</v>
      </c>
      <c r="CA449" s="371"/>
      <c r="CB449" s="504">
        <f t="shared" si="1030"/>
        <v>70</v>
      </c>
      <c r="CC449" s="505">
        <f t="shared" si="1031"/>
        <v>10</v>
      </c>
      <c r="CD449" s="506">
        <f t="shared" si="1032"/>
        <v>20</v>
      </c>
      <c r="CE449" s="371"/>
      <c r="CF449" s="232" t="str">
        <f t="shared" si="1033"/>
        <v/>
      </c>
      <c r="CG449" s="232" t="str">
        <f t="shared" si="1034"/>
        <v/>
      </c>
      <c r="CH449" s="232">
        <f t="shared" si="1035"/>
        <v>20</v>
      </c>
      <c r="CI449" s="232" t="str">
        <f t="shared" ref="CI449:CI459" si="1048">IF((MAX(CF449,CG449,CH449))=0,"",IF((MAX(CF449,CG449,CH449))=(MAX(CB449,CC449,CD449)),1,""))</f>
        <v/>
      </c>
      <c r="CJ449" s="232"/>
      <c r="CK449" s="497">
        <v>40</v>
      </c>
      <c r="CL449" s="498">
        <v>30</v>
      </c>
      <c r="CM449" s="485">
        <f t="shared" si="1036"/>
        <v>30</v>
      </c>
      <c r="CN449" s="371"/>
      <c r="CO449" s="232" t="str">
        <f t="shared" si="1037"/>
        <v/>
      </c>
      <c r="CP449" s="232" t="str">
        <f t="shared" si="1038"/>
        <v/>
      </c>
      <c r="CQ449" s="232">
        <f t="shared" si="1039"/>
        <v>30</v>
      </c>
      <c r="CR449" s="232" t="str">
        <f t="shared" ref="CR449:CR459" si="1049">IF((MAX(CO449,CP449,CQ449))=0,"",IF((MAX(CO449,CP449,CQ449))=(MAX(CK449,CL449,CM449)),1,""))</f>
        <v/>
      </c>
      <c r="CS449" s="232"/>
      <c r="CT449" s="371"/>
      <c r="CU449" s="296"/>
      <c r="CV449" s="246"/>
      <c r="CW449" s="264"/>
    </row>
    <row r="450" spans="1:101" ht="13.5" thickBot="1" x14ac:dyDescent="0.25">
      <c r="A450" s="264"/>
      <c r="B450" s="264"/>
      <c r="C450" s="202"/>
      <c r="D450" s="271">
        <v>3</v>
      </c>
      <c r="E450" s="168" t="s">
        <v>294</v>
      </c>
      <c r="F450" s="470">
        <v>1</v>
      </c>
      <c r="G450" s="476" t="s">
        <v>49</v>
      </c>
      <c r="H450" s="477">
        <v>1</v>
      </c>
      <c r="I450" s="392" t="str">
        <f t="shared" si="1000"/>
        <v/>
      </c>
      <c r="J450" s="393" t="str">
        <f t="shared" si="1001"/>
        <v>x</v>
      </c>
      <c r="K450" s="394" t="str">
        <f t="shared" si="1002"/>
        <v/>
      </c>
      <c r="L450" s="299"/>
      <c r="M450" s="375"/>
      <c r="N450" s="379"/>
      <c r="O450" s="236"/>
      <c r="P450" s="236"/>
      <c r="Q450" s="486">
        <v>60</v>
      </c>
      <c r="R450" s="487">
        <v>20</v>
      </c>
      <c r="S450" s="488">
        <f t="shared" si="1040"/>
        <v>20</v>
      </c>
      <c r="T450" s="371"/>
      <c r="U450" s="232" t="str">
        <f t="shared" si="1003"/>
        <v/>
      </c>
      <c r="V450" s="232">
        <f t="shared" si="1004"/>
        <v>20</v>
      </c>
      <c r="W450" s="232" t="str">
        <f t="shared" si="1005"/>
        <v/>
      </c>
      <c r="X450" s="232" t="str">
        <f t="shared" si="1041"/>
        <v/>
      </c>
      <c r="Y450" s="371"/>
      <c r="Z450" s="499">
        <v>80</v>
      </c>
      <c r="AA450" s="500">
        <v>10</v>
      </c>
      <c r="AB450" s="488">
        <f t="shared" si="1006"/>
        <v>10</v>
      </c>
      <c r="AC450" s="371"/>
      <c r="AD450" s="232" t="str">
        <f t="shared" si="1007"/>
        <v/>
      </c>
      <c r="AE450" s="232">
        <f t="shared" si="1008"/>
        <v>10</v>
      </c>
      <c r="AF450" s="232" t="str">
        <f t="shared" si="1009"/>
        <v/>
      </c>
      <c r="AG450" s="232" t="str">
        <f t="shared" si="1042"/>
        <v/>
      </c>
      <c r="AH450" s="371"/>
      <c r="AI450" s="499">
        <v>70</v>
      </c>
      <c r="AJ450" s="500">
        <v>20</v>
      </c>
      <c r="AK450" s="488">
        <f t="shared" si="1010"/>
        <v>10</v>
      </c>
      <c r="AL450" s="371"/>
      <c r="AM450" s="232" t="str">
        <f t="shared" si="1011"/>
        <v/>
      </c>
      <c r="AN450" s="232">
        <f t="shared" si="1012"/>
        <v>20</v>
      </c>
      <c r="AO450" s="232" t="str">
        <f t="shared" si="1013"/>
        <v/>
      </c>
      <c r="AP450" s="232" t="str">
        <f t="shared" si="1043"/>
        <v/>
      </c>
      <c r="AQ450" s="371"/>
      <c r="AR450" s="499">
        <v>80</v>
      </c>
      <c r="AS450" s="500">
        <v>10</v>
      </c>
      <c r="AT450" s="488">
        <f t="shared" si="1014"/>
        <v>10</v>
      </c>
      <c r="AU450" s="371"/>
      <c r="AV450" s="232" t="str">
        <f t="shared" si="1015"/>
        <v/>
      </c>
      <c r="AW450" s="232">
        <f t="shared" si="1016"/>
        <v>10</v>
      </c>
      <c r="AX450" s="232" t="str">
        <f t="shared" si="1017"/>
        <v/>
      </c>
      <c r="AY450" s="232" t="str">
        <f t="shared" si="1044"/>
        <v/>
      </c>
      <c r="AZ450" s="371"/>
      <c r="BA450" s="499">
        <v>80</v>
      </c>
      <c r="BB450" s="500">
        <v>10</v>
      </c>
      <c r="BC450" s="488">
        <f t="shared" si="1018"/>
        <v>10</v>
      </c>
      <c r="BD450" s="371"/>
      <c r="BE450" s="232" t="str">
        <f t="shared" si="1019"/>
        <v/>
      </c>
      <c r="BF450" s="232">
        <f t="shared" si="1020"/>
        <v>10</v>
      </c>
      <c r="BG450" s="232" t="str">
        <f t="shared" si="1021"/>
        <v/>
      </c>
      <c r="BH450" s="232" t="str">
        <f t="shared" si="1045"/>
        <v/>
      </c>
      <c r="BI450" s="371"/>
      <c r="BJ450" s="499">
        <v>80</v>
      </c>
      <c r="BK450" s="500">
        <v>10</v>
      </c>
      <c r="BL450" s="488">
        <f t="shared" si="1022"/>
        <v>10</v>
      </c>
      <c r="BM450" s="371"/>
      <c r="BN450" s="232" t="str">
        <f t="shared" si="1023"/>
        <v/>
      </c>
      <c r="BO450" s="232">
        <f t="shared" si="1024"/>
        <v>10</v>
      </c>
      <c r="BP450" s="232" t="str">
        <f t="shared" si="1025"/>
        <v/>
      </c>
      <c r="BQ450" s="232" t="str">
        <f t="shared" si="1046"/>
        <v/>
      </c>
      <c r="BR450" s="371"/>
      <c r="BS450" s="499">
        <v>60</v>
      </c>
      <c r="BT450" s="500">
        <v>20</v>
      </c>
      <c r="BU450" s="488">
        <f t="shared" si="1026"/>
        <v>20</v>
      </c>
      <c r="BV450" s="371"/>
      <c r="BW450" s="232" t="str">
        <f t="shared" si="1027"/>
        <v/>
      </c>
      <c r="BX450" s="232">
        <f t="shared" si="1028"/>
        <v>20</v>
      </c>
      <c r="BY450" s="232" t="str">
        <f t="shared" si="1029"/>
        <v/>
      </c>
      <c r="BZ450" s="232" t="str">
        <f t="shared" si="1047"/>
        <v/>
      </c>
      <c r="CA450" s="371"/>
      <c r="CB450" s="507">
        <f t="shared" si="1030"/>
        <v>80</v>
      </c>
      <c r="CC450" s="508">
        <f t="shared" si="1031"/>
        <v>10</v>
      </c>
      <c r="CD450" s="509">
        <f t="shared" si="1032"/>
        <v>10</v>
      </c>
      <c r="CE450" s="371"/>
      <c r="CF450" s="232" t="str">
        <f t="shared" si="1033"/>
        <v/>
      </c>
      <c r="CG450" s="232">
        <f t="shared" si="1034"/>
        <v>10</v>
      </c>
      <c r="CH450" s="232" t="str">
        <f t="shared" si="1035"/>
        <v/>
      </c>
      <c r="CI450" s="232" t="str">
        <f t="shared" si="1048"/>
        <v/>
      </c>
      <c r="CJ450" s="232"/>
      <c r="CK450" s="499">
        <v>60</v>
      </c>
      <c r="CL450" s="500">
        <v>20</v>
      </c>
      <c r="CM450" s="488">
        <f t="shared" si="1036"/>
        <v>20</v>
      </c>
      <c r="CN450" s="371"/>
      <c r="CO450" s="232" t="str">
        <f t="shared" si="1037"/>
        <v/>
      </c>
      <c r="CP450" s="232">
        <f t="shared" si="1038"/>
        <v>20</v>
      </c>
      <c r="CQ450" s="232" t="str">
        <f t="shared" si="1039"/>
        <v/>
      </c>
      <c r="CR450" s="232" t="str">
        <f t="shared" si="1049"/>
        <v/>
      </c>
      <c r="CS450" s="232"/>
      <c r="CT450" s="371"/>
      <c r="CU450" s="296"/>
      <c r="CV450" s="246"/>
      <c r="CW450" s="264"/>
    </row>
    <row r="451" spans="1:101" x14ac:dyDescent="0.2">
      <c r="A451" s="264"/>
      <c r="B451" s="264"/>
      <c r="C451" s="202"/>
      <c r="D451" s="271">
        <v>4</v>
      </c>
      <c r="E451" s="166" t="s">
        <v>295</v>
      </c>
      <c r="F451" s="468">
        <v>3</v>
      </c>
      <c r="G451" s="472" t="s">
        <v>49</v>
      </c>
      <c r="H451" s="473">
        <v>1</v>
      </c>
      <c r="I451" s="170" t="str">
        <f t="shared" si="1000"/>
        <v>x</v>
      </c>
      <c r="J451" s="387" t="str">
        <f t="shared" si="1001"/>
        <v/>
      </c>
      <c r="K451" s="388" t="str">
        <f t="shared" si="1002"/>
        <v/>
      </c>
      <c r="L451" s="299"/>
      <c r="M451" s="375"/>
      <c r="N451" s="379"/>
      <c r="O451" s="236"/>
      <c r="P451" s="236"/>
      <c r="Q451" s="480">
        <v>40</v>
      </c>
      <c r="R451" s="481">
        <v>30</v>
      </c>
      <c r="S451" s="482">
        <f t="shared" si="1040"/>
        <v>30</v>
      </c>
      <c r="T451" s="371"/>
      <c r="U451" s="232">
        <f t="shared" si="1003"/>
        <v>40</v>
      </c>
      <c r="V451" s="232" t="str">
        <f t="shared" si="1004"/>
        <v/>
      </c>
      <c r="W451" s="232" t="str">
        <f t="shared" si="1005"/>
        <v/>
      </c>
      <c r="X451" s="232">
        <f t="shared" si="1041"/>
        <v>1</v>
      </c>
      <c r="Y451" s="371"/>
      <c r="Z451" s="495">
        <v>80</v>
      </c>
      <c r="AA451" s="496">
        <v>10</v>
      </c>
      <c r="AB451" s="482">
        <f t="shared" si="1006"/>
        <v>10</v>
      </c>
      <c r="AC451" s="371"/>
      <c r="AD451" s="232">
        <f t="shared" si="1007"/>
        <v>80</v>
      </c>
      <c r="AE451" s="232" t="str">
        <f t="shared" si="1008"/>
        <v/>
      </c>
      <c r="AF451" s="232" t="str">
        <f t="shared" si="1009"/>
        <v/>
      </c>
      <c r="AG451" s="232">
        <f t="shared" si="1042"/>
        <v>1</v>
      </c>
      <c r="AH451" s="371"/>
      <c r="AI451" s="495">
        <v>40</v>
      </c>
      <c r="AJ451" s="496">
        <v>20</v>
      </c>
      <c r="AK451" s="482">
        <f t="shared" si="1010"/>
        <v>40</v>
      </c>
      <c r="AL451" s="371"/>
      <c r="AM451" s="232">
        <f t="shared" si="1011"/>
        <v>40</v>
      </c>
      <c r="AN451" s="232" t="str">
        <f t="shared" si="1012"/>
        <v/>
      </c>
      <c r="AO451" s="232" t="str">
        <f t="shared" si="1013"/>
        <v/>
      </c>
      <c r="AP451" s="232">
        <f t="shared" si="1043"/>
        <v>1</v>
      </c>
      <c r="AQ451" s="371"/>
      <c r="AR451" s="495">
        <v>60</v>
      </c>
      <c r="AS451" s="496">
        <v>30</v>
      </c>
      <c r="AT451" s="482">
        <f t="shared" si="1014"/>
        <v>10</v>
      </c>
      <c r="AU451" s="371"/>
      <c r="AV451" s="232">
        <f t="shared" si="1015"/>
        <v>60</v>
      </c>
      <c r="AW451" s="232" t="str">
        <f t="shared" si="1016"/>
        <v/>
      </c>
      <c r="AX451" s="232" t="str">
        <f t="shared" si="1017"/>
        <v/>
      </c>
      <c r="AY451" s="232">
        <f t="shared" si="1044"/>
        <v>1</v>
      </c>
      <c r="AZ451" s="371"/>
      <c r="BA451" s="495">
        <v>80</v>
      </c>
      <c r="BB451" s="496">
        <v>10</v>
      </c>
      <c r="BC451" s="482">
        <f t="shared" si="1018"/>
        <v>10</v>
      </c>
      <c r="BD451" s="371"/>
      <c r="BE451" s="232">
        <f t="shared" si="1019"/>
        <v>80</v>
      </c>
      <c r="BF451" s="232" t="str">
        <f t="shared" si="1020"/>
        <v/>
      </c>
      <c r="BG451" s="232" t="str">
        <f t="shared" si="1021"/>
        <v/>
      </c>
      <c r="BH451" s="232">
        <f t="shared" si="1045"/>
        <v>1</v>
      </c>
      <c r="BI451" s="371"/>
      <c r="BJ451" s="495">
        <v>80</v>
      </c>
      <c r="BK451" s="496">
        <v>10</v>
      </c>
      <c r="BL451" s="482">
        <f t="shared" si="1022"/>
        <v>10</v>
      </c>
      <c r="BM451" s="371"/>
      <c r="BN451" s="232">
        <f t="shared" si="1023"/>
        <v>80</v>
      </c>
      <c r="BO451" s="232" t="str">
        <f t="shared" si="1024"/>
        <v/>
      </c>
      <c r="BP451" s="232" t="str">
        <f t="shared" si="1025"/>
        <v/>
      </c>
      <c r="BQ451" s="232">
        <f t="shared" si="1046"/>
        <v>1</v>
      </c>
      <c r="BR451" s="371"/>
      <c r="BS451" s="495">
        <v>40</v>
      </c>
      <c r="BT451" s="496">
        <v>30</v>
      </c>
      <c r="BU451" s="482">
        <f t="shared" si="1026"/>
        <v>30</v>
      </c>
      <c r="BV451" s="371"/>
      <c r="BW451" s="232">
        <f t="shared" si="1027"/>
        <v>40</v>
      </c>
      <c r="BX451" s="232" t="str">
        <f t="shared" si="1028"/>
        <v/>
      </c>
      <c r="BY451" s="232" t="str">
        <f t="shared" si="1029"/>
        <v/>
      </c>
      <c r="BZ451" s="232">
        <f t="shared" si="1047"/>
        <v>1</v>
      </c>
      <c r="CA451" s="371"/>
      <c r="CB451" s="501">
        <f t="shared" si="1030"/>
        <v>60</v>
      </c>
      <c r="CC451" s="502">
        <f t="shared" si="1031"/>
        <v>20</v>
      </c>
      <c r="CD451" s="503">
        <f t="shared" si="1032"/>
        <v>20</v>
      </c>
      <c r="CE451" s="371"/>
      <c r="CF451" s="232">
        <f t="shared" si="1033"/>
        <v>60</v>
      </c>
      <c r="CG451" s="232" t="str">
        <f t="shared" si="1034"/>
        <v/>
      </c>
      <c r="CH451" s="232" t="str">
        <f t="shared" si="1035"/>
        <v/>
      </c>
      <c r="CI451" s="232">
        <f t="shared" si="1048"/>
        <v>1</v>
      </c>
      <c r="CJ451" s="232"/>
      <c r="CK451" s="495">
        <v>40</v>
      </c>
      <c r="CL451" s="496">
        <v>30</v>
      </c>
      <c r="CM451" s="482">
        <f t="shared" si="1036"/>
        <v>30</v>
      </c>
      <c r="CN451" s="371"/>
      <c r="CO451" s="232">
        <f t="shared" si="1037"/>
        <v>40</v>
      </c>
      <c r="CP451" s="232" t="str">
        <f t="shared" si="1038"/>
        <v/>
      </c>
      <c r="CQ451" s="232" t="str">
        <f t="shared" si="1039"/>
        <v/>
      </c>
      <c r="CR451" s="232">
        <f t="shared" si="1049"/>
        <v>1</v>
      </c>
      <c r="CS451" s="232"/>
      <c r="CT451" s="371"/>
      <c r="CU451" s="296"/>
      <c r="CV451" s="246"/>
      <c r="CW451" s="264"/>
    </row>
    <row r="452" spans="1:101" x14ac:dyDescent="0.2">
      <c r="A452" s="264"/>
      <c r="B452" s="264"/>
      <c r="C452" s="202"/>
      <c r="D452" s="271">
        <v>5</v>
      </c>
      <c r="E452" s="167" t="s">
        <v>296</v>
      </c>
      <c r="F452" s="469" t="s">
        <v>297</v>
      </c>
      <c r="G452" s="474" t="s">
        <v>49</v>
      </c>
      <c r="H452" s="475" t="s">
        <v>297</v>
      </c>
      <c r="I452" s="389" t="str">
        <f t="shared" si="1000"/>
        <v/>
      </c>
      <c r="J452" s="390" t="str">
        <f t="shared" si="1001"/>
        <v>x</v>
      </c>
      <c r="K452" s="391" t="str">
        <f t="shared" si="1002"/>
        <v/>
      </c>
      <c r="L452" s="299"/>
      <c r="M452" s="375"/>
      <c r="N452" s="379"/>
      <c r="O452" s="236"/>
      <c r="P452" s="236"/>
      <c r="Q452" s="483">
        <v>20</v>
      </c>
      <c r="R452" s="484">
        <v>30</v>
      </c>
      <c r="S452" s="485">
        <f t="shared" si="1040"/>
        <v>50</v>
      </c>
      <c r="T452" s="371"/>
      <c r="U452" s="232" t="str">
        <f t="shared" si="1003"/>
        <v/>
      </c>
      <c r="V452" s="232">
        <f t="shared" si="1004"/>
        <v>30</v>
      </c>
      <c r="W452" s="232" t="str">
        <f t="shared" si="1005"/>
        <v/>
      </c>
      <c r="X452" s="232" t="str">
        <f t="shared" si="1041"/>
        <v/>
      </c>
      <c r="Y452" s="371"/>
      <c r="Z452" s="497">
        <v>10</v>
      </c>
      <c r="AA452" s="498">
        <v>10</v>
      </c>
      <c r="AB452" s="485">
        <f t="shared" si="1006"/>
        <v>80</v>
      </c>
      <c r="AC452" s="371"/>
      <c r="AD452" s="232" t="str">
        <f t="shared" si="1007"/>
        <v/>
      </c>
      <c r="AE452" s="232">
        <f t="shared" si="1008"/>
        <v>10</v>
      </c>
      <c r="AF452" s="232" t="str">
        <f t="shared" si="1009"/>
        <v/>
      </c>
      <c r="AG452" s="232" t="str">
        <f t="shared" si="1042"/>
        <v/>
      </c>
      <c r="AH452" s="371"/>
      <c r="AI452" s="497">
        <v>10</v>
      </c>
      <c r="AJ452" s="498">
        <v>10</v>
      </c>
      <c r="AK452" s="485">
        <f t="shared" si="1010"/>
        <v>80</v>
      </c>
      <c r="AL452" s="371"/>
      <c r="AM452" s="232" t="str">
        <f t="shared" si="1011"/>
        <v/>
      </c>
      <c r="AN452" s="232">
        <f t="shared" si="1012"/>
        <v>10</v>
      </c>
      <c r="AO452" s="232" t="str">
        <f t="shared" si="1013"/>
        <v/>
      </c>
      <c r="AP452" s="232" t="str">
        <f t="shared" si="1043"/>
        <v/>
      </c>
      <c r="AQ452" s="371"/>
      <c r="AR452" s="497">
        <v>10</v>
      </c>
      <c r="AS452" s="498">
        <v>30</v>
      </c>
      <c r="AT452" s="485">
        <f t="shared" si="1014"/>
        <v>60</v>
      </c>
      <c r="AU452" s="371"/>
      <c r="AV452" s="232" t="str">
        <f t="shared" si="1015"/>
        <v/>
      </c>
      <c r="AW452" s="232">
        <f t="shared" si="1016"/>
        <v>30</v>
      </c>
      <c r="AX452" s="232" t="str">
        <f t="shared" si="1017"/>
        <v/>
      </c>
      <c r="AY452" s="232" t="str">
        <f t="shared" si="1044"/>
        <v/>
      </c>
      <c r="AZ452" s="371"/>
      <c r="BA452" s="497">
        <v>10</v>
      </c>
      <c r="BB452" s="498">
        <v>40</v>
      </c>
      <c r="BC452" s="485">
        <f t="shared" si="1018"/>
        <v>50</v>
      </c>
      <c r="BD452" s="371"/>
      <c r="BE452" s="232" t="str">
        <f t="shared" si="1019"/>
        <v/>
      </c>
      <c r="BF452" s="232">
        <f t="shared" si="1020"/>
        <v>40</v>
      </c>
      <c r="BG452" s="232" t="str">
        <f t="shared" si="1021"/>
        <v/>
      </c>
      <c r="BH452" s="232" t="str">
        <f t="shared" si="1045"/>
        <v/>
      </c>
      <c r="BI452" s="371"/>
      <c r="BJ452" s="497">
        <v>10</v>
      </c>
      <c r="BK452" s="498">
        <v>10</v>
      </c>
      <c r="BL452" s="485">
        <f t="shared" si="1022"/>
        <v>80</v>
      </c>
      <c r="BM452" s="371"/>
      <c r="BN452" s="232" t="str">
        <f t="shared" si="1023"/>
        <v/>
      </c>
      <c r="BO452" s="232">
        <f t="shared" si="1024"/>
        <v>10</v>
      </c>
      <c r="BP452" s="232" t="str">
        <f t="shared" si="1025"/>
        <v/>
      </c>
      <c r="BQ452" s="232" t="str">
        <f t="shared" si="1046"/>
        <v/>
      </c>
      <c r="BR452" s="371"/>
      <c r="BS452" s="497">
        <v>20</v>
      </c>
      <c r="BT452" s="498">
        <v>30</v>
      </c>
      <c r="BU452" s="485">
        <f t="shared" si="1026"/>
        <v>50</v>
      </c>
      <c r="BV452" s="371"/>
      <c r="BW452" s="232" t="str">
        <f t="shared" si="1027"/>
        <v/>
      </c>
      <c r="BX452" s="232">
        <f t="shared" si="1028"/>
        <v>30</v>
      </c>
      <c r="BY452" s="232" t="str">
        <f t="shared" si="1029"/>
        <v/>
      </c>
      <c r="BZ452" s="232" t="str">
        <f t="shared" si="1047"/>
        <v/>
      </c>
      <c r="CA452" s="371"/>
      <c r="CB452" s="504">
        <f t="shared" si="1030"/>
        <v>20</v>
      </c>
      <c r="CC452" s="505">
        <f t="shared" si="1031"/>
        <v>20</v>
      </c>
      <c r="CD452" s="506">
        <f t="shared" si="1032"/>
        <v>60</v>
      </c>
      <c r="CE452" s="371"/>
      <c r="CF452" s="232" t="str">
        <f t="shared" si="1033"/>
        <v/>
      </c>
      <c r="CG452" s="232">
        <f t="shared" si="1034"/>
        <v>20</v>
      </c>
      <c r="CH452" s="232" t="str">
        <f t="shared" si="1035"/>
        <v/>
      </c>
      <c r="CI452" s="232" t="str">
        <f t="shared" si="1048"/>
        <v/>
      </c>
      <c r="CJ452" s="232"/>
      <c r="CK452" s="497">
        <v>20</v>
      </c>
      <c r="CL452" s="498">
        <v>30</v>
      </c>
      <c r="CM452" s="485">
        <f t="shared" si="1036"/>
        <v>50</v>
      </c>
      <c r="CN452" s="371"/>
      <c r="CO452" s="232" t="str">
        <f t="shared" si="1037"/>
        <v/>
      </c>
      <c r="CP452" s="232">
        <f t="shared" si="1038"/>
        <v>30</v>
      </c>
      <c r="CQ452" s="232" t="str">
        <f t="shared" si="1039"/>
        <v/>
      </c>
      <c r="CR452" s="232" t="str">
        <f t="shared" si="1049"/>
        <v/>
      </c>
      <c r="CS452" s="232"/>
      <c r="CT452" s="371"/>
      <c r="CU452" s="296"/>
      <c r="CV452" s="246"/>
      <c r="CW452" s="264"/>
    </row>
    <row r="453" spans="1:101" ht="13.5" thickBot="1" x14ac:dyDescent="0.25">
      <c r="A453" s="264"/>
      <c r="B453" s="264"/>
      <c r="C453" s="202"/>
      <c r="D453" s="271">
        <v>6</v>
      </c>
      <c r="E453" s="168" t="s">
        <v>298</v>
      </c>
      <c r="F453" s="470">
        <v>2</v>
      </c>
      <c r="G453" s="476" t="s">
        <v>49</v>
      </c>
      <c r="H453" s="477">
        <v>0</v>
      </c>
      <c r="I453" s="392" t="str">
        <f t="shared" si="1000"/>
        <v>x</v>
      </c>
      <c r="J453" s="393" t="str">
        <f t="shared" si="1001"/>
        <v/>
      </c>
      <c r="K453" s="394" t="str">
        <f t="shared" si="1002"/>
        <v/>
      </c>
      <c r="L453" s="299"/>
      <c r="M453" s="375"/>
      <c r="N453" s="379"/>
      <c r="O453" s="236"/>
      <c r="P453" s="236"/>
      <c r="Q453" s="489">
        <v>50</v>
      </c>
      <c r="R453" s="490">
        <v>30</v>
      </c>
      <c r="S453" s="491">
        <f t="shared" si="1040"/>
        <v>20</v>
      </c>
      <c r="T453" s="371"/>
      <c r="U453" s="232">
        <f t="shared" si="1003"/>
        <v>50</v>
      </c>
      <c r="V453" s="232" t="str">
        <f t="shared" si="1004"/>
        <v/>
      </c>
      <c r="W453" s="232" t="str">
        <f t="shared" si="1005"/>
        <v/>
      </c>
      <c r="X453" s="232">
        <f t="shared" si="1041"/>
        <v>1</v>
      </c>
      <c r="Y453" s="371"/>
      <c r="Z453" s="499">
        <v>80</v>
      </c>
      <c r="AA453" s="500">
        <v>10</v>
      </c>
      <c r="AB453" s="491">
        <f t="shared" si="1006"/>
        <v>10</v>
      </c>
      <c r="AC453" s="371"/>
      <c r="AD453" s="232">
        <f t="shared" si="1007"/>
        <v>80</v>
      </c>
      <c r="AE453" s="232" t="str">
        <f t="shared" si="1008"/>
        <v/>
      </c>
      <c r="AF453" s="232" t="str">
        <f t="shared" si="1009"/>
        <v/>
      </c>
      <c r="AG453" s="232">
        <f t="shared" si="1042"/>
        <v>1</v>
      </c>
      <c r="AH453" s="371"/>
      <c r="AI453" s="499">
        <v>60</v>
      </c>
      <c r="AJ453" s="500">
        <v>20</v>
      </c>
      <c r="AK453" s="491">
        <f t="shared" si="1010"/>
        <v>20</v>
      </c>
      <c r="AL453" s="371"/>
      <c r="AM453" s="232">
        <f t="shared" si="1011"/>
        <v>60</v>
      </c>
      <c r="AN453" s="232" t="str">
        <f t="shared" si="1012"/>
        <v/>
      </c>
      <c r="AO453" s="232" t="str">
        <f t="shared" si="1013"/>
        <v/>
      </c>
      <c r="AP453" s="232">
        <f t="shared" si="1043"/>
        <v>1</v>
      </c>
      <c r="AQ453" s="371"/>
      <c r="AR453" s="499">
        <v>60</v>
      </c>
      <c r="AS453" s="500">
        <v>30</v>
      </c>
      <c r="AT453" s="491">
        <f t="shared" si="1014"/>
        <v>10</v>
      </c>
      <c r="AU453" s="371"/>
      <c r="AV453" s="232">
        <f t="shared" si="1015"/>
        <v>60</v>
      </c>
      <c r="AW453" s="232" t="str">
        <f t="shared" si="1016"/>
        <v/>
      </c>
      <c r="AX453" s="232" t="str">
        <f t="shared" si="1017"/>
        <v/>
      </c>
      <c r="AY453" s="232">
        <f t="shared" si="1044"/>
        <v>1</v>
      </c>
      <c r="AZ453" s="371"/>
      <c r="BA453" s="499">
        <v>80</v>
      </c>
      <c r="BB453" s="500">
        <v>10</v>
      </c>
      <c r="BC453" s="491">
        <f t="shared" si="1018"/>
        <v>10</v>
      </c>
      <c r="BD453" s="371"/>
      <c r="BE453" s="232">
        <f t="shared" si="1019"/>
        <v>80</v>
      </c>
      <c r="BF453" s="232" t="str">
        <f t="shared" si="1020"/>
        <v/>
      </c>
      <c r="BG453" s="232" t="str">
        <f t="shared" si="1021"/>
        <v/>
      </c>
      <c r="BH453" s="232">
        <f t="shared" si="1045"/>
        <v>1</v>
      </c>
      <c r="BI453" s="371"/>
      <c r="BJ453" s="499">
        <v>30</v>
      </c>
      <c r="BK453" s="500">
        <v>40</v>
      </c>
      <c r="BL453" s="491">
        <f t="shared" si="1022"/>
        <v>30</v>
      </c>
      <c r="BM453" s="371"/>
      <c r="BN453" s="232">
        <f t="shared" si="1023"/>
        <v>30</v>
      </c>
      <c r="BO453" s="232" t="str">
        <f t="shared" si="1024"/>
        <v/>
      </c>
      <c r="BP453" s="232" t="str">
        <f t="shared" si="1025"/>
        <v/>
      </c>
      <c r="BQ453" s="232" t="str">
        <f t="shared" si="1046"/>
        <v/>
      </c>
      <c r="BR453" s="371"/>
      <c r="BS453" s="499">
        <v>50</v>
      </c>
      <c r="BT453" s="500">
        <v>40</v>
      </c>
      <c r="BU453" s="491">
        <f t="shared" si="1026"/>
        <v>10</v>
      </c>
      <c r="BV453" s="371"/>
      <c r="BW453" s="232">
        <f t="shared" si="1027"/>
        <v>50</v>
      </c>
      <c r="BX453" s="232" t="str">
        <f t="shared" si="1028"/>
        <v/>
      </c>
      <c r="BY453" s="232" t="str">
        <f t="shared" si="1029"/>
        <v/>
      </c>
      <c r="BZ453" s="232">
        <f t="shared" si="1047"/>
        <v>1</v>
      </c>
      <c r="CA453" s="371"/>
      <c r="CB453" s="507">
        <f t="shared" si="1030"/>
        <v>60</v>
      </c>
      <c r="CC453" s="508">
        <f t="shared" si="1031"/>
        <v>20</v>
      </c>
      <c r="CD453" s="509">
        <f t="shared" si="1032"/>
        <v>20</v>
      </c>
      <c r="CE453" s="371"/>
      <c r="CF453" s="232">
        <f t="shared" si="1033"/>
        <v>60</v>
      </c>
      <c r="CG453" s="232" t="str">
        <f t="shared" si="1034"/>
        <v/>
      </c>
      <c r="CH453" s="232" t="str">
        <f t="shared" si="1035"/>
        <v/>
      </c>
      <c r="CI453" s="232">
        <f t="shared" si="1048"/>
        <v>1</v>
      </c>
      <c r="CJ453" s="232"/>
      <c r="CK453" s="499">
        <v>50</v>
      </c>
      <c r="CL453" s="500">
        <v>30</v>
      </c>
      <c r="CM453" s="491">
        <f t="shared" si="1036"/>
        <v>20</v>
      </c>
      <c r="CN453" s="371"/>
      <c r="CO453" s="232">
        <f t="shared" si="1037"/>
        <v>50</v>
      </c>
      <c r="CP453" s="232" t="str">
        <f t="shared" si="1038"/>
        <v/>
      </c>
      <c r="CQ453" s="232" t="str">
        <f t="shared" si="1039"/>
        <v/>
      </c>
      <c r="CR453" s="232">
        <f t="shared" si="1049"/>
        <v>1</v>
      </c>
      <c r="CS453" s="232"/>
      <c r="CT453" s="371"/>
      <c r="CU453" s="296"/>
      <c r="CV453" s="246"/>
      <c r="CW453" s="264"/>
    </row>
    <row r="454" spans="1:101" x14ac:dyDescent="0.2">
      <c r="A454" s="264"/>
      <c r="B454" s="264"/>
      <c r="C454" s="202"/>
      <c r="D454" s="271">
        <v>7</v>
      </c>
      <c r="E454" s="166" t="s">
        <v>299</v>
      </c>
      <c r="F454" s="468">
        <v>2</v>
      </c>
      <c r="G454" s="472" t="s">
        <v>49</v>
      </c>
      <c r="H454" s="473">
        <v>2</v>
      </c>
      <c r="I454" s="170" t="str">
        <f t="shared" si="1000"/>
        <v/>
      </c>
      <c r="J454" s="387" t="str">
        <f t="shared" si="1001"/>
        <v>x</v>
      </c>
      <c r="K454" s="388" t="str">
        <f t="shared" si="1002"/>
        <v/>
      </c>
      <c r="L454" s="299"/>
      <c r="M454" s="375"/>
      <c r="N454" s="379"/>
      <c r="O454" s="236"/>
      <c r="P454" s="236"/>
      <c r="Q454" s="480">
        <v>40</v>
      </c>
      <c r="R454" s="481">
        <v>30</v>
      </c>
      <c r="S454" s="482">
        <f t="shared" si="1040"/>
        <v>30</v>
      </c>
      <c r="T454" s="371"/>
      <c r="U454" s="232" t="str">
        <f t="shared" si="1003"/>
        <v/>
      </c>
      <c r="V454" s="232">
        <f t="shared" si="1004"/>
        <v>30</v>
      </c>
      <c r="W454" s="232" t="str">
        <f t="shared" si="1005"/>
        <v/>
      </c>
      <c r="X454" s="232" t="str">
        <f t="shared" si="1041"/>
        <v/>
      </c>
      <c r="Y454" s="371"/>
      <c r="Z454" s="495">
        <v>80</v>
      </c>
      <c r="AA454" s="496">
        <v>10</v>
      </c>
      <c r="AB454" s="482">
        <f t="shared" si="1006"/>
        <v>10</v>
      </c>
      <c r="AC454" s="371"/>
      <c r="AD454" s="232" t="str">
        <f t="shared" si="1007"/>
        <v/>
      </c>
      <c r="AE454" s="232">
        <f t="shared" si="1008"/>
        <v>10</v>
      </c>
      <c r="AF454" s="232" t="str">
        <f t="shared" si="1009"/>
        <v/>
      </c>
      <c r="AG454" s="232" t="str">
        <f t="shared" si="1042"/>
        <v/>
      </c>
      <c r="AH454" s="371"/>
      <c r="AI454" s="495">
        <v>50</v>
      </c>
      <c r="AJ454" s="496">
        <v>20</v>
      </c>
      <c r="AK454" s="482">
        <f t="shared" si="1010"/>
        <v>30</v>
      </c>
      <c r="AL454" s="371"/>
      <c r="AM454" s="232" t="str">
        <f t="shared" si="1011"/>
        <v/>
      </c>
      <c r="AN454" s="232">
        <f t="shared" si="1012"/>
        <v>20</v>
      </c>
      <c r="AO454" s="232" t="str">
        <f t="shared" si="1013"/>
        <v/>
      </c>
      <c r="AP454" s="232" t="str">
        <f t="shared" si="1043"/>
        <v/>
      </c>
      <c r="AQ454" s="371"/>
      <c r="AR454" s="495">
        <v>50</v>
      </c>
      <c r="AS454" s="496">
        <v>40</v>
      </c>
      <c r="AT454" s="482">
        <f t="shared" si="1014"/>
        <v>10</v>
      </c>
      <c r="AU454" s="371"/>
      <c r="AV454" s="232" t="str">
        <f t="shared" si="1015"/>
        <v/>
      </c>
      <c r="AW454" s="232">
        <f t="shared" si="1016"/>
        <v>40</v>
      </c>
      <c r="AX454" s="232" t="str">
        <f t="shared" si="1017"/>
        <v/>
      </c>
      <c r="AY454" s="232" t="str">
        <f t="shared" si="1044"/>
        <v/>
      </c>
      <c r="AZ454" s="371"/>
      <c r="BA454" s="495">
        <v>50</v>
      </c>
      <c r="BB454" s="496">
        <v>40</v>
      </c>
      <c r="BC454" s="482">
        <f t="shared" si="1018"/>
        <v>10</v>
      </c>
      <c r="BD454" s="371"/>
      <c r="BE454" s="232" t="str">
        <f t="shared" si="1019"/>
        <v/>
      </c>
      <c r="BF454" s="232">
        <f t="shared" si="1020"/>
        <v>40</v>
      </c>
      <c r="BG454" s="232" t="str">
        <f t="shared" si="1021"/>
        <v/>
      </c>
      <c r="BH454" s="232" t="str">
        <f t="shared" si="1045"/>
        <v/>
      </c>
      <c r="BI454" s="371"/>
      <c r="BJ454" s="495">
        <v>30</v>
      </c>
      <c r="BK454" s="496">
        <v>40</v>
      </c>
      <c r="BL454" s="482">
        <f t="shared" si="1022"/>
        <v>30</v>
      </c>
      <c r="BM454" s="371"/>
      <c r="BN454" s="232" t="str">
        <f t="shared" si="1023"/>
        <v/>
      </c>
      <c r="BO454" s="232">
        <f t="shared" si="1024"/>
        <v>40</v>
      </c>
      <c r="BP454" s="232" t="str">
        <f t="shared" si="1025"/>
        <v/>
      </c>
      <c r="BQ454" s="232">
        <f t="shared" si="1046"/>
        <v>1</v>
      </c>
      <c r="BR454" s="371"/>
      <c r="BS454" s="495">
        <v>50</v>
      </c>
      <c r="BT454" s="496">
        <v>20</v>
      </c>
      <c r="BU454" s="482">
        <f t="shared" si="1026"/>
        <v>30</v>
      </c>
      <c r="BV454" s="371"/>
      <c r="BW454" s="232" t="str">
        <f t="shared" si="1027"/>
        <v/>
      </c>
      <c r="BX454" s="232">
        <f t="shared" si="1028"/>
        <v>20</v>
      </c>
      <c r="BY454" s="232" t="str">
        <f t="shared" si="1029"/>
        <v/>
      </c>
      <c r="BZ454" s="232" t="str">
        <f t="shared" si="1047"/>
        <v/>
      </c>
      <c r="CA454" s="371"/>
      <c r="CB454" s="501">
        <f t="shared" si="1030"/>
        <v>50</v>
      </c>
      <c r="CC454" s="502">
        <f t="shared" si="1031"/>
        <v>20</v>
      </c>
      <c r="CD454" s="503">
        <f t="shared" si="1032"/>
        <v>30</v>
      </c>
      <c r="CE454" s="371"/>
      <c r="CF454" s="232" t="str">
        <f t="shared" si="1033"/>
        <v/>
      </c>
      <c r="CG454" s="232">
        <f t="shared" si="1034"/>
        <v>20</v>
      </c>
      <c r="CH454" s="232" t="str">
        <f t="shared" si="1035"/>
        <v/>
      </c>
      <c r="CI454" s="232" t="str">
        <f t="shared" si="1048"/>
        <v/>
      </c>
      <c r="CJ454" s="232"/>
      <c r="CK454" s="495">
        <v>40</v>
      </c>
      <c r="CL454" s="496">
        <v>30</v>
      </c>
      <c r="CM454" s="482">
        <f t="shared" si="1036"/>
        <v>30</v>
      </c>
      <c r="CN454" s="371"/>
      <c r="CO454" s="232" t="str">
        <f t="shared" si="1037"/>
        <v/>
      </c>
      <c r="CP454" s="232">
        <f t="shared" si="1038"/>
        <v>30</v>
      </c>
      <c r="CQ454" s="232" t="str">
        <f t="shared" si="1039"/>
        <v/>
      </c>
      <c r="CR454" s="232" t="str">
        <f t="shared" si="1049"/>
        <v/>
      </c>
      <c r="CS454" s="232"/>
      <c r="CT454" s="371"/>
      <c r="CU454" s="300"/>
      <c r="CV454" s="246"/>
      <c r="CW454" s="264"/>
    </row>
    <row r="455" spans="1:101" x14ac:dyDescent="0.2">
      <c r="A455" s="264"/>
      <c r="B455" s="264"/>
      <c r="C455" s="202"/>
      <c r="D455" s="271">
        <v>8</v>
      </c>
      <c r="E455" s="167" t="s">
        <v>300</v>
      </c>
      <c r="F455" s="469">
        <v>1</v>
      </c>
      <c r="G455" s="474" t="s">
        <v>49</v>
      </c>
      <c r="H455" s="475">
        <v>3</v>
      </c>
      <c r="I455" s="389" t="str">
        <f t="shared" si="1000"/>
        <v/>
      </c>
      <c r="J455" s="390" t="str">
        <f t="shared" si="1001"/>
        <v/>
      </c>
      <c r="K455" s="391" t="str">
        <f t="shared" si="1002"/>
        <v>x</v>
      </c>
      <c r="L455" s="299"/>
      <c r="M455" s="375"/>
      <c r="N455" s="379"/>
      <c r="O455" s="236"/>
      <c r="P455" s="236"/>
      <c r="Q455" s="483">
        <v>60</v>
      </c>
      <c r="R455" s="484">
        <v>20</v>
      </c>
      <c r="S455" s="485">
        <f t="shared" si="1040"/>
        <v>20</v>
      </c>
      <c r="T455" s="371"/>
      <c r="U455" s="232" t="str">
        <f t="shared" si="1003"/>
        <v/>
      </c>
      <c r="V455" s="232" t="str">
        <f t="shared" si="1004"/>
        <v/>
      </c>
      <c r="W455" s="232">
        <f t="shared" si="1005"/>
        <v>20</v>
      </c>
      <c r="X455" s="232" t="str">
        <f t="shared" si="1041"/>
        <v/>
      </c>
      <c r="Y455" s="371"/>
      <c r="Z455" s="497">
        <v>80</v>
      </c>
      <c r="AA455" s="498">
        <v>10</v>
      </c>
      <c r="AB455" s="485">
        <f t="shared" si="1006"/>
        <v>10</v>
      </c>
      <c r="AC455" s="371"/>
      <c r="AD455" s="232" t="str">
        <f t="shared" si="1007"/>
        <v/>
      </c>
      <c r="AE455" s="232" t="str">
        <f t="shared" si="1008"/>
        <v/>
      </c>
      <c r="AF455" s="232">
        <f t="shared" si="1009"/>
        <v>10</v>
      </c>
      <c r="AG455" s="232" t="str">
        <f t="shared" si="1042"/>
        <v/>
      </c>
      <c r="AH455" s="371"/>
      <c r="AI455" s="497">
        <v>40</v>
      </c>
      <c r="AJ455" s="498">
        <v>30</v>
      </c>
      <c r="AK455" s="485">
        <f t="shared" si="1010"/>
        <v>30</v>
      </c>
      <c r="AL455" s="371"/>
      <c r="AM455" s="232" t="str">
        <f t="shared" si="1011"/>
        <v/>
      </c>
      <c r="AN455" s="232" t="str">
        <f t="shared" si="1012"/>
        <v/>
      </c>
      <c r="AO455" s="232">
        <f t="shared" si="1013"/>
        <v>30</v>
      </c>
      <c r="AP455" s="232" t="str">
        <f t="shared" si="1043"/>
        <v/>
      </c>
      <c r="AQ455" s="371"/>
      <c r="AR455" s="497">
        <v>60</v>
      </c>
      <c r="AS455" s="498">
        <v>30</v>
      </c>
      <c r="AT455" s="485">
        <f t="shared" si="1014"/>
        <v>10</v>
      </c>
      <c r="AU455" s="371"/>
      <c r="AV455" s="232" t="str">
        <f t="shared" si="1015"/>
        <v/>
      </c>
      <c r="AW455" s="232" t="str">
        <f t="shared" si="1016"/>
        <v/>
      </c>
      <c r="AX455" s="232">
        <f t="shared" si="1017"/>
        <v>10</v>
      </c>
      <c r="AY455" s="232" t="str">
        <f t="shared" si="1044"/>
        <v/>
      </c>
      <c r="AZ455" s="371"/>
      <c r="BA455" s="497">
        <v>80</v>
      </c>
      <c r="BB455" s="498">
        <v>10</v>
      </c>
      <c r="BC455" s="485">
        <f t="shared" si="1018"/>
        <v>10</v>
      </c>
      <c r="BD455" s="371"/>
      <c r="BE455" s="232" t="str">
        <f t="shared" si="1019"/>
        <v/>
      </c>
      <c r="BF455" s="232" t="str">
        <f t="shared" si="1020"/>
        <v/>
      </c>
      <c r="BG455" s="232">
        <f t="shared" si="1021"/>
        <v>10</v>
      </c>
      <c r="BH455" s="232" t="str">
        <f t="shared" si="1045"/>
        <v/>
      </c>
      <c r="BI455" s="371"/>
      <c r="BJ455" s="497">
        <v>60</v>
      </c>
      <c r="BK455" s="498">
        <v>20</v>
      </c>
      <c r="BL455" s="485">
        <f t="shared" si="1022"/>
        <v>20</v>
      </c>
      <c r="BM455" s="371"/>
      <c r="BN455" s="232" t="str">
        <f t="shared" si="1023"/>
        <v/>
      </c>
      <c r="BO455" s="232" t="str">
        <f t="shared" si="1024"/>
        <v/>
      </c>
      <c r="BP455" s="232">
        <f t="shared" si="1025"/>
        <v>20</v>
      </c>
      <c r="BQ455" s="232" t="str">
        <f t="shared" si="1046"/>
        <v/>
      </c>
      <c r="BR455" s="371"/>
      <c r="BS455" s="497">
        <v>40</v>
      </c>
      <c r="BT455" s="498">
        <v>20</v>
      </c>
      <c r="BU455" s="485">
        <f t="shared" si="1026"/>
        <v>40</v>
      </c>
      <c r="BV455" s="371"/>
      <c r="BW455" s="232" t="str">
        <f t="shared" si="1027"/>
        <v/>
      </c>
      <c r="BX455" s="232" t="str">
        <f t="shared" si="1028"/>
        <v/>
      </c>
      <c r="BY455" s="232">
        <f t="shared" si="1029"/>
        <v>40</v>
      </c>
      <c r="BZ455" s="232">
        <f t="shared" si="1047"/>
        <v>1</v>
      </c>
      <c r="CA455" s="371"/>
      <c r="CB455" s="504">
        <f t="shared" si="1030"/>
        <v>60</v>
      </c>
      <c r="CC455" s="505">
        <f t="shared" si="1031"/>
        <v>20</v>
      </c>
      <c r="CD455" s="506">
        <f t="shared" si="1032"/>
        <v>20</v>
      </c>
      <c r="CE455" s="371"/>
      <c r="CF455" s="232" t="str">
        <f t="shared" si="1033"/>
        <v/>
      </c>
      <c r="CG455" s="232" t="str">
        <f t="shared" si="1034"/>
        <v/>
      </c>
      <c r="CH455" s="232">
        <f t="shared" si="1035"/>
        <v>20</v>
      </c>
      <c r="CI455" s="232" t="str">
        <f t="shared" si="1048"/>
        <v/>
      </c>
      <c r="CJ455" s="232"/>
      <c r="CK455" s="497">
        <v>60</v>
      </c>
      <c r="CL455" s="498">
        <v>20</v>
      </c>
      <c r="CM455" s="485">
        <f t="shared" si="1036"/>
        <v>20</v>
      </c>
      <c r="CN455" s="371"/>
      <c r="CO455" s="232" t="str">
        <f t="shared" si="1037"/>
        <v/>
      </c>
      <c r="CP455" s="232" t="str">
        <f t="shared" si="1038"/>
        <v/>
      </c>
      <c r="CQ455" s="232">
        <f t="shared" si="1039"/>
        <v>20</v>
      </c>
      <c r="CR455" s="232" t="str">
        <f t="shared" si="1049"/>
        <v/>
      </c>
      <c r="CS455" s="232"/>
      <c r="CT455" s="371"/>
      <c r="CU455" s="300"/>
      <c r="CV455" s="246"/>
      <c r="CW455" s="264"/>
    </row>
    <row r="456" spans="1:101" ht="13.5" thickBot="1" x14ac:dyDescent="0.25">
      <c r="A456" s="264"/>
      <c r="B456" s="264"/>
      <c r="C456" s="202"/>
      <c r="D456" s="271">
        <v>9</v>
      </c>
      <c r="E456" s="168" t="s">
        <v>301</v>
      </c>
      <c r="F456" s="470">
        <v>0</v>
      </c>
      <c r="G456" s="476" t="s">
        <v>49</v>
      </c>
      <c r="H456" s="477">
        <v>1</v>
      </c>
      <c r="I456" s="392" t="str">
        <f t="shared" si="1000"/>
        <v/>
      </c>
      <c r="J456" s="393" t="str">
        <f t="shared" si="1001"/>
        <v/>
      </c>
      <c r="K456" s="394" t="str">
        <f t="shared" si="1002"/>
        <v>x</v>
      </c>
      <c r="L456" s="299"/>
      <c r="M456" s="375"/>
      <c r="N456" s="379"/>
      <c r="O456" s="236"/>
      <c r="P456" s="236"/>
      <c r="Q456" s="489">
        <v>40</v>
      </c>
      <c r="R456" s="490">
        <v>30</v>
      </c>
      <c r="S456" s="491">
        <f t="shared" si="1040"/>
        <v>30</v>
      </c>
      <c r="T456" s="371"/>
      <c r="U456" s="232" t="str">
        <f t="shared" si="1003"/>
        <v/>
      </c>
      <c r="V456" s="232" t="str">
        <f t="shared" si="1004"/>
        <v/>
      </c>
      <c r="W456" s="232">
        <f t="shared" si="1005"/>
        <v>30</v>
      </c>
      <c r="X456" s="232" t="str">
        <f t="shared" si="1041"/>
        <v/>
      </c>
      <c r="Y456" s="371"/>
      <c r="Z456" s="499">
        <v>80</v>
      </c>
      <c r="AA456" s="500">
        <v>10</v>
      </c>
      <c r="AB456" s="491">
        <f t="shared" si="1006"/>
        <v>10</v>
      </c>
      <c r="AC456" s="371"/>
      <c r="AD456" s="232" t="str">
        <f t="shared" si="1007"/>
        <v/>
      </c>
      <c r="AE456" s="232" t="str">
        <f t="shared" si="1008"/>
        <v/>
      </c>
      <c r="AF456" s="232">
        <f t="shared" si="1009"/>
        <v>10</v>
      </c>
      <c r="AG456" s="232" t="str">
        <f t="shared" si="1042"/>
        <v/>
      </c>
      <c r="AH456" s="371"/>
      <c r="AI456" s="499">
        <v>70</v>
      </c>
      <c r="AJ456" s="500">
        <v>20</v>
      </c>
      <c r="AK456" s="491">
        <f t="shared" si="1010"/>
        <v>10</v>
      </c>
      <c r="AL456" s="371"/>
      <c r="AM456" s="232" t="str">
        <f t="shared" si="1011"/>
        <v/>
      </c>
      <c r="AN456" s="232" t="str">
        <f t="shared" si="1012"/>
        <v/>
      </c>
      <c r="AO456" s="232">
        <f t="shared" si="1013"/>
        <v>10</v>
      </c>
      <c r="AP456" s="232" t="str">
        <f t="shared" si="1043"/>
        <v/>
      </c>
      <c r="AQ456" s="371"/>
      <c r="AR456" s="499">
        <v>60</v>
      </c>
      <c r="AS456" s="500">
        <v>30</v>
      </c>
      <c r="AT456" s="491">
        <f t="shared" si="1014"/>
        <v>10</v>
      </c>
      <c r="AU456" s="371"/>
      <c r="AV456" s="232" t="str">
        <f t="shared" si="1015"/>
        <v/>
      </c>
      <c r="AW456" s="232" t="str">
        <f t="shared" si="1016"/>
        <v/>
      </c>
      <c r="AX456" s="232">
        <f t="shared" si="1017"/>
        <v>10</v>
      </c>
      <c r="AY456" s="232" t="str">
        <f t="shared" si="1044"/>
        <v/>
      </c>
      <c r="AZ456" s="371"/>
      <c r="BA456" s="499">
        <v>80</v>
      </c>
      <c r="BB456" s="500">
        <v>10</v>
      </c>
      <c r="BC456" s="491">
        <f t="shared" si="1018"/>
        <v>10</v>
      </c>
      <c r="BD456" s="371"/>
      <c r="BE456" s="232" t="str">
        <f t="shared" si="1019"/>
        <v/>
      </c>
      <c r="BF456" s="232" t="str">
        <f t="shared" si="1020"/>
        <v/>
      </c>
      <c r="BG456" s="232">
        <f t="shared" si="1021"/>
        <v>10</v>
      </c>
      <c r="BH456" s="232" t="str">
        <f t="shared" si="1045"/>
        <v/>
      </c>
      <c r="BI456" s="371"/>
      <c r="BJ456" s="499">
        <v>30</v>
      </c>
      <c r="BK456" s="500">
        <v>40</v>
      </c>
      <c r="BL456" s="491">
        <f t="shared" si="1022"/>
        <v>30</v>
      </c>
      <c r="BM456" s="371"/>
      <c r="BN456" s="232" t="str">
        <f t="shared" si="1023"/>
        <v/>
      </c>
      <c r="BO456" s="232" t="str">
        <f t="shared" si="1024"/>
        <v/>
      </c>
      <c r="BP456" s="232">
        <f t="shared" si="1025"/>
        <v>30</v>
      </c>
      <c r="BQ456" s="232" t="str">
        <f t="shared" si="1046"/>
        <v/>
      </c>
      <c r="BR456" s="371"/>
      <c r="BS456" s="499">
        <v>40</v>
      </c>
      <c r="BT456" s="500">
        <v>30</v>
      </c>
      <c r="BU456" s="491">
        <f t="shared" si="1026"/>
        <v>30</v>
      </c>
      <c r="BV456" s="371"/>
      <c r="BW456" s="232" t="str">
        <f t="shared" si="1027"/>
        <v/>
      </c>
      <c r="BX456" s="232" t="str">
        <f t="shared" si="1028"/>
        <v/>
      </c>
      <c r="BY456" s="232">
        <f t="shared" si="1029"/>
        <v>30</v>
      </c>
      <c r="BZ456" s="232" t="str">
        <f t="shared" si="1047"/>
        <v/>
      </c>
      <c r="CA456" s="371"/>
      <c r="CB456" s="507">
        <f t="shared" si="1030"/>
        <v>60</v>
      </c>
      <c r="CC456" s="508">
        <f t="shared" si="1031"/>
        <v>20</v>
      </c>
      <c r="CD456" s="509">
        <f t="shared" si="1032"/>
        <v>20</v>
      </c>
      <c r="CE456" s="371"/>
      <c r="CF456" s="232" t="str">
        <f t="shared" si="1033"/>
        <v/>
      </c>
      <c r="CG456" s="232" t="str">
        <f t="shared" si="1034"/>
        <v/>
      </c>
      <c r="CH456" s="232">
        <f t="shared" si="1035"/>
        <v>20</v>
      </c>
      <c r="CI456" s="232" t="str">
        <f t="shared" si="1048"/>
        <v/>
      </c>
      <c r="CJ456" s="232"/>
      <c r="CK456" s="499">
        <v>40</v>
      </c>
      <c r="CL456" s="500">
        <v>30</v>
      </c>
      <c r="CM456" s="491">
        <f t="shared" si="1036"/>
        <v>30</v>
      </c>
      <c r="CN456" s="371"/>
      <c r="CO456" s="232" t="str">
        <f t="shared" si="1037"/>
        <v/>
      </c>
      <c r="CP456" s="232" t="str">
        <f t="shared" si="1038"/>
        <v/>
      </c>
      <c r="CQ456" s="232">
        <f t="shared" si="1039"/>
        <v>30</v>
      </c>
      <c r="CR456" s="232" t="str">
        <f t="shared" si="1049"/>
        <v/>
      </c>
      <c r="CS456" s="232"/>
      <c r="CT456" s="371"/>
      <c r="CU456" s="300"/>
      <c r="CV456" s="246"/>
      <c r="CW456" s="264"/>
    </row>
    <row r="457" spans="1:101" x14ac:dyDescent="0.2">
      <c r="A457" s="264"/>
      <c r="B457" s="264"/>
      <c r="C457" s="202"/>
      <c r="D457" s="271">
        <v>10</v>
      </c>
      <c r="E457" s="169" t="s">
        <v>302</v>
      </c>
      <c r="F457" s="471">
        <v>3</v>
      </c>
      <c r="G457" s="478" t="s">
        <v>49</v>
      </c>
      <c r="H457" s="479">
        <v>1</v>
      </c>
      <c r="I457" s="170" t="str">
        <f t="shared" si="1000"/>
        <v>x</v>
      </c>
      <c r="J457" s="387" t="str">
        <f t="shared" si="1001"/>
        <v/>
      </c>
      <c r="K457" s="388" t="str">
        <f t="shared" si="1002"/>
        <v/>
      </c>
      <c r="L457" s="299"/>
      <c r="M457" s="375"/>
      <c r="N457" s="379"/>
      <c r="O457" s="236"/>
      <c r="P457" s="236"/>
      <c r="Q457" s="492">
        <v>60</v>
      </c>
      <c r="R457" s="493">
        <v>20</v>
      </c>
      <c r="S457" s="494">
        <f t="shared" si="1040"/>
        <v>20</v>
      </c>
      <c r="T457" s="371"/>
      <c r="U457" s="232">
        <f t="shared" si="1003"/>
        <v>60</v>
      </c>
      <c r="V457" s="232" t="str">
        <f t="shared" si="1004"/>
        <v/>
      </c>
      <c r="W457" s="232" t="str">
        <f t="shared" si="1005"/>
        <v/>
      </c>
      <c r="X457" s="232">
        <f t="shared" si="1041"/>
        <v>1</v>
      </c>
      <c r="Y457" s="371"/>
      <c r="Z457" s="495">
        <v>80</v>
      </c>
      <c r="AA457" s="496">
        <v>10</v>
      </c>
      <c r="AB457" s="494">
        <f t="shared" si="1006"/>
        <v>10</v>
      </c>
      <c r="AC457" s="371"/>
      <c r="AD457" s="232">
        <f t="shared" si="1007"/>
        <v>80</v>
      </c>
      <c r="AE457" s="232" t="str">
        <f t="shared" si="1008"/>
        <v/>
      </c>
      <c r="AF457" s="232" t="str">
        <f t="shared" si="1009"/>
        <v/>
      </c>
      <c r="AG457" s="232">
        <f t="shared" si="1042"/>
        <v>1</v>
      </c>
      <c r="AH457" s="371"/>
      <c r="AI457" s="495">
        <v>80</v>
      </c>
      <c r="AJ457" s="496">
        <v>10</v>
      </c>
      <c r="AK457" s="494">
        <f t="shared" si="1010"/>
        <v>10</v>
      </c>
      <c r="AL457" s="371"/>
      <c r="AM457" s="232">
        <f t="shared" si="1011"/>
        <v>80</v>
      </c>
      <c r="AN457" s="232" t="str">
        <f t="shared" si="1012"/>
        <v/>
      </c>
      <c r="AO457" s="232" t="str">
        <f t="shared" si="1013"/>
        <v/>
      </c>
      <c r="AP457" s="232">
        <f t="shared" si="1043"/>
        <v>1</v>
      </c>
      <c r="AQ457" s="371"/>
      <c r="AR457" s="495">
        <v>60</v>
      </c>
      <c r="AS457" s="496">
        <v>30</v>
      </c>
      <c r="AT457" s="494">
        <f t="shared" si="1014"/>
        <v>10</v>
      </c>
      <c r="AU457" s="371"/>
      <c r="AV457" s="232">
        <f t="shared" si="1015"/>
        <v>60</v>
      </c>
      <c r="AW457" s="232" t="str">
        <f t="shared" si="1016"/>
        <v/>
      </c>
      <c r="AX457" s="232" t="str">
        <f t="shared" si="1017"/>
        <v/>
      </c>
      <c r="AY457" s="232">
        <f t="shared" si="1044"/>
        <v>1</v>
      </c>
      <c r="AZ457" s="371"/>
      <c r="BA457" s="495">
        <v>80</v>
      </c>
      <c r="BB457" s="496">
        <v>10</v>
      </c>
      <c r="BC457" s="494">
        <f t="shared" si="1018"/>
        <v>10</v>
      </c>
      <c r="BD457" s="371"/>
      <c r="BE457" s="232">
        <f t="shared" si="1019"/>
        <v>80</v>
      </c>
      <c r="BF457" s="232" t="str">
        <f t="shared" si="1020"/>
        <v/>
      </c>
      <c r="BG457" s="232" t="str">
        <f t="shared" si="1021"/>
        <v/>
      </c>
      <c r="BH457" s="232">
        <f t="shared" si="1045"/>
        <v>1</v>
      </c>
      <c r="BI457" s="371"/>
      <c r="BJ457" s="495">
        <v>80</v>
      </c>
      <c r="BK457" s="496">
        <v>10</v>
      </c>
      <c r="BL457" s="494">
        <f t="shared" si="1022"/>
        <v>10</v>
      </c>
      <c r="BM457" s="371"/>
      <c r="BN457" s="232">
        <f t="shared" si="1023"/>
        <v>80</v>
      </c>
      <c r="BO457" s="232" t="str">
        <f t="shared" si="1024"/>
        <v/>
      </c>
      <c r="BP457" s="232" t="str">
        <f t="shared" si="1025"/>
        <v/>
      </c>
      <c r="BQ457" s="232">
        <f t="shared" si="1046"/>
        <v>1</v>
      </c>
      <c r="BR457" s="371"/>
      <c r="BS457" s="495">
        <v>60</v>
      </c>
      <c r="BT457" s="496">
        <v>30</v>
      </c>
      <c r="BU457" s="494">
        <f t="shared" si="1026"/>
        <v>10</v>
      </c>
      <c r="BV457" s="371"/>
      <c r="BW457" s="232">
        <f t="shared" si="1027"/>
        <v>60</v>
      </c>
      <c r="BX457" s="232" t="str">
        <f t="shared" si="1028"/>
        <v/>
      </c>
      <c r="BY457" s="232" t="str">
        <f t="shared" si="1029"/>
        <v/>
      </c>
      <c r="BZ457" s="232">
        <f t="shared" si="1047"/>
        <v>1</v>
      </c>
      <c r="CA457" s="371"/>
      <c r="CB457" s="501">
        <f t="shared" si="1030"/>
        <v>80</v>
      </c>
      <c r="CC457" s="502">
        <f t="shared" si="1031"/>
        <v>10</v>
      </c>
      <c r="CD457" s="503">
        <f t="shared" si="1032"/>
        <v>10</v>
      </c>
      <c r="CE457" s="371"/>
      <c r="CF457" s="232">
        <f t="shared" si="1033"/>
        <v>80</v>
      </c>
      <c r="CG457" s="232" t="str">
        <f t="shared" si="1034"/>
        <v/>
      </c>
      <c r="CH457" s="232" t="str">
        <f t="shared" si="1035"/>
        <v/>
      </c>
      <c r="CI457" s="232">
        <f t="shared" si="1048"/>
        <v>1</v>
      </c>
      <c r="CJ457" s="232"/>
      <c r="CK457" s="495">
        <v>60</v>
      </c>
      <c r="CL457" s="496">
        <v>20</v>
      </c>
      <c r="CM457" s="494">
        <f t="shared" si="1036"/>
        <v>20</v>
      </c>
      <c r="CN457" s="371"/>
      <c r="CO457" s="232">
        <f t="shared" si="1037"/>
        <v>60</v>
      </c>
      <c r="CP457" s="232" t="str">
        <f t="shared" si="1038"/>
        <v/>
      </c>
      <c r="CQ457" s="232" t="str">
        <f t="shared" si="1039"/>
        <v/>
      </c>
      <c r="CR457" s="232">
        <f t="shared" si="1049"/>
        <v>1</v>
      </c>
      <c r="CS457" s="232"/>
      <c r="CT457" s="371"/>
      <c r="CU457" s="300"/>
      <c r="CV457" s="246"/>
      <c r="CW457" s="264"/>
    </row>
    <row r="458" spans="1:101" x14ac:dyDescent="0.2">
      <c r="A458" s="264"/>
      <c r="B458" s="264"/>
      <c r="C458" s="202"/>
      <c r="D458" s="271">
        <v>11</v>
      </c>
      <c r="E458" s="167" t="s">
        <v>303</v>
      </c>
      <c r="F458" s="469">
        <v>1</v>
      </c>
      <c r="G458" s="474" t="s">
        <v>49</v>
      </c>
      <c r="H458" s="475">
        <v>1</v>
      </c>
      <c r="I458" s="389" t="str">
        <f t="shared" si="1000"/>
        <v/>
      </c>
      <c r="J458" s="390" t="str">
        <f t="shared" si="1001"/>
        <v>x</v>
      </c>
      <c r="K458" s="391" t="str">
        <f t="shared" si="1002"/>
        <v/>
      </c>
      <c r="L458" s="299"/>
      <c r="M458" s="375"/>
      <c r="N458" s="379"/>
      <c r="O458" s="236"/>
      <c r="P458" s="236"/>
      <c r="Q458" s="483">
        <v>50</v>
      </c>
      <c r="R458" s="484">
        <v>30</v>
      </c>
      <c r="S458" s="485">
        <f t="shared" si="1040"/>
        <v>20</v>
      </c>
      <c r="T458" s="371"/>
      <c r="U458" s="232" t="str">
        <f t="shared" si="1003"/>
        <v/>
      </c>
      <c r="V458" s="232">
        <f t="shared" si="1004"/>
        <v>30</v>
      </c>
      <c r="W458" s="232" t="str">
        <f t="shared" si="1005"/>
        <v/>
      </c>
      <c r="X458" s="232" t="str">
        <f t="shared" si="1041"/>
        <v/>
      </c>
      <c r="Y458" s="371"/>
      <c r="Z458" s="497">
        <v>80</v>
      </c>
      <c r="AA458" s="498">
        <v>10</v>
      </c>
      <c r="AB458" s="485">
        <f t="shared" si="1006"/>
        <v>10</v>
      </c>
      <c r="AC458" s="371"/>
      <c r="AD458" s="232" t="str">
        <f t="shared" si="1007"/>
        <v/>
      </c>
      <c r="AE458" s="232">
        <f t="shared" si="1008"/>
        <v>10</v>
      </c>
      <c r="AF458" s="232" t="str">
        <f t="shared" si="1009"/>
        <v/>
      </c>
      <c r="AG458" s="232" t="str">
        <f t="shared" si="1042"/>
        <v/>
      </c>
      <c r="AH458" s="371"/>
      <c r="AI458" s="497">
        <v>70</v>
      </c>
      <c r="AJ458" s="498">
        <v>20</v>
      </c>
      <c r="AK458" s="485">
        <f t="shared" si="1010"/>
        <v>10</v>
      </c>
      <c r="AL458" s="371"/>
      <c r="AM458" s="232" t="str">
        <f t="shared" si="1011"/>
        <v/>
      </c>
      <c r="AN458" s="232">
        <f t="shared" si="1012"/>
        <v>20</v>
      </c>
      <c r="AO458" s="232" t="str">
        <f t="shared" si="1013"/>
        <v/>
      </c>
      <c r="AP458" s="232" t="str">
        <f t="shared" si="1043"/>
        <v/>
      </c>
      <c r="AQ458" s="371"/>
      <c r="AR458" s="497">
        <v>80</v>
      </c>
      <c r="AS458" s="498">
        <v>10</v>
      </c>
      <c r="AT458" s="485">
        <f t="shared" si="1014"/>
        <v>10</v>
      </c>
      <c r="AU458" s="371"/>
      <c r="AV458" s="232" t="str">
        <f t="shared" si="1015"/>
        <v/>
      </c>
      <c r="AW458" s="232">
        <f t="shared" si="1016"/>
        <v>10</v>
      </c>
      <c r="AX458" s="232" t="str">
        <f t="shared" si="1017"/>
        <v/>
      </c>
      <c r="AY458" s="232" t="str">
        <f t="shared" si="1044"/>
        <v/>
      </c>
      <c r="AZ458" s="371"/>
      <c r="BA458" s="497">
        <v>80</v>
      </c>
      <c r="BB458" s="498">
        <v>10</v>
      </c>
      <c r="BC458" s="485">
        <f t="shared" si="1018"/>
        <v>10</v>
      </c>
      <c r="BD458" s="371"/>
      <c r="BE458" s="232" t="str">
        <f t="shared" si="1019"/>
        <v/>
      </c>
      <c r="BF458" s="232">
        <f t="shared" si="1020"/>
        <v>10</v>
      </c>
      <c r="BG458" s="232" t="str">
        <f t="shared" si="1021"/>
        <v/>
      </c>
      <c r="BH458" s="232" t="str">
        <f t="shared" si="1045"/>
        <v/>
      </c>
      <c r="BI458" s="371"/>
      <c r="BJ458" s="497">
        <v>20</v>
      </c>
      <c r="BK458" s="498">
        <v>60</v>
      </c>
      <c r="BL458" s="485">
        <f t="shared" si="1022"/>
        <v>20</v>
      </c>
      <c r="BM458" s="371"/>
      <c r="BN458" s="232" t="str">
        <f t="shared" si="1023"/>
        <v/>
      </c>
      <c r="BO458" s="232">
        <f t="shared" si="1024"/>
        <v>60</v>
      </c>
      <c r="BP458" s="232" t="str">
        <f t="shared" si="1025"/>
        <v/>
      </c>
      <c r="BQ458" s="232">
        <f t="shared" si="1046"/>
        <v>1</v>
      </c>
      <c r="BR458" s="371"/>
      <c r="BS458" s="497">
        <v>50</v>
      </c>
      <c r="BT458" s="498">
        <v>40</v>
      </c>
      <c r="BU458" s="485">
        <f t="shared" si="1026"/>
        <v>10</v>
      </c>
      <c r="BV458" s="371"/>
      <c r="BW458" s="232" t="str">
        <f t="shared" si="1027"/>
        <v/>
      </c>
      <c r="BX458" s="232">
        <f t="shared" si="1028"/>
        <v>40</v>
      </c>
      <c r="BY458" s="232" t="str">
        <f t="shared" si="1029"/>
        <v/>
      </c>
      <c r="BZ458" s="232" t="str">
        <f t="shared" si="1047"/>
        <v/>
      </c>
      <c r="CA458" s="371"/>
      <c r="CB458" s="504">
        <f t="shared" si="1030"/>
        <v>70</v>
      </c>
      <c r="CC458" s="505">
        <f t="shared" si="1031"/>
        <v>20</v>
      </c>
      <c r="CD458" s="506">
        <f t="shared" si="1032"/>
        <v>10</v>
      </c>
      <c r="CE458" s="371"/>
      <c r="CF458" s="232" t="str">
        <f t="shared" si="1033"/>
        <v/>
      </c>
      <c r="CG458" s="232">
        <f t="shared" si="1034"/>
        <v>20</v>
      </c>
      <c r="CH458" s="232" t="str">
        <f t="shared" si="1035"/>
        <v/>
      </c>
      <c r="CI458" s="232" t="str">
        <f t="shared" si="1048"/>
        <v/>
      </c>
      <c r="CJ458" s="232"/>
      <c r="CK458" s="497">
        <v>50</v>
      </c>
      <c r="CL458" s="498">
        <v>30</v>
      </c>
      <c r="CM458" s="485">
        <f t="shared" si="1036"/>
        <v>20</v>
      </c>
      <c r="CN458" s="371"/>
      <c r="CO458" s="232" t="str">
        <f t="shared" si="1037"/>
        <v/>
      </c>
      <c r="CP458" s="232">
        <f t="shared" si="1038"/>
        <v>30</v>
      </c>
      <c r="CQ458" s="232" t="str">
        <f t="shared" si="1039"/>
        <v/>
      </c>
      <c r="CR458" s="232" t="str">
        <f t="shared" si="1049"/>
        <v/>
      </c>
      <c r="CS458" s="232"/>
      <c r="CT458" s="371"/>
      <c r="CU458" s="300"/>
      <c r="CV458" s="246"/>
      <c r="CW458" s="264"/>
    </row>
    <row r="459" spans="1:101" ht="13.5" thickBot="1" x14ac:dyDescent="0.25">
      <c r="A459" s="264"/>
      <c r="B459" s="264"/>
      <c r="C459" s="202"/>
      <c r="D459" s="271">
        <v>12</v>
      </c>
      <c r="E459" s="168" t="s">
        <v>304</v>
      </c>
      <c r="F459" s="470">
        <v>2</v>
      </c>
      <c r="G459" s="476" t="s">
        <v>49</v>
      </c>
      <c r="H459" s="477">
        <v>0</v>
      </c>
      <c r="I459" s="392" t="str">
        <f t="shared" si="1000"/>
        <v>x</v>
      </c>
      <c r="J459" s="393" t="str">
        <f t="shared" si="1001"/>
        <v/>
      </c>
      <c r="K459" s="394" t="str">
        <f t="shared" si="1002"/>
        <v/>
      </c>
      <c r="L459" s="299"/>
      <c r="M459" s="375"/>
      <c r="N459" s="379"/>
      <c r="O459" s="236"/>
      <c r="P459" s="236"/>
      <c r="Q459" s="489">
        <v>50</v>
      </c>
      <c r="R459" s="490">
        <v>30</v>
      </c>
      <c r="S459" s="491">
        <f t="shared" si="1040"/>
        <v>20</v>
      </c>
      <c r="T459" s="371"/>
      <c r="U459" s="232">
        <f t="shared" si="1003"/>
        <v>50</v>
      </c>
      <c r="V459" s="232" t="str">
        <f t="shared" si="1004"/>
        <v/>
      </c>
      <c r="W459" s="232" t="str">
        <f t="shared" si="1005"/>
        <v/>
      </c>
      <c r="X459" s="232">
        <f t="shared" si="1041"/>
        <v>1</v>
      </c>
      <c r="Y459" s="371"/>
      <c r="Z459" s="499">
        <v>80</v>
      </c>
      <c r="AA459" s="500">
        <v>10</v>
      </c>
      <c r="AB459" s="491">
        <f t="shared" si="1006"/>
        <v>10</v>
      </c>
      <c r="AC459" s="371"/>
      <c r="AD459" s="232">
        <f t="shared" si="1007"/>
        <v>80</v>
      </c>
      <c r="AE459" s="232" t="str">
        <f t="shared" si="1008"/>
        <v/>
      </c>
      <c r="AF459" s="232" t="str">
        <f t="shared" si="1009"/>
        <v/>
      </c>
      <c r="AG459" s="232">
        <f t="shared" si="1042"/>
        <v>1</v>
      </c>
      <c r="AH459" s="371"/>
      <c r="AI459" s="499">
        <v>80</v>
      </c>
      <c r="AJ459" s="500">
        <v>10</v>
      </c>
      <c r="AK459" s="491">
        <f t="shared" si="1010"/>
        <v>10</v>
      </c>
      <c r="AL459" s="371"/>
      <c r="AM459" s="232">
        <f t="shared" si="1011"/>
        <v>80</v>
      </c>
      <c r="AN459" s="232" t="str">
        <f t="shared" si="1012"/>
        <v/>
      </c>
      <c r="AO459" s="232" t="str">
        <f t="shared" si="1013"/>
        <v/>
      </c>
      <c r="AP459" s="232">
        <f t="shared" si="1043"/>
        <v>1</v>
      </c>
      <c r="AQ459" s="371"/>
      <c r="AR459" s="499">
        <v>50</v>
      </c>
      <c r="AS459" s="500">
        <v>30</v>
      </c>
      <c r="AT459" s="491">
        <f t="shared" si="1014"/>
        <v>20</v>
      </c>
      <c r="AU459" s="371"/>
      <c r="AV459" s="232">
        <f t="shared" si="1015"/>
        <v>50</v>
      </c>
      <c r="AW459" s="232" t="str">
        <f t="shared" si="1016"/>
        <v/>
      </c>
      <c r="AX459" s="232" t="str">
        <f t="shared" si="1017"/>
        <v/>
      </c>
      <c r="AY459" s="232">
        <f t="shared" si="1044"/>
        <v>1</v>
      </c>
      <c r="AZ459" s="371"/>
      <c r="BA459" s="499">
        <v>80</v>
      </c>
      <c r="BB459" s="500">
        <v>10</v>
      </c>
      <c r="BC459" s="491">
        <f t="shared" si="1018"/>
        <v>10</v>
      </c>
      <c r="BD459" s="371"/>
      <c r="BE459" s="232">
        <f t="shared" si="1019"/>
        <v>80</v>
      </c>
      <c r="BF459" s="232" t="str">
        <f t="shared" si="1020"/>
        <v/>
      </c>
      <c r="BG459" s="232" t="str">
        <f t="shared" si="1021"/>
        <v/>
      </c>
      <c r="BH459" s="232">
        <f t="shared" si="1045"/>
        <v>1</v>
      </c>
      <c r="BI459" s="371"/>
      <c r="BJ459" s="499">
        <v>20</v>
      </c>
      <c r="BK459" s="500">
        <v>20</v>
      </c>
      <c r="BL459" s="491">
        <f t="shared" si="1022"/>
        <v>60</v>
      </c>
      <c r="BM459" s="371"/>
      <c r="BN459" s="232">
        <f t="shared" si="1023"/>
        <v>20</v>
      </c>
      <c r="BO459" s="232" t="str">
        <f t="shared" si="1024"/>
        <v/>
      </c>
      <c r="BP459" s="232" t="str">
        <f t="shared" si="1025"/>
        <v/>
      </c>
      <c r="BQ459" s="232" t="str">
        <f t="shared" si="1046"/>
        <v/>
      </c>
      <c r="BR459" s="371"/>
      <c r="BS459" s="499">
        <v>60</v>
      </c>
      <c r="BT459" s="500">
        <v>20</v>
      </c>
      <c r="BU459" s="491">
        <f t="shared" si="1026"/>
        <v>20</v>
      </c>
      <c r="BV459" s="371"/>
      <c r="BW459" s="232">
        <f t="shared" si="1027"/>
        <v>60</v>
      </c>
      <c r="BX459" s="232" t="str">
        <f t="shared" si="1028"/>
        <v/>
      </c>
      <c r="BY459" s="232" t="str">
        <f t="shared" si="1029"/>
        <v/>
      </c>
      <c r="BZ459" s="232">
        <f t="shared" si="1047"/>
        <v>1</v>
      </c>
      <c r="CA459" s="371"/>
      <c r="CB459" s="507">
        <f t="shared" si="1030"/>
        <v>60</v>
      </c>
      <c r="CC459" s="508">
        <f t="shared" si="1031"/>
        <v>10</v>
      </c>
      <c r="CD459" s="509">
        <f t="shared" si="1032"/>
        <v>30</v>
      </c>
      <c r="CE459" s="371"/>
      <c r="CF459" s="232">
        <f t="shared" si="1033"/>
        <v>60</v>
      </c>
      <c r="CG459" s="232" t="str">
        <f t="shared" si="1034"/>
        <v/>
      </c>
      <c r="CH459" s="232" t="str">
        <f t="shared" si="1035"/>
        <v/>
      </c>
      <c r="CI459" s="232">
        <f t="shared" si="1048"/>
        <v>1</v>
      </c>
      <c r="CJ459" s="232"/>
      <c r="CK459" s="499">
        <v>50</v>
      </c>
      <c r="CL459" s="500">
        <v>30</v>
      </c>
      <c r="CM459" s="491">
        <f t="shared" si="1036"/>
        <v>20</v>
      </c>
      <c r="CN459" s="371"/>
      <c r="CO459" s="232">
        <f t="shared" si="1037"/>
        <v>50</v>
      </c>
      <c r="CP459" s="232" t="str">
        <f t="shared" si="1038"/>
        <v/>
      </c>
      <c r="CQ459" s="232" t="str">
        <f t="shared" si="1039"/>
        <v/>
      </c>
      <c r="CR459" s="232">
        <f t="shared" si="1049"/>
        <v>1</v>
      </c>
      <c r="CS459" s="232"/>
      <c r="CT459" s="371"/>
      <c r="CU459" s="300"/>
      <c r="CV459" s="246"/>
      <c r="CW459" s="264"/>
    </row>
    <row r="460" spans="1:101" x14ac:dyDescent="0.2">
      <c r="A460" s="264"/>
      <c r="B460" s="264"/>
      <c r="C460" s="202"/>
      <c r="D460" s="272"/>
      <c r="E460" s="235"/>
      <c r="F460" s="395">
        <f>IF(SUM(F448:F459)=0,"",SUM(F448:F459))</f>
        <v>19</v>
      </c>
      <c r="G460" s="370" t="s">
        <v>49</v>
      </c>
      <c r="H460" s="396">
        <f>IF(SUM(H448:H459)=0,"",SUM(H448:H459))</f>
        <v>13</v>
      </c>
      <c r="I460" s="397">
        <f>IF(COUNTIF(I448:I459,"=x")=0,"",COUNTIF(I448:I459,"=x"))</f>
        <v>5</v>
      </c>
      <c r="J460" s="398">
        <f>IF(COUNTIF(J448:J459,"=x")=0,"",COUNTIF(J448:J459,"=x"))</f>
        <v>4</v>
      </c>
      <c r="K460" s="399">
        <f>IF(COUNTIF(K448:K459,"=x")=0,"",COUNTIF(K448:K459,"=x"))</f>
        <v>3</v>
      </c>
      <c r="L460" s="299"/>
      <c r="M460" s="375"/>
      <c r="N460" s="379"/>
      <c r="O460" s="236"/>
      <c r="P460" s="369"/>
      <c r="Q460" s="466">
        <f>SUM(U448:U459)</f>
        <v>270</v>
      </c>
      <c r="R460" s="466">
        <f>SUM(V448:V459)</f>
        <v>110</v>
      </c>
      <c r="S460" s="466">
        <f>SUM(W448:W459)</f>
        <v>80</v>
      </c>
      <c r="T460" s="368"/>
      <c r="U460" s="232"/>
      <c r="V460" s="232"/>
      <c r="W460" s="232"/>
      <c r="X460" s="232"/>
      <c r="Y460" s="367"/>
      <c r="Z460" s="466">
        <f>SUM(AD448:AD459)</f>
        <v>400</v>
      </c>
      <c r="AA460" s="466">
        <f>SUM(AE448:AE459)</f>
        <v>40</v>
      </c>
      <c r="AB460" s="466">
        <f>SUM(AF448:AF459)</f>
        <v>30</v>
      </c>
      <c r="AC460" s="368"/>
      <c r="AD460" s="232"/>
      <c r="AE460" s="232"/>
      <c r="AF460" s="232"/>
      <c r="AG460" s="232"/>
      <c r="AH460" s="367"/>
      <c r="AI460" s="466">
        <f>SUM(AM448:AM459)</f>
        <v>340</v>
      </c>
      <c r="AJ460" s="466">
        <f>SUM(AN448:AN459)</f>
        <v>70</v>
      </c>
      <c r="AK460" s="466">
        <f>SUM(AO448:AO459)</f>
        <v>60</v>
      </c>
      <c r="AL460" s="368"/>
      <c r="AM460" s="232"/>
      <c r="AN460" s="232"/>
      <c r="AO460" s="232"/>
      <c r="AP460" s="232"/>
      <c r="AQ460" s="367"/>
      <c r="AR460" s="466">
        <f>SUM(AV448:AV459)</f>
        <v>310</v>
      </c>
      <c r="AS460" s="466">
        <f>SUM(AW448:AW459)</f>
        <v>90</v>
      </c>
      <c r="AT460" s="466">
        <f>SUM(AX448:AX459)</f>
        <v>30</v>
      </c>
      <c r="AU460" s="368"/>
      <c r="AV460" s="232"/>
      <c r="AW460" s="232"/>
      <c r="AX460" s="232"/>
      <c r="AY460" s="232"/>
      <c r="AZ460" s="367"/>
      <c r="BA460" s="466">
        <f>SUM(BE448:BE459)</f>
        <v>400</v>
      </c>
      <c r="BB460" s="466">
        <f>SUM(BF448:BF459)</f>
        <v>100</v>
      </c>
      <c r="BC460" s="466">
        <f>SUM(BG448:BG459)</f>
        <v>30</v>
      </c>
      <c r="BD460" s="368"/>
      <c r="BE460" s="232"/>
      <c r="BF460" s="232"/>
      <c r="BG460" s="232"/>
      <c r="BH460" s="232"/>
      <c r="BI460" s="367"/>
      <c r="BJ460" s="466">
        <f>SUM(BN448:BN459)</f>
        <v>290</v>
      </c>
      <c r="BK460" s="466">
        <f>SUM(BO448:BO459)</f>
        <v>120</v>
      </c>
      <c r="BL460" s="466">
        <f>SUM(BP448:BP459)</f>
        <v>60</v>
      </c>
      <c r="BM460" s="368"/>
      <c r="BN460" s="232"/>
      <c r="BO460" s="232"/>
      <c r="BP460" s="232"/>
      <c r="BQ460" s="232"/>
      <c r="BR460" s="367"/>
      <c r="BS460" s="466">
        <f>SUM(BW448:BW459)</f>
        <v>280</v>
      </c>
      <c r="BT460" s="466">
        <f>SUM(BX448:BX459)</f>
        <v>110</v>
      </c>
      <c r="BU460" s="466">
        <f>SUM(BY448:BY459)</f>
        <v>110</v>
      </c>
      <c r="BV460" s="368"/>
      <c r="BW460" s="232"/>
      <c r="BX460" s="232"/>
      <c r="BY460" s="232"/>
      <c r="BZ460" s="232"/>
      <c r="CA460" s="369"/>
      <c r="CB460" s="466">
        <f>SUM(CF448:CF459)</f>
        <v>340</v>
      </c>
      <c r="CC460" s="466">
        <f>SUM(CG448:CG459)</f>
        <v>70</v>
      </c>
      <c r="CD460" s="466">
        <f>SUM(CH448:CH459)</f>
        <v>60</v>
      </c>
      <c r="CE460" s="368"/>
      <c r="CF460" s="232"/>
      <c r="CG460" s="232"/>
      <c r="CH460" s="232"/>
      <c r="CI460" s="232"/>
      <c r="CJ460" s="232"/>
      <c r="CK460" s="466">
        <f>SUM(CO448:CO459)</f>
        <v>270</v>
      </c>
      <c r="CL460" s="466">
        <f>SUM(CP448:CP459)</f>
        <v>110</v>
      </c>
      <c r="CM460" s="466">
        <f>SUM(CQ448:CQ459)</f>
        <v>80</v>
      </c>
      <c r="CN460" s="368"/>
      <c r="CO460" s="232"/>
      <c r="CP460" s="232"/>
      <c r="CQ460" s="232"/>
      <c r="CR460" s="232"/>
      <c r="CS460" s="232"/>
      <c r="CT460" s="232"/>
      <c r="CU460" s="300"/>
      <c r="CV460" s="246"/>
      <c r="CW460" s="265"/>
    </row>
    <row r="461" spans="1:101" ht="13.5" thickBot="1" x14ac:dyDescent="0.25">
      <c r="A461" s="264"/>
      <c r="B461" s="264"/>
      <c r="C461" s="202"/>
      <c r="D461" s="289"/>
      <c r="E461" s="282"/>
      <c r="F461" s="283"/>
      <c r="G461" s="282"/>
      <c r="H461" s="282"/>
      <c r="I461" s="282"/>
      <c r="J461" s="282"/>
      <c r="K461" s="282"/>
      <c r="L461" s="293"/>
      <c r="M461" s="301"/>
      <c r="N461" s="380"/>
      <c r="O461" s="376"/>
      <c r="P461" s="284"/>
      <c r="Q461" s="285"/>
      <c r="R461" s="285"/>
      <c r="S461" s="285"/>
      <c r="T461" s="286"/>
      <c r="U461" s="287"/>
      <c r="V461" s="287"/>
      <c r="W461" s="287"/>
      <c r="X461" s="287"/>
      <c r="Y461" s="284"/>
      <c r="Z461" s="285"/>
      <c r="AA461" s="285"/>
      <c r="AB461" s="285"/>
      <c r="AC461" s="286"/>
      <c r="AD461" s="287"/>
      <c r="AE461" s="287"/>
      <c r="AF461" s="287"/>
      <c r="AG461" s="288"/>
      <c r="AH461" s="284"/>
      <c r="AI461" s="285"/>
      <c r="AJ461" s="285"/>
      <c r="AK461" s="285"/>
      <c r="AL461" s="286"/>
      <c r="AM461" s="287"/>
      <c r="AN461" s="287"/>
      <c r="AO461" s="287"/>
      <c r="AP461" s="288"/>
      <c r="AQ461" s="284"/>
      <c r="AR461" s="285"/>
      <c r="AS461" s="285"/>
      <c r="AT461" s="285"/>
      <c r="AU461" s="286"/>
      <c r="AV461" s="287"/>
      <c r="AW461" s="287"/>
      <c r="AX461" s="287"/>
      <c r="AY461" s="288"/>
      <c r="AZ461" s="284"/>
      <c r="BA461" s="285"/>
      <c r="BB461" s="285"/>
      <c r="BC461" s="285"/>
      <c r="BD461" s="286"/>
      <c r="BE461" s="287"/>
      <c r="BF461" s="287"/>
      <c r="BG461" s="287"/>
      <c r="BH461" s="288"/>
      <c r="BI461" s="284"/>
      <c r="BJ461" s="284"/>
      <c r="BK461" s="284"/>
      <c r="BL461" s="284"/>
      <c r="BM461" s="284"/>
      <c r="BN461" s="284"/>
      <c r="BO461" s="284"/>
      <c r="BP461" s="284"/>
      <c r="BQ461" s="284"/>
      <c r="BR461" s="284"/>
      <c r="BS461" s="284"/>
      <c r="BT461" s="284"/>
      <c r="BU461" s="284"/>
      <c r="BV461" s="284"/>
      <c r="BW461" s="284"/>
      <c r="BX461" s="284"/>
      <c r="BY461" s="284"/>
      <c r="BZ461" s="284"/>
      <c r="CA461" s="284"/>
      <c r="CB461" s="284"/>
      <c r="CC461" s="284"/>
      <c r="CD461" s="284"/>
      <c r="CE461" s="284"/>
      <c r="CF461" s="284"/>
      <c r="CG461" s="284"/>
      <c r="CH461" s="284"/>
      <c r="CI461" s="284"/>
      <c r="CJ461" s="288"/>
      <c r="CK461" s="288"/>
      <c r="CL461" s="288"/>
      <c r="CM461" s="288"/>
      <c r="CN461" s="288"/>
      <c r="CO461" s="288"/>
      <c r="CP461" s="288"/>
      <c r="CQ461" s="288"/>
      <c r="CR461" s="288"/>
      <c r="CS461" s="288"/>
      <c r="CT461" s="282"/>
      <c r="CU461" s="294"/>
      <c r="CV461" s="246"/>
      <c r="CW461" s="265"/>
    </row>
    <row r="462" spans="1:101" ht="14.25" thickTop="1" thickBot="1" x14ac:dyDescent="0.25">
      <c r="A462" s="256"/>
      <c r="B462" s="256"/>
      <c r="C462" s="210"/>
      <c r="D462" s="211"/>
      <c r="E462" s="247"/>
      <c r="F462" s="248"/>
      <c r="G462" s="247"/>
      <c r="H462" s="247"/>
      <c r="I462" s="247"/>
      <c r="J462" s="247"/>
      <c r="K462" s="247"/>
      <c r="L462" s="249"/>
      <c r="M462" s="250"/>
      <c r="N462" s="250"/>
      <c r="O462" s="250"/>
      <c r="P462" s="250"/>
      <c r="Q462" s="247"/>
      <c r="R462" s="247"/>
      <c r="S462" s="247"/>
      <c r="T462" s="251"/>
      <c r="U462" s="252"/>
      <c r="V462" s="252"/>
      <c r="W462" s="252"/>
      <c r="X462" s="252"/>
      <c r="Y462" s="250"/>
      <c r="Z462" s="247"/>
      <c r="AA462" s="247"/>
      <c r="AB462" s="247"/>
      <c r="AC462" s="251"/>
      <c r="AD462" s="252"/>
      <c r="AE462" s="252"/>
      <c r="AF462" s="252"/>
      <c r="AG462" s="247"/>
      <c r="AH462" s="250"/>
      <c r="AI462" s="247"/>
      <c r="AJ462" s="247"/>
      <c r="AK462" s="247"/>
      <c r="AL462" s="251"/>
      <c r="AM462" s="252"/>
      <c r="AN462" s="252"/>
      <c r="AO462" s="252"/>
      <c r="AP462" s="253"/>
      <c r="AQ462" s="250"/>
      <c r="AR462" s="247"/>
      <c r="AS462" s="247"/>
      <c r="AT462" s="247"/>
      <c r="AU462" s="251"/>
      <c r="AV462" s="252"/>
      <c r="AW462" s="252"/>
      <c r="AX462" s="252"/>
      <c r="AY462" s="247"/>
      <c r="AZ462" s="250"/>
      <c r="BA462" s="247"/>
      <c r="BB462" s="247"/>
      <c r="BC462" s="247"/>
      <c r="BD462" s="251"/>
      <c r="BE462" s="252"/>
      <c r="BF462" s="252"/>
      <c r="BG462" s="252"/>
      <c r="BH462" s="247"/>
      <c r="BI462" s="250"/>
      <c r="BJ462" s="247"/>
      <c r="BK462" s="247"/>
      <c r="BL462" s="247"/>
      <c r="BM462" s="251"/>
      <c r="BN462" s="252"/>
      <c r="BO462" s="252"/>
      <c r="BP462" s="252"/>
      <c r="BQ462" s="247"/>
      <c r="BR462" s="212"/>
      <c r="BS462" s="247"/>
      <c r="BT462" s="247"/>
      <c r="BU462" s="247"/>
      <c r="BV462" s="250"/>
      <c r="BW462" s="252"/>
      <c r="BX462" s="252"/>
      <c r="BY462" s="252"/>
      <c r="BZ462" s="247"/>
      <c r="CA462" s="247"/>
      <c r="CB462" s="253"/>
      <c r="CC462" s="253"/>
      <c r="CD462" s="253"/>
      <c r="CE462" s="253"/>
      <c r="CF462" s="247"/>
      <c r="CG462" s="247"/>
      <c r="CH462" s="247"/>
      <c r="CI462" s="247"/>
      <c r="CJ462" s="247"/>
      <c r="CK462" s="247"/>
      <c r="CL462" s="247"/>
      <c r="CM462" s="247"/>
      <c r="CN462" s="247"/>
      <c r="CO462" s="247"/>
      <c r="CP462" s="247"/>
      <c r="CQ462" s="247"/>
      <c r="CR462" s="247"/>
      <c r="CS462" s="247"/>
      <c r="CT462" s="247"/>
      <c r="CU462" s="247"/>
      <c r="CV462" s="254"/>
      <c r="CW462" s="255"/>
    </row>
    <row r="463" spans="1:101" ht="14.25" thickTop="1" thickBot="1" x14ac:dyDescent="0.25">
      <c r="A463" s="255"/>
      <c r="B463" s="255"/>
      <c r="C463" s="255"/>
      <c r="D463" s="255"/>
      <c r="E463" s="255"/>
      <c r="F463" s="255"/>
      <c r="G463" s="255"/>
      <c r="H463" s="255"/>
      <c r="I463" s="255"/>
      <c r="J463" s="255"/>
      <c r="K463" s="255"/>
      <c r="L463" s="255"/>
      <c r="M463" s="255"/>
      <c r="N463" s="255"/>
      <c r="O463" s="255"/>
      <c r="P463" s="255"/>
      <c r="Q463" s="255"/>
      <c r="R463" s="255"/>
      <c r="S463" s="255"/>
      <c r="T463" s="255"/>
      <c r="U463" s="255"/>
      <c r="V463" s="255"/>
      <c r="W463" s="255"/>
      <c r="X463" s="255"/>
      <c r="Y463" s="255"/>
      <c r="Z463" s="255"/>
      <c r="AA463" s="255"/>
      <c r="AB463" s="255"/>
      <c r="AC463" s="255"/>
      <c r="AD463" s="255"/>
      <c r="AE463" s="255"/>
      <c r="AF463" s="255"/>
      <c r="AG463" s="255"/>
      <c r="AH463" s="255"/>
      <c r="AI463" s="255"/>
      <c r="AJ463" s="255"/>
      <c r="AK463" s="255"/>
      <c r="AL463" s="255"/>
      <c r="AM463" s="255"/>
      <c r="AN463" s="255"/>
      <c r="AO463" s="255"/>
      <c r="AP463" s="255"/>
      <c r="AQ463" s="255"/>
      <c r="AR463" s="255"/>
      <c r="AS463" s="255"/>
      <c r="AT463" s="255"/>
      <c r="AU463" s="255"/>
      <c r="AV463" s="255"/>
      <c r="AW463" s="255"/>
      <c r="AX463" s="255"/>
      <c r="AY463" s="255"/>
      <c r="AZ463" s="255"/>
      <c r="BA463" s="255"/>
      <c r="BB463" s="255"/>
      <c r="BC463" s="255"/>
      <c r="BD463" s="255"/>
      <c r="BE463" s="255"/>
      <c r="BF463" s="255"/>
      <c r="BG463" s="255"/>
      <c r="BH463" s="255"/>
      <c r="BI463" s="255"/>
      <c r="BJ463" s="255"/>
      <c r="BK463" s="255"/>
      <c r="BL463" s="255"/>
      <c r="BM463" s="255"/>
      <c r="BN463" s="255"/>
      <c r="BO463" s="255"/>
      <c r="BP463" s="255"/>
      <c r="BQ463" s="255"/>
      <c r="BR463" s="255"/>
      <c r="BS463" s="255"/>
      <c r="BT463" s="255"/>
      <c r="BU463" s="255"/>
      <c r="BV463" s="255"/>
      <c r="BW463" s="255"/>
      <c r="BX463" s="255"/>
      <c r="BY463" s="255"/>
      <c r="BZ463" s="255"/>
      <c r="CA463" s="255"/>
      <c r="CB463" s="436"/>
      <c r="CC463" s="436"/>
      <c r="CD463" s="436"/>
      <c r="CE463" s="436"/>
      <c r="CF463" s="255"/>
      <c r="CG463" s="255"/>
      <c r="CH463" s="255"/>
      <c r="CI463" s="255"/>
      <c r="CJ463" s="255"/>
      <c r="CK463" s="255"/>
      <c r="CL463" s="255"/>
      <c r="CM463" s="255"/>
      <c r="CN463" s="255"/>
      <c r="CO463" s="255"/>
      <c r="CP463" s="255"/>
      <c r="CQ463" s="255"/>
      <c r="CR463" s="255"/>
      <c r="CS463" s="255"/>
      <c r="CT463" s="255"/>
      <c r="CU463" s="255"/>
      <c r="CV463" s="255"/>
      <c r="CW463" s="255"/>
    </row>
    <row r="464" spans="1:101" ht="21" thickTop="1" x14ac:dyDescent="0.3">
      <c r="A464" s="256"/>
      <c r="B464" s="256"/>
      <c r="C464" s="190"/>
      <c r="D464" s="191"/>
      <c r="E464" s="866" t="str">
        <f>E2</f>
        <v>STPS 2026</v>
      </c>
      <c r="F464" s="267"/>
      <c r="G464" s="267"/>
      <c r="H464" s="267"/>
      <c r="I464" s="192"/>
      <c r="J464" s="192"/>
      <c r="K464" s="192"/>
      <c r="L464" s="193"/>
      <c r="M464" s="192"/>
      <c r="N464" s="192"/>
      <c r="O464" s="192"/>
      <c r="P464" s="194"/>
      <c r="Q464" s="192"/>
      <c r="R464" s="192"/>
      <c r="S464" s="192"/>
      <c r="T464" s="195"/>
      <c r="U464" s="196"/>
      <c r="V464" s="196"/>
      <c r="W464" s="196"/>
      <c r="X464" s="196"/>
      <c r="Y464" s="194"/>
      <c r="Z464" s="192"/>
      <c r="AA464" s="192"/>
      <c r="AB464" s="192"/>
      <c r="AC464" s="195"/>
      <c r="AD464" s="196"/>
      <c r="AE464" s="196"/>
      <c r="AF464" s="196"/>
      <c r="AG464" s="197"/>
      <c r="AH464" s="194"/>
      <c r="AI464" s="192"/>
      <c r="AJ464" s="237"/>
      <c r="AK464" s="237"/>
      <c r="AL464" s="198"/>
      <c r="AM464" s="238"/>
      <c r="AN464" s="238"/>
      <c r="AO464" s="238"/>
      <c r="AP464" s="197"/>
      <c r="AQ464" s="239"/>
      <c r="AR464" s="240"/>
      <c r="AS464" s="199"/>
      <c r="AT464" s="200"/>
      <c r="AU464" s="198"/>
      <c r="AV464" s="196"/>
      <c r="AW464" s="196"/>
      <c r="AX464" s="196"/>
      <c r="AY464" s="197"/>
      <c r="AZ464" s="239"/>
      <c r="BA464" s="240"/>
      <c r="BB464" s="200"/>
      <c r="BC464" s="237"/>
      <c r="BD464" s="241"/>
      <c r="BE464" s="196"/>
      <c r="BF464" s="196"/>
      <c r="BG464" s="196"/>
      <c r="BH464" s="197"/>
      <c r="BI464" s="242"/>
      <c r="BJ464" s="237"/>
      <c r="BK464" s="237"/>
      <c r="BL464" s="237"/>
      <c r="BM464" s="241"/>
      <c r="BN464" s="196"/>
      <c r="BO464" s="196"/>
      <c r="BP464" s="196"/>
      <c r="BQ464" s="197"/>
      <c r="BR464" s="201"/>
      <c r="BS464" s="237"/>
      <c r="BT464" s="237"/>
      <c r="BU464" s="237"/>
      <c r="BV464" s="242"/>
      <c r="BW464" s="237"/>
      <c r="BX464" s="237"/>
      <c r="BY464" s="237"/>
      <c r="BZ464" s="237"/>
      <c r="CA464" s="237"/>
      <c r="CB464" s="437"/>
      <c r="CC464" s="437"/>
      <c r="CD464" s="437"/>
      <c r="CE464" s="437"/>
      <c r="CF464" s="237"/>
      <c r="CG464" s="237"/>
      <c r="CH464" s="237"/>
      <c r="CI464" s="237"/>
      <c r="CJ464" s="197"/>
      <c r="CK464" s="197"/>
      <c r="CL464" s="197"/>
      <c r="CM464" s="197"/>
      <c r="CN464" s="197"/>
      <c r="CO464" s="197"/>
      <c r="CP464" s="197"/>
      <c r="CQ464" s="197"/>
      <c r="CR464" s="197"/>
      <c r="CS464" s="197"/>
      <c r="CT464" s="401"/>
      <c r="CU464" s="237"/>
      <c r="CV464" s="243"/>
      <c r="CW464" s="255"/>
    </row>
    <row r="465" spans="1:101" ht="13.5" thickBot="1" x14ac:dyDescent="0.25">
      <c r="A465" s="256"/>
      <c r="B465" s="256"/>
      <c r="C465" s="202"/>
      <c r="D465" s="188"/>
      <c r="E465" s="266" t="str">
        <f>E3</f>
        <v>Skorgen Tippelag</v>
      </c>
      <c r="F465" s="406"/>
      <c r="G465" s="406"/>
      <c r="H465" s="406"/>
      <c r="I465" s="406"/>
      <c r="J465" s="406"/>
      <c r="K465" s="406"/>
      <c r="L465" s="406"/>
      <c r="M465" s="406"/>
      <c r="N465" s="406"/>
      <c r="O465" s="406"/>
      <c r="P465" s="406"/>
      <c r="Q465" s="406"/>
      <c r="R465" s="406"/>
      <c r="S465" s="406"/>
      <c r="T465" s="406"/>
      <c r="U465" s="406"/>
      <c r="V465" s="406"/>
      <c r="W465" s="406"/>
      <c r="X465" s="406"/>
      <c r="Y465" s="406"/>
      <c r="Z465" s="406"/>
      <c r="AA465" s="406"/>
      <c r="AB465" s="406"/>
      <c r="AC465" s="406"/>
      <c r="AD465" s="406"/>
      <c r="AE465" s="406"/>
      <c r="AF465" s="406"/>
      <c r="AG465" s="406"/>
      <c r="AH465" s="406"/>
      <c r="AI465" s="406"/>
      <c r="AJ465" s="406"/>
      <c r="AK465" s="406"/>
      <c r="AL465" s="406"/>
      <c r="AM465" s="406"/>
      <c r="AN465" s="406"/>
      <c r="AO465" s="406"/>
      <c r="AP465" s="406"/>
      <c r="AQ465" s="406"/>
      <c r="AR465" s="406"/>
      <c r="AS465" s="406"/>
      <c r="AT465" s="406"/>
      <c r="AU465" s="406"/>
      <c r="AV465" s="406"/>
      <c r="AW465" s="406"/>
      <c r="AX465" s="406"/>
      <c r="AY465" s="406"/>
      <c r="AZ465" s="406"/>
      <c r="BA465" s="406"/>
      <c r="BB465" s="406"/>
      <c r="BC465" s="406"/>
      <c r="BD465" s="406"/>
      <c r="BE465" s="406"/>
      <c r="BF465" s="406"/>
      <c r="BG465" s="406"/>
      <c r="BH465" s="406"/>
      <c r="BI465" s="406"/>
      <c r="BJ465" s="406"/>
      <c r="BK465" s="406"/>
      <c r="BL465" s="406"/>
      <c r="BM465" s="406"/>
      <c r="BN465" s="406"/>
      <c r="BO465" s="406"/>
      <c r="BP465" s="406"/>
      <c r="BQ465" s="406"/>
      <c r="BR465" s="406"/>
      <c r="BS465" s="406"/>
      <c r="BT465" s="406"/>
      <c r="BU465" s="406"/>
      <c r="BV465" s="406"/>
      <c r="BW465" s="406"/>
      <c r="BX465" s="406"/>
      <c r="BY465" s="406"/>
      <c r="BZ465" s="406"/>
      <c r="CA465" s="406"/>
      <c r="CB465" s="438"/>
      <c r="CC465" s="438"/>
      <c r="CD465" s="438"/>
      <c r="CE465" s="438"/>
      <c r="CF465" s="406"/>
      <c r="CG465" s="406"/>
      <c r="CH465" s="406"/>
      <c r="CI465" s="406"/>
      <c r="CJ465" s="406"/>
      <c r="CK465" s="406"/>
      <c r="CL465" s="406"/>
      <c r="CM465" s="406"/>
      <c r="CN465" s="366"/>
      <c r="CO465" s="366"/>
      <c r="CP465" s="366"/>
      <c r="CQ465" s="366"/>
      <c r="CR465" s="366"/>
      <c r="CS465" s="366"/>
      <c r="CT465" s="187"/>
      <c r="CU465" s="310"/>
      <c r="CV465" s="246"/>
      <c r="CW465" s="255"/>
    </row>
    <row r="466" spans="1:101" ht="18.75" thickTop="1" x14ac:dyDescent="0.2">
      <c r="A466" s="256"/>
      <c r="B466" s="256"/>
      <c r="C466" s="209"/>
      <c r="D466" s="290"/>
      <c r="E466" s="273"/>
      <c r="F466" s="274"/>
      <c r="G466" s="273"/>
      <c r="H466" s="273"/>
      <c r="I466" s="803" t="s">
        <v>39</v>
      </c>
      <c r="J466" s="805"/>
      <c r="K466" s="805"/>
      <c r="L466" s="291"/>
      <c r="M466" s="302"/>
      <c r="N466" s="242"/>
      <c r="O466" s="275"/>
      <c r="P466" s="275"/>
      <c r="Q466" s="808">
        <f>IF($F470="","",SUM(Q482:S482)-S468)</f>
        <v>360</v>
      </c>
      <c r="R466" s="808"/>
      <c r="S466" s="808"/>
      <c r="T466" s="276"/>
      <c r="U466" s="277"/>
      <c r="V466" s="277"/>
      <c r="W466" s="277"/>
      <c r="X466" s="277"/>
      <c r="Y466" s="275"/>
      <c r="Z466" s="808">
        <f>IF($F470="","",SUM(Z482:AB482)-AB468)</f>
        <v>400</v>
      </c>
      <c r="AA466" s="808"/>
      <c r="AB466" s="808"/>
      <c r="AC466" s="276"/>
      <c r="AD466" s="277"/>
      <c r="AE466" s="277"/>
      <c r="AF466" s="277"/>
      <c r="AG466" s="273"/>
      <c r="AH466" s="275"/>
      <c r="AI466" s="808">
        <f>IF($F470="","",SUM(AI482:AK482)-AK468)</f>
        <v>310</v>
      </c>
      <c r="AJ466" s="808"/>
      <c r="AK466" s="808"/>
      <c r="AL466" s="276"/>
      <c r="AM466" s="277"/>
      <c r="AN466" s="277"/>
      <c r="AO466" s="277"/>
      <c r="AP466" s="273"/>
      <c r="AQ466" s="275"/>
      <c r="AR466" s="808">
        <f>IF($F470="","",SUM(AR482:AT482)-AT468)</f>
        <v>330</v>
      </c>
      <c r="AS466" s="808"/>
      <c r="AT466" s="808"/>
      <c r="AU466" s="278"/>
      <c r="AV466" s="277"/>
      <c r="AW466" s="277"/>
      <c r="AX466" s="277"/>
      <c r="AY466" s="279"/>
      <c r="AZ466" s="280"/>
      <c r="BA466" s="808">
        <f>IF($F470="","",SUM(BA482:BC482)-BC468)</f>
        <v>330</v>
      </c>
      <c r="BB466" s="808"/>
      <c r="BC466" s="808"/>
      <c r="BD466" s="278"/>
      <c r="BE466" s="277"/>
      <c r="BF466" s="277"/>
      <c r="BG466" s="277"/>
      <c r="BH466" s="279"/>
      <c r="BI466" s="280"/>
      <c r="BJ466" s="808">
        <f>IF($F470="","",SUM(BJ482:BL482)-BL468)</f>
        <v>280</v>
      </c>
      <c r="BK466" s="808"/>
      <c r="BL466" s="808"/>
      <c r="BM466" s="278"/>
      <c r="BN466" s="277"/>
      <c r="BO466" s="277"/>
      <c r="BP466" s="277"/>
      <c r="BQ466" s="279"/>
      <c r="BR466" s="281"/>
      <c r="BS466" s="808">
        <f>IF($F470="","",SUM(BS482:BU482)-BU468)</f>
        <v>260</v>
      </c>
      <c r="BT466" s="808"/>
      <c r="BU466" s="808"/>
      <c r="BV466" s="280"/>
      <c r="BW466" s="279"/>
      <c r="BX466" s="279"/>
      <c r="BY466" s="279"/>
      <c r="BZ466" s="279"/>
      <c r="CA466" s="281"/>
      <c r="CB466" s="808">
        <f>IF($F470="","",SUM(CB482:CD482)-CD468)</f>
        <v>320</v>
      </c>
      <c r="CC466" s="808"/>
      <c r="CD466" s="808"/>
      <c r="CE466" s="280"/>
      <c r="CF466" s="279"/>
      <c r="CG466" s="279"/>
      <c r="CH466" s="279"/>
      <c r="CI466" s="279"/>
      <c r="CJ466" s="273"/>
      <c r="CK466" s="808">
        <f>IF($F470="","",SUM(CK482:CM482))</f>
        <v>340</v>
      </c>
      <c r="CL466" s="808"/>
      <c r="CM466" s="808"/>
      <c r="CN466" s="280"/>
      <c r="CO466" s="279"/>
      <c r="CP466" s="279"/>
      <c r="CQ466" s="279"/>
      <c r="CR466" s="273"/>
      <c r="CS466" s="273"/>
      <c r="CT466" s="273"/>
      <c r="CU466" s="292"/>
      <c r="CV466" s="246"/>
      <c r="CW466" s="255"/>
    </row>
    <row r="467" spans="1:101" x14ac:dyDescent="0.2">
      <c r="A467" s="256"/>
      <c r="B467" s="256"/>
      <c r="C467" s="209"/>
      <c r="D467" s="916">
        <v>8</v>
      </c>
      <c r="E467" s="588">
        <f>IF(D467="","",DATE($D$3,1,1)+(D467-1)*7+(6-WEEKDAY(DATE($D$3,1,1),2)))</f>
        <v>46074</v>
      </c>
      <c r="F467" s="213"/>
      <c r="G467" s="214"/>
      <c r="H467" s="214"/>
      <c r="I467" s="804">
        <f>IF(ISERROR(AVERAGE(Q466,Z466,AI466,AR466,BA466,BJ466,BS466,CB466,CK466)),"",AVERAGE(Q466,Z466,AI466,AR466,BA466,BJ466,BS466,CB466,CK466))</f>
        <v>325.55555555555554</v>
      </c>
      <c r="J467" s="806"/>
      <c r="K467" s="806"/>
      <c r="L467" s="295"/>
      <c r="M467" s="372"/>
      <c r="N467" s="245"/>
      <c r="O467" s="215"/>
      <c r="P467" s="215"/>
      <c r="Q467" s="710">
        <f>IF(Q466="","",Q466/Data!$X$1)</f>
        <v>0.3</v>
      </c>
      <c r="R467" s="710"/>
      <c r="S467" s="711">
        <f>IF(SUM(X470:X481)=0,"",SUM(X470:X481))</f>
        <v>4</v>
      </c>
      <c r="T467" s="216"/>
      <c r="U467" s="217"/>
      <c r="V467" s="217"/>
      <c r="W467" s="217"/>
      <c r="X467" s="217"/>
      <c r="Y467" s="215"/>
      <c r="Z467" s="710">
        <f>IF(Z466="","",Z466/Data!$X$1)</f>
        <v>0.33333333333333331</v>
      </c>
      <c r="AA467" s="710"/>
      <c r="AB467" s="711">
        <f>IF(SUM(AG470:AG481)=0,"",SUM(AG470:AG481))</f>
        <v>4</v>
      </c>
      <c r="AC467" s="216"/>
      <c r="AD467" s="217"/>
      <c r="AE467" s="217"/>
      <c r="AF467" s="217"/>
      <c r="AG467" s="217"/>
      <c r="AH467" s="215"/>
      <c r="AI467" s="710">
        <f>IF(AI466="","",AI466/Data!$X$1)</f>
        <v>0.25833333333333336</v>
      </c>
      <c r="AJ467" s="710"/>
      <c r="AK467" s="711">
        <f>IF(SUM(AP470:AP481)=0,"",SUM(AP470:AP481))</f>
        <v>2</v>
      </c>
      <c r="AL467" s="216"/>
      <c r="AM467" s="217"/>
      <c r="AN467" s="217"/>
      <c r="AO467" s="217"/>
      <c r="AP467" s="217"/>
      <c r="AQ467" s="215"/>
      <c r="AR467" s="710">
        <f>IF(AR466="","",AR466/Data!$X$1)</f>
        <v>0.27500000000000002</v>
      </c>
      <c r="AS467" s="710"/>
      <c r="AT467" s="711">
        <f>IF(SUM(AY470:AY481)=0,"",SUM(AY470:AY481))</f>
        <v>3</v>
      </c>
      <c r="AU467" s="218"/>
      <c r="AV467" s="217"/>
      <c r="AW467" s="217"/>
      <c r="AX467" s="217"/>
      <c r="AY467" s="217"/>
      <c r="AZ467" s="219"/>
      <c r="BA467" s="710">
        <f>IF(BA466="","",BA466/Data!$X$1)</f>
        <v>0.27500000000000002</v>
      </c>
      <c r="BB467" s="710"/>
      <c r="BC467" s="711">
        <f>IF(SUM(BH470:BH481)=0,"",SUM(BH470:BH481))</f>
        <v>3</v>
      </c>
      <c r="BD467" s="218"/>
      <c r="BE467" s="217"/>
      <c r="BF467" s="217"/>
      <c r="BG467" s="217"/>
      <c r="BH467" s="217"/>
      <c r="BI467" s="219"/>
      <c r="BJ467" s="710">
        <f>IF(BJ466="","",BJ466/Data!$X$1)</f>
        <v>0.23333333333333334</v>
      </c>
      <c r="BK467" s="710"/>
      <c r="BL467" s="711">
        <f>IF(SUM(BQ470:BQ481)=0,"",SUM(BQ470:BQ481))</f>
        <v>2</v>
      </c>
      <c r="BM467" s="218"/>
      <c r="BN467" s="217"/>
      <c r="BO467" s="217"/>
      <c r="BP467" s="217"/>
      <c r="BQ467" s="217"/>
      <c r="BR467" s="220"/>
      <c r="BS467" s="710">
        <f>IF(BS466="","",BS466/Data!$X$1)</f>
        <v>0.21666666666666667</v>
      </c>
      <c r="BT467" s="710"/>
      <c r="BU467" s="711">
        <f>IF(SUM(BZ470:BZ481)=0,"",SUM(BZ470:BZ481))</f>
        <v>2</v>
      </c>
      <c r="BV467" s="219"/>
      <c r="BW467" s="217"/>
      <c r="BX467" s="217"/>
      <c r="BY467" s="217"/>
      <c r="BZ467" s="217"/>
      <c r="CA467" s="220"/>
      <c r="CB467" s="710">
        <f>IF(CB466="","",CB466/Data!$X$1)</f>
        <v>0.26666666666666666</v>
      </c>
      <c r="CC467" s="710"/>
      <c r="CD467" s="711">
        <f>IF(SUM(CI470:CI481)=0,"",SUM(CI470:CI481))</f>
        <v>3</v>
      </c>
      <c r="CE467" s="219"/>
      <c r="CF467" s="217"/>
      <c r="CG467" s="217"/>
      <c r="CH467" s="217"/>
      <c r="CI467" s="217"/>
      <c r="CJ467" s="217"/>
      <c r="CK467" s="710">
        <f>IF(CK466="","",CK466/Data!$X$1)</f>
        <v>0.28333333333333333</v>
      </c>
      <c r="CL467" s="710"/>
      <c r="CM467" s="711">
        <f>IF(SUM(CR470:CR481)=0,"",SUM(CR470:CR481))</f>
        <v>3</v>
      </c>
      <c r="CN467" s="219"/>
      <c r="CO467" s="217"/>
      <c r="CP467" s="217"/>
      <c r="CQ467" s="217"/>
      <c r="CR467" s="217"/>
      <c r="CS467" s="217"/>
      <c r="CT467" s="217"/>
      <c r="CU467" s="296"/>
      <c r="CV467" s="246"/>
      <c r="CW467" s="255"/>
    </row>
    <row r="468" spans="1:101" ht="13.5" thickBot="1" x14ac:dyDescent="0.25">
      <c r="A468" s="256"/>
      <c r="B468" s="256"/>
      <c r="C468" s="209"/>
      <c r="D468" s="269">
        <f>D446+1</f>
        <v>22</v>
      </c>
      <c r="E468" s="402" t="str">
        <f>IF(E467="","Sett inn dato over her",TEXT(E467,"dddd"))</f>
        <v>lørdag</v>
      </c>
      <c r="F468" s="221"/>
      <c r="G468" s="222"/>
      <c r="H468" s="222"/>
      <c r="I468" s="802"/>
      <c r="J468" s="807"/>
      <c r="K468" s="807"/>
      <c r="L468" s="297"/>
      <c r="M468" s="373"/>
      <c r="N468" s="377"/>
      <c r="O468" s="222"/>
      <c r="P468" s="222"/>
      <c r="Q468" s="385" t="str">
        <f>Data!$E$11</f>
        <v>AHH</v>
      </c>
      <c r="R468" s="386">
        <f>IF($F481="","",RANK(Q466,$Q466:$CL466))</f>
        <v>2</v>
      </c>
      <c r="S468" s="510"/>
      <c r="T468" s="216">
        <v>0</v>
      </c>
      <c r="U468" s="217"/>
      <c r="V468" s="217"/>
      <c r="W468" s="217"/>
      <c r="X468" s="217"/>
      <c r="Y468" s="215"/>
      <c r="Z468" s="385" t="str">
        <f>Data!$E$12</f>
        <v>RB</v>
      </c>
      <c r="AA468" s="386">
        <f>IF($F481="","",RANK(Z466,$Q466:$CL466))</f>
        <v>1</v>
      </c>
      <c r="AB468" s="510"/>
      <c r="AC468" s="216"/>
      <c r="AD468" s="217"/>
      <c r="AE468" s="217"/>
      <c r="AF468" s="217"/>
      <c r="AG468" s="217"/>
      <c r="AH468" s="215"/>
      <c r="AI468" s="385" t="str">
        <f>Data!$E$13</f>
        <v>EB</v>
      </c>
      <c r="AJ468" s="386">
        <f>IF($F481="","",RANK(AI466,$Q466:$CL466))</f>
        <v>7</v>
      </c>
      <c r="AK468" s="510"/>
      <c r="AL468" s="216"/>
      <c r="AM468" s="217"/>
      <c r="AN468" s="217"/>
      <c r="AO468" s="217"/>
      <c r="AP468" s="217"/>
      <c r="AQ468" s="215"/>
      <c r="AR468" s="346" t="str">
        <f>Data!$E$14</f>
        <v>KAF</v>
      </c>
      <c r="AS468" s="386">
        <f>IF($F481="","",RANK(AR466,$Q466:$CL466))</f>
        <v>4</v>
      </c>
      <c r="AT468" s="510"/>
      <c r="AU468" s="216"/>
      <c r="AV468" s="217"/>
      <c r="AW468" s="217"/>
      <c r="AX468" s="217"/>
      <c r="AY468" s="217"/>
      <c r="AZ468" s="215"/>
      <c r="BA468" s="346" t="str">
        <f>Data!$E$15</f>
        <v>ØG</v>
      </c>
      <c r="BB468" s="386">
        <f>IF($F481="","",RANK(BA466,$Q466:$CL466))</f>
        <v>4</v>
      </c>
      <c r="BC468" s="510"/>
      <c r="BD468" s="216"/>
      <c r="BE468" s="217"/>
      <c r="BF468" s="217"/>
      <c r="BG468" s="217"/>
      <c r="BH468" s="217"/>
      <c r="BI468" s="215"/>
      <c r="BJ468" s="346" t="str">
        <f>Data!$E$16</f>
        <v>JH</v>
      </c>
      <c r="BK468" s="386">
        <f>IF($F481="","",RANK(BJ466,$Q466:$CL466))</f>
        <v>8</v>
      </c>
      <c r="BL468" s="510"/>
      <c r="BM468" s="216"/>
      <c r="BN468" s="217"/>
      <c r="BO468" s="217"/>
      <c r="BP468" s="217"/>
      <c r="BQ468" s="217"/>
      <c r="BR468" s="223"/>
      <c r="BS468" s="346" t="str">
        <f>Data!$E$17</f>
        <v>TOH</v>
      </c>
      <c r="BT468" s="386">
        <f>IF($F481="","",RANK(BS466,$Q466:$CL466))</f>
        <v>9</v>
      </c>
      <c r="BU468" s="510">
        <v>50</v>
      </c>
      <c r="BV468" s="215"/>
      <c r="BW468" s="217"/>
      <c r="BX468" s="217"/>
      <c r="BY468" s="217"/>
      <c r="BZ468" s="217"/>
      <c r="CA468" s="223"/>
      <c r="CB468" s="346" t="s">
        <v>26</v>
      </c>
      <c r="CC468" s="386">
        <f>IF($F481="","",RANK(CB466,$Q466:$CM466))</f>
        <v>6</v>
      </c>
      <c r="CD468" s="511"/>
      <c r="CE468" s="215"/>
      <c r="CF468" s="217"/>
      <c r="CG468" s="217"/>
      <c r="CH468" s="217"/>
      <c r="CI468" s="217"/>
      <c r="CJ468" s="217"/>
      <c r="CK468" s="346" t="s">
        <v>27</v>
      </c>
      <c r="CL468" s="386">
        <f>IF($F481="","",RANK(CK466,$Q466:$CM466))</f>
        <v>3</v>
      </c>
      <c r="CM468" s="798"/>
      <c r="CN468" s="215"/>
      <c r="CO468" s="217"/>
      <c r="CP468" s="217"/>
      <c r="CQ468" s="217"/>
      <c r="CR468" s="217"/>
      <c r="CS468" s="217"/>
      <c r="CT468" s="217"/>
      <c r="CU468" s="296"/>
      <c r="CV468" s="246"/>
      <c r="CW468" s="255"/>
    </row>
    <row r="469" spans="1:101" ht="13.5" thickBot="1" x14ac:dyDescent="0.25">
      <c r="A469" s="264"/>
      <c r="B469" s="264"/>
      <c r="C469" s="202"/>
      <c r="D469" s="270"/>
      <c r="E469" s="224"/>
      <c r="F469" s="225"/>
      <c r="G469" s="226"/>
      <c r="H469" s="226"/>
      <c r="I469" s="227" t="s">
        <v>45</v>
      </c>
      <c r="J469" s="228" t="s">
        <v>46</v>
      </c>
      <c r="K469" s="229" t="s">
        <v>47</v>
      </c>
      <c r="L469" s="298"/>
      <c r="M469" s="374"/>
      <c r="N469" s="378"/>
      <c r="O469" s="230"/>
      <c r="P469" s="230"/>
      <c r="Q469" s="227" t="s">
        <v>45</v>
      </c>
      <c r="R469" s="228" t="s">
        <v>46</v>
      </c>
      <c r="S469" s="229" t="s">
        <v>47</v>
      </c>
      <c r="T469" s="231"/>
      <c r="U469" s="232"/>
      <c r="V469" s="232"/>
      <c r="W469" s="232"/>
      <c r="X469" s="232"/>
      <c r="Y469" s="230"/>
      <c r="Z469" s="227" t="s">
        <v>45</v>
      </c>
      <c r="AA469" s="228" t="s">
        <v>46</v>
      </c>
      <c r="AB469" s="229" t="s">
        <v>47</v>
      </c>
      <c r="AC469" s="231"/>
      <c r="AD469" s="232"/>
      <c r="AE469" s="232"/>
      <c r="AF469" s="232"/>
      <c r="AG469" s="232"/>
      <c r="AH469" s="230"/>
      <c r="AI469" s="227" t="s">
        <v>45</v>
      </c>
      <c r="AJ469" s="228" t="s">
        <v>46</v>
      </c>
      <c r="AK469" s="229" t="s">
        <v>47</v>
      </c>
      <c r="AL469" s="231"/>
      <c r="AM469" s="232"/>
      <c r="AN469" s="232"/>
      <c r="AO469" s="232"/>
      <c r="AP469" s="232"/>
      <c r="AQ469" s="230"/>
      <c r="AR469" s="227" t="s">
        <v>45</v>
      </c>
      <c r="AS469" s="228" t="s">
        <v>46</v>
      </c>
      <c r="AT469" s="229" t="s">
        <v>47</v>
      </c>
      <c r="AU469" s="231"/>
      <c r="AV469" s="232"/>
      <c r="AW469" s="232"/>
      <c r="AX469" s="232"/>
      <c r="AY469" s="232"/>
      <c r="AZ469" s="230"/>
      <c r="BA469" s="227" t="s">
        <v>45</v>
      </c>
      <c r="BB469" s="228" t="s">
        <v>46</v>
      </c>
      <c r="BC469" s="229" t="s">
        <v>47</v>
      </c>
      <c r="BD469" s="231"/>
      <c r="BE469" s="232"/>
      <c r="BF469" s="232"/>
      <c r="BG469" s="232"/>
      <c r="BH469" s="232"/>
      <c r="BI469" s="230"/>
      <c r="BJ469" s="227" t="s">
        <v>45</v>
      </c>
      <c r="BK469" s="228" t="s">
        <v>46</v>
      </c>
      <c r="BL469" s="229" t="s">
        <v>47</v>
      </c>
      <c r="BM469" s="231"/>
      <c r="BN469" s="232"/>
      <c r="BO469" s="232"/>
      <c r="BP469" s="232"/>
      <c r="BQ469" s="232"/>
      <c r="BR469" s="230"/>
      <c r="BS469" s="227" t="s">
        <v>45</v>
      </c>
      <c r="BT469" s="228" t="s">
        <v>46</v>
      </c>
      <c r="BU469" s="229" t="s">
        <v>47</v>
      </c>
      <c r="BV469" s="231"/>
      <c r="BW469" s="232"/>
      <c r="BX469" s="232"/>
      <c r="BY469" s="232"/>
      <c r="BZ469" s="233"/>
      <c r="CA469" s="230"/>
      <c r="CB469" s="227" t="s">
        <v>45</v>
      </c>
      <c r="CC469" s="228" t="s">
        <v>46</v>
      </c>
      <c r="CD469" s="229" t="s">
        <v>47</v>
      </c>
      <c r="CE469" s="231"/>
      <c r="CF469" s="232"/>
      <c r="CG469" s="232"/>
      <c r="CH469" s="232"/>
      <c r="CI469" s="232"/>
      <c r="CJ469" s="232"/>
      <c r="CK469" s="227" t="s">
        <v>45</v>
      </c>
      <c r="CL469" s="228" t="s">
        <v>46</v>
      </c>
      <c r="CM469" s="229" t="s">
        <v>47</v>
      </c>
      <c r="CN469" s="231"/>
      <c r="CO469" s="232"/>
      <c r="CP469" s="232"/>
      <c r="CQ469" s="232"/>
      <c r="CR469" s="232"/>
      <c r="CS469" s="232"/>
      <c r="CT469" s="234"/>
      <c r="CU469" s="296"/>
      <c r="CV469" s="246"/>
      <c r="CW469" s="265"/>
    </row>
    <row r="470" spans="1:101" x14ac:dyDescent="0.2">
      <c r="A470" s="264"/>
      <c r="B470" s="264"/>
      <c r="C470" s="202"/>
      <c r="D470" s="271">
        <v>1</v>
      </c>
      <c r="E470" s="166" t="s">
        <v>305</v>
      </c>
      <c r="F470" s="468">
        <v>2</v>
      </c>
      <c r="G470" s="472"/>
      <c r="H470" s="473">
        <v>1</v>
      </c>
      <c r="I470" s="170" t="str">
        <f t="shared" ref="I470:I481" si="1050">IF($F470&gt;$H470,"x","")</f>
        <v>x</v>
      </c>
      <c r="J470" s="387" t="str">
        <f t="shared" ref="J470:J481" si="1051">IF(F470&lt;&gt;"",IF(H470&lt;&gt;"",IF(F470=H470,"x",""),""),"")</f>
        <v/>
      </c>
      <c r="K470" s="388" t="str">
        <f t="shared" ref="K470:K481" si="1052">IF($F470&lt;$H470,"x","")</f>
        <v/>
      </c>
      <c r="L470" s="299"/>
      <c r="M470" s="375"/>
      <c r="N470" s="379"/>
      <c r="O470" s="236"/>
      <c r="P470" s="236"/>
      <c r="Q470" s="480">
        <v>70</v>
      </c>
      <c r="R470" s="481">
        <v>20</v>
      </c>
      <c r="S470" s="482">
        <f>IF(Q470="","",100-SUM(Q470:R470))</f>
        <v>10</v>
      </c>
      <c r="T470" s="371"/>
      <c r="U470" s="232">
        <f t="shared" ref="U470:U481" si="1053">IF($I470="x",Q470,"")</f>
        <v>70</v>
      </c>
      <c r="V470" s="232" t="str">
        <f t="shared" ref="V470:V481" si="1054">IF($J470="x",R470,"")</f>
        <v/>
      </c>
      <c r="W470" s="232" t="str">
        <f t="shared" ref="W470:W481" si="1055">IF($K470="x",S470,"")</f>
        <v/>
      </c>
      <c r="X470" s="232">
        <f>IF((MAX(U470,V470,W470))=0,"",IF((MAX(U470,V470,W470))=(MAX(Q470,R470,S470)),1,""))</f>
        <v>1</v>
      </c>
      <c r="Y470" s="371"/>
      <c r="Z470" s="495">
        <v>80</v>
      </c>
      <c r="AA470" s="496">
        <v>10</v>
      </c>
      <c r="AB470" s="482">
        <f t="shared" ref="AB470:AB481" si="1056">IF(Z470="","",100-SUM(Z470:AA470))</f>
        <v>10</v>
      </c>
      <c r="AC470" s="371"/>
      <c r="AD470" s="232">
        <f t="shared" ref="AD470:AD481" si="1057">IF($I470="x",Z470,"")</f>
        <v>80</v>
      </c>
      <c r="AE470" s="232" t="str">
        <f t="shared" ref="AE470:AE481" si="1058">IF($J470="x",AA470,"")</f>
        <v/>
      </c>
      <c r="AF470" s="232" t="str">
        <f t="shared" ref="AF470:AF481" si="1059">IF($K470="x",AB470,"")</f>
        <v/>
      </c>
      <c r="AG470" s="232">
        <f>IF((MAX(AD470,AE470,AF470))=0,"",IF((MAX(AD470,AE470,AF470))=(MAX(Z470,AA470,AB470)),1,""))</f>
        <v>1</v>
      </c>
      <c r="AH470" s="371"/>
      <c r="AI470" s="495">
        <v>80</v>
      </c>
      <c r="AJ470" s="496">
        <v>10</v>
      </c>
      <c r="AK470" s="482">
        <f t="shared" ref="AK470:AK481" si="1060">IF(AI470="","",100-SUM(AI470:AJ470))</f>
        <v>10</v>
      </c>
      <c r="AL470" s="371"/>
      <c r="AM470" s="232">
        <f t="shared" ref="AM470:AM481" si="1061">IF($I470="x",AI470,"")</f>
        <v>80</v>
      </c>
      <c r="AN470" s="232" t="str">
        <f t="shared" ref="AN470:AN481" si="1062">IF($J470="x",AJ470,"")</f>
        <v/>
      </c>
      <c r="AO470" s="232" t="str">
        <f t="shared" ref="AO470:AO481" si="1063">IF($K470="x",AK470,"")</f>
        <v/>
      </c>
      <c r="AP470" s="232">
        <f>IF((MAX(AM470,AN470,AO470))=0,"",IF((MAX(AM470,AN470,AO470))=(MAX(AI470,AJ470,AK470)),1,""))</f>
        <v>1</v>
      </c>
      <c r="AQ470" s="371"/>
      <c r="AR470" s="495">
        <v>80</v>
      </c>
      <c r="AS470" s="496">
        <v>10</v>
      </c>
      <c r="AT470" s="482">
        <f t="shared" ref="AT470:AT481" si="1064">IF(AR470="","",100-SUM(AR470:AS470))</f>
        <v>10</v>
      </c>
      <c r="AU470" s="371"/>
      <c r="AV470" s="232">
        <f t="shared" ref="AV470:AV481" si="1065">IF($I470="x",AR470,"")</f>
        <v>80</v>
      </c>
      <c r="AW470" s="232" t="str">
        <f t="shared" ref="AW470:AW481" si="1066">IF($J470="x",AS470,"")</f>
        <v/>
      </c>
      <c r="AX470" s="232" t="str">
        <f t="shared" ref="AX470:AX481" si="1067">IF($K470="x",AT470,"")</f>
        <v/>
      </c>
      <c r="AY470" s="232">
        <f>IF((MAX(AV470,AW470,AX470))=0,"",IF((MAX(AV470,AW470,AX470))=(MAX(AR470,AS470,AT470)),1,""))</f>
        <v>1</v>
      </c>
      <c r="AZ470" s="371"/>
      <c r="BA470" s="495">
        <v>80</v>
      </c>
      <c r="BB470" s="496">
        <v>10</v>
      </c>
      <c r="BC470" s="482">
        <f t="shared" ref="BC470:BC481" si="1068">IF(BA470="","",100-SUM(BA470:BB470))</f>
        <v>10</v>
      </c>
      <c r="BD470" s="371"/>
      <c r="BE470" s="232">
        <f t="shared" ref="BE470:BE481" si="1069">IF($I470="x",BA470,"")</f>
        <v>80</v>
      </c>
      <c r="BF470" s="232" t="str">
        <f t="shared" ref="BF470:BF481" si="1070">IF($J470="x",BB470,"")</f>
        <v/>
      </c>
      <c r="BG470" s="232" t="str">
        <f t="shared" ref="BG470:BG481" si="1071">IF($K470="x",BC470,"")</f>
        <v/>
      </c>
      <c r="BH470" s="232">
        <f>IF((MAX(BE470,BF470,BG470))=0,"",IF((MAX(BE470,BF470,BG470))=(MAX(BA470,BB470,BC470)),1,""))</f>
        <v>1</v>
      </c>
      <c r="BI470" s="371"/>
      <c r="BJ470" s="495">
        <v>80</v>
      </c>
      <c r="BK470" s="496">
        <v>10</v>
      </c>
      <c r="BL470" s="482">
        <f t="shared" ref="BL470:BL481" si="1072">IF(BJ470="","",100-SUM(BJ470:BK470))</f>
        <v>10</v>
      </c>
      <c r="BM470" s="371"/>
      <c r="BN470" s="232">
        <f t="shared" ref="BN470:BN481" si="1073">IF($I470="x",BJ470,"")</f>
        <v>80</v>
      </c>
      <c r="BO470" s="232" t="str">
        <f t="shared" ref="BO470:BO481" si="1074">IF($J470="x",BK470,"")</f>
        <v/>
      </c>
      <c r="BP470" s="232" t="str">
        <f t="shared" ref="BP470:BP481" si="1075">IF($K470="x",BL470,"")</f>
        <v/>
      </c>
      <c r="BQ470" s="232">
        <f>IF((MAX(BN470,BO470,BP470))=0,"",IF((MAX(BN470,BO470,BP470))=(MAX(BJ470,BK470,BL470)),1,""))</f>
        <v>1</v>
      </c>
      <c r="BR470" s="371"/>
      <c r="BS470" s="495">
        <v>70</v>
      </c>
      <c r="BT470" s="496">
        <v>10</v>
      </c>
      <c r="BU470" s="482">
        <f t="shared" ref="BU470:BU481" si="1076">IF(BS470="","",100-SUM(BS470:BT470))</f>
        <v>20</v>
      </c>
      <c r="BV470" s="371"/>
      <c r="BW470" s="232">
        <f t="shared" ref="BW470:BW481" si="1077">IF($I470="x",BS470,"")</f>
        <v>70</v>
      </c>
      <c r="BX470" s="232" t="str">
        <f t="shared" ref="BX470:BX481" si="1078">IF($J470="x",BT470,"")</f>
        <v/>
      </c>
      <c r="BY470" s="232" t="str">
        <f t="shared" ref="BY470:BY481" si="1079">IF($K470="x",BU470,"")</f>
        <v/>
      </c>
      <c r="BZ470" s="232">
        <f>IF((MAX(BW470,BX470,BY470))=0,"",IF((MAX(BW470,BX470,BY470))=(MAX(BS470,BT470,BU470)),1,""))</f>
        <v>1</v>
      </c>
      <c r="CA470" s="371"/>
      <c r="CB470" s="501">
        <f t="shared" ref="CB470:CB481" si="1080">IFERROR(ROUNDUP((SUM(Q470,Z470,AI470,AR470,BA470,BJ470,BS470)/SUM($Q470:$S470,$Z470:$AB470,$AI470:$AK470,$AR470:$AT470,$BA470:$BC470,$BJ470:$BL470,$BS470:$BU470))*100,-1),"")</f>
        <v>80</v>
      </c>
      <c r="CC470" s="502">
        <f t="shared" ref="CC470:CC481" si="1081">IFERROR(ROUNDDOWN((SUM(R470,AA470,AJ470,AS470,BB470,BK470,BT470)/SUM($Q470:$S470,$Z470:$AB470,$AI470:$AK470,$AR470:$AT470,$BA470:$BC470,$BJ470:$BL470,$BS470:$BU470))*100,-1),"")</f>
        <v>10</v>
      </c>
      <c r="CD470" s="503">
        <f t="shared" ref="CD470:CD481" si="1082">IF(CB470="","",100-SUM(CB470:CC470))</f>
        <v>10</v>
      </c>
      <c r="CE470" s="371"/>
      <c r="CF470" s="232">
        <f t="shared" ref="CF470:CF481" si="1083">IF($I470="x",CB470,"")</f>
        <v>80</v>
      </c>
      <c r="CG470" s="232" t="str">
        <f t="shared" ref="CG470:CG481" si="1084">IF($J470="x",CC470,"")</f>
        <v/>
      </c>
      <c r="CH470" s="232" t="str">
        <f t="shared" ref="CH470:CH481" si="1085">IF($K470="x",CD470,"")</f>
        <v/>
      </c>
      <c r="CI470" s="232">
        <f>IF((MAX(CF470,CG470,CH470))=0,"",IF((MAX(CF470,CG470,CH470))=(MAX(CB470,CC470,CD470)),1,""))</f>
        <v>1</v>
      </c>
      <c r="CJ470" s="232"/>
      <c r="CK470" s="495">
        <v>80</v>
      </c>
      <c r="CL470" s="496">
        <v>10</v>
      </c>
      <c r="CM470" s="482">
        <f t="shared" ref="CM470:CM481" si="1086">IF(CK470="","",100-SUM(CK470:CL470))</f>
        <v>10</v>
      </c>
      <c r="CN470" s="371"/>
      <c r="CO470" s="232">
        <f t="shared" ref="CO470:CO481" si="1087">IF($I470="x",CK470,"")</f>
        <v>80</v>
      </c>
      <c r="CP470" s="232" t="str">
        <f t="shared" ref="CP470:CP481" si="1088">IF($J470="x",CL470,"")</f>
        <v/>
      </c>
      <c r="CQ470" s="232" t="str">
        <f t="shared" ref="CQ470:CQ481" si="1089">IF($K470="x",CM470,"")</f>
        <v/>
      </c>
      <c r="CR470" s="232">
        <f>IF((MAX(CO470,CP470,CQ470))=0,"",IF((MAX(CO470,CP470,CQ470))=(MAX(CK470,CL470,CM470)),1,""))</f>
        <v>1</v>
      </c>
      <c r="CS470" s="232"/>
      <c r="CT470" s="371"/>
      <c r="CU470" s="296"/>
      <c r="CV470" s="246"/>
      <c r="CW470" s="264"/>
    </row>
    <row r="471" spans="1:101" x14ac:dyDescent="0.2">
      <c r="A471" s="264"/>
      <c r="B471" s="264"/>
      <c r="C471" s="202"/>
      <c r="D471" s="271">
        <v>2</v>
      </c>
      <c r="E471" s="167" t="s">
        <v>306</v>
      </c>
      <c r="F471" s="469">
        <v>0</v>
      </c>
      <c r="G471" s="474"/>
      <c r="H471" s="475">
        <v>0</v>
      </c>
      <c r="I471" s="389" t="str">
        <f t="shared" si="1050"/>
        <v/>
      </c>
      <c r="J471" s="390" t="str">
        <f>IF(F471&lt;&gt;"",IF(H471&lt;&gt;"",IF(F471=H471,"x",""),""),"")</f>
        <v>x</v>
      </c>
      <c r="K471" s="391" t="str">
        <f>IF($F471&lt;$H471,"x","")</f>
        <v/>
      </c>
      <c r="L471" s="299"/>
      <c r="M471" s="375"/>
      <c r="N471" s="379"/>
      <c r="O471" s="236"/>
      <c r="P471" s="236"/>
      <c r="Q471" s="483">
        <v>30</v>
      </c>
      <c r="R471" s="484">
        <v>60</v>
      </c>
      <c r="S471" s="485">
        <f t="shared" ref="S471:S481" si="1090">IF(Q471="","",100-SUM(Q471:R471))</f>
        <v>10</v>
      </c>
      <c r="T471" s="371"/>
      <c r="U471" s="232" t="str">
        <f t="shared" si="1053"/>
        <v/>
      </c>
      <c r="V471" s="232">
        <f t="shared" si="1054"/>
        <v>60</v>
      </c>
      <c r="W471" s="232" t="str">
        <f t="shared" si="1055"/>
        <v/>
      </c>
      <c r="X471" s="232">
        <f t="shared" ref="X471:X481" si="1091">IF((MAX(U471,V471,W471))=0,"",IF((MAX(U471,V471,W471))=(MAX(Q471,R471,S471)),1,""))</f>
        <v>1</v>
      </c>
      <c r="Y471" s="371"/>
      <c r="Z471" s="497">
        <v>80</v>
      </c>
      <c r="AA471" s="498">
        <v>10</v>
      </c>
      <c r="AB471" s="485">
        <f t="shared" si="1056"/>
        <v>10</v>
      </c>
      <c r="AC471" s="371"/>
      <c r="AD471" s="232" t="str">
        <f t="shared" si="1057"/>
        <v/>
      </c>
      <c r="AE471" s="232">
        <f t="shared" si="1058"/>
        <v>10</v>
      </c>
      <c r="AF471" s="232" t="str">
        <f t="shared" si="1059"/>
        <v/>
      </c>
      <c r="AG471" s="232" t="str">
        <f t="shared" ref="AG471:AG481" si="1092">IF((MAX(AD471,AE471,AF471))=0,"",IF((MAX(AD471,AE471,AF471))=(MAX(Z471,AA471,AB471)),1,""))</f>
        <v/>
      </c>
      <c r="AH471" s="371"/>
      <c r="AI471" s="497">
        <v>30</v>
      </c>
      <c r="AJ471" s="498">
        <v>40</v>
      </c>
      <c r="AK471" s="485">
        <f t="shared" si="1060"/>
        <v>30</v>
      </c>
      <c r="AL471" s="371"/>
      <c r="AM471" s="232" t="str">
        <f t="shared" si="1061"/>
        <v/>
      </c>
      <c r="AN471" s="232">
        <f t="shared" si="1062"/>
        <v>40</v>
      </c>
      <c r="AO471" s="232" t="str">
        <f t="shared" si="1063"/>
        <v/>
      </c>
      <c r="AP471" s="232">
        <f t="shared" ref="AP471:AP481" si="1093">IF((MAX(AM471,AN471,AO471))=0,"",IF((MAX(AM471,AN471,AO471))=(MAX(AI471,AJ471,AK471)),1,""))</f>
        <v>1</v>
      </c>
      <c r="AQ471" s="371"/>
      <c r="AR471" s="497">
        <v>60</v>
      </c>
      <c r="AS471" s="498">
        <v>30</v>
      </c>
      <c r="AT471" s="485">
        <f t="shared" si="1064"/>
        <v>10</v>
      </c>
      <c r="AU471" s="371"/>
      <c r="AV471" s="232" t="str">
        <f t="shared" si="1065"/>
        <v/>
      </c>
      <c r="AW471" s="232">
        <f t="shared" si="1066"/>
        <v>30</v>
      </c>
      <c r="AX471" s="232" t="str">
        <f t="shared" si="1067"/>
        <v/>
      </c>
      <c r="AY471" s="232" t="str">
        <f t="shared" ref="AY471:AY481" si="1094">IF((MAX(AV471,AW471,AX471))=0,"",IF((MAX(AV471,AW471,AX471))=(MAX(AR471,AS471,AT471)),1,""))</f>
        <v/>
      </c>
      <c r="AZ471" s="371"/>
      <c r="BA471" s="497">
        <v>10</v>
      </c>
      <c r="BB471" s="498">
        <v>10</v>
      </c>
      <c r="BC471" s="485">
        <f t="shared" si="1068"/>
        <v>80</v>
      </c>
      <c r="BD471" s="371"/>
      <c r="BE471" s="232" t="str">
        <f t="shared" si="1069"/>
        <v/>
      </c>
      <c r="BF471" s="232">
        <f t="shared" si="1070"/>
        <v>10</v>
      </c>
      <c r="BG471" s="232" t="str">
        <f t="shared" si="1071"/>
        <v/>
      </c>
      <c r="BH471" s="232" t="str">
        <f t="shared" ref="BH471:BH481" si="1095">IF((MAX(BE471,BF471,BG471))=0,"",IF((MAX(BE471,BF471,BG471))=(MAX(BA471,BB471,BC471)),1,""))</f>
        <v/>
      </c>
      <c r="BI471" s="371"/>
      <c r="BJ471" s="497">
        <v>20</v>
      </c>
      <c r="BK471" s="498">
        <v>30</v>
      </c>
      <c r="BL471" s="485">
        <f t="shared" si="1072"/>
        <v>50</v>
      </c>
      <c r="BM471" s="371"/>
      <c r="BN471" s="232" t="str">
        <f t="shared" si="1073"/>
        <v/>
      </c>
      <c r="BO471" s="232">
        <f t="shared" si="1074"/>
        <v>30</v>
      </c>
      <c r="BP471" s="232" t="str">
        <f t="shared" si="1075"/>
        <v/>
      </c>
      <c r="BQ471" s="232" t="str">
        <f t="shared" ref="BQ471:BQ481" si="1096">IF((MAX(BN471,BO471,BP471))=0,"",IF((MAX(BN471,BO471,BP471))=(MAX(BJ471,BK471,BL471)),1,""))</f>
        <v/>
      </c>
      <c r="BR471" s="371"/>
      <c r="BS471" s="497">
        <v>50</v>
      </c>
      <c r="BT471" s="498">
        <v>30</v>
      </c>
      <c r="BU471" s="485">
        <f t="shared" si="1076"/>
        <v>20</v>
      </c>
      <c r="BV471" s="371"/>
      <c r="BW471" s="232" t="str">
        <f t="shared" si="1077"/>
        <v/>
      </c>
      <c r="BX471" s="232">
        <f t="shared" si="1078"/>
        <v>30</v>
      </c>
      <c r="BY471" s="232" t="str">
        <f t="shared" si="1079"/>
        <v/>
      </c>
      <c r="BZ471" s="232" t="str">
        <f t="shared" ref="BZ471:BZ481" si="1097">IF((MAX(BW471,BX471,BY471))=0,"",IF((MAX(BW471,BX471,BY471))=(MAX(BS471,BT471,BU471)),1,""))</f>
        <v/>
      </c>
      <c r="CA471" s="371"/>
      <c r="CB471" s="504">
        <f t="shared" si="1080"/>
        <v>40</v>
      </c>
      <c r="CC471" s="505">
        <f t="shared" si="1081"/>
        <v>30</v>
      </c>
      <c r="CD471" s="506">
        <f t="shared" si="1082"/>
        <v>30</v>
      </c>
      <c r="CE471" s="371"/>
      <c r="CF471" s="232" t="str">
        <f t="shared" si="1083"/>
        <v/>
      </c>
      <c r="CG471" s="232">
        <f t="shared" si="1084"/>
        <v>30</v>
      </c>
      <c r="CH471" s="232" t="str">
        <f t="shared" si="1085"/>
        <v/>
      </c>
      <c r="CI471" s="232" t="str">
        <f t="shared" ref="CI471:CI481" si="1098">IF((MAX(CF471,CG471,CH471))=0,"",IF((MAX(CF471,CG471,CH471))=(MAX(CB471,CC471,CD471)),1,""))</f>
        <v/>
      </c>
      <c r="CJ471" s="232"/>
      <c r="CK471" s="497">
        <v>30</v>
      </c>
      <c r="CL471" s="498">
        <v>60</v>
      </c>
      <c r="CM471" s="485">
        <f t="shared" si="1086"/>
        <v>10</v>
      </c>
      <c r="CN471" s="371"/>
      <c r="CO471" s="232" t="str">
        <f t="shared" si="1087"/>
        <v/>
      </c>
      <c r="CP471" s="232">
        <f t="shared" si="1088"/>
        <v>60</v>
      </c>
      <c r="CQ471" s="232" t="str">
        <f t="shared" si="1089"/>
        <v/>
      </c>
      <c r="CR471" s="232">
        <f t="shared" ref="CR471:CR481" si="1099">IF((MAX(CO471,CP471,CQ471))=0,"",IF((MAX(CO471,CP471,CQ471))=(MAX(CK471,CL471,CM471)),1,""))</f>
        <v>1</v>
      </c>
      <c r="CS471" s="232"/>
      <c r="CT471" s="371"/>
      <c r="CU471" s="296"/>
      <c r="CV471" s="246"/>
      <c r="CW471" s="264"/>
    </row>
    <row r="472" spans="1:101" ht="13.5" thickBot="1" x14ac:dyDescent="0.25">
      <c r="A472" s="264"/>
      <c r="B472" s="264"/>
      <c r="C472" s="202"/>
      <c r="D472" s="271">
        <v>3</v>
      </c>
      <c r="E472" s="168" t="s">
        <v>307</v>
      </c>
      <c r="F472" s="470">
        <v>1</v>
      </c>
      <c r="G472" s="476"/>
      <c r="H472" s="477">
        <v>1</v>
      </c>
      <c r="I472" s="392" t="str">
        <f t="shared" si="1050"/>
        <v/>
      </c>
      <c r="J472" s="393" t="str">
        <f t="shared" si="1051"/>
        <v>x</v>
      </c>
      <c r="K472" s="394" t="str">
        <f t="shared" si="1052"/>
        <v/>
      </c>
      <c r="L472" s="299"/>
      <c r="M472" s="375"/>
      <c r="N472" s="379"/>
      <c r="O472" s="236"/>
      <c r="P472" s="236"/>
      <c r="Q472" s="486">
        <v>60</v>
      </c>
      <c r="R472" s="487">
        <v>20</v>
      </c>
      <c r="S472" s="488">
        <f t="shared" si="1090"/>
        <v>20</v>
      </c>
      <c r="T472" s="371"/>
      <c r="U472" s="232" t="str">
        <f t="shared" si="1053"/>
        <v/>
      </c>
      <c r="V472" s="232">
        <f t="shared" si="1054"/>
        <v>20</v>
      </c>
      <c r="W472" s="232" t="str">
        <f t="shared" si="1055"/>
        <v/>
      </c>
      <c r="X472" s="232" t="str">
        <f t="shared" si="1091"/>
        <v/>
      </c>
      <c r="Y472" s="371"/>
      <c r="Z472" s="499">
        <v>80</v>
      </c>
      <c r="AA472" s="500">
        <v>10</v>
      </c>
      <c r="AB472" s="488">
        <f t="shared" si="1056"/>
        <v>10</v>
      </c>
      <c r="AC472" s="371"/>
      <c r="AD472" s="232" t="str">
        <f t="shared" si="1057"/>
        <v/>
      </c>
      <c r="AE472" s="232">
        <f t="shared" si="1058"/>
        <v>10</v>
      </c>
      <c r="AF472" s="232" t="str">
        <f t="shared" si="1059"/>
        <v/>
      </c>
      <c r="AG472" s="232" t="str">
        <f t="shared" si="1092"/>
        <v/>
      </c>
      <c r="AH472" s="371"/>
      <c r="AI472" s="499">
        <v>80</v>
      </c>
      <c r="AJ472" s="500">
        <v>10</v>
      </c>
      <c r="AK472" s="488">
        <f t="shared" si="1060"/>
        <v>10</v>
      </c>
      <c r="AL472" s="371"/>
      <c r="AM472" s="232" t="str">
        <f t="shared" si="1061"/>
        <v/>
      </c>
      <c r="AN472" s="232">
        <f t="shared" si="1062"/>
        <v>10</v>
      </c>
      <c r="AO472" s="232" t="str">
        <f t="shared" si="1063"/>
        <v/>
      </c>
      <c r="AP472" s="232" t="str">
        <f t="shared" si="1093"/>
        <v/>
      </c>
      <c r="AQ472" s="371"/>
      <c r="AR472" s="499">
        <v>60</v>
      </c>
      <c r="AS472" s="500">
        <v>30</v>
      </c>
      <c r="AT472" s="488">
        <f t="shared" si="1064"/>
        <v>10</v>
      </c>
      <c r="AU472" s="371"/>
      <c r="AV472" s="232" t="str">
        <f t="shared" si="1065"/>
        <v/>
      </c>
      <c r="AW472" s="232">
        <f t="shared" si="1066"/>
        <v>30</v>
      </c>
      <c r="AX472" s="232" t="str">
        <f t="shared" si="1067"/>
        <v/>
      </c>
      <c r="AY472" s="232" t="str">
        <f t="shared" si="1094"/>
        <v/>
      </c>
      <c r="AZ472" s="371"/>
      <c r="BA472" s="499">
        <v>80</v>
      </c>
      <c r="BB472" s="500">
        <v>10</v>
      </c>
      <c r="BC472" s="488">
        <f t="shared" si="1068"/>
        <v>10</v>
      </c>
      <c r="BD472" s="371"/>
      <c r="BE472" s="232" t="str">
        <f t="shared" si="1069"/>
        <v/>
      </c>
      <c r="BF472" s="232">
        <f t="shared" si="1070"/>
        <v>10</v>
      </c>
      <c r="BG472" s="232" t="str">
        <f t="shared" si="1071"/>
        <v/>
      </c>
      <c r="BH472" s="232" t="str">
        <f t="shared" si="1095"/>
        <v/>
      </c>
      <c r="BI472" s="371"/>
      <c r="BJ472" s="499">
        <v>80</v>
      </c>
      <c r="BK472" s="500">
        <v>10</v>
      </c>
      <c r="BL472" s="488">
        <f t="shared" si="1072"/>
        <v>10</v>
      </c>
      <c r="BM472" s="371"/>
      <c r="BN472" s="232" t="str">
        <f t="shared" si="1073"/>
        <v/>
      </c>
      <c r="BO472" s="232">
        <f t="shared" si="1074"/>
        <v>10</v>
      </c>
      <c r="BP472" s="232" t="str">
        <f t="shared" si="1075"/>
        <v/>
      </c>
      <c r="BQ472" s="232" t="str">
        <f t="shared" si="1096"/>
        <v/>
      </c>
      <c r="BR472" s="371"/>
      <c r="BS472" s="499">
        <v>80</v>
      </c>
      <c r="BT472" s="500">
        <v>10</v>
      </c>
      <c r="BU472" s="488">
        <f t="shared" si="1076"/>
        <v>10</v>
      </c>
      <c r="BV472" s="371"/>
      <c r="BW472" s="232" t="str">
        <f t="shared" si="1077"/>
        <v/>
      </c>
      <c r="BX472" s="232">
        <f t="shared" si="1078"/>
        <v>10</v>
      </c>
      <c r="BY472" s="232" t="str">
        <f t="shared" si="1079"/>
        <v/>
      </c>
      <c r="BZ472" s="232" t="str">
        <f t="shared" si="1097"/>
        <v/>
      </c>
      <c r="CA472" s="371"/>
      <c r="CB472" s="507">
        <f t="shared" si="1080"/>
        <v>80</v>
      </c>
      <c r="CC472" s="508">
        <f t="shared" si="1081"/>
        <v>10</v>
      </c>
      <c r="CD472" s="509">
        <f t="shared" si="1082"/>
        <v>10</v>
      </c>
      <c r="CE472" s="371"/>
      <c r="CF472" s="232" t="str">
        <f t="shared" si="1083"/>
        <v/>
      </c>
      <c r="CG472" s="232">
        <f t="shared" si="1084"/>
        <v>10</v>
      </c>
      <c r="CH472" s="232" t="str">
        <f t="shared" si="1085"/>
        <v/>
      </c>
      <c r="CI472" s="232" t="str">
        <f t="shared" si="1098"/>
        <v/>
      </c>
      <c r="CJ472" s="232"/>
      <c r="CK472" s="499">
        <v>80</v>
      </c>
      <c r="CL472" s="500">
        <v>10</v>
      </c>
      <c r="CM472" s="488">
        <f t="shared" si="1086"/>
        <v>10</v>
      </c>
      <c r="CN472" s="371"/>
      <c r="CO472" s="232" t="str">
        <f t="shared" si="1087"/>
        <v/>
      </c>
      <c r="CP472" s="232">
        <f t="shared" si="1088"/>
        <v>10</v>
      </c>
      <c r="CQ472" s="232" t="str">
        <f t="shared" si="1089"/>
        <v/>
      </c>
      <c r="CR472" s="232" t="str">
        <f t="shared" si="1099"/>
        <v/>
      </c>
      <c r="CS472" s="232"/>
      <c r="CT472" s="371"/>
      <c r="CU472" s="296"/>
      <c r="CV472" s="246"/>
      <c r="CW472" s="264"/>
    </row>
    <row r="473" spans="1:101" x14ac:dyDescent="0.2">
      <c r="A473" s="264"/>
      <c r="B473" s="264"/>
      <c r="C473" s="202"/>
      <c r="D473" s="271">
        <v>4</v>
      </c>
      <c r="E473" s="166" t="s">
        <v>308</v>
      </c>
      <c r="F473" s="468">
        <v>0</v>
      </c>
      <c r="G473" s="472"/>
      <c r="H473" s="473">
        <v>2</v>
      </c>
      <c r="I473" s="170" t="str">
        <f t="shared" si="1050"/>
        <v/>
      </c>
      <c r="J473" s="387" t="str">
        <f t="shared" si="1051"/>
        <v/>
      </c>
      <c r="K473" s="388" t="str">
        <f t="shared" si="1052"/>
        <v>x</v>
      </c>
      <c r="L473" s="299"/>
      <c r="M473" s="375"/>
      <c r="N473" s="379"/>
      <c r="O473" s="236"/>
      <c r="P473" s="236"/>
      <c r="Q473" s="480">
        <v>50</v>
      </c>
      <c r="R473" s="481">
        <v>30</v>
      </c>
      <c r="S473" s="482">
        <f t="shared" si="1090"/>
        <v>20</v>
      </c>
      <c r="T473" s="371"/>
      <c r="U473" s="232" t="str">
        <f t="shared" si="1053"/>
        <v/>
      </c>
      <c r="V473" s="232" t="str">
        <f t="shared" si="1054"/>
        <v/>
      </c>
      <c r="W473" s="232">
        <f t="shared" si="1055"/>
        <v>20</v>
      </c>
      <c r="X473" s="232" t="str">
        <f t="shared" si="1091"/>
        <v/>
      </c>
      <c r="Y473" s="371"/>
      <c r="Z473" s="495">
        <v>80</v>
      </c>
      <c r="AA473" s="496">
        <v>10</v>
      </c>
      <c r="AB473" s="482">
        <f t="shared" si="1056"/>
        <v>10</v>
      </c>
      <c r="AC473" s="371"/>
      <c r="AD473" s="232" t="str">
        <f t="shared" si="1057"/>
        <v/>
      </c>
      <c r="AE473" s="232" t="str">
        <f t="shared" si="1058"/>
        <v/>
      </c>
      <c r="AF473" s="232">
        <f t="shared" si="1059"/>
        <v>10</v>
      </c>
      <c r="AG473" s="232" t="str">
        <f t="shared" si="1092"/>
        <v/>
      </c>
      <c r="AH473" s="371"/>
      <c r="AI473" s="495">
        <v>50</v>
      </c>
      <c r="AJ473" s="496">
        <v>20</v>
      </c>
      <c r="AK473" s="482">
        <f t="shared" si="1060"/>
        <v>30</v>
      </c>
      <c r="AL473" s="371"/>
      <c r="AM473" s="232" t="str">
        <f t="shared" si="1061"/>
        <v/>
      </c>
      <c r="AN473" s="232" t="str">
        <f t="shared" si="1062"/>
        <v/>
      </c>
      <c r="AO473" s="232">
        <f t="shared" si="1063"/>
        <v>30</v>
      </c>
      <c r="AP473" s="232" t="str">
        <f t="shared" si="1093"/>
        <v/>
      </c>
      <c r="AQ473" s="371"/>
      <c r="AR473" s="495">
        <v>80</v>
      </c>
      <c r="AS473" s="496">
        <v>10</v>
      </c>
      <c r="AT473" s="482">
        <f t="shared" si="1064"/>
        <v>10</v>
      </c>
      <c r="AU473" s="371"/>
      <c r="AV473" s="232" t="str">
        <f t="shared" si="1065"/>
        <v/>
      </c>
      <c r="AW473" s="232" t="str">
        <f t="shared" si="1066"/>
        <v/>
      </c>
      <c r="AX473" s="232">
        <f t="shared" si="1067"/>
        <v>10</v>
      </c>
      <c r="AY473" s="232" t="str">
        <f t="shared" si="1094"/>
        <v/>
      </c>
      <c r="AZ473" s="371"/>
      <c r="BA473" s="495">
        <v>80</v>
      </c>
      <c r="BB473" s="496">
        <v>10</v>
      </c>
      <c r="BC473" s="482">
        <f t="shared" si="1068"/>
        <v>10</v>
      </c>
      <c r="BD473" s="371"/>
      <c r="BE473" s="232" t="str">
        <f t="shared" si="1069"/>
        <v/>
      </c>
      <c r="BF473" s="232" t="str">
        <f t="shared" si="1070"/>
        <v/>
      </c>
      <c r="BG473" s="232">
        <f t="shared" si="1071"/>
        <v>10</v>
      </c>
      <c r="BH473" s="232" t="str">
        <f t="shared" si="1095"/>
        <v/>
      </c>
      <c r="BI473" s="371"/>
      <c r="BJ473" s="495">
        <v>50</v>
      </c>
      <c r="BK473" s="496">
        <v>30</v>
      </c>
      <c r="BL473" s="482">
        <f t="shared" si="1072"/>
        <v>20</v>
      </c>
      <c r="BM473" s="371"/>
      <c r="BN473" s="232" t="str">
        <f t="shared" si="1073"/>
        <v/>
      </c>
      <c r="BO473" s="232" t="str">
        <f t="shared" si="1074"/>
        <v/>
      </c>
      <c r="BP473" s="232">
        <f t="shared" si="1075"/>
        <v>20</v>
      </c>
      <c r="BQ473" s="232" t="str">
        <f t="shared" si="1096"/>
        <v/>
      </c>
      <c r="BR473" s="371"/>
      <c r="BS473" s="495">
        <v>50</v>
      </c>
      <c r="BT473" s="496">
        <v>40</v>
      </c>
      <c r="BU473" s="482">
        <f t="shared" si="1076"/>
        <v>10</v>
      </c>
      <c r="BV473" s="371"/>
      <c r="BW473" s="232" t="str">
        <f t="shared" si="1077"/>
        <v/>
      </c>
      <c r="BX473" s="232" t="str">
        <f t="shared" si="1078"/>
        <v/>
      </c>
      <c r="BY473" s="232">
        <f t="shared" si="1079"/>
        <v>10</v>
      </c>
      <c r="BZ473" s="232" t="str">
        <f t="shared" si="1097"/>
        <v/>
      </c>
      <c r="CA473" s="371"/>
      <c r="CB473" s="501">
        <f t="shared" si="1080"/>
        <v>70</v>
      </c>
      <c r="CC473" s="502">
        <f t="shared" si="1081"/>
        <v>20</v>
      </c>
      <c r="CD473" s="503">
        <f t="shared" si="1082"/>
        <v>10</v>
      </c>
      <c r="CE473" s="371"/>
      <c r="CF473" s="232" t="str">
        <f t="shared" si="1083"/>
        <v/>
      </c>
      <c r="CG473" s="232" t="str">
        <f t="shared" si="1084"/>
        <v/>
      </c>
      <c r="CH473" s="232">
        <f t="shared" si="1085"/>
        <v>10</v>
      </c>
      <c r="CI473" s="232" t="str">
        <f t="shared" si="1098"/>
        <v/>
      </c>
      <c r="CJ473" s="232"/>
      <c r="CK473" s="495">
        <v>50</v>
      </c>
      <c r="CL473" s="496">
        <v>20</v>
      </c>
      <c r="CM473" s="482">
        <f t="shared" si="1086"/>
        <v>30</v>
      </c>
      <c r="CN473" s="371"/>
      <c r="CO473" s="232" t="str">
        <f t="shared" si="1087"/>
        <v/>
      </c>
      <c r="CP473" s="232" t="str">
        <f t="shared" si="1088"/>
        <v/>
      </c>
      <c r="CQ473" s="232">
        <f t="shared" si="1089"/>
        <v>30</v>
      </c>
      <c r="CR473" s="232" t="str">
        <f t="shared" si="1099"/>
        <v/>
      </c>
      <c r="CS473" s="232"/>
      <c r="CT473" s="371"/>
      <c r="CU473" s="296"/>
      <c r="CV473" s="246"/>
      <c r="CW473" s="264"/>
    </row>
    <row r="474" spans="1:101" x14ac:dyDescent="0.2">
      <c r="A474" s="264"/>
      <c r="B474" s="264"/>
      <c r="C474" s="202"/>
      <c r="D474" s="271">
        <v>5</v>
      </c>
      <c r="E474" s="167" t="s">
        <v>309</v>
      </c>
      <c r="F474" s="469">
        <v>1</v>
      </c>
      <c r="G474" s="474"/>
      <c r="H474" s="475">
        <v>1</v>
      </c>
      <c r="I474" s="389" t="str">
        <f t="shared" si="1050"/>
        <v/>
      </c>
      <c r="J474" s="390" t="str">
        <f t="shared" si="1051"/>
        <v>x</v>
      </c>
      <c r="K474" s="391" t="str">
        <f t="shared" si="1052"/>
        <v/>
      </c>
      <c r="L474" s="299"/>
      <c r="M474" s="375"/>
      <c r="N474" s="379"/>
      <c r="O474" s="236"/>
      <c r="P474" s="236"/>
      <c r="Q474" s="483">
        <v>80</v>
      </c>
      <c r="R474" s="484">
        <v>10</v>
      </c>
      <c r="S474" s="485">
        <f t="shared" si="1090"/>
        <v>10</v>
      </c>
      <c r="T474" s="371"/>
      <c r="U474" s="232" t="str">
        <f t="shared" si="1053"/>
        <v/>
      </c>
      <c r="V474" s="232">
        <f t="shared" si="1054"/>
        <v>10</v>
      </c>
      <c r="W474" s="232" t="str">
        <f t="shared" si="1055"/>
        <v/>
      </c>
      <c r="X474" s="232" t="str">
        <f t="shared" si="1091"/>
        <v/>
      </c>
      <c r="Y474" s="371"/>
      <c r="Z474" s="497">
        <v>80</v>
      </c>
      <c r="AA474" s="498">
        <v>10</v>
      </c>
      <c r="AB474" s="485">
        <f t="shared" si="1056"/>
        <v>10</v>
      </c>
      <c r="AC474" s="371"/>
      <c r="AD474" s="232" t="str">
        <f t="shared" si="1057"/>
        <v/>
      </c>
      <c r="AE474" s="232">
        <f t="shared" si="1058"/>
        <v>10</v>
      </c>
      <c r="AF474" s="232" t="str">
        <f t="shared" si="1059"/>
        <v/>
      </c>
      <c r="AG474" s="232" t="str">
        <f t="shared" si="1092"/>
        <v/>
      </c>
      <c r="AH474" s="371"/>
      <c r="AI474" s="497">
        <v>80</v>
      </c>
      <c r="AJ474" s="498">
        <v>10</v>
      </c>
      <c r="AK474" s="485">
        <f t="shared" si="1060"/>
        <v>10</v>
      </c>
      <c r="AL474" s="371"/>
      <c r="AM474" s="232" t="str">
        <f t="shared" si="1061"/>
        <v/>
      </c>
      <c r="AN474" s="232">
        <f t="shared" si="1062"/>
        <v>10</v>
      </c>
      <c r="AO474" s="232" t="str">
        <f t="shared" si="1063"/>
        <v/>
      </c>
      <c r="AP474" s="232" t="str">
        <f t="shared" si="1093"/>
        <v/>
      </c>
      <c r="AQ474" s="371"/>
      <c r="AR474" s="497">
        <v>80</v>
      </c>
      <c r="AS474" s="498">
        <v>10</v>
      </c>
      <c r="AT474" s="485">
        <f t="shared" si="1064"/>
        <v>10</v>
      </c>
      <c r="AU474" s="371"/>
      <c r="AV474" s="232" t="str">
        <f t="shared" si="1065"/>
        <v/>
      </c>
      <c r="AW474" s="232">
        <f t="shared" si="1066"/>
        <v>10</v>
      </c>
      <c r="AX474" s="232" t="str">
        <f t="shared" si="1067"/>
        <v/>
      </c>
      <c r="AY474" s="232" t="str">
        <f t="shared" si="1094"/>
        <v/>
      </c>
      <c r="AZ474" s="371"/>
      <c r="BA474" s="497">
        <v>80</v>
      </c>
      <c r="BB474" s="498">
        <v>10</v>
      </c>
      <c r="BC474" s="485">
        <f t="shared" si="1068"/>
        <v>10</v>
      </c>
      <c r="BD474" s="371"/>
      <c r="BE474" s="232" t="str">
        <f t="shared" si="1069"/>
        <v/>
      </c>
      <c r="BF474" s="232">
        <f t="shared" si="1070"/>
        <v>10</v>
      </c>
      <c r="BG474" s="232" t="str">
        <f t="shared" si="1071"/>
        <v/>
      </c>
      <c r="BH474" s="232" t="str">
        <f t="shared" si="1095"/>
        <v/>
      </c>
      <c r="BI474" s="371"/>
      <c r="BJ474" s="497">
        <v>60</v>
      </c>
      <c r="BK474" s="498">
        <v>30</v>
      </c>
      <c r="BL474" s="485">
        <f t="shared" si="1072"/>
        <v>10</v>
      </c>
      <c r="BM474" s="371"/>
      <c r="BN474" s="232" t="str">
        <f t="shared" si="1073"/>
        <v/>
      </c>
      <c r="BO474" s="232">
        <f t="shared" si="1074"/>
        <v>30</v>
      </c>
      <c r="BP474" s="232" t="str">
        <f t="shared" si="1075"/>
        <v/>
      </c>
      <c r="BQ474" s="232" t="str">
        <f t="shared" si="1096"/>
        <v/>
      </c>
      <c r="BR474" s="371"/>
      <c r="BS474" s="497">
        <v>80</v>
      </c>
      <c r="BT474" s="498">
        <v>10</v>
      </c>
      <c r="BU474" s="485">
        <f t="shared" si="1076"/>
        <v>10</v>
      </c>
      <c r="BV474" s="371"/>
      <c r="BW474" s="232" t="str">
        <f t="shared" si="1077"/>
        <v/>
      </c>
      <c r="BX474" s="232">
        <f t="shared" si="1078"/>
        <v>10</v>
      </c>
      <c r="BY474" s="232" t="str">
        <f t="shared" si="1079"/>
        <v/>
      </c>
      <c r="BZ474" s="232" t="str">
        <f t="shared" si="1097"/>
        <v/>
      </c>
      <c r="CA474" s="371"/>
      <c r="CB474" s="504">
        <f t="shared" si="1080"/>
        <v>80</v>
      </c>
      <c r="CC474" s="505">
        <f t="shared" si="1081"/>
        <v>10</v>
      </c>
      <c r="CD474" s="506">
        <f t="shared" si="1082"/>
        <v>10</v>
      </c>
      <c r="CE474" s="371"/>
      <c r="CF474" s="232" t="str">
        <f t="shared" si="1083"/>
        <v/>
      </c>
      <c r="CG474" s="232">
        <f t="shared" si="1084"/>
        <v>10</v>
      </c>
      <c r="CH474" s="232" t="str">
        <f t="shared" si="1085"/>
        <v/>
      </c>
      <c r="CI474" s="232" t="str">
        <f t="shared" si="1098"/>
        <v/>
      </c>
      <c r="CJ474" s="232"/>
      <c r="CK474" s="497">
        <v>80</v>
      </c>
      <c r="CL474" s="498">
        <v>10</v>
      </c>
      <c r="CM474" s="485">
        <f t="shared" si="1086"/>
        <v>10</v>
      </c>
      <c r="CN474" s="371"/>
      <c r="CO474" s="232" t="str">
        <f t="shared" si="1087"/>
        <v/>
      </c>
      <c r="CP474" s="232">
        <f t="shared" si="1088"/>
        <v>10</v>
      </c>
      <c r="CQ474" s="232" t="str">
        <f t="shared" si="1089"/>
        <v/>
      </c>
      <c r="CR474" s="232" t="str">
        <f t="shared" si="1099"/>
        <v/>
      </c>
      <c r="CS474" s="232"/>
      <c r="CT474" s="371"/>
      <c r="CU474" s="296"/>
      <c r="CV474" s="246"/>
      <c r="CW474" s="264"/>
    </row>
    <row r="475" spans="1:101" ht="13.5" thickBot="1" x14ac:dyDescent="0.25">
      <c r="A475" s="264"/>
      <c r="B475" s="264"/>
      <c r="C475" s="202"/>
      <c r="D475" s="271">
        <v>6</v>
      </c>
      <c r="E475" s="168" t="s">
        <v>310</v>
      </c>
      <c r="F475" s="470">
        <v>0</v>
      </c>
      <c r="G475" s="476"/>
      <c r="H475" s="477">
        <v>0</v>
      </c>
      <c r="I475" s="392" t="str">
        <f t="shared" si="1050"/>
        <v/>
      </c>
      <c r="J475" s="393" t="str">
        <f t="shared" si="1051"/>
        <v>x</v>
      </c>
      <c r="K475" s="394" t="str">
        <f t="shared" si="1052"/>
        <v/>
      </c>
      <c r="L475" s="299"/>
      <c r="M475" s="375"/>
      <c r="N475" s="379"/>
      <c r="O475" s="236"/>
      <c r="P475" s="236"/>
      <c r="Q475" s="489">
        <v>70</v>
      </c>
      <c r="R475" s="490">
        <v>20</v>
      </c>
      <c r="S475" s="491">
        <f t="shared" si="1090"/>
        <v>10</v>
      </c>
      <c r="T475" s="371"/>
      <c r="U475" s="232" t="str">
        <f t="shared" si="1053"/>
        <v/>
      </c>
      <c r="V475" s="232">
        <f t="shared" si="1054"/>
        <v>20</v>
      </c>
      <c r="W475" s="232" t="str">
        <f t="shared" si="1055"/>
        <v/>
      </c>
      <c r="X475" s="232" t="str">
        <f t="shared" si="1091"/>
        <v/>
      </c>
      <c r="Y475" s="371"/>
      <c r="Z475" s="499">
        <v>80</v>
      </c>
      <c r="AA475" s="500">
        <v>10</v>
      </c>
      <c r="AB475" s="491">
        <f t="shared" si="1056"/>
        <v>10</v>
      </c>
      <c r="AC475" s="371"/>
      <c r="AD475" s="232" t="str">
        <f t="shared" si="1057"/>
        <v/>
      </c>
      <c r="AE475" s="232">
        <f t="shared" si="1058"/>
        <v>10</v>
      </c>
      <c r="AF475" s="232" t="str">
        <f t="shared" si="1059"/>
        <v/>
      </c>
      <c r="AG475" s="232" t="str">
        <f t="shared" si="1092"/>
        <v/>
      </c>
      <c r="AH475" s="371"/>
      <c r="AI475" s="499">
        <v>60</v>
      </c>
      <c r="AJ475" s="500">
        <v>20</v>
      </c>
      <c r="AK475" s="491">
        <f t="shared" si="1060"/>
        <v>20</v>
      </c>
      <c r="AL475" s="371"/>
      <c r="AM475" s="232" t="str">
        <f t="shared" si="1061"/>
        <v/>
      </c>
      <c r="AN475" s="232">
        <f t="shared" si="1062"/>
        <v>20</v>
      </c>
      <c r="AO475" s="232" t="str">
        <f t="shared" si="1063"/>
        <v/>
      </c>
      <c r="AP475" s="232" t="str">
        <f t="shared" si="1093"/>
        <v/>
      </c>
      <c r="AQ475" s="371"/>
      <c r="AR475" s="499">
        <v>80</v>
      </c>
      <c r="AS475" s="500">
        <v>10</v>
      </c>
      <c r="AT475" s="491">
        <f t="shared" si="1064"/>
        <v>10</v>
      </c>
      <c r="AU475" s="371"/>
      <c r="AV475" s="232" t="str">
        <f t="shared" si="1065"/>
        <v/>
      </c>
      <c r="AW475" s="232">
        <f t="shared" si="1066"/>
        <v>10</v>
      </c>
      <c r="AX475" s="232" t="str">
        <f t="shared" si="1067"/>
        <v/>
      </c>
      <c r="AY475" s="232" t="str">
        <f t="shared" si="1094"/>
        <v/>
      </c>
      <c r="AZ475" s="371"/>
      <c r="BA475" s="499">
        <v>80</v>
      </c>
      <c r="BB475" s="500">
        <v>10</v>
      </c>
      <c r="BC475" s="491">
        <f t="shared" si="1068"/>
        <v>10</v>
      </c>
      <c r="BD475" s="371"/>
      <c r="BE475" s="232" t="str">
        <f t="shared" si="1069"/>
        <v/>
      </c>
      <c r="BF475" s="232">
        <f t="shared" si="1070"/>
        <v>10</v>
      </c>
      <c r="BG475" s="232" t="str">
        <f t="shared" si="1071"/>
        <v/>
      </c>
      <c r="BH475" s="232" t="str">
        <f t="shared" si="1095"/>
        <v/>
      </c>
      <c r="BI475" s="371"/>
      <c r="BJ475" s="499">
        <v>80</v>
      </c>
      <c r="BK475" s="500">
        <v>10</v>
      </c>
      <c r="BL475" s="491">
        <f t="shared" si="1072"/>
        <v>10</v>
      </c>
      <c r="BM475" s="371"/>
      <c r="BN475" s="232" t="str">
        <f t="shared" si="1073"/>
        <v/>
      </c>
      <c r="BO475" s="232">
        <f t="shared" si="1074"/>
        <v>10</v>
      </c>
      <c r="BP475" s="232" t="str">
        <f t="shared" si="1075"/>
        <v/>
      </c>
      <c r="BQ475" s="232" t="str">
        <f t="shared" si="1096"/>
        <v/>
      </c>
      <c r="BR475" s="371"/>
      <c r="BS475" s="499">
        <v>60</v>
      </c>
      <c r="BT475" s="500">
        <v>20</v>
      </c>
      <c r="BU475" s="491">
        <f t="shared" si="1076"/>
        <v>20</v>
      </c>
      <c r="BV475" s="371"/>
      <c r="BW475" s="232" t="str">
        <f t="shared" si="1077"/>
        <v/>
      </c>
      <c r="BX475" s="232">
        <f t="shared" si="1078"/>
        <v>20</v>
      </c>
      <c r="BY475" s="232" t="str">
        <f t="shared" si="1079"/>
        <v/>
      </c>
      <c r="BZ475" s="232" t="str">
        <f t="shared" si="1097"/>
        <v/>
      </c>
      <c r="CA475" s="371"/>
      <c r="CB475" s="507">
        <f t="shared" si="1080"/>
        <v>80</v>
      </c>
      <c r="CC475" s="508">
        <f t="shared" si="1081"/>
        <v>10</v>
      </c>
      <c r="CD475" s="509">
        <f t="shared" si="1082"/>
        <v>10</v>
      </c>
      <c r="CE475" s="371"/>
      <c r="CF475" s="232" t="str">
        <f t="shared" si="1083"/>
        <v/>
      </c>
      <c r="CG475" s="232">
        <f t="shared" si="1084"/>
        <v>10</v>
      </c>
      <c r="CH475" s="232" t="str">
        <f t="shared" si="1085"/>
        <v/>
      </c>
      <c r="CI475" s="232" t="str">
        <f t="shared" si="1098"/>
        <v/>
      </c>
      <c r="CJ475" s="232"/>
      <c r="CK475" s="499">
        <v>80</v>
      </c>
      <c r="CL475" s="500">
        <v>10</v>
      </c>
      <c r="CM475" s="491">
        <f t="shared" si="1086"/>
        <v>10</v>
      </c>
      <c r="CN475" s="371"/>
      <c r="CO475" s="232" t="str">
        <f t="shared" si="1087"/>
        <v/>
      </c>
      <c r="CP475" s="232">
        <f t="shared" si="1088"/>
        <v>10</v>
      </c>
      <c r="CQ475" s="232" t="str">
        <f t="shared" si="1089"/>
        <v/>
      </c>
      <c r="CR475" s="232" t="str">
        <f t="shared" si="1099"/>
        <v/>
      </c>
      <c r="CS475" s="232"/>
      <c r="CT475" s="371"/>
      <c r="CU475" s="296"/>
      <c r="CV475" s="246"/>
      <c r="CW475" s="264"/>
    </row>
    <row r="476" spans="1:101" x14ac:dyDescent="0.2">
      <c r="A476" s="264"/>
      <c r="B476" s="264"/>
      <c r="C476" s="202"/>
      <c r="D476" s="271">
        <v>7</v>
      </c>
      <c r="E476" s="166" t="s">
        <v>311</v>
      </c>
      <c r="F476" s="468">
        <v>1</v>
      </c>
      <c r="G476" s="472"/>
      <c r="H476" s="473">
        <v>3</v>
      </c>
      <c r="I476" s="170" t="str">
        <f t="shared" si="1050"/>
        <v/>
      </c>
      <c r="J476" s="387" t="str">
        <f t="shared" si="1051"/>
        <v/>
      </c>
      <c r="K476" s="388" t="str">
        <f t="shared" si="1052"/>
        <v>x</v>
      </c>
      <c r="L476" s="299"/>
      <c r="M476" s="375"/>
      <c r="N476" s="379"/>
      <c r="O476" s="236"/>
      <c r="P476" s="236"/>
      <c r="Q476" s="480">
        <v>50</v>
      </c>
      <c r="R476" s="481">
        <v>30</v>
      </c>
      <c r="S476" s="482">
        <f t="shared" si="1090"/>
        <v>20</v>
      </c>
      <c r="T476" s="371"/>
      <c r="U476" s="232" t="str">
        <f t="shared" si="1053"/>
        <v/>
      </c>
      <c r="V476" s="232" t="str">
        <f t="shared" si="1054"/>
        <v/>
      </c>
      <c r="W476" s="232">
        <f t="shared" si="1055"/>
        <v>20</v>
      </c>
      <c r="X476" s="232" t="str">
        <f t="shared" si="1091"/>
        <v/>
      </c>
      <c r="Y476" s="371"/>
      <c r="Z476" s="495">
        <v>80</v>
      </c>
      <c r="AA476" s="496">
        <v>10</v>
      </c>
      <c r="AB476" s="482">
        <f t="shared" si="1056"/>
        <v>10</v>
      </c>
      <c r="AC476" s="371"/>
      <c r="AD476" s="232" t="str">
        <f t="shared" si="1057"/>
        <v/>
      </c>
      <c r="AE476" s="232" t="str">
        <f t="shared" si="1058"/>
        <v/>
      </c>
      <c r="AF476" s="232">
        <f t="shared" si="1059"/>
        <v>10</v>
      </c>
      <c r="AG476" s="232" t="str">
        <f t="shared" si="1092"/>
        <v/>
      </c>
      <c r="AH476" s="371"/>
      <c r="AI476" s="495">
        <v>70</v>
      </c>
      <c r="AJ476" s="496">
        <v>20</v>
      </c>
      <c r="AK476" s="482">
        <f t="shared" si="1060"/>
        <v>10</v>
      </c>
      <c r="AL476" s="371"/>
      <c r="AM476" s="232" t="str">
        <f t="shared" si="1061"/>
        <v/>
      </c>
      <c r="AN476" s="232" t="str">
        <f t="shared" si="1062"/>
        <v/>
      </c>
      <c r="AO476" s="232">
        <f t="shared" si="1063"/>
        <v>10</v>
      </c>
      <c r="AP476" s="232" t="str">
        <f t="shared" si="1093"/>
        <v/>
      </c>
      <c r="AQ476" s="371"/>
      <c r="AR476" s="495">
        <v>60</v>
      </c>
      <c r="AS476" s="496">
        <v>30</v>
      </c>
      <c r="AT476" s="482">
        <f t="shared" si="1064"/>
        <v>10</v>
      </c>
      <c r="AU476" s="371"/>
      <c r="AV476" s="232" t="str">
        <f t="shared" si="1065"/>
        <v/>
      </c>
      <c r="AW476" s="232" t="str">
        <f t="shared" si="1066"/>
        <v/>
      </c>
      <c r="AX476" s="232">
        <f t="shared" si="1067"/>
        <v>10</v>
      </c>
      <c r="AY476" s="232" t="str">
        <f t="shared" si="1094"/>
        <v/>
      </c>
      <c r="AZ476" s="371"/>
      <c r="BA476" s="495">
        <v>80</v>
      </c>
      <c r="BB476" s="496">
        <v>10</v>
      </c>
      <c r="BC476" s="482">
        <f t="shared" si="1068"/>
        <v>10</v>
      </c>
      <c r="BD476" s="371"/>
      <c r="BE476" s="232" t="str">
        <f t="shared" si="1069"/>
        <v/>
      </c>
      <c r="BF476" s="232" t="str">
        <f t="shared" si="1070"/>
        <v/>
      </c>
      <c r="BG476" s="232">
        <f t="shared" si="1071"/>
        <v>10</v>
      </c>
      <c r="BH476" s="232" t="str">
        <f t="shared" si="1095"/>
        <v/>
      </c>
      <c r="BI476" s="371"/>
      <c r="BJ476" s="495">
        <v>80</v>
      </c>
      <c r="BK476" s="496">
        <v>10</v>
      </c>
      <c r="BL476" s="482">
        <f t="shared" si="1072"/>
        <v>10</v>
      </c>
      <c r="BM476" s="371"/>
      <c r="BN476" s="232" t="str">
        <f t="shared" si="1073"/>
        <v/>
      </c>
      <c r="BO476" s="232" t="str">
        <f t="shared" si="1074"/>
        <v/>
      </c>
      <c r="BP476" s="232">
        <f t="shared" si="1075"/>
        <v>10</v>
      </c>
      <c r="BQ476" s="232" t="str">
        <f t="shared" si="1096"/>
        <v/>
      </c>
      <c r="BR476" s="371"/>
      <c r="BS476" s="495">
        <v>40</v>
      </c>
      <c r="BT476" s="496">
        <v>30</v>
      </c>
      <c r="BU476" s="482">
        <f t="shared" si="1076"/>
        <v>30</v>
      </c>
      <c r="BV476" s="371"/>
      <c r="BW476" s="232" t="str">
        <f t="shared" si="1077"/>
        <v/>
      </c>
      <c r="BX476" s="232" t="str">
        <f t="shared" si="1078"/>
        <v/>
      </c>
      <c r="BY476" s="232">
        <f t="shared" si="1079"/>
        <v>30</v>
      </c>
      <c r="BZ476" s="232" t="str">
        <f t="shared" si="1097"/>
        <v/>
      </c>
      <c r="CA476" s="371"/>
      <c r="CB476" s="501">
        <f t="shared" si="1080"/>
        <v>70</v>
      </c>
      <c r="CC476" s="502">
        <f t="shared" si="1081"/>
        <v>20</v>
      </c>
      <c r="CD476" s="503">
        <f t="shared" si="1082"/>
        <v>10</v>
      </c>
      <c r="CE476" s="371"/>
      <c r="CF476" s="232" t="str">
        <f t="shared" si="1083"/>
        <v/>
      </c>
      <c r="CG476" s="232" t="str">
        <f t="shared" si="1084"/>
        <v/>
      </c>
      <c r="CH476" s="232">
        <f t="shared" si="1085"/>
        <v>10</v>
      </c>
      <c r="CI476" s="232" t="str">
        <f t="shared" si="1098"/>
        <v/>
      </c>
      <c r="CJ476" s="232"/>
      <c r="CK476" s="495">
        <v>50</v>
      </c>
      <c r="CL476" s="496">
        <v>30</v>
      </c>
      <c r="CM476" s="482">
        <f t="shared" si="1086"/>
        <v>20</v>
      </c>
      <c r="CN476" s="371"/>
      <c r="CO476" s="232" t="str">
        <f t="shared" si="1087"/>
        <v/>
      </c>
      <c r="CP476" s="232" t="str">
        <f t="shared" si="1088"/>
        <v/>
      </c>
      <c r="CQ476" s="232">
        <f t="shared" si="1089"/>
        <v>20</v>
      </c>
      <c r="CR476" s="232" t="str">
        <f t="shared" si="1099"/>
        <v/>
      </c>
      <c r="CS476" s="232"/>
      <c r="CT476" s="371"/>
      <c r="CU476" s="300"/>
      <c r="CV476" s="246"/>
      <c r="CW476" s="264"/>
    </row>
    <row r="477" spans="1:101" x14ac:dyDescent="0.2">
      <c r="A477" s="264"/>
      <c r="B477" s="264"/>
      <c r="C477" s="202"/>
      <c r="D477" s="271">
        <v>8</v>
      </c>
      <c r="E477" s="167" t="s">
        <v>312</v>
      </c>
      <c r="F477" s="469">
        <v>1</v>
      </c>
      <c r="G477" s="474"/>
      <c r="H477" s="475">
        <v>2</v>
      </c>
      <c r="I477" s="389" t="str">
        <f t="shared" si="1050"/>
        <v/>
      </c>
      <c r="J477" s="390" t="str">
        <f t="shared" si="1051"/>
        <v/>
      </c>
      <c r="K477" s="391" t="str">
        <f t="shared" si="1052"/>
        <v>x</v>
      </c>
      <c r="L477" s="299"/>
      <c r="M477" s="375"/>
      <c r="N477" s="379"/>
      <c r="O477" s="236"/>
      <c r="P477" s="236"/>
      <c r="Q477" s="483">
        <v>30</v>
      </c>
      <c r="R477" s="484">
        <v>60</v>
      </c>
      <c r="S477" s="485">
        <f t="shared" si="1090"/>
        <v>10</v>
      </c>
      <c r="T477" s="371"/>
      <c r="U477" s="232" t="str">
        <f t="shared" si="1053"/>
        <v/>
      </c>
      <c r="V477" s="232" t="str">
        <f t="shared" si="1054"/>
        <v/>
      </c>
      <c r="W477" s="232">
        <f t="shared" si="1055"/>
        <v>10</v>
      </c>
      <c r="X477" s="232" t="str">
        <f t="shared" si="1091"/>
        <v/>
      </c>
      <c r="Y477" s="371"/>
      <c r="Z477" s="497">
        <v>10</v>
      </c>
      <c r="AA477" s="498">
        <v>10</v>
      </c>
      <c r="AB477" s="485">
        <f t="shared" si="1056"/>
        <v>80</v>
      </c>
      <c r="AC477" s="371"/>
      <c r="AD477" s="232" t="str">
        <f t="shared" si="1057"/>
        <v/>
      </c>
      <c r="AE477" s="232" t="str">
        <f t="shared" si="1058"/>
        <v/>
      </c>
      <c r="AF477" s="232">
        <f t="shared" si="1059"/>
        <v>80</v>
      </c>
      <c r="AG477" s="232">
        <f t="shared" si="1092"/>
        <v>1</v>
      </c>
      <c r="AH477" s="371"/>
      <c r="AI477" s="497">
        <v>30</v>
      </c>
      <c r="AJ477" s="498">
        <v>40</v>
      </c>
      <c r="AK477" s="485">
        <f t="shared" si="1060"/>
        <v>30</v>
      </c>
      <c r="AL477" s="371"/>
      <c r="AM477" s="232" t="str">
        <f t="shared" si="1061"/>
        <v/>
      </c>
      <c r="AN477" s="232" t="str">
        <f t="shared" si="1062"/>
        <v/>
      </c>
      <c r="AO477" s="232">
        <f t="shared" si="1063"/>
        <v>30</v>
      </c>
      <c r="AP477" s="232" t="str">
        <f t="shared" si="1093"/>
        <v/>
      </c>
      <c r="AQ477" s="371"/>
      <c r="AR477" s="497">
        <v>60</v>
      </c>
      <c r="AS477" s="498">
        <v>30</v>
      </c>
      <c r="AT477" s="485">
        <f t="shared" si="1064"/>
        <v>10</v>
      </c>
      <c r="AU477" s="371"/>
      <c r="AV477" s="232" t="str">
        <f t="shared" si="1065"/>
        <v/>
      </c>
      <c r="AW477" s="232" t="str">
        <f t="shared" si="1066"/>
        <v/>
      </c>
      <c r="AX477" s="232">
        <f t="shared" si="1067"/>
        <v>10</v>
      </c>
      <c r="AY477" s="232" t="str">
        <f t="shared" si="1094"/>
        <v/>
      </c>
      <c r="AZ477" s="371"/>
      <c r="BA477" s="497">
        <v>80</v>
      </c>
      <c r="BB477" s="498">
        <v>10</v>
      </c>
      <c r="BC477" s="485">
        <f t="shared" si="1068"/>
        <v>10</v>
      </c>
      <c r="BD477" s="371"/>
      <c r="BE477" s="232" t="str">
        <f t="shared" si="1069"/>
        <v/>
      </c>
      <c r="BF477" s="232" t="str">
        <f t="shared" si="1070"/>
        <v/>
      </c>
      <c r="BG477" s="232">
        <f t="shared" si="1071"/>
        <v>10</v>
      </c>
      <c r="BH477" s="232" t="str">
        <f t="shared" si="1095"/>
        <v/>
      </c>
      <c r="BI477" s="371"/>
      <c r="BJ477" s="497">
        <v>20</v>
      </c>
      <c r="BK477" s="498">
        <v>60</v>
      </c>
      <c r="BL477" s="485">
        <f t="shared" si="1072"/>
        <v>20</v>
      </c>
      <c r="BM477" s="371"/>
      <c r="BN477" s="232" t="str">
        <f t="shared" si="1073"/>
        <v/>
      </c>
      <c r="BO477" s="232" t="str">
        <f t="shared" si="1074"/>
        <v/>
      </c>
      <c r="BP477" s="232">
        <f t="shared" si="1075"/>
        <v>20</v>
      </c>
      <c r="BQ477" s="232" t="str">
        <f t="shared" si="1096"/>
        <v/>
      </c>
      <c r="BR477" s="371"/>
      <c r="BS477" s="497">
        <v>30</v>
      </c>
      <c r="BT477" s="498">
        <v>40</v>
      </c>
      <c r="BU477" s="485">
        <f t="shared" si="1076"/>
        <v>30</v>
      </c>
      <c r="BV477" s="371"/>
      <c r="BW477" s="232" t="str">
        <f t="shared" si="1077"/>
        <v/>
      </c>
      <c r="BX477" s="232" t="str">
        <f t="shared" si="1078"/>
        <v/>
      </c>
      <c r="BY477" s="232">
        <f t="shared" si="1079"/>
        <v>30</v>
      </c>
      <c r="BZ477" s="232" t="str">
        <f t="shared" si="1097"/>
        <v/>
      </c>
      <c r="CA477" s="371"/>
      <c r="CB477" s="504">
        <f t="shared" si="1080"/>
        <v>40</v>
      </c>
      <c r="CC477" s="505">
        <f t="shared" si="1081"/>
        <v>30</v>
      </c>
      <c r="CD477" s="506">
        <f t="shared" si="1082"/>
        <v>30</v>
      </c>
      <c r="CE477" s="371"/>
      <c r="CF477" s="232" t="str">
        <f t="shared" si="1083"/>
        <v/>
      </c>
      <c r="CG477" s="232" t="str">
        <f t="shared" si="1084"/>
        <v/>
      </c>
      <c r="CH477" s="232">
        <f t="shared" si="1085"/>
        <v>30</v>
      </c>
      <c r="CI477" s="232" t="str">
        <f t="shared" si="1098"/>
        <v/>
      </c>
      <c r="CJ477" s="232"/>
      <c r="CK477" s="497">
        <v>60</v>
      </c>
      <c r="CL477" s="498">
        <v>20</v>
      </c>
      <c r="CM477" s="485">
        <f t="shared" si="1086"/>
        <v>20</v>
      </c>
      <c r="CN477" s="371"/>
      <c r="CO477" s="232" t="str">
        <f t="shared" si="1087"/>
        <v/>
      </c>
      <c r="CP477" s="232" t="str">
        <f t="shared" si="1088"/>
        <v/>
      </c>
      <c r="CQ477" s="232">
        <f t="shared" si="1089"/>
        <v>20</v>
      </c>
      <c r="CR477" s="232" t="str">
        <f t="shared" si="1099"/>
        <v/>
      </c>
      <c r="CS477" s="232"/>
      <c r="CT477" s="371"/>
      <c r="CU477" s="300"/>
      <c r="CV477" s="246"/>
      <c r="CW477" s="264"/>
    </row>
    <row r="478" spans="1:101" ht="13.5" thickBot="1" x14ac:dyDescent="0.25">
      <c r="A478" s="264"/>
      <c r="B478" s="264"/>
      <c r="C478" s="202"/>
      <c r="D478" s="271">
        <v>9</v>
      </c>
      <c r="E478" s="168" t="s">
        <v>313</v>
      </c>
      <c r="F478" s="470">
        <v>1</v>
      </c>
      <c r="G478" s="476"/>
      <c r="H478" s="477">
        <v>1</v>
      </c>
      <c r="I478" s="392" t="str">
        <f t="shared" si="1050"/>
        <v/>
      </c>
      <c r="J478" s="393" t="str">
        <f t="shared" si="1051"/>
        <v>x</v>
      </c>
      <c r="K478" s="394" t="str">
        <f t="shared" si="1052"/>
        <v/>
      </c>
      <c r="L478" s="299"/>
      <c r="M478" s="375"/>
      <c r="N478" s="379"/>
      <c r="O478" s="236"/>
      <c r="P478" s="236"/>
      <c r="Q478" s="489">
        <v>70</v>
      </c>
      <c r="R478" s="490">
        <v>20</v>
      </c>
      <c r="S478" s="491">
        <f t="shared" si="1090"/>
        <v>10</v>
      </c>
      <c r="T478" s="371"/>
      <c r="U478" s="232" t="str">
        <f t="shared" si="1053"/>
        <v/>
      </c>
      <c r="V478" s="232">
        <f t="shared" si="1054"/>
        <v>20</v>
      </c>
      <c r="W478" s="232" t="str">
        <f t="shared" si="1055"/>
        <v/>
      </c>
      <c r="X478" s="232" t="str">
        <f t="shared" si="1091"/>
        <v/>
      </c>
      <c r="Y478" s="371"/>
      <c r="Z478" s="499">
        <v>80</v>
      </c>
      <c r="AA478" s="500">
        <v>10</v>
      </c>
      <c r="AB478" s="491">
        <f t="shared" si="1056"/>
        <v>10</v>
      </c>
      <c r="AC478" s="371"/>
      <c r="AD478" s="232" t="str">
        <f t="shared" si="1057"/>
        <v/>
      </c>
      <c r="AE478" s="232">
        <f t="shared" si="1058"/>
        <v>10</v>
      </c>
      <c r="AF478" s="232" t="str">
        <f t="shared" si="1059"/>
        <v/>
      </c>
      <c r="AG478" s="232" t="str">
        <f t="shared" si="1092"/>
        <v/>
      </c>
      <c r="AH478" s="371"/>
      <c r="AI478" s="499">
        <v>80</v>
      </c>
      <c r="AJ478" s="500">
        <v>10</v>
      </c>
      <c r="AK478" s="491">
        <f t="shared" si="1060"/>
        <v>10</v>
      </c>
      <c r="AL478" s="371"/>
      <c r="AM478" s="232" t="str">
        <f t="shared" si="1061"/>
        <v/>
      </c>
      <c r="AN478" s="232">
        <f t="shared" si="1062"/>
        <v>10</v>
      </c>
      <c r="AO478" s="232" t="str">
        <f t="shared" si="1063"/>
        <v/>
      </c>
      <c r="AP478" s="232" t="str">
        <f t="shared" si="1093"/>
        <v/>
      </c>
      <c r="AQ478" s="371"/>
      <c r="AR478" s="499">
        <v>80</v>
      </c>
      <c r="AS478" s="500">
        <v>10</v>
      </c>
      <c r="AT478" s="491">
        <f t="shared" si="1064"/>
        <v>10</v>
      </c>
      <c r="AU478" s="371"/>
      <c r="AV478" s="232" t="str">
        <f t="shared" si="1065"/>
        <v/>
      </c>
      <c r="AW478" s="232">
        <f t="shared" si="1066"/>
        <v>10</v>
      </c>
      <c r="AX478" s="232" t="str">
        <f t="shared" si="1067"/>
        <v/>
      </c>
      <c r="AY478" s="232" t="str">
        <f t="shared" si="1094"/>
        <v/>
      </c>
      <c r="AZ478" s="371"/>
      <c r="BA478" s="499">
        <v>80</v>
      </c>
      <c r="BB478" s="500">
        <v>10</v>
      </c>
      <c r="BC478" s="491">
        <f t="shared" si="1068"/>
        <v>10</v>
      </c>
      <c r="BD478" s="371"/>
      <c r="BE478" s="232" t="str">
        <f t="shared" si="1069"/>
        <v/>
      </c>
      <c r="BF478" s="232">
        <f t="shared" si="1070"/>
        <v>10</v>
      </c>
      <c r="BG478" s="232" t="str">
        <f t="shared" si="1071"/>
        <v/>
      </c>
      <c r="BH478" s="232" t="str">
        <f t="shared" si="1095"/>
        <v/>
      </c>
      <c r="BI478" s="371"/>
      <c r="BJ478" s="499">
        <v>30</v>
      </c>
      <c r="BK478" s="500">
        <v>40</v>
      </c>
      <c r="BL478" s="491">
        <f t="shared" si="1072"/>
        <v>30</v>
      </c>
      <c r="BM478" s="371"/>
      <c r="BN478" s="232" t="str">
        <f t="shared" si="1073"/>
        <v/>
      </c>
      <c r="BO478" s="232">
        <f t="shared" si="1074"/>
        <v>40</v>
      </c>
      <c r="BP478" s="232" t="str">
        <f t="shared" si="1075"/>
        <v/>
      </c>
      <c r="BQ478" s="232">
        <f t="shared" si="1096"/>
        <v>1</v>
      </c>
      <c r="BR478" s="371"/>
      <c r="BS478" s="499">
        <v>70</v>
      </c>
      <c r="BT478" s="500">
        <v>10</v>
      </c>
      <c r="BU478" s="491">
        <f t="shared" si="1076"/>
        <v>20</v>
      </c>
      <c r="BV478" s="371"/>
      <c r="BW478" s="232" t="str">
        <f t="shared" si="1077"/>
        <v/>
      </c>
      <c r="BX478" s="232">
        <f t="shared" si="1078"/>
        <v>10</v>
      </c>
      <c r="BY478" s="232" t="str">
        <f t="shared" si="1079"/>
        <v/>
      </c>
      <c r="BZ478" s="232" t="str">
        <f t="shared" si="1097"/>
        <v/>
      </c>
      <c r="CA478" s="371"/>
      <c r="CB478" s="507">
        <f t="shared" si="1080"/>
        <v>70</v>
      </c>
      <c r="CC478" s="508">
        <f t="shared" si="1081"/>
        <v>10</v>
      </c>
      <c r="CD478" s="509">
        <f t="shared" si="1082"/>
        <v>20</v>
      </c>
      <c r="CE478" s="371"/>
      <c r="CF478" s="232" t="str">
        <f t="shared" si="1083"/>
        <v/>
      </c>
      <c r="CG478" s="232">
        <f t="shared" si="1084"/>
        <v>10</v>
      </c>
      <c r="CH478" s="232" t="str">
        <f t="shared" si="1085"/>
        <v/>
      </c>
      <c r="CI478" s="232" t="str">
        <f t="shared" si="1098"/>
        <v/>
      </c>
      <c r="CJ478" s="232"/>
      <c r="CK478" s="499">
        <v>80</v>
      </c>
      <c r="CL478" s="500">
        <v>10</v>
      </c>
      <c r="CM478" s="491">
        <f t="shared" si="1086"/>
        <v>10</v>
      </c>
      <c r="CN478" s="371"/>
      <c r="CO478" s="232" t="str">
        <f t="shared" si="1087"/>
        <v/>
      </c>
      <c r="CP478" s="232">
        <f t="shared" si="1088"/>
        <v>10</v>
      </c>
      <c r="CQ478" s="232" t="str">
        <f t="shared" si="1089"/>
        <v/>
      </c>
      <c r="CR478" s="232" t="str">
        <f t="shared" si="1099"/>
        <v/>
      </c>
      <c r="CS478" s="232"/>
      <c r="CT478" s="371"/>
      <c r="CU478" s="300"/>
      <c r="CV478" s="246"/>
      <c r="CW478" s="264"/>
    </row>
    <row r="479" spans="1:101" x14ac:dyDescent="0.2">
      <c r="A479" s="264"/>
      <c r="B479" s="264"/>
      <c r="C479" s="202"/>
      <c r="D479" s="271">
        <v>10</v>
      </c>
      <c r="E479" s="169" t="s">
        <v>314</v>
      </c>
      <c r="F479" s="471">
        <v>2</v>
      </c>
      <c r="G479" s="478"/>
      <c r="H479" s="479">
        <v>0</v>
      </c>
      <c r="I479" s="170" t="str">
        <f>IF($F479&gt;$H479,"x","")</f>
        <v>x</v>
      </c>
      <c r="J479" s="387" t="str">
        <f>IF(F479&lt;&gt;"",IF(H479&lt;&gt;"",IF(F479=H479,"x",""),""),"")</f>
        <v/>
      </c>
      <c r="K479" s="388" t="str">
        <f t="shared" si="1052"/>
        <v/>
      </c>
      <c r="L479" s="299"/>
      <c r="M479" s="375"/>
      <c r="N479" s="379"/>
      <c r="O479" s="236"/>
      <c r="P479" s="236"/>
      <c r="Q479" s="492">
        <v>50</v>
      </c>
      <c r="R479" s="493">
        <v>40</v>
      </c>
      <c r="S479" s="494">
        <f t="shared" si="1090"/>
        <v>10</v>
      </c>
      <c r="T479" s="371"/>
      <c r="U479" s="232">
        <f t="shared" si="1053"/>
        <v>50</v>
      </c>
      <c r="V479" s="232" t="str">
        <f t="shared" si="1054"/>
        <v/>
      </c>
      <c r="W479" s="232" t="str">
        <f t="shared" si="1055"/>
        <v/>
      </c>
      <c r="X479" s="232">
        <f t="shared" si="1091"/>
        <v>1</v>
      </c>
      <c r="Y479" s="371"/>
      <c r="Z479" s="495">
        <v>80</v>
      </c>
      <c r="AA479" s="496">
        <v>10</v>
      </c>
      <c r="AB479" s="494">
        <f t="shared" si="1056"/>
        <v>10</v>
      </c>
      <c r="AC479" s="371"/>
      <c r="AD479" s="232">
        <f t="shared" si="1057"/>
        <v>80</v>
      </c>
      <c r="AE479" s="232" t="str">
        <f t="shared" si="1058"/>
        <v/>
      </c>
      <c r="AF479" s="232" t="str">
        <f t="shared" si="1059"/>
        <v/>
      </c>
      <c r="AG479" s="232">
        <f t="shared" si="1092"/>
        <v>1</v>
      </c>
      <c r="AH479" s="371"/>
      <c r="AI479" s="495">
        <v>30</v>
      </c>
      <c r="AJ479" s="496">
        <v>30</v>
      </c>
      <c r="AK479" s="494">
        <f t="shared" si="1060"/>
        <v>40</v>
      </c>
      <c r="AL479" s="371"/>
      <c r="AM479" s="232">
        <f t="shared" si="1061"/>
        <v>30</v>
      </c>
      <c r="AN479" s="232" t="str">
        <f t="shared" si="1062"/>
        <v/>
      </c>
      <c r="AO479" s="232" t="str">
        <f t="shared" si="1063"/>
        <v/>
      </c>
      <c r="AP479" s="232" t="str">
        <f t="shared" si="1093"/>
        <v/>
      </c>
      <c r="AQ479" s="371"/>
      <c r="AR479" s="495">
        <v>60</v>
      </c>
      <c r="AS479" s="496">
        <v>20</v>
      </c>
      <c r="AT479" s="494">
        <f t="shared" si="1064"/>
        <v>20</v>
      </c>
      <c r="AU479" s="371"/>
      <c r="AV479" s="232">
        <f t="shared" si="1065"/>
        <v>60</v>
      </c>
      <c r="AW479" s="232" t="str">
        <f t="shared" si="1066"/>
        <v/>
      </c>
      <c r="AX479" s="232" t="str">
        <f t="shared" si="1067"/>
        <v/>
      </c>
      <c r="AY479" s="232">
        <f t="shared" si="1094"/>
        <v>1</v>
      </c>
      <c r="AZ479" s="371"/>
      <c r="BA479" s="495">
        <v>80</v>
      </c>
      <c r="BB479" s="496">
        <v>10</v>
      </c>
      <c r="BC479" s="494">
        <f t="shared" si="1068"/>
        <v>10</v>
      </c>
      <c r="BD479" s="371"/>
      <c r="BE479" s="232">
        <f t="shared" si="1069"/>
        <v>80</v>
      </c>
      <c r="BF479" s="232" t="str">
        <f t="shared" si="1070"/>
        <v/>
      </c>
      <c r="BG479" s="232" t="str">
        <f t="shared" si="1071"/>
        <v/>
      </c>
      <c r="BH479" s="232">
        <f t="shared" si="1095"/>
        <v>1</v>
      </c>
      <c r="BI479" s="371"/>
      <c r="BJ479" s="495">
        <v>10</v>
      </c>
      <c r="BK479" s="496">
        <v>10</v>
      </c>
      <c r="BL479" s="494">
        <f t="shared" si="1072"/>
        <v>80</v>
      </c>
      <c r="BM479" s="371"/>
      <c r="BN479" s="232">
        <f t="shared" si="1073"/>
        <v>10</v>
      </c>
      <c r="BO479" s="232" t="str">
        <f t="shared" si="1074"/>
        <v/>
      </c>
      <c r="BP479" s="232" t="str">
        <f t="shared" si="1075"/>
        <v/>
      </c>
      <c r="BQ479" s="232" t="str">
        <f t="shared" si="1096"/>
        <v/>
      </c>
      <c r="BR479" s="371"/>
      <c r="BS479" s="495">
        <v>50</v>
      </c>
      <c r="BT479" s="496">
        <v>30</v>
      </c>
      <c r="BU479" s="494">
        <f t="shared" si="1076"/>
        <v>20</v>
      </c>
      <c r="BV479" s="371"/>
      <c r="BW479" s="232">
        <f t="shared" si="1077"/>
        <v>50</v>
      </c>
      <c r="BX479" s="232" t="str">
        <f t="shared" si="1078"/>
        <v/>
      </c>
      <c r="BY479" s="232" t="str">
        <f t="shared" si="1079"/>
        <v/>
      </c>
      <c r="BZ479" s="232">
        <f t="shared" si="1097"/>
        <v>1</v>
      </c>
      <c r="CA479" s="371"/>
      <c r="CB479" s="501">
        <f t="shared" si="1080"/>
        <v>60</v>
      </c>
      <c r="CC479" s="502">
        <f t="shared" si="1081"/>
        <v>20</v>
      </c>
      <c r="CD479" s="503">
        <f t="shared" si="1082"/>
        <v>20</v>
      </c>
      <c r="CE479" s="371"/>
      <c r="CF479" s="232">
        <f t="shared" si="1083"/>
        <v>60</v>
      </c>
      <c r="CG479" s="232" t="str">
        <f t="shared" si="1084"/>
        <v/>
      </c>
      <c r="CH479" s="232" t="str">
        <f t="shared" si="1085"/>
        <v/>
      </c>
      <c r="CI479" s="232">
        <f t="shared" si="1098"/>
        <v>1</v>
      </c>
      <c r="CJ479" s="232"/>
      <c r="CK479" s="495">
        <v>50</v>
      </c>
      <c r="CL479" s="496">
        <v>40</v>
      </c>
      <c r="CM479" s="494">
        <f t="shared" si="1086"/>
        <v>10</v>
      </c>
      <c r="CN479" s="371"/>
      <c r="CO479" s="232">
        <f t="shared" si="1087"/>
        <v>50</v>
      </c>
      <c r="CP479" s="232" t="str">
        <f t="shared" si="1088"/>
        <v/>
      </c>
      <c r="CQ479" s="232" t="str">
        <f t="shared" si="1089"/>
        <v/>
      </c>
      <c r="CR479" s="232">
        <f t="shared" si="1099"/>
        <v>1</v>
      </c>
      <c r="CS479" s="232"/>
      <c r="CT479" s="371"/>
      <c r="CU479" s="300"/>
      <c r="CV479" s="246"/>
      <c r="CW479" s="264"/>
    </row>
    <row r="480" spans="1:101" x14ac:dyDescent="0.2">
      <c r="A480" s="264"/>
      <c r="B480" s="264"/>
      <c r="C480" s="202"/>
      <c r="D480" s="271">
        <v>11</v>
      </c>
      <c r="E480" s="167" t="s">
        <v>315</v>
      </c>
      <c r="F480" s="469">
        <v>5</v>
      </c>
      <c r="G480" s="474"/>
      <c r="H480" s="475">
        <v>3</v>
      </c>
      <c r="I480" s="389" t="str">
        <f t="shared" si="1050"/>
        <v>x</v>
      </c>
      <c r="J480" s="390" t="str">
        <f t="shared" si="1051"/>
        <v/>
      </c>
      <c r="K480" s="391" t="str">
        <f t="shared" si="1052"/>
        <v/>
      </c>
      <c r="L480" s="299"/>
      <c r="M480" s="375"/>
      <c r="N480" s="379"/>
      <c r="O480" s="236"/>
      <c r="P480" s="236"/>
      <c r="Q480" s="483">
        <v>40</v>
      </c>
      <c r="R480" s="484">
        <v>30</v>
      </c>
      <c r="S480" s="485">
        <f t="shared" si="1090"/>
        <v>30</v>
      </c>
      <c r="T480" s="371"/>
      <c r="U480" s="232">
        <f t="shared" si="1053"/>
        <v>40</v>
      </c>
      <c r="V480" s="232" t="str">
        <f t="shared" si="1054"/>
        <v/>
      </c>
      <c r="W480" s="232" t="str">
        <f t="shared" si="1055"/>
        <v/>
      </c>
      <c r="X480" s="232">
        <f t="shared" si="1091"/>
        <v>1</v>
      </c>
      <c r="Y480" s="371"/>
      <c r="Z480" s="497">
        <v>80</v>
      </c>
      <c r="AA480" s="498">
        <v>10</v>
      </c>
      <c r="AB480" s="485">
        <f t="shared" si="1056"/>
        <v>10</v>
      </c>
      <c r="AC480" s="371"/>
      <c r="AD480" s="232">
        <f t="shared" si="1057"/>
        <v>80</v>
      </c>
      <c r="AE480" s="232" t="str">
        <f t="shared" si="1058"/>
        <v/>
      </c>
      <c r="AF480" s="232" t="str">
        <f t="shared" si="1059"/>
        <v/>
      </c>
      <c r="AG480" s="232">
        <f t="shared" si="1092"/>
        <v>1</v>
      </c>
      <c r="AH480" s="371"/>
      <c r="AI480" s="497">
        <v>30</v>
      </c>
      <c r="AJ480" s="498">
        <v>50</v>
      </c>
      <c r="AK480" s="485">
        <f t="shared" si="1060"/>
        <v>20</v>
      </c>
      <c r="AL480" s="371"/>
      <c r="AM480" s="232">
        <f t="shared" si="1061"/>
        <v>30</v>
      </c>
      <c r="AN480" s="232" t="str">
        <f t="shared" si="1062"/>
        <v/>
      </c>
      <c r="AO480" s="232" t="str">
        <f t="shared" si="1063"/>
        <v/>
      </c>
      <c r="AP480" s="232" t="str">
        <f t="shared" si="1093"/>
        <v/>
      </c>
      <c r="AQ480" s="371"/>
      <c r="AR480" s="497">
        <v>40</v>
      </c>
      <c r="AS480" s="498">
        <v>30</v>
      </c>
      <c r="AT480" s="485">
        <f t="shared" si="1064"/>
        <v>30</v>
      </c>
      <c r="AU480" s="371"/>
      <c r="AV480" s="232">
        <f t="shared" si="1065"/>
        <v>40</v>
      </c>
      <c r="AW480" s="232" t="str">
        <f t="shared" si="1066"/>
        <v/>
      </c>
      <c r="AX480" s="232" t="str">
        <f t="shared" si="1067"/>
        <v/>
      </c>
      <c r="AY480" s="232">
        <f t="shared" si="1094"/>
        <v>1</v>
      </c>
      <c r="AZ480" s="371"/>
      <c r="BA480" s="497">
        <v>80</v>
      </c>
      <c r="BB480" s="498">
        <v>10</v>
      </c>
      <c r="BC480" s="485">
        <f t="shared" si="1068"/>
        <v>10</v>
      </c>
      <c r="BD480" s="371"/>
      <c r="BE480" s="232">
        <f t="shared" si="1069"/>
        <v>80</v>
      </c>
      <c r="BF480" s="232" t="str">
        <f t="shared" si="1070"/>
        <v/>
      </c>
      <c r="BG480" s="232" t="str">
        <f t="shared" si="1071"/>
        <v/>
      </c>
      <c r="BH480" s="232">
        <f t="shared" si="1095"/>
        <v>1</v>
      </c>
      <c r="BI480" s="371"/>
      <c r="BJ480" s="497">
        <v>10</v>
      </c>
      <c r="BK480" s="498">
        <v>10</v>
      </c>
      <c r="BL480" s="485">
        <f t="shared" si="1072"/>
        <v>80</v>
      </c>
      <c r="BM480" s="371"/>
      <c r="BN480" s="232">
        <f t="shared" si="1073"/>
        <v>10</v>
      </c>
      <c r="BO480" s="232" t="str">
        <f t="shared" si="1074"/>
        <v/>
      </c>
      <c r="BP480" s="232" t="str">
        <f t="shared" si="1075"/>
        <v/>
      </c>
      <c r="BQ480" s="232" t="str">
        <f t="shared" si="1096"/>
        <v/>
      </c>
      <c r="BR480" s="371"/>
      <c r="BS480" s="497">
        <v>20</v>
      </c>
      <c r="BT480" s="498">
        <v>30</v>
      </c>
      <c r="BU480" s="485">
        <f t="shared" si="1076"/>
        <v>50</v>
      </c>
      <c r="BV480" s="371"/>
      <c r="BW480" s="232">
        <f t="shared" si="1077"/>
        <v>20</v>
      </c>
      <c r="BX480" s="232" t="str">
        <f t="shared" si="1078"/>
        <v/>
      </c>
      <c r="BY480" s="232" t="str">
        <f t="shared" si="1079"/>
        <v/>
      </c>
      <c r="BZ480" s="232" t="str">
        <f t="shared" si="1097"/>
        <v/>
      </c>
      <c r="CA480" s="371"/>
      <c r="CB480" s="504">
        <f t="shared" si="1080"/>
        <v>50</v>
      </c>
      <c r="CC480" s="505">
        <f t="shared" si="1081"/>
        <v>20</v>
      </c>
      <c r="CD480" s="506">
        <f t="shared" si="1082"/>
        <v>30</v>
      </c>
      <c r="CE480" s="371"/>
      <c r="CF480" s="232">
        <f t="shared" si="1083"/>
        <v>50</v>
      </c>
      <c r="CG480" s="232" t="str">
        <f t="shared" si="1084"/>
        <v/>
      </c>
      <c r="CH480" s="232" t="str">
        <f t="shared" si="1085"/>
        <v/>
      </c>
      <c r="CI480" s="232">
        <f t="shared" si="1098"/>
        <v>1</v>
      </c>
      <c r="CJ480" s="232"/>
      <c r="CK480" s="497">
        <v>30</v>
      </c>
      <c r="CL480" s="498">
        <v>50</v>
      </c>
      <c r="CM480" s="485">
        <f t="shared" si="1086"/>
        <v>20</v>
      </c>
      <c r="CN480" s="371"/>
      <c r="CO480" s="232">
        <f t="shared" si="1087"/>
        <v>30</v>
      </c>
      <c r="CP480" s="232" t="str">
        <f t="shared" si="1088"/>
        <v/>
      </c>
      <c r="CQ480" s="232" t="str">
        <f t="shared" si="1089"/>
        <v/>
      </c>
      <c r="CR480" s="232" t="str">
        <f t="shared" si="1099"/>
        <v/>
      </c>
      <c r="CS480" s="232"/>
      <c r="CT480" s="371"/>
      <c r="CU480" s="300"/>
      <c r="CV480" s="246"/>
      <c r="CW480" s="264"/>
    </row>
    <row r="481" spans="1:101" ht="13.5" thickBot="1" x14ac:dyDescent="0.25">
      <c r="A481" s="264"/>
      <c r="B481" s="264"/>
      <c r="C481" s="202"/>
      <c r="D481" s="271">
        <v>12</v>
      </c>
      <c r="E481" s="168" t="s">
        <v>316</v>
      </c>
      <c r="F481" s="470">
        <v>2</v>
      </c>
      <c r="G481" s="476"/>
      <c r="H481" s="477">
        <v>2</v>
      </c>
      <c r="I481" s="392" t="str">
        <f t="shared" si="1050"/>
        <v/>
      </c>
      <c r="J481" s="393" t="str">
        <f t="shared" si="1051"/>
        <v>x</v>
      </c>
      <c r="K481" s="394" t="str">
        <f t="shared" si="1052"/>
        <v/>
      </c>
      <c r="L481" s="299"/>
      <c r="M481" s="375"/>
      <c r="N481" s="379"/>
      <c r="O481" s="236"/>
      <c r="P481" s="236"/>
      <c r="Q481" s="489">
        <v>60</v>
      </c>
      <c r="R481" s="490">
        <v>20</v>
      </c>
      <c r="S481" s="491">
        <f t="shared" si="1090"/>
        <v>20</v>
      </c>
      <c r="T481" s="371"/>
      <c r="U481" s="232" t="str">
        <f t="shared" si="1053"/>
        <v/>
      </c>
      <c r="V481" s="232">
        <f t="shared" si="1054"/>
        <v>20</v>
      </c>
      <c r="W481" s="232" t="str">
        <f t="shared" si="1055"/>
        <v/>
      </c>
      <c r="X481" s="232" t="str">
        <f t="shared" si="1091"/>
        <v/>
      </c>
      <c r="Y481" s="371"/>
      <c r="Z481" s="499">
        <v>80</v>
      </c>
      <c r="AA481" s="500">
        <v>10</v>
      </c>
      <c r="AB481" s="491">
        <f t="shared" si="1056"/>
        <v>10</v>
      </c>
      <c r="AC481" s="371"/>
      <c r="AD481" s="232" t="str">
        <f t="shared" si="1057"/>
        <v/>
      </c>
      <c r="AE481" s="232">
        <f t="shared" si="1058"/>
        <v>10</v>
      </c>
      <c r="AF481" s="232" t="str">
        <f t="shared" si="1059"/>
        <v/>
      </c>
      <c r="AG481" s="232" t="str">
        <f t="shared" si="1092"/>
        <v/>
      </c>
      <c r="AH481" s="371"/>
      <c r="AI481" s="499">
        <v>80</v>
      </c>
      <c r="AJ481" s="500">
        <v>10</v>
      </c>
      <c r="AK481" s="491">
        <f t="shared" si="1060"/>
        <v>10</v>
      </c>
      <c r="AL481" s="371"/>
      <c r="AM481" s="232" t="str">
        <f t="shared" si="1061"/>
        <v/>
      </c>
      <c r="AN481" s="232">
        <f t="shared" si="1062"/>
        <v>10</v>
      </c>
      <c r="AO481" s="232" t="str">
        <f t="shared" si="1063"/>
        <v/>
      </c>
      <c r="AP481" s="232" t="str">
        <f t="shared" si="1093"/>
        <v/>
      </c>
      <c r="AQ481" s="371"/>
      <c r="AR481" s="499">
        <v>60</v>
      </c>
      <c r="AS481" s="500">
        <v>30</v>
      </c>
      <c r="AT481" s="491">
        <f t="shared" si="1064"/>
        <v>10</v>
      </c>
      <c r="AU481" s="371"/>
      <c r="AV481" s="232" t="str">
        <f t="shared" si="1065"/>
        <v/>
      </c>
      <c r="AW481" s="232">
        <f t="shared" si="1066"/>
        <v>30</v>
      </c>
      <c r="AX481" s="232" t="str">
        <f t="shared" si="1067"/>
        <v/>
      </c>
      <c r="AY481" s="232" t="str">
        <f t="shared" si="1094"/>
        <v/>
      </c>
      <c r="AZ481" s="371"/>
      <c r="BA481" s="499">
        <v>80</v>
      </c>
      <c r="BB481" s="500">
        <v>10</v>
      </c>
      <c r="BC481" s="491">
        <f t="shared" si="1068"/>
        <v>10</v>
      </c>
      <c r="BD481" s="371"/>
      <c r="BE481" s="232" t="str">
        <f t="shared" si="1069"/>
        <v/>
      </c>
      <c r="BF481" s="232">
        <f t="shared" si="1070"/>
        <v>10</v>
      </c>
      <c r="BG481" s="232" t="str">
        <f t="shared" si="1071"/>
        <v/>
      </c>
      <c r="BH481" s="232" t="str">
        <f t="shared" si="1095"/>
        <v/>
      </c>
      <c r="BI481" s="371"/>
      <c r="BJ481" s="499">
        <v>80</v>
      </c>
      <c r="BK481" s="500">
        <v>10</v>
      </c>
      <c r="BL481" s="491">
        <f t="shared" si="1072"/>
        <v>10</v>
      </c>
      <c r="BM481" s="371"/>
      <c r="BN481" s="232" t="str">
        <f t="shared" si="1073"/>
        <v/>
      </c>
      <c r="BO481" s="232">
        <f t="shared" si="1074"/>
        <v>10</v>
      </c>
      <c r="BP481" s="232" t="str">
        <f t="shared" si="1075"/>
        <v/>
      </c>
      <c r="BQ481" s="232" t="str">
        <f t="shared" si="1096"/>
        <v/>
      </c>
      <c r="BR481" s="371"/>
      <c r="BS481" s="499">
        <v>60</v>
      </c>
      <c r="BT481" s="500">
        <v>20</v>
      </c>
      <c r="BU481" s="491">
        <f t="shared" si="1076"/>
        <v>20</v>
      </c>
      <c r="BV481" s="371"/>
      <c r="BW481" s="232" t="str">
        <f t="shared" si="1077"/>
        <v/>
      </c>
      <c r="BX481" s="232">
        <f t="shared" si="1078"/>
        <v>20</v>
      </c>
      <c r="BY481" s="232" t="str">
        <f t="shared" si="1079"/>
        <v/>
      </c>
      <c r="BZ481" s="232" t="str">
        <f t="shared" si="1097"/>
        <v/>
      </c>
      <c r="CA481" s="371"/>
      <c r="CB481" s="507">
        <f t="shared" si="1080"/>
        <v>80</v>
      </c>
      <c r="CC481" s="508">
        <f t="shared" si="1081"/>
        <v>10</v>
      </c>
      <c r="CD481" s="509">
        <f t="shared" si="1082"/>
        <v>10</v>
      </c>
      <c r="CE481" s="371"/>
      <c r="CF481" s="232" t="str">
        <f t="shared" si="1083"/>
        <v/>
      </c>
      <c r="CG481" s="232">
        <f t="shared" si="1084"/>
        <v>10</v>
      </c>
      <c r="CH481" s="232" t="str">
        <f t="shared" si="1085"/>
        <v/>
      </c>
      <c r="CI481" s="232" t="str">
        <f t="shared" si="1098"/>
        <v/>
      </c>
      <c r="CJ481" s="232"/>
      <c r="CK481" s="499">
        <v>80</v>
      </c>
      <c r="CL481" s="500">
        <v>10</v>
      </c>
      <c r="CM481" s="491">
        <f t="shared" si="1086"/>
        <v>10</v>
      </c>
      <c r="CN481" s="371"/>
      <c r="CO481" s="232" t="str">
        <f t="shared" si="1087"/>
        <v/>
      </c>
      <c r="CP481" s="232">
        <f t="shared" si="1088"/>
        <v>10</v>
      </c>
      <c r="CQ481" s="232" t="str">
        <f t="shared" si="1089"/>
        <v/>
      </c>
      <c r="CR481" s="232" t="str">
        <f t="shared" si="1099"/>
        <v/>
      </c>
      <c r="CS481" s="232"/>
      <c r="CT481" s="371"/>
      <c r="CU481" s="300"/>
      <c r="CV481" s="246"/>
      <c r="CW481" s="264"/>
    </row>
    <row r="482" spans="1:101" x14ac:dyDescent="0.2">
      <c r="A482" s="264"/>
      <c r="B482" s="264"/>
      <c r="C482" s="202"/>
      <c r="D482" s="272"/>
      <c r="E482" s="235"/>
      <c r="F482" s="395">
        <f>IF(SUM(F470:F481)=0,"",SUM(F470:F481))</f>
        <v>16</v>
      </c>
      <c r="G482" s="370" t="s">
        <v>49</v>
      </c>
      <c r="H482" s="396">
        <f>IF(SUM(H470:H481)=0,"",SUM(H470:H481))</f>
        <v>16</v>
      </c>
      <c r="I482" s="397">
        <f>IF(COUNTIF(I470:I481,"=x")=0,"",COUNTIF(I470:I481,"=x"))</f>
        <v>3</v>
      </c>
      <c r="J482" s="398">
        <f>IF(COUNTIF(J470:J481,"=x")=0,"",COUNTIF(J470:J481,"=x"))</f>
        <v>6</v>
      </c>
      <c r="K482" s="399">
        <f>IF(COUNTIF(K470:K481,"=x")=0,"",COUNTIF(K470:K481,"=x"))</f>
        <v>3</v>
      </c>
      <c r="L482" s="299"/>
      <c r="M482" s="375"/>
      <c r="N482" s="379"/>
      <c r="O482" s="236"/>
      <c r="P482" s="369"/>
      <c r="Q482" s="466">
        <f>SUM(U470:U481)</f>
        <v>160</v>
      </c>
      <c r="R482" s="466">
        <f>SUM(V470:V481)</f>
        <v>150</v>
      </c>
      <c r="S482" s="466">
        <f>SUM(W470:W481)</f>
        <v>50</v>
      </c>
      <c r="T482" s="368"/>
      <c r="U482" s="232"/>
      <c r="V482" s="232"/>
      <c r="W482" s="232"/>
      <c r="X482" s="232"/>
      <c r="Y482" s="367"/>
      <c r="Z482" s="466">
        <f>SUM(AD470:AD481)</f>
        <v>240</v>
      </c>
      <c r="AA482" s="466">
        <f>SUM(AE470:AE481)</f>
        <v>60</v>
      </c>
      <c r="AB482" s="466">
        <f>SUM(AF470:AF481)</f>
        <v>100</v>
      </c>
      <c r="AC482" s="368"/>
      <c r="AD482" s="232"/>
      <c r="AE482" s="232"/>
      <c r="AF482" s="232"/>
      <c r="AG482" s="232"/>
      <c r="AH482" s="367"/>
      <c r="AI482" s="466">
        <f>SUM(AM470:AM481)</f>
        <v>140</v>
      </c>
      <c r="AJ482" s="466">
        <f>SUM(AN470:AN481)</f>
        <v>100</v>
      </c>
      <c r="AK482" s="466">
        <f>SUM(AO470:AO481)</f>
        <v>70</v>
      </c>
      <c r="AL482" s="368"/>
      <c r="AM482" s="232"/>
      <c r="AN482" s="232"/>
      <c r="AO482" s="232"/>
      <c r="AP482" s="232"/>
      <c r="AQ482" s="367"/>
      <c r="AR482" s="466">
        <f>SUM(AV470:AV481)</f>
        <v>180</v>
      </c>
      <c r="AS482" s="466">
        <f>SUM(AW470:AW481)</f>
        <v>120</v>
      </c>
      <c r="AT482" s="466">
        <f>SUM(AX470:AX481)</f>
        <v>30</v>
      </c>
      <c r="AU482" s="368"/>
      <c r="AV482" s="232"/>
      <c r="AW482" s="232"/>
      <c r="AX482" s="232"/>
      <c r="AY482" s="232"/>
      <c r="AZ482" s="367"/>
      <c r="BA482" s="466">
        <f>SUM(BE470:BE481)</f>
        <v>240</v>
      </c>
      <c r="BB482" s="466">
        <f>SUM(BF470:BF481)</f>
        <v>60</v>
      </c>
      <c r="BC482" s="466">
        <f>SUM(BG470:BG481)</f>
        <v>30</v>
      </c>
      <c r="BD482" s="368"/>
      <c r="BE482" s="232"/>
      <c r="BF482" s="232"/>
      <c r="BG482" s="232"/>
      <c r="BH482" s="232"/>
      <c r="BI482" s="367"/>
      <c r="BJ482" s="466">
        <f>SUM(BN470:BN481)</f>
        <v>100</v>
      </c>
      <c r="BK482" s="466">
        <f>SUM(BO470:BO481)</f>
        <v>130</v>
      </c>
      <c r="BL482" s="466">
        <f>SUM(BP470:BP481)</f>
        <v>50</v>
      </c>
      <c r="BM482" s="368"/>
      <c r="BN482" s="232"/>
      <c r="BO482" s="232"/>
      <c r="BP482" s="232"/>
      <c r="BQ482" s="232"/>
      <c r="BR482" s="367"/>
      <c r="BS482" s="466">
        <f>SUM(BW470:BW481)</f>
        <v>140</v>
      </c>
      <c r="BT482" s="466">
        <f>SUM(BX470:BX481)</f>
        <v>100</v>
      </c>
      <c r="BU482" s="466">
        <f>SUM(BY470:BY481)</f>
        <v>70</v>
      </c>
      <c r="BV482" s="368"/>
      <c r="BW482" s="232"/>
      <c r="BX482" s="232"/>
      <c r="BY482" s="232"/>
      <c r="BZ482" s="232"/>
      <c r="CA482" s="369"/>
      <c r="CB482" s="466">
        <f>SUM(CF470:CF481)</f>
        <v>190</v>
      </c>
      <c r="CC482" s="466">
        <f>SUM(CG470:CG481)</f>
        <v>80</v>
      </c>
      <c r="CD482" s="466">
        <f>SUM(CH470:CH481)</f>
        <v>50</v>
      </c>
      <c r="CE482" s="368"/>
      <c r="CF482" s="232"/>
      <c r="CG482" s="232"/>
      <c r="CH482" s="232"/>
      <c r="CI482" s="232"/>
      <c r="CJ482" s="232"/>
      <c r="CK482" s="466">
        <f>SUM(CO470:CO481)</f>
        <v>160</v>
      </c>
      <c r="CL482" s="466">
        <f>SUM(CP470:CP481)</f>
        <v>110</v>
      </c>
      <c r="CM482" s="466">
        <f>SUM(CQ470:CQ481)</f>
        <v>70</v>
      </c>
      <c r="CN482" s="368"/>
      <c r="CO482" s="232"/>
      <c r="CP482" s="232"/>
      <c r="CQ482" s="232"/>
      <c r="CR482" s="232"/>
      <c r="CS482" s="232"/>
      <c r="CT482" s="232"/>
      <c r="CU482" s="300"/>
      <c r="CV482" s="246"/>
      <c r="CW482" s="265"/>
    </row>
    <row r="483" spans="1:101" ht="13.5" thickBot="1" x14ac:dyDescent="0.25">
      <c r="A483" s="264"/>
      <c r="B483" s="264"/>
      <c r="C483" s="202"/>
      <c r="D483" s="289"/>
      <c r="E483" s="282"/>
      <c r="F483" s="283"/>
      <c r="G483" s="282"/>
      <c r="H483" s="282"/>
      <c r="I483" s="282"/>
      <c r="J483" s="282"/>
      <c r="K483" s="282"/>
      <c r="L483" s="293"/>
      <c r="M483" s="301"/>
      <c r="N483" s="380"/>
      <c r="O483" s="376"/>
      <c r="P483" s="284"/>
      <c r="Q483" s="285"/>
      <c r="R483" s="285"/>
      <c r="S483" s="285"/>
      <c r="T483" s="286"/>
      <c r="U483" s="287"/>
      <c r="V483" s="287"/>
      <c r="W483" s="287"/>
      <c r="X483" s="287"/>
      <c r="Y483" s="284"/>
      <c r="Z483" s="285"/>
      <c r="AA483" s="285"/>
      <c r="AB483" s="285"/>
      <c r="AC483" s="286"/>
      <c r="AD483" s="287"/>
      <c r="AE483" s="287"/>
      <c r="AF483" s="287"/>
      <c r="AG483" s="288"/>
      <c r="AH483" s="284"/>
      <c r="AI483" s="285"/>
      <c r="AJ483" s="285"/>
      <c r="AK483" s="285"/>
      <c r="AL483" s="286"/>
      <c r="AM483" s="287"/>
      <c r="AN483" s="287"/>
      <c r="AO483" s="287"/>
      <c r="AP483" s="288"/>
      <c r="AQ483" s="284"/>
      <c r="AR483" s="285"/>
      <c r="AS483" s="285"/>
      <c r="AT483" s="285"/>
      <c r="AU483" s="286"/>
      <c r="AV483" s="287"/>
      <c r="AW483" s="287"/>
      <c r="AX483" s="287"/>
      <c r="AY483" s="288"/>
      <c r="AZ483" s="284"/>
      <c r="BA483" s="285"/>
      <c r="BB483" s="285"/>
      <c r="BC483" s="285"/>
      <c r="BD483" s="286"/>
      <c r="BE483" s="287"/>
      <c r="BF483" s="287"/>
      <c r="BG483" s="287"/>
      <c r="BH483" s="288"/>
      <c r="BI483" s="284"/>
      <c r="BJ483" s="284"/>
      <c r="BK483" s="284"/>
      <c r="BL483" s="284"/>
      <c r="BM483" s="284"/>
      <c r="BN483" s="284"/>
      <c r="BO483" s="284"/>
      <c r="BP483" s="284"/>
      <c r="BQ483" s="284"/>
      <c r="BR483" s="284"/>
      <c r="BS483" s="284"/>
      <c r="BT483" s="284"/>
      <c r="BU483" s="284"/>
      <c r="BV483" s="284"/>
      <c r="BW483" s="284"/>
      <c r="BX483" s="284"/>
      <c r="BY483" s="284"/>
      <c r="BZ483" s="284"/>
      <c r="CA483" s="284"/>
      <c r="CB483" s="284"/>
      <c r="CC483" s="284"/>
      <c r="CD483" s="284"/>
      <c r="CE483" s="284"/>
      <c r="CF483" s="284"/>
      <c r="CG483" s="284"/>
      <c r="CH483" s="284"/>
      <c r="CI483" s="284"/>
      <c r="CJ483" s="288"/>
      <c r="CK483" s="288"/>
      <c r="CL483" s="288"/>
      <c r="CM483" s="288"/>
      <c r="CN483" s="288"/>
      <c r="CO483" s="288"/>
      <c r="CP483" s="288"/>
      <c r="CQ483" s="288"/>
      <c r="CR483" s="288"/>
      <c r="CS483" s="288"/>
      <c r="CT483" s="282"/>
      <c r="CU483" s="294"/>
      <c r="CV483" s="246"/>
      <c r="CW483" s="265"/>
    </row>
    <row r="484" spans="1:101" ht="14.25" thickTop="1" thickBot="1" x14ac:dyDescent="0.25">
      <c r="A484" s="256"/>
      <c r="B484" s="256"/>
      <c r="C484" s="210"/>
      <c r="D484" s="211"/>
      <c r="E484" s="247"/>
      <c r="F484" s="248"/>
      <c r="G484" s="247"/>
      <c r="H484" s="247"/>
      <c r="I484" s="247"/>
      <c r="J484" s="247"/>
      <c r="K484" s="247"/>
      <c r="L484" s="249"/>
      <c r="M484" s="250"/>
      <c r="N484" s="250"/>
      <c r="O484" s="250"/>
      <c r="P484" s="250"/>
      <c r="Q484" s="247"/>
      <c r="R484" s="247"/>
      <c r="S484" s="247"/>
      <c r="T484" s="251"/>
      <c r="U484" s="252"/>
      <c r="V484" s="252"/>
      <c r="W484" s="252"/>
      <c r="X484" s="252"/>
      <c r="Y484" s="250"/>
      <c r="Z484" s="247"/>
      <c r="AA484" s="247"/>
      <c r="AB484" s="247"/>
      <c r="AC484" s="251"/>
      <c r="AD484" s="252"/>
      <c r="AE484" s="252"/>
      <c r="AF484" s="252"/>
      <c r="AG484" s="247"/>
      <c r="AH484" s="250"/>
      <c r="AI484" s="247"/>
      <c r="AJ484" s="247"/>
      <c r="AK484" s="247"/>
      <c r="AL484" s="251"/>
      <c r="AM484" s="252"/>
      <c r="AN484" s="252"/>
      <c r="AO484" s="252"/>
      <c r="AP484" s="253"/>
      <c r="AQ484" s="250"/>
      <c r="AR484" s="247"/>
      <c r="AS484" s="247"/>
      <c r="AT484" s="247"/>
      <c r="AU484" s="251"/>
      <c r="AV484" s="252"/>
      <c r="AW484" s="252"/>
      <c r="AX484" s="252"/>
      <c r="AY484" s="247"/>
      <c r="AZ484" s="250"/>
      <c r="BA484" s="247"/>
      <c r="BB484" s="247"/>
      <c r="BC484" s="247"/>
      <c r="BD484" s="251"/>
      <c r="BE484" s="252"/>
      <c r="BF484" s="252"/>
      <c r="BG484" s="252"/>
      <c r="BH484" s="247"/>
      <c r="BI484" s="250"/>
      <c r="BJ484" s="247"/>
      <c r="BK484" s="247"/>
      <c r="BL484" s="247"/>
      <c r="BM484" s="251"/>
      <c r="BN484" s="252"/>
      <c r="BO484" s="252"/>
      <c r="BP484" s="252"/>
      <c r="BQ484" s="247"/>
      <c r="BR484" s="212"/>
      <c r="BS484" s="247"/>
      <c r="BT484" s="247"/>
      <c r="BU484" s="247"/>
      <c r="BV484" s="250"/>
      <c r="BW484" s="252"/>
      <c r="BX484" s="252"/>
      <c r="BY484" s="252"/>
      <c r="BZ484" s="247"/>
      <c r="CA484" s="247"/>
      <c r="CB484" s="253"/>
      <c r="CC484" s="253"/>
      <c r="CD484" s="253"/>
      <c r="CE484" s="253"/>
      <c r="CF484" s="247"/>
      <c r="CG484" s="247"/>
      <c r="CH484" s="247"/>
      <c r="CI484" s="247"/>
      <c r="CJ484" s="247"/>
      <c r="CK484" s="247"/>
      <c r="CL484" s="247"/>
      <c r="CM484" s="247"/>
      <c r="CN484" s="247"/>
      <c r="CO484" s="247"/>
      <c r="CP484" s="247"/>
      <c r="CQ484" s="247"/>
      <c r="CR484" s="247"/>
      <c r="CS484" s="247"/>
      <c r="CT484" s="247"/>
      <c r="CU484" s="247"/>
      <c r="CV484" s="254"/>
      <c r="CW484" s="255"/>
    </row>
    <row r="485" spans="1:101" ht="14.25" thickTop="1" thickBot="1" x14ac:dyDescent="0.25">
      <c r="A485" s="255"/>
      <c r="B485" s="255"/>
      <c r="C485" s="255"/>
      <c r="D485" s="255"/>
      <c r="E485" s="255"/>
      <c r="F485" s="255"/>
      <c r="G485" s="255"/>
      <c r="H485" s="255"/>
      <c r="I485" s="255"/>
      <c r="J485" s="255"/>
      <c r="K485" s="255"/>
      <c r="L485" s="255"/>
      <c r="M485" s="255"/>
      <c r="N485" s="255"/>
      <c r="O485" s="255"/>
      <c r="P485" s="255"/>
      <c r="Q485" s="255"/>
      <c r="R485" s="255"/>
      <c r="S485" s="255"/>
      <c r="T485" s="255"/>
      <c r="U485" s="255"/>
      <c r="V485" s="255"/>
      <c r="W485" s="255"/>
      <c r="X485" s="255"/>
      <c r="Y485" s="255"/>
      <c r="Z485" s="255"/>
      <c r="AA485" s="255"/>
      <c r="AB485" s="255"/>
      <c r="AC485" s="255"/>
      <c r="AD485" s="255"/>
      <c r="AE485" s="255"/>
      <c r="AF485" s="255"/>
      <c r="AG485" s="255"/>
      <c r="AH485" s="255"/>
      <c r="AI485" s="255"/>
      <c r="AJ485" s="255"/>
      <c r="AK485" s="255"/>
      <c r="AL485" s="255"/>
      <c r="AM485" s="255"/>
      <c r="AN485" s="255"/>
      <c r="AO485" s="255"/>
      <c r="AP485" s="255"/>
      <c r="AQ485" s="255"/>
      <c r="AR485" s="255"/>
      <c r="AS485" s="255"/>
      <c r="AT485" s="255"/>
      <c r="AU485" s="255"/>
      <c r="AV485" s="255"/>
      <c r="AW485" s="255"/>
      <c r="AX485" s="255"/>
      <c r="AY485" s="255"/>
      <c r="AZ485" s="255"/>
      <c r="BA485" s="255"/>
      <c r="BB485" s="255"/>
      <c r="BC485" s="255"/>
      <c r="BD485" s="255"/>
      <c r="BE485" s="255"/>
      <c r="BF485" s="255"/>
      <c r="BG485" s="255"/>
      <c r="BH485" s="255"/>
      <c r="BI485" s="255"/>
      <c r="BJ485" s="255"/>
      <c r="BK485" s="255"/>
      <c r="BL485" s="255"/>
      <c r="BM485" s="255"/>
      <c r="BN485" s="255"/>
      <c r="BO485" s="255"/>
      <c r="BP485" s="255"/>
      <c r="BQ485" s="255"/>
      <c r="BR485" s="255"/>
      <c r="BS485" s="255"/>
      <c r="BT485" s="255"/>
      <c r="BU485" s="255"/>
      <c r="BV485" s="255"/>
      <c r="BW485" s="255"/>
      <c r="BX485" s="255"/>
      <c r="BY485" s="255"/>
      <c r="BZ485" s="255"/>
      <c r="CA485" s="255"/>
      <c r="CB485" s="436"/>
      <c r="CC485" s="436"/>
      <c r="CD485" s="436"/>
      <c r="CE485" s="436"/>
      <c r="CF485" s="255"/>
      <c r="CG485" s="255"/>
      <c r="CH485" s="255"/>
      <c r="CI485" s="255"/>
      <c r="CJ485" s="255"/>
      <c r="CK485" s="255"/>
      <c r="CL485" s="255"/>
      <c r="CM485" s="255"/>
      <c r="CN485" s="255"/>
      <c r="CO485" s="255"/>
      <c r="CP485" s="255"/>
      <c r="CQ485" s="255"/>
      <c r="CR485" s="255"/>
      <c r="CS485" s="255"/>
      <c r="CT485" s="255"/>
      <c r="CU485" s="255"/>
      <c r="CV485" s="255"/>
      <c r="CW485" s="255"/>
    </row>
    <row r="486" spans="1:101" ht="21" thickTop="1" x14ac:dyDescent="0.3">
      <c r="A486" s="256"/>
      <c r="B486" s="256"/>
      <c r="C486" s="190"/>
      <c r="D486" s="191"/>
      <c r="E486" s="866" t="str">
        <f>E2</f>
        <v>STPS 2026</v>
      </c>
      <c r="F486" s="267"/>
      <c r="G486" s="267"/>
      <c r="H486" s="267"/>
      <c r="I486" s="192"/>
      <c r="J486" s="192"/>
      <c r="K486" s="192"/>
      <c r="L486" s="193"/>
      <c r="M486" s="192"/>
      <c r="N486" s="192"/>
      <c r="O486" s="192"/>
      <c r="P486" s="194"/>
      <c r="Q486" s="192"/>
      <c r="R486" s="192"/>
      <c r="S486" s="192"/>
      <c r="T486" s="195"/>
      <c r="U486" s="196"/>
      <c r="V486" s="196"/>
      <c r="W486" s="196"/>
      <c r="X486" s="196"/>
      <c r="Y486" s="194"/>
      <c r="Z486" s="192"/>
      <c r="AA486" s="192"/>
      <c r="AB486" s="192"/>
      <c r="AC486" s="195"/>
      <c r="AD486" s="196"/>
      <c r="AE486" s="196"/>
      <c r="AF486" s="196"/>
      <c r="AG486" s="197"/>
      <c r="AH486" s="194"/>
      <c r="AI486" s="192"/>
      <c r="AJ486" s="237"/>
      <c r="AK486" s="237"/>
      <c r="AL486" s="198"/>
      <c r="AM486" s="238"/>
      <c r="AN486" s="238"/>
      <c r="AO486" s="238"/>
      <c r="AP486" s="197"/>
      <c r="AQ486" s="239"/>
      <c r="AR486" s="240"/>
      <c r="AS486" s="199"/>
      <c r="AT486" s="200"/>
      <c r="AU486" s="198"/>
      <c r="AV486" s="196"/>
      <c r="AW486" s="196"/>
      <c r="AX486" s="196"/>
      <c r="AY486" s="197"/>
      <c r="AZ486" s="239"/>
      <c r="BA486" s="240"/>
      <c r="BB486" s="200"/>
      <c r="BC486" s="237"/>
      <c r="BD486" s="241"/>
      <c r="BE486" s="196"/>
      <c r="BF486" s="196"/>
      <c r="BG486" s="196"/>
      <c r="BH486" s="197"/>
      <c r="BI486" s="242"/>
      <c r="BJ486" s="237"/>
      <c r="BK486" s="237"/>
      <c r="BL486" s="237"/>
      <c r="BM486" s="241"/>
      <c r="BN486" s="196"/>
      <c r="BO486" s="196"/>
      <c r="BP486" s="196"/>
      <c r="BQ486" s="197"/>
      <c r="BR486" s="201"/>
      <c r="BS486" s="237"/>
      <c r="BT486" s="237"/>
      <c r="BU486" s="237"/>
      <c r="BV486" s="242"/>
      <c r="BW486" s="237"/>
      <c r="BX486" s="237"/>
      <c r="BY486" s="237"/>
      <c r="BZ486" s="237"/>
      <c r="CA486" s="237"/>
      <c r="CB486" s="437"/>
      <c r="CC486" s="437"/>
      <c r="CD486" s="437"/>
      <c r="CE486" s="437"/>
      <c r="CF486" s="237"/>
      <c r="CG486" s="237"/>
      <c r="CH486" s="237"/>
      <c r="CI486" s="237"/>
      <c r="CJ486" s="197"/>
      <c r="CK486" s="197"/>
      <c r="CL486" s="197"/>
      <c r="CM486" s="197"/>
      <c r="CN486" s="197"/>
      <c r="CO486" s="197"/>
      <c r="CP486" s="197"/>
      <c r="CQ486" s="197"/>
      <c r="CR486" s="197"/>
      <c r="CS486" s="197"/>
      <c r="CT486" s="401"/>
      <c r="CU486" s="237"/>
      <c r="CV486" s="243"/>
      <c r="CW486" s="255"/>
    </row>
    <row r="487" spans="1:101" ht="13.5" thickBot="1" x14ac:dyDescent="0.25">
      <c r="A487" s="256"/>
      <c r="B487" s="256"/>
      <c r="C487" s="202"/>
      <c r="D487" s="188"/>
      <c r="E487" s="266" t="str">
        <f>E3</f>
        <v>Skorgen Tippelag</v>
      </c>
      <c r="F487" s="406"/>
      <c r="G487" s="406"/>
      <c r="H487" s="406"/>
      <c r="I487" s="406"/>
      <c r="J487" s="406"/>
      <c r="K487" s="406"/>
      <c r="L487" s="406"/>
      <c r="M487" s="406"/>
      <c r="N487" s="406"/>
      <c r="O487" s="406"/>
      <c r="P487" s="406"/>
      <c r="Q487" s="406"/>
      <c r="R487" s="406"/>
      <c r="S487" s="406"/>
      <c r="T487" s="406"/>
      <c r="U487" s="406"/>
      <c r="V487" s="406"/>
      <c r="W487" s="406"/>
      <c r="X487" s="406"/>
      <c r="Y487" s="406"/>
      <c r="Z487" s="406"/>
      <c r="AA487" s="406"/>
      <c r="AB487" s="406"/>
      <c r="AC487" s="406"/>
      <c r="AD487" s="406"/>
      <c r="AE487" s="406"/>
      <c r="AF487" s="406"/>
      <c r="AG487" s="406"/>
      <c r="AH487" s="406"/>
      <c r="AI487" s="406"/>
      <c r="AJ487" s="406"/>
      <c r="AK487" s="406"/>
      <c r="AL487" s="406"/>
      <c r="AM487" s="406"/>
      <c r="AN487" s="406"/>
      <c r="AO487" s="406"/>
      <c r="AP487" s="406"/>
      <c r="AQ487" s="406"/>
      <c r="AR487" s="406"/>
      <c r="AS487" s="406"/>
      <c r="AT487" s="406"/>
      <c r="AU487" s="406"/>
      <c r="AV487" s="406"/>
      <c r="AW487" s="406"/>
      <c r="AX487" s="406"/>
      <c r="AY487" s="406"/>
      <c r="AZ487" s="406"/>
      <c r="BA487" s="406"/>
      <c r="BB487" s="406"/>
      <c r="BC487" s="406"/>
      <c r="BD487" s="406"/>
      <c r="BE487" s="406"/>
      <c r="BF487" s="406"/>
      <c r="BG487" s="406"/>
      <c r="BH487" s="406"/>
      <c r="BI487" s="406"/>
      <c r="BJ487" s="406"/>
      <c r="BK487" s="406"/>
      <c r="BL487" s="406"/>
      <c r="BM487" s="406"/>
      <c r="BN487" s="406"/>
      <c r="BO487" s="406"/>
      <c r="BP487" s="406"/>
      <c r="BQ487" s="406"/>
      <c r="BR487" s="406"/>
      <c r="BS487" s="406"/>
      <c r="BT487" s="406"/>
      <c r="BU487" s="406"/>
      <c r="BV487" s="406"/>
      <c r="BW487" s="406"/>
      <c r="BX487" s="406"/>
      <c r="BY487" s="406"/>
      <c r="BZ487" s="406"/>
      <c r="CA487" s="406"/>
      <c r="CB487" s="438"/>
      <c r="CC487" s="438"/>
      <c r="CD487" s="438"/>
      <c r="CE487" s="438"/>
      <c r="CF487" s="406"/>
      <c r="CG487" s="406"/>
      <c r="CH487" s="406"/>
      <c r="CI487" s="406"/>
      <c r="CJ487" s="406"/>
      <c r="CK487" s="406"/>
      <c r="CL487" s="406"/>
      <c r="CM487" s="406"/>
      <c r="CN487" s="366"/>
      <c r="CO487" s="366"/>
      <c r="CP487" s="366"/>
      <c r="CQ487" s="366"/>
      <c r="CR487" s="366"/>
      <c r="CS487" s="366"/>
      <c r="CT487" s="187"/>
      <c r="CU487" s="310"/>
      <c r="CV487" s="246"/>
      <c r="CW487" s="255"/>
    </row>
    <row r="488" spans="1:101" ht="18.75" thickTop="1" x14ac:dyDescent="0.2">
      <c r="A488" s="256"/>
      <c r="B488" s="256"/>
      <c r="C488" s="209"/>
      <c r="D488" s="290"/>
      <c r="E488" s="273"/>
      <c r="F488" s="274"/>
      <c r="G488" s="273"/>
      <c r="H488" s="273"/>
      <c r="I488" s="803" t="s">
        <v>39</v>
      </c>
      <c r="J488" s="805"/>
      <c r="K488" s="805"/>
      <c r="L488" s="291"/>
      <c r="M488" s="302"/>
      <c r="N488" s="242"/>
      <c r="O488" s="275"/>
      <c r="P488" s="275"/>
      <c r="Q488" s="808">
        <f>IF($F492="","",SUM(Q504:S504)-S490)</f>
        <v>510</v>
      </c>
      <c r="R488" s="808"/>
      <c r="S488" s="808"/>
      <c r="T488" s="276"/>
      <c r="U488" s="277"/>
      <c r="V488" s="277"/>
      <c r="W488" s="277"/>
      <c r="X488" s="277"/>
      <c r="Y488" s="275"/>
      <c r="Z488" s="808">
        <f>IF($F492="","",SUM(Z504:AB504)-AB490)</f>
        <v>610</v>
      </c>
      <c r="AA488" s="808"/>
      <c r="AB488" s="808"/>
      <c r="AC488" s="276"/>
      <c r="AD488" s="277"/>
      <c r="AE488" s="277"/>
      <c r="AF488" s="277"/>
      <c r="AG488" s="273"/>
      <c r="AH488" s="275"/>
      <c r="AI488" s="808">
        <f>IF($F492="","",SUM(AI504:AK504)-AK490)</f>
        <v>600</v>
      </c>
      <c r="AJ488" s="808"/>
      <c r="AK488" s="808"/>
      <c r="AL488" s="276"/>
      <c r="AM488" s="277"/>
      <c r="AN488" s="277"/>
      <c r="AO488" s="277"/>
      <c r="AP488" s="273"/>
      <c r="AQ488" s="275"/>
      <c r="AR488" s="808">
        <f>IF($F492="","",SUM(AR504:AT504)-AT490)</f>
        <v>580</v>
      </c>
      <c r="AS488" s="808"/>
      <c r="AT488" s="808"/>
      <c r="AU488" s="278"/>
      <c r="AV488" s="277"/>
      <c r="AW488" s="277"/>
      <c r="AX488" s="277"/>
      <c r="AY488" s="279"/>
      <c r="AZ488" s="280"/>
      <c r="BA488" s="808">
        <f>IF($F492="","",SUM(BA504:BC504)-BC490)</f>
        <v>820</v>
      </c>
      <c r="BB488" s="808"/>
      <c r="BC488" s="808"/>
      <c r="BD488" s="278"/>
      <c r="BE488" s="277"/>
      <c r="BF488" s="277"/>
      <c r="BG488" s="277"/>
      <c r="BH488" s="279"/>
      <c r="BI488" s="280"/>
      <c r="BJ488" s="808">
        <f>IF($F492="","",SUM(BJ504:BL504)-BL490)</f>
        <v>730</v>
      </c>
      <c r="BK488" s="808"/>
      <c r="BL488" s="808"/>
      <c r="BM488" s="278"/>
      <c r="BN488" s="277"/>
      <c r="BO488" s="277"/>
      <c r="BP488" s="277"/>
      <c r="BQ488" s="279"/>
      <c r="BR488" s="281"/>
      <c r="BS488" s="808">
        <f>IF($F492="","",SUM(BS504:BU504)-BU490)</f>
        <v>570</v>
      </c>
      <c r="BT488" s="808"/>
      <c r="BU488" s="808"/>
      <c r="BV488" s="280"/>
      <c r="BW488" s="279"/>
      <c r="BX488" s="279"/>
      <c r="BY488" s="279"/>
      <c r="BZ488" s="279"/>
      <c r="CA488" s="281"/>
      <c r="CB488" s="808">
        <f>IF($F492="","",SUM(CB504:CD504)-CD490)</f>
        <v>660</v>
      </c>
      <c r="CC488" s="808"/>
      <c r="CD488" s="808"/>
      <c r="CE488" s="280"/>
      <c r="CF488" s="279"/>
      <c r="CG488" s="279"/>
      <c r="CH488" s="279"/>
      <c r="CI488" s="279"/>
      <c r="CJ488" s="273"/>
      <c r="CK488" s="808">
        <f>IF($F492="","",SUM(CK504:CM504))</f>
        <v>530</v>
      </c>
      <c r="CL488" s="808"/>
      <c r="CM488" s="808"/>
      <c r="CN488" s="280"/>
      <c r="CO488" s="279"/>
      <c r="CP488" s="279"/>
      <c r="CQ488" s="279"/>
      <c r="CR488" s="273"/>
      <c r="CS488" s="273"/>
      <c r="CT488" s="273"/>
      <c r="CU488" s="292"/>
      <c r="CV488" s="246"/>
      <c r="CW488" s="255"/>
    </row>
    <row r="489" spans="1:101" x14ac:dyDescent="0.2">
      <c r="A489" s="256"/>
      <c r="B489" s="256"/>
      <c r="C489" s="209"/>
      <c r="D489" s="916">
        <v>9</v>
      </c>
      <c r="E489" s="588">
        <f>IF(D489="","",DATE($D$3,1,1)+(D489-1)*7+(6-WEEKDAY(DATE($D$3,1,1),2)))</f>
        <v>46081</v>
      </c>
      <c r="F489" s="213"/>
      <c r="G489" s="214"/>
      <c r="H489" s="214"/>
      <c r="I489" s="804">
        <f>IF(ISERROR(AVERAGE(Q488,Z488,AI488,AR488,BA488,BJ488,BS488,CB488,CK488)),"",AVERAGE(Q488,Z488,AI488,AR488,BA488,BJ488,BS488,CB488,CK488))</f>
        <v>623.33333333333337</v>
      </c>
      <c r="J489" s="806"/>
      <c r="K489" s="806"/>
      <c r="L489" s="295"/>
      <c r="M489" s="372"/>
      <c r="N489" s="245"/>
      <c r="O489" s="215"/>
      <c r="P489" s="215"/>
      <c r="Q489" s="710">
        <f>IF(Q488="","",Q488/Data!$X$1)</f>
        <v>0.42499999999999999</v>
      </c>
      <c r="R489" s="710"/>
      <c r="S489" s="711">
        <f>IF(SUM(X492:X503)=0,"",SUM(X492:X503))</f>
        <v>6</v>
      </c>
      <c r="T489" s="216"/>
      <c r="U489" s="217"/>
      <c r="V489" s="217"/>
      <c r="W489" s="217"/>
      <c r="X489" s="217"/>
      <c r="Y489" s="215"/>
      <c r="Z489" s="710">
        <f>IF(Z488="","",Z488/Data!$X$1)</f>
        <v>0.5083333333333333</v>
      </c>
      <c r="AA489" s="710"/>
      <c r="AB489" s="711">
        <f>IF(SUM(AG492:AG503)=0,"",SUM(AG492:AG503))</f>
        <v>7</v>
      </c>
      <c r="AC489" s="216"/>
      <c r="AD489" s="217"/>
      <c r="AE489" s="217"/>
      <c r="AF489" s="217"/>
      <c r="AG489" s="217"/>
      <c r="AH489" s="215"/>
      <c r="AI489" s="710">
        <f>IF(AI488="","",AI488/Data!$X$1)</f>
        <v>0.5</v>
      </c>
      <c r="AJ489" s="710"/>
      <c r="AK489" s="711">
        <f>IF(SUM(AP492:AP503)=0,"",SUM(AP492:AP503))</f>
        <v>8</v>
      </c>
      <c r="AL489" s="216"/>
      <c r="AM489" s="217"/>
      <c r="AN489" s="217"/>
      <c r="AO489" s="217"/>
      <c r="AP489" s="217"/>
      <c r="AQ489" s="215"/>
      <c r="AR489" s="710">
        <f>IF(AR488="","",AR488/Data!$X$1)</f>
        <v>0.48333333333333334</v>
      </c>
      <c r="AS489" s="710"/>
      <c r="AT489" s="711">
        <f>IF(SUM(AY492:AY503)=0,"",SUM(AY492:AY503))</f>
        <v>8</v>
      </c>
      <c r="AU489" s="218"/>
      <c r="AV489" s="217"/>
      <c r="AW489" s="217"/>
      <c r="AX489" s="217"/>
      <c r="AY489" s="217"/>
      <c r="AZ489" s="219"/>
      <c r="BA489" s="710">
        <f>IF(BA488="","",BA488/Data!$X$1)</f>
        <v>0.68333333333333335</v>
      </c>
      <c r="BB489" s="710"/>
      <c r="BC489" s="711">
        <f>IF(SUM(BH492:BH503)=0,"",SUM(BH492:BH503))</f>
        <v>10</v>
      </c>
      <c r="BD489" s="218"/>
      <c r="BE489" s="217"/>
      <c r="BF489" s="217"/>
      <c r="BG489" s="217"/>
      <c r="BH489" s="217"/>
      <c r="BI489" s="219"/>
      <c r="BJ489" s="710">
        <f>IF(BJ488="","",BJ488/Data!$X$1)</f>
        <v>0.60833333333333328</v>
      </c>
      <c r="BK489" s="710"/>
      <c r="BL489" s="711">
        <f>IF(SUM(BQ492:BQ503)=0,"",SUM(BQ492:BQ503))</f>
        <v>8</v>
      </c>
      <c r="BM489" s="218"/>
      <c r="BN489" s="217"/>
      <c r="BO489" s="217"/>
      <c r="BP489" s="217"/>
      <c r="BQ489" s="217"/>
      <c r="BR489" s="220"/>
      <c r="BS489" s="710">
        <f>IF(BS488="","",BS488/Data!$X$1)</f>
        <v>0.47499999999999998</v>
      </c>
      <c r="BT489" s="710"/>
      <c r="BU489" s="711">
        <f>IF(SUM(BZ492:BZ503)=0,"",SUM(BZ492:BZ503))</f>
        <v>8</v>
      </c>
      <c r="BV489" s="219"/>
      <c r="BW489" s="217"/>
      <c r="BX489" s="217"/>
      <c r="BY489" s="217"/>
      <c r="BZ489" s="217"/>
      <c r="CA489" s="220"/>
      <c r="CB489" s="710">
        <f>IF(CB488="","",CB488/Data!$X$1)</f>
        <v>0.55000000000000004</v>
      </c>
      <c r="CC489" s="710"/>
      <c r="CD489" s="711">
        <f>IF(SUM(CI492:CI503)=0,"",SUM(CI492:CI503))</f>
        <v>10</v>
      </c>
      <c r="CE489" s="219"/>
      <c r="CF489" s="217"/>
      <c r="CG489" s="217"/>
      <c r="CH489" s="217"/>
      <c r="CI489" s="217"/>
      <c r="CJ489" s="217"/>
      <c r="CK489" s="710">
        <f>IF(CK488="","",CK488/Data!$X$1)</f>
        <v>0.44166666666666665</v>
      </c>
      <c r="CL489" s="710"/>
      <c r="CM489" s="711">
        <f>IF(SUM(CR492:CR503)=0,"",SUM(CR492:CR503))</f>
        <v>7</v>
      </c>
      <c r="CN489" s="219"/>
      <c r="CO489" s="217"/>
      <c r="CP489" s="217"/>
      <c r="CQ489" s="217"/>
      <c r="CR489" s="217"/>
      <c r="CS489" s="217"/>
      <c r="CT489" s="217"/>
      <c r="CU489" s="296"/>
      <c r="CV489" s="246"/>
      <c r="CW489" s="255"/>
    </row>
    <row r="490" spans="1:101" ht="13.5" thickBot="1" x14ac:dyDescent="0.25">
      <c r="A490" s="256"/>
      <c r="B490" s="256"/>
      <c r="C490" s="209"/>
      <c r="D490" s="269">
        <f>D468+1</f>
        <v>23</v>
      </c>
      <c r="E490" s="402" t="str">
        <f>IF(E489="","Sett inn dato over her",TEXT(E489,"dddd"))</f>
        <v>lørdag</v>
      </c>
      <c r="F490" s="221"/>
      <c r="G490" s="222"/>
      <c r="H490" s="222"/>
      <c r="I490" s="802"/>
      <c r="J490" s="807"/>
      <c r="K490" s="807"/>
      <c r="L490" s="297"/>
      <c r="M490" s="373"/>
      <c r="N490" s="377"/>
      <c r="O490" s="222"/>
      <c r="P490" s="222"/>
      <c r="Q490" s="385" t="str">
        <f>Data!$E$11</f>
        <v>AHH</v>
      </c>
      <c r="R490" s="386">
        <f>IF($F503="","",RANK(Q488,$Q488:$CL488))</f>
        <v>9</v>
      </c>
      <c r="S490" s="510"/>
      <c r="T490" s="216">
        <v>0</v>
      </c>
      <c r="U490" s="217"/>
      <c r="V490" s="217"/>
      <c r="W490" s="217"/>
      <c r="X490" s="217"/>
      <c r="Y490" s="215"/>
      <c r="Z490" s="385" t="str">
        <f>Data!$E$12</f>
        <v>RB</v>
      </c>
      <c r="AA490" s="386">
        <f>IF($F503="","",RANK(Z488,$Q488:$CL488))</f>
        <v>4</v>
      </c>
      <c r="AB490" s="510"/>
      <c r="AC490" s="216"/>
      <c r="AD490" s="217"/>
      <c r="AE490" s="217"/>
      <c r="AF490" s="217"/>
      <c r="AG490" s="217"/>
      <c r="AH490" s="215"/>
      <c r="AI490" s="385" t="str">
        <f>Data!$E$13</f>
        <v>EB</v>
      </c>
      <c r="AJ490" s="386">
        <f>IF($F503="","",RANK(AI488,$Q488:$CL488))</f>
        <v>5</v>
      </c>
      <c r="AK490" s="510"/>
      <c r="AL490" s="216"/>
      <c r="AM490" s="217"/>
      <c r="AN490" s="217"/>
      <c r="AO490" s="217"/>
      <c r="AP490" s="217"/>
      <c r="AQ490" s="215"/>
      <c r="AR490" s="346" t="str">
        <f>Data!$E$14</f>
        <v>KAF</v>
      </c>
      <c r="AS490" s="386">
        <f>IF($F503="","",RANK(AR488,$Q488:$CL488))</f>
        <v>6</v>
      </c>
      <c r="AT490" s="510"/>
      <c r="AU490" s="216"/>
      <c r="AV490" s="217"/>
      <c r="AW490" s="217"/>
      <c r="AX490" s="217"/>
      <c r="AY490" s="217"/>
      <c r="AZ490" s="215"/>
      <c r="BA490" s="346" t="str">
        <f>Data!$E$15</f>
        <v>ØG</v>
      </c>
      <c r="BB490" s="386">
        <f>IF($F503="","",RANK(BA488,$Q488:$CL488))</f>
        <v>1</v>
      </c>
      <c r="BC490" s="510"/>
      <c r="BD490" s="216"/>
      <c r="BE490" s="217"/>
      <c r="BF490" s="217"/>
      <c r="BG490" s="217"/>
      <c r="BH490" s="217"/>
      <c r="BI490" s="215"/>
      <c r="BJ490" s="346" t="str">
        <f>Data!$E$16</f>
        <v>JH</v>
      </c>
      <c r="BK490" s="386">
        <f>IF($F503="","",RANK(BJ488,$Q488:$CL488))</f>
        <v>2</v>
      </c>
      <c r="BL490" s="510"/>
      <c r="BM490" s="216"/>
      <c r="BN490" s="217"/>
      <c r="BO490" s="217"/>
      <c r="BP490" s="217"/>
      <c r="BQ490" s="217"/>
      <c r="BR490" s="223"/>
      <c r="BS490" s="346" t="str">
        <f>Data!$E$17</f>
        <v>TOH</v>
      </c>
      <c r="BT490" s="386">
        <f>IF($F503="","",RANK(BS488,$Q488:$CL488))</f>
        <v>7</v>
      </c>
      <c r="BU490" s="510"/>
      <c r="BV490" s="215"/>
      <c r="BW490" s="217"/>
      <c r="BX490" s="217"/>
      <c r="BY490" s="217"/>
      <c r="BZ490" s="217"/>
      <c r="CA490" s="223"/>
      <c r="CB490" s="346" t="s">
        <v>26</v>
      </c>
      <c r="CC490" s="386">
        <f>IF($F503="","",RANK(CB488,$Q488:$CM488))</f>
        <v>3</v>
      </c>
      <c r="CD490" s="511"/>
      <c r="CE490" s="215"/>
      <c r="CF490" s="217"/>
      <c r="CG490" s="217"/>
      <c r="CH490" s="217"/>
      <c r="CI490" s="217"/>
      <c r="CJ490" s="217"/>
      <c r="CK490" s="346" t="s">
        <v>27</v>
      </c>
      <c r="CL490" s="386">
        <f>IF($F503="","",RANK(CK488,$Q488:$CM488))</f>
        <v>8</v>
      </c>
      <c r="CM490" s="798"/>
      <c r="CN490" s="215"/>
      <c r="CO490" s="217"/>
      <c r="CP490" s="217"/>
      <c r="CQ490" s="217"/>
      <c r="CR490" s="217"/>
      <c r="CS490" s="217"/>
      <c r="CT490" s="217"/>
      <c r="CU490" s="296"/>
      <c r="CV490" s="246"/>
      <c r="CW490" s="255"/>
    </row>
    <row r="491" spans="1:101" ht="13.5" thickBot="1" x14ac:dyDescent="0.25">
      <c r="A491" s="264"/>
      <c r="B491" s="264"/>
      <c r="C491" s="202"/>
      <c r="D491" s="270"/>
      <c r="E491" s="224"/>
      <c r="F491" s="225"/>
      <c r="G491" s="226"/>
      <c r="H491" s="226"/>
      <c r="I491" s="227" t="s">
        <v>45</v>
      </c>
      <c r="J491" s="228" t="s">
        <v>46</v>
      </c>
      <c r="K491" s="229" t="s">
        <v>47</v>
      </c>
      <c r="L491" s="298"/>
      <c r="M491" s="374"/>
      <c r="N491" s="378"/>
      <c r="O491" s="230"/>
      <c r="P491" s="230"/>
      <c r="Q491" s="227" t="s">
        <v>45</v>
      </c>
      <c r="R491" s="228" t="s">
        <v>46</v>
      </c>
      <c r="S491" s="229" t="s">
        <v>47</v>
      </c>
      <c r="T491" s="231"/>
      <c r="U491" s="232"/>
      <c r="V491" s="232"/>
      <c r="W491" s="232"/>
      <c r="X491" s="232"/>
      <c r="Y491" s="230"/>
      <c r="Z491" s="227" t="s">
        <v>45</v>
      </c>
      <c r="AA491" s="228" t="s">
        <v>46</v>
      </c>
      <c r="AB491" s="229" t="s">
        <v>47</v>
      </c>
      <c r="AC491" s="231"/>
      <c r="AD491" s="232"/>
      <c r="AE491" s="232"/>
      <c r="AF491" s="232"/>
      <c r="AG491" s="232"/>
      <c r="AH491" s="230"/>
      <c r="AI491" s="227" t="s">
        <v>45</v>
      </c>
      <c r="AJ491" s="228" t="s">
        <v>46</v>
      </c>
      <c r="AK491" s="229" t="s">
        <v>47</v>
      </c>
      <c r="AL491" s="231"/>
      <c r="AM491" s="232"/>
      <c r="AN491" s="232"/>
      <c r="AO491" s="232"/>
      <c r="AP491" s="232"/>
      <c r="AQ491" s="230"/>
      <c r="AR491" s="227" t="s">
        <v>45</v>
      </c>
      <c r="AS491" s="228" t="s">
        <v>46</v>
      </c>
      <c r="AT491" s="229" t="s">
        <v>47</v>
      </c>
      <c r="AU491" s="231"/>
      <c r="AV491" s="232"/>
      <c r="AW491" s="232"/>
      <c r="AX491" s="232"/>
      <c r="AY491" s="232"/>
      <c r="AZ491" s="230"/>
      <c r="BA491" s="227" t="s">
        <v>45</v>
      </c>
      <c r="BB491" s="228" t="s">
        <v>46</v>
      </c>
      <c r="BC491" s="229" t="s">
        <v>47</v>
      </c>
      <c r="BD491" s="231"/>
      <c r="BE491" s="232"/>
      <c r="BF491" s="232"/>
      <c r="BG491" s="232"/>
      <c r="BH491" s="232"/>
      <c r="BI491" s="230"/>
      <c r="BJ491" s="227" t="s">
        <v>45</v>
      </c>
      <c r="BK491" s="228" t="s">
        <v>46</v>
      </c>
      <c r="BL491" s="229" t="s">
        <v>47</v>
      </c>
      <c r="BM491" s="231"/>
      <c r="BN491" s="232"/>
      <c r="BO491" s="232"/>
      <c r="BP491" s="232"/>
      <c r="BQ491" s="232"/>
      <c r="BR491" s="230"/>
      <c r="BS491" s="227" t="s">
        <v>45</v>
      </c>
      <c r="BT491" s="228" t="s">
        <v>46</v>
      </c>
      <c r="BU491" s="229" t="s">
        <v>47</v>
      </c>
      <c r="BV491" s="231"/>
      <c r="BW491" s="232"/>
      <c r="BX491" s="232"/>
      <c r="BY491" s="232"/>
      <c r="BZ491" s="233"/>
      <c r="CA491" s="230"/>
      <c r="CB491" s="227" t="s">
        <v>45</v>
      </c>
      <c r="CC491" s="228" t="s">
        <v>46</v>
      </c>
      <c r="CD491" s="229" t="s">
        <v>47</v>
      </c>
      <c r="CE491" s="231"/>
      <c r="CF491" s="232"/>
      <c r="CG491" s="232"/>
      <c r="CH491" s="232"/>
      <c r="CI491" s="232"/>
      <c r="CJ491" s="232"/>
      <c r="CK491" s="227" t="s">
        <v>45</v>
      </c>
      <c r="CL491" s="228" t="s">
        <v>46</v>
      </c>
      <c r="CM491" s="229" t="s">
        <v>47</v>
      </c>
      <c r="CN491" s="231"/>
      <c r="CO491" s="232"/>
      <c r="CP491" s="232"/>
      <c r="CQ491" s="232"/>
      <c r="CR491" s="232"/>
      <c r="CS491" s="232"/>
      <c r="CT491" s="234"/>
      <c r="CU491" s="296"/>
      <c r="CV491" s="246"/>
      <c r="CW491" s="265"/>
    </row>
    <row r="492" spans="1:101" x14ac:dyDescent="0.2">
      <c r="A492" s="264"/>
      <c r="B492" s="264"/>
      <c r="C492" s="202"/>
      <c r="D492" s="271">
        <v>1</v>
      </c>
      <c r="E492" s="166" t="s">
        <v>317</v>
      </c>
      <c r="F492" s="468">
        <v>0</v>
      </c>
      <c r="G492" s="472"/>
      <c r="H492" s="473">
        <v>1</v>
      </c>
      <c r="I492" s="170" t="str">
        <f t="shared" ref="I492:I503" si="1100">IF($F492&gt;$H492,"x","")</f>
        <v/>
      </c>
      <c r="J492" s="387" t="str">
        <f t="shared" ref="J492:J503" si="1101">IF(F492&lt;&gt;"",IF(H492&lt;&gt;"",IF(F492=H492,"x",""),""),"")</f>
        <v/>
      </c>
      <c r="K492" s="388" t="str">
        <f t="shared" ref="K492:K503" si="1102">IF($F492&lt;$H492,"x","")</f>
        <v>x</v>
      </c>
      <c r="L492" s="299"/>
      <c r="M492" s="375"/>
      <c r="N492" s="379"/>
      <c r="O492" s="236"/>
      <c r="P492" s="236"/>
      <c r="Q492" s="480">
        <v>10</v>
      </c>
      <c r="R492" s="481">
        <v>20</v>
      </c>
      <c r="S492" s="482">
        <f>IF(Q492="","",100-SUM(Q492:R492))</f>
        <v>70</v>
      </c>
      <c r="T492" s="371"/>
      <c r="U492" s="232" t="str">
        <f t="shared" ref="U492:U503" si="1103">IF($I492="x",Q492,"")</f>
        <v/>
      </c>
      <c r="V492" s="232" t="str">
        <f t="shared" ref="V492:V503" si="1104">IF($J492="x",R492,"")</f>
        <v/>
      </c>
      <c r="W492" s="232">
        <f t="shared" ref="W492:W503" si="1105">IF($K492="x",S492,"")</f>
        <v>70</v>
      </c>
      <c r="X492" s="232">
        <f>IF((MAX(U492,V492,W492))=0,"",IF((MAX(U492,V492,W492))=(MAX(Q492,R492,S492)),1,""))</f>
        <v>1</v>
      </c>
      <c r="Y492" s="371"/>
      <c r="Z492" s="495">
        <v>10</v>
      </c>
      <c r="AA492" s="496">
        <v>10</v>
      </c>
      <c r="AB492" s="482">
        <f t="shared" ref="AB492:AB503" si="1106">IF(Z492="","",100-SUM(Z492:AA492))</f>
        <v>80</v>
      </c>
      <c r="AC492" s="371"/>
      <c r="AD492" s="232" t="str">
        <f t="shared" ref="AD492:AD503" si="1107">IF($I492="x",Z492,"")</f>
        <v/>
      </c>
      <c r="AE492" s="232" t="str">
        <f t="shared" ref="AE492:AE503" si="1108">IF($J492="x",AA492,"")</f>
        <v/>
      </c>
      <c r="AF492" s="232">
        <f t="shared" ref="AF492:AF503" si="1109">IF($K492="x",AB492,"")</f>
        <v>80</v>
      </c>
      <c r="AG492" s="232">
        <f>IF((MAX(AD492,AE492,AF492))=0,"",IF((MAX(AD492,AE492,AF492))=(MAX(Z492,AA492,AB492)),1,""))</f>
        <v>1</v>
      </c>
      <c r="AH492" s="371"/>
      <c r="AI492" s="495">
        <v>30</v>
      </c>
      <c r="AJ492" s="496">
        <v>20</v>
      </c>
      <c r="AK492" s="482">
        <f t="shared" ref="AK492:AK503" si="1110">IF(AI492="","",100-SUM(AI492:AJ492))</f>
        <v>50</v>
      </c>
      <c r="AL492" s="371"/>
      <c r="AM492" s="232" t="str">
        <f t="shared" ref="AM492:AM503" si="1111">IF($I492="x",AI492,"")</f>
        <v/>
      </c>
      <c r="AN492" s="232" t="str">
        <f t="shared" ref="AN492:AN503" si="1112">IF($J492="x",AJ492,"")</f>
        <v/>
      </c>
      <c r="AO492" s="232">
        <f t="shared" ref="AO492:AO503" si="1113">IF($K492="x",AK492,"")</f>
        <v>50</v>
      </c>
      <c r="AP492" s="232">
        <f>IF((MAX(AM492,AN492,AO492))=0,"",IF((MAX(AM492,AN492,AO492))=(MAX(AI492,AJ492,AK492)),1,""))</f>
        <v>1</v>
      </c>
      <c r="AQ492" s="371"/>
      <c r="AR492" s="495">
        <v>10</v>
      </c>
      <c r="AS492" s="496">
        <v>10</v>
      </c>
      <c r="AT492" s="482">
        <f t="shared" ref="AT492:AT503" si="1114">IF(AR492="","",100-SUM(AR492:AS492))</f>
        <v>80</v>
      </c>
      <c r="AU492" s="371"/>
      <c r="AV492" s="232" t="str">
        <f t="shared" ref="AV492:AV503" si="1115">IF($I492="x",AR492,"")</f>
        <v/>
      </c>
      <c r="AW492" s="232" t="str">
        <f t="shared" ref="AW492:AW503" si="1116">IF($J492="x",AS492,"")</f>
        <v/>
      </c>
      <c r="AX492" s="232">
        <f t="shared" ref="AX492:AX503" si="1117">IF($K492="x",AT492,"")</f>
        <v>80</v>
      </c>
      <c r="AY492" s="232">
        <f>IF((MAX(AV492,AW492,AX492))=0,"",IF((MAX(AV492,AW492,AX492))=(MAX(AR492,AS492,AT492)),1,""))</f>
        <v>1</v>
      </c>
      <c r="AZ492" s="371"/>
      <c r="BA492" s="495">
        <v>10</v>
      </c>
      <c r="BB492" s="496">
        <v>10</v>
      </c>
      <c r="BC492" s="482">
        <f t="shared" ref="BC492:BC503" si="1118">IF(BA492="","",100-SUM(BA492:BB492))</f>
        <v>80</v>
      </c>
      <c r="BD492" s="371"/>
      <c r="BE492" s="232" t="str">
        <f t="shared" ref="BE492:BE503" si="1119">IF($I492="x",BA492,"")</f>
        <v/>
      </c>
      <c r="BF492" s="232" t="str">
        <f t="shared" ref="BF492:BF503" si="1120">IF($J492="x",BB492,"")</f>
        <v/>
      </c>
      <c r="BG492" s="232">
        <f t="shared" ref="BG492:BG503" si="1121">IF($K492="x",BC492,"")</f>
        <v>80</v>
      </c>
      <c r="BH492" s="232">
        <f>IF((MAX(BE492,BF492,BG492))=0,"",IF((MAX(BE492,BF492,BG492))=(MAX(BA492,BB492,BC492)),1,""))</f>
        <v>1</v>
      </c>
      <c r="BI492" s="371"/>
      <c r="BJ492" s="495">
        <v>10</v>
      </c>
      <c r="BK492" s="496">
        <v>10</v>
      </c>
      <c r="BL492" s="482">
        <f t="shared" ref="BL492:BL503" si="1122">IF(BJ492="","",100-SUM(BJ492:BK492))</f>
        <v>80</v>
      </c>
      <c r="BM492" s="371"/>
      <c r="BN492" s="232" t="str">
        <f t="shared" ref="BN492:BN503" si="1123">IF($I492="x",BJ492,"")</f>
        <v/>
      </c>
      <c r="BO492" s="232" t="str">
        <f t="shared" ref="BO492:BO503" si="1124">IF($J492="x",BK492,"")</f>
        <v/>
      </c>
      <c r="BP492" s="232">
        <f t="shared" ref="BP492:BP503" si="1125">IF($K492="x",BL492,"")</f>
        <v>80</v>
      </c>
      <c r="BQ492" s="232">
        <f>IF((MAX(BN492,BO492,BP492))=0,"",IF((MAX(BN492,BO492,BP492))=(MAX(BJ492,BK492,BL492)),1,""))</f>
        <v>1</v>
      </c>
      <c r="BR492" s="371"/>
      <c r="BS492" s="495">
        <v>20</v>
      </c>
      <c r="BT492" s="496">
        <v>10</v>
      </c>
      <c r="BU492" s="482">
        <f t="shared" ref="BU492:BU503" si="1126">IF(BS492="","",100-SUM(BS492:BT492))</f>
        <v>70</v>
      </c>
      <c r="BV492" s="371"/>
      <c r="BW492" s="232" t="str">
        <f t="shared" ref="BW492:BW503" si="1127">IF($I492="x",BS492,"")</f>
        <v/>
      </c>
      <c r="BX492" s="232" t="str">
        <f t="shared" ref="BX492:BX503" si="1128">IF($J492="x",BT492,"")</f>
        <v/>
      </c>
      <c r="BY492" s="232">
        <f t="shared" ref="BY492:BY503" si="1129">IF($K492="x",BU492,"")</f>
        <v>70</v>
      </c>
      <c r="BZ492" s="232">
        <f>IF((MAX(BW492,BX492,BY492))=0,"",IF((MAX(BW492,BX492,BY492))=(MAX(BS492,BT492,BU492)),1,""))</f>
        <v>1</v>
      </c>
      <c r="CA492" s="371"/>
      <c r="CB492" s="501">
        <f t="shared" ref="CB492:CB503" si="1130">IFERROR(ROUNDUP((SUM(Q492,Z492,AI492,AR492,BA492,BJ492,BS492)/SUM($Q492:$S492,$Z492:$AB492,$AI492:$AK492,$AR492:$AT492,$BA492:$BC492,$BJ492:$BL492,$BS492:$BU492))*100,-1),"")</f>
        <v>20</v>
      </c>
      <c r="CC492" s="502">
        <f t="shared" ref="CC492:CC503" si="1131">IFERROR(ROUNDDOWN((SUM(R492,AA492,AJ492,AS492,BB492,BK492,BT492)/SUM($Q492:$S492,$Z492:$AB492,$AI492:$AK492,$AR492:$AT492,$BA492:$BC492,$BJ492:$BL492,$BS492:$BU492))*100,-1),"")</f>
        <v>10</v>
      </c>
      <c r="CD492" s="503">
        <f t="shared" ref="CD492:CD503" si="1132">IF(CB492="","",100-SUM(CB492:CC492))</f>
        <v>70</v>
      </c>
      <c r="CE492" s="371"/>
      <c r="CF492" s="232" t="str">
        <f t="shared" ref="CF492:CF503" si="1133">IF($I492="x",CB492,"")</f>
        <v/>
      </c>
      <c r="CG492" s="232" t="str">
        <f t="shared" ref="CG492:CG503" si="1134">IF($J492="x",CC492,"")</f>
        <v/>
      </c>
      <c r="CH492" s="232">
        <f t="shared" ref="CH492:CH503" si="1135">IF($K492="x",CD492,"")</f>
        <v>70</v>
      </c>
      <c r="CI492" s="232">
        <f>IF((MAX(CF492,CG492,CH492))=0,"",IF((MAX(CF492,CG492,CH492))=(MAX(CB492,CC492,CD492)),1,""))</f>
        <v>1</v>
      </c>
      <c r="CJ492" s="232"/>
      <c r="CK492" s="495">
        <v>10</v>
      </c>
      <c r="CL492" s="496">
        <v>30</v>
      </c>
      <c r="CM492" s="482">
        <f t="shared" ref="CM492:CM503" si="1136">IF(CK492="","",100-SUM(CK492:CL492))</f>
        <v>60</v>
      </c>
      <c r="CN492" s="371"/>
      <c r="CO492" s="232" t="str">
        <f t="shared" ref="CO492:CO503" si="1137">IF($I492="x",CK492,"")</f>
        <v/>
      </c>
      <c r="CP492" s="232" t="str">
        <f t="shared" ref="CP492:CP503" si="1138">IF($J492="x",CL492,"")</f>
        <v/>
      </c>
      <c r="CQ492" s="232">
        <f t="shared" ref="CQ492:CQ503" si="1139">IF($K492="x",CM492,"")</f>
        <v>60</v>
      </c>
      <c r="CR492" s="232">
        <f>IF((MAX(CO492,CP492,CQ492))=0,"",IF((MAX(CO492,CP492,CQ492))=(MAX(CK492,CL492,CM492)),1,""))</f>
        <v>1</v>
      </c>
      <c r="CS492" s="232"/>
      <c r="CT492" s="371"/>
      <c r="CU492" s="296"/>
      <c r="CV492" s="246"/>
      <c r="CW492" s="264"/>
    </row>
    <row r="493" spans="1:101" x14ac:dyDescent="0.2">
      <c r="A493" s="264"/>
      <c r="B493" s="264"/>
      <c r="C493" s="202"/>
      <c r="D493" s="271">
        <v>2</v>
      </c>
      <c r="E493" s="167" t="s">
        <v>318</v>
      </c>
      <c r="F493" s="469">
        <v>3</v>
      </c>
      <c r="G493" s="474"/>
      <c r="H493" s="475">
        <v>4</v>
      </c>
      <c r="I493" s="389" t="str">
        <f t="shared" si="1100"/>
        <v/>
      </c>
      <c r="J493" s="390" t="str">
        <f t="shared" si="1101"/>
        <v/>
      </c>
      <c r="K493" s="391" t="str">
        <f t="shared" si="1102"/>
        <v>x</v>
      </c>
      <c r="L493" s="299"/>
      <c r="M493" s="375"/>
      <c r="N493" s="379"/>
      <c r="O493" s="236"/>
      <c r="P493" s="236"/>
      <c r="Q493" s="483">
        <v>70</v>
      </c>
      <c r="R493" s="484">
        <v>20</v>
      </c>
      <c r="S493" s="485">
        <f t="shared" ref="S493:S503" si="1140">IF(Q493="","",100-SUM(Q493:R493))</f>
        <v>10</v>
      </c>
      <c r="T493" s="371"/>
      <c r="U493" s="232" t="str">
        <f t="shared" si="1103"/>
        <v/>
      </c>
      <c r="V493" s="232" t="str">
        <f t="shared" si="1104"/>
        <v/>
      </c>
      <c r="W493" s="232">
        <f t="shared" si="1105"/>
        <v>10</v>
      </c>
      <c r="X493" s="232" t="str">
        <f t="shared" ref="X493:X503" si="1141">IF((MAX(U493,V493,W493))=0,"",IF((MAX(U493,V493,W493))=(MAX(Q493,R493,S493)),1,""))</f>
        <v/>
      </c>
      <c r="Y493" s="371"/>
      <c r="Z493" s="497">
        <v>10</v>
      </c>
      <c r="AA493" s="498">
        <v>10</v>
      </c>
      <c r="AB493" s="485">
        <f t="shared" si="1106"/>
        <v>80</v>
      </c>
      <c r="AC493" s="371"/>
      <c r="AD493" s="232" t="str">
        <f t="shared" si="1107"/>
        <v/>
      </c>
      <c r="AE493" s="232" t="str">
        <f t="shared" si="1108"/>
        <v/>
      </c>
      <c r="AF493" s="232">
        <f t="shared" si="1109"/>
        <v>80</v>
      </c>
      <c r="AG493" s="232">
        <f t="shared" ref="AG493:AG503" si="1142">IF((MAX(AD493,AE493,AF493))=0,"",IF((MAX(AD493,AE493,AF493))=(MAX(Z493,AA493,AB493)),1,""))</f>
        <v>1</v>
      </c>
      <c r="AH493" s="371"/>
      <c r="AI493" s="497">
        <v>70</v>
      </c>
      <c r="AJ493" s="498">
        <v>20</v>
      </c>
      <c r="AK493" s="485">
        <f t="shared" si="1110"/>
        <v>10</v>
      </c>
      <c r="AL493" s="371"/>
      <c r="AM493" s="232" t="str">
        <f t="shared" si="1111"/>
        <v/>
      </c>
      <c r="AN493" s="232" t="str">
        <f t="shared" si="1112"/>
        <v/>
      </c>
      <c r="AO493" s="232">
        <f t="shared" si="1113"/>
        <v>10</v>
      </c>
      <c r="AP493" s="232" t="str">
        <f t="shared" ref="AP493:AP503" si="1143">IF((MAX(AM493,AN493,AO493))=0,"",IF((MAX(AM493,AN493,AO493))=(MAX(AI493,AJ493,AK493)),1,""))</f>
        <v/>
      </c>
      <c r="AQ493" s="371"/>
      <c r="AR493" s="497">
        <v>10</v>
      </c>
      <c r="AS493" s="498">
        <v>30</v>
      </c>
      <c r="AT493" s="485">
        <f t="shared" si="1114"/>
        <v>60</v>
      </c>
      <c r="AU493" s="371"/>
      <c r="AV493" s="232" t="str">
        <f t="shared" si="1115"/>
        <v/>
      </c>
      <c r="AW493" s="232" t="str">
        <f t="shared" si="1116"/>
        <v/>
      </c>
      <c r="AX493" s="232">
        <f t="shared" si="1117"/>
        <v>60</v>
      </c>
      <c r="AY493" s="232">
        <f t="shared" ref="AY493:AY503" si="1144">IF((MAX(AV493,AW493,AX493))=0,"",IF((MAX(AV493,AW493,AX493))=(MAX(AR493,AS493,AT493)),1,""))</f>
        <v>1</v>
      </c>
      <c r="AZ493" s="371"/>
      <c r="BA493" s="497">
        <v>10</v>
      </c>
      <c r="BB493" s="498">
        <v>10</v>
      </c>
      <c r="BC493" s="485">
        <f t="shared" si="1118"/>
        <v>80</v>
      </c>
      <c r="BD493" s="371"/>
      <c r="BE493" s="232" t="str">
        <f t="shared" si="1119"/>
        <v/>
      </c>
      <c r="BF493" s="232" t="str">
        <f t="shared" si="1120"/>
        <v/>
      </c>
      <c r="BG493" s="232">
        <f t="shared" si="1121"/>
        <v>80</v>
      </c>
      <c r="BH493" s="232">
        <f t="shared" ref="BH493:BH503" si="1145">IF((MAX(BE493,BF493,BG493))=0,"",IF((MAX(BE493,BF493,BG493))=(MAX(BA493,BB493,BC493)),1,""))</f>
        <v>1</v>
      </c>
      <c r="BI493" s="371"/>
      <c r="BJ493" s="497">
        <v>10</v>
      </c>
      <c r="BK493" s="498">
        <v>10</v>
      </c>
      <c r="BL493" s="485">
        <f t="shared" si="1122"/>
        <v>80</v>
      </c>
      <c r="BM493" s="371"/>
      <c r="BN493" s="232" t="str">
        <f t="shared" si="1123"/>
        <v/>
      </c>
      <c r="BO493" s="232" t="str">
        <f t="shared" si="1124"/>
        <v/>
      </c>
      <c r="BP493" s="232">
        <f t="shared" si="1125"/>
        <v>80</v>
      </c>
      <c r="BQ493" s="232">
        <f t="shared" ref="BQ493:BQ503" si="1146">IF((MAX(BN493,BO493,BP493))=0,"",IF((MAX(BN493,BO493,BP493))=(MAX(BJ493,BK493,BL493)),1,""))</f>
        <v>1</v>
      </c>
      <c r="BR493" s="371"/>
      <c r="BS493" s="497">
        <v>10</v>
      </c>
      <c r="BT493" s="498">
        <v>10</v>
      </c>
      <c r="BU493" s="485">
        <f t="shared" si="1126"/>
        <v>80</v>
      </c>
      <c r="BV493" s="371"/>
      <c r="BW493" s="232" t="str">
        <f t="shared" si="1127"/>
        <v/>
      </c>
      <c r="BX493" s="232" t="str">
        <f t="shared" si="1128"/>
        <v/>
      </c>
      <c r="BY493" s="232">
        <f t="shared" si="1129"/>
        <v>80</v>
      </c>
      <c r="BZ493" s="232">
        <f t="shared" ref="BZ493:BZ503" si="1147">IF((MAX(BW493,BX493,BY493))=0,"",IF((MAX(BW493,BX493,BY493))=(MAX(BS493,BT493,BU493)),1,""))</f>
        <v>1</v>
      </c>
      <c r="CA493" s="371"/>
      <c r="CB493" s="504">
        <f t="shared" si="1130"/>
        <v>30</v>
      </c>
      <c r="CC493" s="505">
        <f t="shared" si="1131"/>
        <v>10</v>
      </c>
      <c r="CD493" s="506">
        <f t="shared" si="1132"/>
        <v>60</v>
      </c>
      <c r="CE493" s="371"/>
      <c r="CF493" s="232" t="str">
        <f t="shared" si="1133"/>
        <v/>
      </c>
      <c r="CG493" s="232" t="str">
        <f t="shared" si="1134"/>
        <v/>
      </c>
      <c r="CH493" s="232">
        <f t="shared" si="1135"/>
        <v>60</v>
      </c>
      <c r="CI493" s="232">
        <f t="shared" ref="CI493:CI503" si="1148">IF((MAX(CF493,CG493,CH493))=0,"",IF((MAX(CF493,CG493,CH493))=(MAX(CB493,CC493,CD493)),1,""))</f>
        <v>1</v>
      </c>
      <c r="CJ493" s="232"/>
      <c r="CK493" s="497">
        <v>20</v>
      </c>
      <c r="CL493" s="498">
        <v>30</v>
      </c>
      <c r="CM493" s="485">
        <f t="shared" si="1136"/>
        <v>50</v>
      </c>
      <c r="CN493" s="371"/>
      <c r="CO493" s="232" t="str">
        <f t="shared" si="1137"/>
        <v/>
      </c>
      <c r="CP493" s="232" t="str">
        <f t="shared" si="1138"/>
        <v/>
      </c>
      <c r="CQ493" s="232">
        <f t="shared" si="1139"/>
        <v>50</v>
      </c>
      <c r="CR493" s="232">
        <f t="shared" ref="CR493:CR503" si="1149">IF((MAX(CO493,CP493,CQ493))=0,"",IF((MAX(CO493,CP493,CQ493))=(MAX(CK493,CL493,CM493)),1,""))</f>
        <v>1</v>
      </c>
      <c r="CS493" s="232"/>
      <c r="CT493" s="371"/>
      <c r="CU493" s="296"/>
      <c r="CV493" s="246"/>
      <c r="CW493" s="264"/>
    </row>
    <row r="494" spans="1:101" ht="13.5" thickBot="1" x14ac:dyDescent="0.25">
      <c r="A494" s="264"/>
      <c r="B494" s="264"/>
      <c r="C494" s="202"/>
      <c r="D494" s="271">
        <v>3</v>
      </c>
      <c r="E494" s="168" t="s">
        <v>319</v>
      </c>
      <c r="F494" s="470">
        <v>5</v>
      </c>
      <c r="G494" s="476"/>
      <c r="H494" s="477">
        <v>2</v>
      </c>
      <c r="I494" s="392" t="str">
        <f t="shared" si="1100"/>
        <v>x</v>
      </c>
      <c r="J494" s="393" t="str">
        <f t="shared" si="1101"/>
        <v/>
      </c>
      <c r="K494" s="394" t="str">
        <f t="shared" si="1102"/>
        <v/>
      </c>
      <c r="L494" s="299"/>
      <c r="M494" s="375"/>
      <c r="N494" s="379"/>
      <c r="O494" s="236"/>
      <c r="P494" s="236"/>
      <c r="Q494" s="486">
        <v>80</v>
      </c>
      <c r="R494" s="487">
        <v>10</v>
      </c>
      <c r="S494" s="488">
        <f t="shared" si="1140"/>
        <v>10</v>
      </c>
      <c r="T494" s="371"/>
      <c r="U494" s="232">
        <f t="shared" si="1103"/>
        <v>80</v>
      </c>
      <c r="V494" s="232" t="str">
        <f t="shared" si="1104"/>
        <v/>
      </c>
      <c r="W494" s="232" t="str">
        <f t="shared" si="1105"/>
        <v/>
      </c>
      <c r="X494" s="232">
        <f t="shared" si="1141"/>
        <v>1</v>
      </c>
      <c r="Y494" s="371"/>
      <c r="Z494" s="499">
        <v>80</v>
      </c>
      <c r="AA494" s="500">
        <v>10</v>
      </c>
      <c r="AB494" s="488">
        <f t="shared" si="1106"/>
        <v>10</v>
      </c>
      <c r="AC494" s="371"/>
      <c r="AD494" s="232">
        <f t="shared" si="1107"/>
        <v>80</v>
      </c>
      <c r="AE494" s="232" t="str">
        <f t="shared" si="1108"/>
        <v/>
      </c>
      <c r="AF494" s="232" t="str">
        <f t="shared" si="1109"/>
        <v/>
      </c>
      <c r="AG494" s="232">
        <f t="shared" si="1142"/>
        <v>1</v>
      </c>
      <c r="AH494" s="371"/>
      <c r="AI494" s="499">
        <v>80</v>
      </c>
      <c r="AJ494" s="500">
        <v>10</v>
      </c>
      <c r="AK494" s="488">
        <f t="shared" si="1110"/>
        <v>10</v>
      </c>
      <c r="AL494" s="371"/>
      <c r="AM494" s="232">
        <f t="shared" si="1111"/>
        <v>80</v>
      </c>
      <c r="AN494" s="232" t="str">
        <f t="shared" si="1112"/>
        <v/>
      </c>
      <c r="AO494" s="232" t="str">
        <f t="shared" si="1113"/>
        <v/>
      </c>
      <c r="AP494" s="232">
        <f t="shared" si="1143"/>
        <v>1</v>
      </c>
      <c r="AQ494" s="371"/>
      <c r="AR494" s="499">
        <v>80</v>
      </c>
      <c r="AS494" s="500">
        <v>10</v>
      </c>
      <c r="AT494" s="488">
        <f t="shared" si="1114"/>
        <v>10</v>
      </c>
      <c r="AU494" s="371"/>
      <c r="AV494" s="232">
        <f t="shared" si="1115"/>
        <v>80</v>
      </c>
      <c r="AW494" s="232" t="str">
        <f t="shared" si="1116"/>
        <v/>
      </c>
      <c r="AX494" s="232" t="str">
        <f t="shared" si="1117"/>
        <v/>
      </c>
      <c r="AY494" s="232">
        <f t="shared" si="1144"/>
        <v>1</v>
      </c>
      <c r="AZ494" s="371"/>
      <c r="BA494" s="499">
        <v>80</v>
      </c>
      <c r="BB494" s="500">
        <v>10</v>
      </c>
      <c r="BC494" s="488">
        <f t="shared" si="1118"/>
        <v>10</v>
      </c>
      <c r="BD494" s="371"/>
      <c r="BE494" s="232">
        <f t="shared" si="1119"/>
        <v>80</v>
      </c>
      <c r="BF494" s="232" t="str">
        <f t="shared" si="1120"/>
        <v/>
      </c>
      <c r="BG494" s="232" t="str">
        <f t="shared" si="1121"/>
        <v/>
      </c>
      <c r="BH494" s="232">
        <f t="shared" si="1145"/>
        <v>1</v>
      </c>
      <c r="BI494" s="371"/>
      <c r="BJ494" s="499">
        <v>80</v>
      </c>
      <c r="BK494" s="500">
        <v>10</v>
      </c>
      <c r="BL494" s="488">
        <f t="shared" si="1122"/>
        <v>10</v>
      </c>
      <c r="BM494" s="371"/>
      <c r="BN494" s="232">
        <f t="shared" si="1123"/>
        <v>80</v>
      </c>
      <c r="BO494" s="232" t="str">
        <f t="shared" si="1124"/>
        <v/>
      </c>
      <c r="BP494" s="232" t="str">
        <f t="shared" si="1125"/>
        <v/>
      </c>
      <c r="BQ494" s="232">
        <f t="shared" si="1146"/>
        <v>1</v>
      </c>
      <c r="BR494" s="371"/>
      <c r="BS494" s="499">
        <v>80</v>
      </c>
      <c r="BT494" s="500">
        <v>10</v>
      </c>
      <c r="BU494" s="488">
        <f t="shared" si="1126"/>
        <v>10</v>
      </c>
      <c r="BV494" s="371"/>
      <c r="BW494" s="232">
        <f t="shared" si="1127"/>
        <v>80</v>
      </c>
      <c r="BX494" s="232" t="str">
        <f t="shared" si="1128"/>
        <v/>
      </c>
      <c r="BY494" s="232" t="str">
        <f t="shared" si="1129"/>
        <v/>
      </c>
      <c r="BZ494" s="232">
        <f t="shared" si="1147"/>
        <v>1</v>
      </c>
      <c r="CA494" s="371"/>
      <c r="CB494" s="507">
        <f t="shared" si="1130"/>
        <v>80</v>
      </c>
      <c r="CC494" s="508">
        <f t="shared" si="1131"/>
        <v>10</v>
      </c>
      <c r="CD494" s="509">
        <f t="shared" si="1132"/>
        <v>10</v>
      </c>
      <c r="CE494" s="371"/>
      <c r="CF494" s="232">
        <f t="shared" si="1133"/>
        <v>80</v>
      </c>
      <c r="CG494" s="232" t="str">
        <f t="shared" si="1134"/>
        <v/>
      </c>
      <c r="CH494" s="232" t="str">
        <f t="shared" si="1135"/>
        <v/>
      </c>
      <c r="CI494" s="232">
        <f t="shared" si="1148"/>
        <v>1</v>
      </c>
      <c r="CJ494" s="232"/>
      <c r="CK494" s="499">
        <v>80</v>
      </c>
      <c r="CL494" s="500">
        <v>10</v>
      </c>
      <c r="CM494" s="488">
        <f t="shared" si="1136"/>
        <v>10</v>
      </c>
      <c r="CN494" s="371"/>
      <c r="CO494" s="232">
        <f t="shared" si="1137"/>
        <v>80</v>
      </c>
      <c r="CP494" s="232" t="str">
        <f t="shared" si="1138"/>
        <v/>
      </c>
      <c r="CQ494" s="232" t="str">
        <f t="shared" si="1139"/>
        <v/>
      </c>
      <c r="CR494" s="232">
        <f t="shared" si="1149"/>
        <v>1</v>
      </c>
      <c r="CS494" s="232"/>
      <c r="CT494" s="371"/>
      <c r="CU494" s="296"/>
      <c r="CV494" s="246"/>
      <c r="CW494" s="264"/>
    </row>
    <row r="495" spans="1:101" x14ac:dyDescent="0.2">
      <c r="A495" s="264"/>
      <c r="B495" s="264"/>
      <c r="C495" s="202"/>
      <c r="D495" s="271">
        <v>4</v>
      </c>
      <c r="E495" s="166" t="s">
        <v>320</v>
      </c>
      <c r="F495" s="468">
        <v>2</v>
      </c>
      <c r="G495" s="472"/>
      <c r="H495" s="473">
        <v>3</v>
      </c>
      <c r="I495" s="170" t="str">
        <f t="shared" si="1100"/>
        <v/>
      </c>
      <c r="J495" s="387" t="str">
        <f t="shared" si="1101"/>
        <v/>
      </c>
      <c r="K495" s="388" t="str">
        <f t="shared" si="1102"/>
        <v>x</v>
      </c>
      <c r="L495" s="299"/>
      <c r="M495" s="375"/>
      <c r="N495" s="379"/>
      <c r="O495" s="236"/>
      <c r="P495" s="236"/>
      <c r="Q495" s="480">
        <v>80</v>
      </c>
      <c r="R495" s="481">
        <v>10</v>
      </c>
      <c r="S495" s="482">
        <f t="shared" si="1140"/>
        <v>10</v>
      </c>
      <c r="T495" s="371"/>
      <c r="U495" s="232" t="str">
        <f t="shared" si="1103"/>
        <v/>
      </c>
      <c r="V495" s="232" t="str">
        <f t="shared" si="1104"/>
        <v/>
      </c>
      <c r="W495" s="232">
        <f t="shared" si="1105"/>
        <v>10</v>
      </c>
      <c r="X495" s="232" t="str">
        <f t="shared" si="1141"/>
        <v/>
      </c>
      <c r="Y495" s="371"/>
      <c r="Z495" s="495">
        <v>80</v>
      </c>
      <c r="AA495" s="496">
        <v>10</v>
      </c>
      <c r="AB495" s="482">
        <f t="shared" si="1106"/>
        <v>10</v>
      </c>
      <c r="AC495" s="371"/>
      <c r="AD495" s="232" t="str">
        <f t="shared" si="1107"/>
        <v/>
      </c>
      <c r="AE495" s="232" t="str">
        <f t="shared" si="1108"/>
        <v/>
      </c>
      <c r="AF495" s="232">
        <f t="shared" si="1109"/>
        <v>10</v>
      </c>
      <c r="AG495" s="232" t="str">
        <f t="shared" si="1142"/>
        <v/>
      </c>
      <c r="AH495" s="371"/>
      <c r="AI495" s="495">
        <v>70</v>
      </c>
      <c r="AJ495" s="496">
        <v>10</v>
      </c>
      <c r="AK495" s="482">
        <f t="shared" si="1110"/>
        <v>20</v>
      </c>
      <c r="AL495" s="371"/>
      <c r="AM495" s="232" t="str">
        <f t="shared" si="1111"/>
        <v/>
      </c>
      <c r="AN495" s="232" t="str">
        <f t="shared" si="1112"/>
        <v/>
      </c>
      <c r="AO495" s="232">
        <f t="shared" si="1113"/>
        <v>20</v>
      </c>
      <c r="AP495" s="232" t="str">
        <f t="shared" si="1143"/>
        <v/>
      </c>
      <c r="AQ495" s="371"/>
      <c r="AR495" s="495">
        <v>60</v>
      </c>
      <c r="AS495" s="496">
        <v>30</v>
      </c>
      <c r="AT495" s="482">
        <f t="shared" si="1114"/>
        <v>10</v>
      </c>
      <c r="AU495" s="371"/>
      <c r="AV495" s="232" t="str">
        <f t="shared" si="1115"/>
        <v/>
      </c>
      <c r="AW495" s="232" t="str">
        <f t="shared" si="1116"/>
        <v/>
      </c>
      <c r="AX495" s="232">
        <f t="shared" si="1117"/>
        <v>10</v>
      </c>
      <c r="AY495" s="232" t="str">
        <f t="shared" si="1144"/>
        <v/>
      </c>
      <c r="AZ495" s="371"/>
      <c r="BA495" s="495">
        <v>80</v>
      </c>
      <c r="BB495" s="496">
        <v>10</v>
      </c>
      <c r="BC495" s="482">
        <f t="shared" si="1118"/>
        <v>10</v>
      </c>
      <c r="BD495" s="371"/>
      <c r="BE495" s="232" t="str">
        <f t="shared" si="1119"/>
        <v/>
      </c>
      <c r="BF495" s="232" t="str">
        <f t="shared" si="1120"/>
        <v/>
      </c>
      <c r="BG495" s="232">
        <f t="shared" si="1121"/>
        <v>10</v>
      </c>
      <c r="BH495" s="232" t="str">
        <f t="shared" si="1145"/>
        <v/>
      </c>
      <c r="BI495" s="371"/>
      <c r="BJ495" s="495">
        <v>10</v>
      </c>
      <c r="BK495" s="496">
        <v>10</v>
      </c>
      <c r="BL495" s="482">
        <f t="shared" si="1122"/>
        <v>80</v>
      </c>
      <c r="BM495" s="371"/>
      <c r="BN495" s="232" t="str">
        <f t="shared" si="1123"/>
        <v/>
      </c>
      <c r="BO495" s="232" t="str">
        <f t="shared" si="1124"/>
        <v/>
      </c>
      <c r="BP495" s="232">
        <f t="shared" si="1125"/>
        <v>80</v>
      </c>
      <c r="BQ495" s="232">
        <f t="shared" si="1146"/>
        <v>1</v>
      </c>
      <c r="BR495" s="371"/>
      <c r="BS495" s="495">
        <v>60</v>
      </c>
      <c r="BT495" s="496">
        <v>20</v>
      </c>
      <c r="BU495" s="482">
        <f t="shared" si="1126"/>
        <v>20</v>
      </c>
      <c r="BV495" s="371"/>
      <c r="BW495" s="232" t="str">
        <f t="shared" si="1127"/>
        <v/>
      </c>
      <c r="BX495" s="232" t="str">
        <f t="shared" si="1128"/>
        <v/>
      </c>
      <c r="BY495" s="232">
        <f t="shared" si="1129"/>
        <v>20</v>
      </c>
      <c r="BZ495" s="232" t="str">
        <f t="shared" si="1147"/>
        <v/>
      </c>
      <c r="CA495" s="371"/>
      <c r="CB495" s="501">
        <f t="shared" si="1130"/>
        <v>70</v>
      </c>
      <c r="CC495" s="502">
        <f t="shared" si="1131"/>
        <v>10</v>
      </c>
      <c r="CD495" s="503">
        <f t="shared" si="1132"/>
        <v>20</v>
      </c>
      <c r="CE495" s="371"/>
      <c r="CF495" s="232" t="str">
        <f t="shared" si="1133"/>
        <v/>
      </c>
      <c r="CG495" s="232" t="str">
        <f t="shared" si="1134"/>
        <v/>
      </c>
      <c r="CH495" s="232">
        <f t="shared" si="1135"/>
        <v>20</v>
      </c>
      <c r="CI495" s="232" t="str">
        <f t="shared" si="1148"/>
        <v/>
      </c>
      <c r="CJ495" s="232"/>
      <c r="CK495" s="495">
        <v>80</v>
      </c>
      <c r="CL495" s="496">
        <v>10</v>
      </c>
      <c r="CM495" s="482">
        <f t="shared" si="1136"/>
        <v>10</v>
      </c>
      <c r="CN495" s="371"/>
      <c r="CO495" s="232" t="str">
        <f t="shared" si="1137"/>
        <v/>
      </c>
      <c r="CP495" s="232" t="str">
        <f t="shared" si="1138"/>
        <v/>
      </c>
      <c r="CQ495" s="232">
        <f t="shared" si="1139"/>
        <v>10</v>
      </c>
      <c r="CR495" s="232" t="str">
        <f t="shared" si="1149"/>
        <v/>
      </c>
      <c r="CS495" s="232"/>
      <c r="CT495" s="371"/>
      <c r="CU495" s="296"/>
      <c r="CV495" s="246"/>
      <c r="CW495" s="264"/>
    </row>
    <row r="496" spans="1:101" x14ac:dyDescent="0.2">
      <c r="A496" s="264"/>
      <c r="B496" s="264"/>
      <c r="C496" s="202"/>
      <c r="D496" s="271">
        <v>5</v>
      </c>
      <c r="E496" s="167" t="s">
        <v>321</v>
      </c>
      <c r="F496" s="469">
        <v>0</v>
      </c>
      <c r="G496" s="474"/>
      <c r="H496" s="475">
        <v>1</v>
      </c>
      <c r="I496" s="389" t="str">
        <f t="shared" si="1100"/>
        <v/>
      </c>
      <c r="J496" s="390" t="str">
        <f t="shared" si="1101"/>
        <v/>
      </c>
      <c r="K496" s="391" t="str">
        <f t="shared" si="1102"/>
        <v>x</v>
      </c>
      <c r="L496" s="299"/>
      <c r="M496" s="375"/>
      <c r="N496" s="379"/>
      <c r="O496" s="236"/>
      <c r="P496" s="236"/>
      <c r="Q496" s="483">
        <v>40</v>
      </c>
      <c r="R496" s="484">
        <v>30</v>
      </c>
      <c r="S496" s="485">
        <f t="shared" si="1140"/>
        <v>30</v>
      </c>
      <c r="T496" s="371"/>
      <c r="U496" s="232" t="str">
        <f t="shared" si="1103"/>
        <v/>
      </c>
      <c r="V496" s="232" t="str">
        <f t="shared" si="1104"/>
        <v/>
      </c>
      <c r="W496" s="232">
        <f t="shared" si="1105"/>
        <v>30</v>
      </c>
      <c r="X496" s="232" t="str">
        <f t="shared" si="1141"/>
        <v/>
      </c>
      <c r="Y496" s="371"/>
      <c r="Z496" s="497">
        <v>10</v>
      </c>
      <c r="AA496" s="498">
        <v>80</v>
      </c>
      <c r="AB496" s="485">
        <f t="shared" si="1106"/>
        <v>10</v>
      </c>
      <c r="AC496" s="371"/>
      <c r="AD496" s="232" t="str">
        <f t="shared" si="1107"/>
        <v/>
      </c>
      <c r="AE496" s="232" t="str">
        <f t="shared" si="1108"/>
        <v/>
      </c>
      <c r="AF496" s="232">
        <f t="shared" si="1109"/>
        <v>10</v>
      </c>
      <c r="AG496" s="232" t="str">
        <f t="shared" si="1142"/>
        <v/>
      </c>
      <c r="AH496" s="371"/>
      <c r="AI496" s="497">
        <v>40</v>
      </c>
      <c r="AJ496" s="498">
        <v>40</v>
      </c>
      <c r="AK496" s="485">
        <f t="shared" si="1110"/>
        <v>20</v>
      </c>
      <c r="AL496" s="371"/>
      <c r="AM496" s="232" t="str">
        <f t="shared" si="1111"/>
        <v/>
      </c>
      <c r="AN496" s="232" t="str">
        <f t="shared" si="1112"/>
        <v/>
      </c>
      <c r="AO496" s="232">
        <f t="shared" si="1113"/>
        <v>20</v>
      </c>
      <c r="AP496" s="232" t="str">
        <f t="shared" si="1143"/>
        <v/>
      </c>
      <c r="AQ496" s="371"/>
      <c r="AR496" s="497">
        <v>20</v>
      </c>
      <c r="AS496" s="498">
        <v>30</v>
      </c>
      <c r="AT496" s="485">
        <f t="shared" si="1114"/>
        <v>50</v>
      </c>
      <c r="AU496" s="371"/>
      <c r="AV496" s="232" t="str">
        <f t="shared" si="1115"/>
        <v/>
      </c>
      <c r="AW496" s="232" t="str">
        <f t="shared" si="1116"/>
        <v/>
      </c>
      <c r="AX496" s="232">
        <f t="shared" si="1117"/>
        <v>50</v>
      </c>
      <c r="AY496" s="232">
        <f t="shared" si="1144"/>
        <v>1</v>
      </c>
      <c r="AZ496" s="371"/>
      <c r="BA496" s="497">
        <v>10</v>
      </c>
      <c r="BB496" s="498">
        <v>10</v>
      </c>
      <c r="BC496" s="485">
        <f t="shared" si="1118"/>
        <v>80</v>
      </c>
      <c r="BD496" s="371"/>
      <c r="BE496" s="232" t="str">
        <f t="shared" si="1119"/>
        <v/>
      </c>
      <c r="BF496" s="232" t="str">
        <f t="shared" si="1120"/>
        <v/>
      </c>
      <c r="BG496" s="232">
        <f t="shared" si="1121"/>
        <v>80</v>
      </c>
      <c r="BH496" s="232">
        <f t="shared" si="1145"/>
        <v>1</v>
      </c>
      <c r="BI496" s="371"/>
      <c r="BJ496" s="497">
        <v>10</v>
      </c>
      <c r="BK496" s="498">
        <v>10</v>
      </c>
      <c r="BL496" s="485">
        <f t="shared" si="1122"/>
        <v>80</v>
      </c>
      <c r="BM496" s="371"/>
      <c r="BN496" s="232" t="str">
        <f t="shared" si="1123"/>
        <v/>
      </c>
      <c r="BO496" s="232" t="str">
        <f t="shared" si="1124"/>
        <v/>
      </c>
      <c r="BP496" s="232">
        <f t="shared" si="1125"/>
        <v>80</v>
      </c>
      <c r="BQ496" s="232">
        <f t="shared" si="1146"/>
        <v>1</v>
      </c>
      <c r="BR496" s="371"/>
      <c r="BS496" s="497">
        <v>40</v>
      </c>
      <c r="BT496" s="498">
        <v>30</v>
      </c>
      <c r="BU496" s="485">
        <f t="shared" si="1126"/>
        <v>30</v>
      </c>
      <c r="BV496" s="371"/>
      <c r="BW496" s="232" t="str">
        <f t="shared" si="1127"/>
        <v/>
      </c>
      <c r="BX496" s="232" t="str">
        <f t="shared" si="1128"/>
        <v/>
      </c>
      <c r="BY496" s="232">
        <f t="shared" si="1129"/>
        <v>30</v>
      </c>
      <c r="BZ496" s="232" t="str">
        <f t="shared" si="1147"/>
        <v/>
      </c>
      <c r="CA496" s="371"/>
      <c r="CB496" s="504">
        <f t="shared" si="1130"/>
        <v>30</v>
      </c>
      <c r="CC496" s="505">
        <f t="shared" si="1131"/>
        <v>30</v>
      </c>
      <c r="CD496" s="506">
        <f t="shared" si="1132"/>
        <v>40</v>
      </c>
      <c r="CE496" s="371"/>
      <c r="CF496" s="232" t="str">
        <f t="shared" si="1133"/>
        <v/>
      </c>
      <c r="CG496" s="232" t="str">
        <f t="shared" si="1134"/>
        <v/>
      </c>
      <c r="CH496" s="232">
        <f t="shared" si="1135"/>
        <v>40</v>
      </c>
      <c r="CI496" s="232">
        <f t="shared" si="1148"/>
        <v>1</v>
      </c>
      <c r="CJ496" s="232"/>
      <c r="CK496" s="497">
        <v>20</v>
      </c>
      <c r="CL496" s="498">
        <v>70</v>
      </c>
      <c r="CM496" s="485">
        <f t="shared" si="1136"/>
        <v>10</v>
      </c>
      <c r="CN496" s="371"/>
      <c r="CO496" s="232" t="str">
        <f t="shared" si="1137"/>
        <v/>
      </c>
      <c r="CP496" s="232" t="str">
        <f t="shared" si="1138"/>
        <v/>
      </c>
      <c r="CQ496" s="232">
        <f t="shared" si="1139"/>
        <v>10</v>
      </c>
      <c r="CR496" s="232" t="str">
        <f t="shared" si="1149"/>
        <v/>
      </c>
      <c r="CS496" s="232"/>
      <c r="CT496" s="371"/>
      <c r="CU496" s="296"/>
      <c r="CV496" s="246"/>
      <c r="CW496" s="264"/>
    </row>
    <row r="497" spans="1:101" ht="13.5" thickBot="1" x14ac:dyDescent="0.25">
      <c r="A497" s="264"/>
      <c r="B497" s="264"/>
      <c r="C497" s="202"/>
      <c r="D497" s="271">
        <v>6</v>
      </c>
      <c r="E497" s="168" t="s">
        <v>322</v>
      </c>
      <c r="F497" s="470">
        <v>2</v>
      </c>
      <c r="G497" s="476"/>
      <c r="H497" s="477">
        <v>1</v>
      </c>
      <c r="I497" s="392" t="str">
        <f t="shared" si="1100"/>
        <v>x</v>
      </c>
      <c r="J497" s="393" t="str">
        <f t="shared" si="1101"/>
        <v/>
      </c>
      <c r="K497" s="394" t="str">
        <f t="shared" si="1102"/>
        <v/>
      </c>
      <c r="L497" s="299"/>
      <c r="M497" s="375"/>
      <c r="N497" s="379"/>
      <c r="O497" s="236"/>
      <c r="P497" s="236"/>
      <c r="Q497" s="489">
        <v>70</v>
      </c>
      <c r="R497" s="490">
        <v>20</v>
      </c>
      <c r="S497" s="491">
        <f t="shared" si="1140"/>
        <v>10</v>
      </c>
      <c r="T497" s="371"/>
      <c r="U497" s="232">
        <f t="shared" si="1103"/>
        <v>70</v>
      </c>
      <c r="V497" s="232" t="str">
        <f t="shared" si="1104"/>
        <v/>
      </c>
      <c r="W497" s="232" t="str">
        <f t="shared" si="1105"/>
        <v/>
      </c>
      <c r="X497" s="232">
        <f t="shared" si="1141"/>
        <v>1</v>
      </c>
      <c r="Y497" s="371"/>
      <c r="Z497" s="499">
        <v>80</v>
      </c>
      <c r="AA497" s="500">
        <v>10</v>
      </c>
      <c r="AB497" s="491">
        <f t="shared" si="1106"/>
        <v>10</v>
      </c>
      <c r="AC497" s="371"/>
      <c r="AD497" s="232">
        <f t="shared" si="1107"/>
        <v>80</v>
      </c>
      <c r="AE497" s="232" t="str">
        <f t="shared" si="1108"/>
        <v/>
      </c>
      <c r="AF497" s="232" t="str">
        <f t="shared" si="1109"/>
        <v/>
      </c>
      <c r="AG497" s="232">
        <f t="shared" si="1142"/>
        <v>1</v>
      </c>
      <c r="AH497" s="371"/>
      <c r="AI497" s="499">
        <v>80</v>
      </c>
      <c r="AJ497" s="500">
        <v>10</v>
      </c>
      <c r="AK497" s="491">
        <f t="shared" si="1110"/>
        <v>10</v>
      </c>
      <c r="AL497" s="371"/>
      <c r="AM497" s="232">
        <f t="shared" si="1111"/>
        <v>80</v>
      </c>
      <c r="AN497" s="232" t="str">
        <f t="shared" si="1112"/>
        <v/>
      </c>
      <c r="AO497" s="232" t="str">
        <f t="shared" si="1113"/>
        <v/>
      </c>
      <c r="AP497" s="232">
        <f t="shared" si="1143"/>
        <v>1</v>
      </c>
      <c r="AQ497" s="371"/>
      <c r="AR497" s="499">
        <v>60</v>
      </c>
      <c r="AS497" s="500">
        <v>30</v>
      </c>
      <c r="AT497" s="491">
        <f t="shared" si="1114"/>
        <v>10</v>
      </c>
      <c r="AU497" s="371"/>
      <c r="AV497" s="232">
        <f t="shared" si="1115"/>
        <v>60</v>
      </c>
      <c r="AW497" s="232" t="str">
        <f t="shared" si="1116"/>
        <v/>
      </c>
      <c r="AX497" s="232" t="str">
        <f t="shared" si="1117"/>
        <v/>
      </c>
      <c r="AY497" s="232">
        <f t="shared" si="1144"/>
        <v>1</v>
      </c>
      <c r="AZ497" s="371"/>
      <c r="BA497" s="499">
        <v>80</v>
      </c>
      <c r="BB497" s="500">
        <v>10</v>
      </c>
      <c r="BC497" s="491">
        <f t="shared" si="1118"/>
        <v>10</v>
      </c>
      <c r="BD497" s="371"/>
      <c r="BE497" s="232">
        <f t="shared" si="1119"/>
        <v>80</v>
      </c>
      <c r="BF497" s="232" t="str">
        <f t="shared" si="1120"/>
        <v/>
      </c>
      <c r="BG497" s="232" t="str">
        <f t="shared" si="1121"/>
        <v/>
      </c>
      <c r="BH497" s="232">
        <f t="shared" si="1145"/>
        <v>1</v>
      </c>
      <c r="BI497" s="371"/>
      <c r="BJ497" s="499">
        <v>80</v>
      </c>
      <c r="BK497" s="500">
        <v>10</v>
      </c>
      <c r="BL497" s="491">
        <f t="shared" si="1122"/>
        <v>10</v>
      </c>
      <c r="BM497" s="371"/>
      <c r="BN497" s="232">
        <f t="shared" si="1123"/>
        <v>80</v>
      </c>
      <c r="BO497" s="232" t="str">
        <f t="shared" si="1124"/>
        <v/>
      </c>
      <c r="BP497" s="232" t="str">
        <f t="shared" si="1125"/>
        <v/>
      </c>
      <c r="BQ497" s="232">
        <f t="shared" si="1146"/>
        <v>1</v>
      </c>
      <c r="BR497" s="371"/>
      <c r="BS497" s="499">
        <v>70</v>
      </c>
      <c r="BT497" s="500">
        <v>20</v>
      </c>
      <c r="BU497" s="491">
        <f t="shared" si="1126"/>
        <v>10</v>
      </c>
      <c r="BV497" s="371"/>
      <c r="BW497" s="232">
        <f t="shared" si="1127"/>
        <v>70</v>
      </c>
      <c r="BX497" s="232" t="str">
        <f t="shared" si="1128"/>
        <v/>
      </c>
      <c r="BY497" s="232" t="str">
        <f t="shared" si="1129"/>
        <v/>
      </c>
      <c r="BZ497" s="232">
        <f t="shared" si="1147"/>
        <v>1</v>
      </c>
      <c r="CA497" s="371"/>
      <c r="CB497" s="507">
        <f t="shared" si="1130"/>
        <v>80</v>
      </c>
      <c r="CC497" s="508">
        <f t="shared" si="1131"/>
        <v>10</v>
      </c>
      <c r="CD497" s="509">
        <f t="shared" si="1132"/>
        <v>10</v>
      </c>
      <c r="CE497" s="371"/>
      <c r="CF497" s="232">
        <f t="shared" si="1133"/>
        <v>80</v>
      </c>
      <c r="CG497" s="232" t="str">
        <f t="shared" si="1134"/>
        <v/>
      </c>
      <c r="CH497" s="232" t="str">
        <f t="shared" si="1135"/>
        <v/>
      </c>
      <c r="CI497" s="232">
        <f t="shared" si="1148"/>
        <v>1</v>
      </c>
      <c r="CJ497" s="232"/>
      <c r="CK497" s="499">
        <v>60</v>
      </c>
      <c r="CL497" s="500">
        <v>30</v>
      </c>
      <c r="CM497" s="491">
        <f t="shared" si="1136"/>
        <v>10</v>
      </c>
      <c r="CN497" s="371"/>
      <c r="CO497" s="232">
        <f t="shared" si="1137"/>
        <v>60</v>
      </c>
      <c r="CP497" s="232" t="str">
        <f t="shared" si="1138"/>
        <v/>
      </c>
      <c r="CQ497" s="232" t="str">
        <f t="shared" si="1139"/>
        <v/>
      </c>
      <c r="CR497" s="232">
        <f t="shared" si="1149"/>
        <v>1</v>
      </c>
      <c r="CS497" s="232"/>
      <c r="CT497" s="371"/>
      <c r="CU497" s="296"/>
      <c r="CV497" s="246"/>
      <c r="CW497" s="264"/>
    </row>
    <row r="498" spans="1:101" x14ac:dyDescent="0.2">
      <c r="A498" s="264"/>
      <c r="B498" s="264"/>
      <c r="C498" s="202"/>
      <c r="D498" s="271">
        <v>7</v>
      </c>
      <c r="E498" s="166" t="s">
        <v>323</v>
      </c>
      <c r="F498" s="468">
        <v>3</v>
      </c>
      <c r="G498" s="472"/>
      <c r="H498" s="473">
        <v>0</v>
      </c>
      <c r="I498" s="170" t="str">
        <f t="shared" si="1100"/>
        <v>x</v>
      </c>
      <c r="J498" s="387" t="str">
        <f t="shared" si="1101"/>
        <v/>
      </c>
      <c r="K498" s="388" t="str">
        <f t="shared" si="1102"/>
        <v/>
      </c>
      <c r="L498" s="299"/>
      <c r="M498" s="375"/>
      <c r="N498" s="379"/>
      <c r="O498" s="236"/>
      <c r="P498" s="236"/>
      <c r="Q498" s="480">
        <v>70</v>
      </c>
      <c r="R498" s="481">
        <v>20</v>
      </c>
      <c r="S498" s="482">
        <f t="shared" si="1140"/>
        <v>10</v>
      </c>
      <c r="T498" s="371"/>
      <c r="U498" s="232">
        <f t="shared" si="1103"/>
        <v>70</v>
      </c>
      <c r="V498" s="232" t="str">
        <f t="shared" si="1104"/>
        <v/>
      </c>
      <c r="W498" s="232" t="str">
        <f t="shared" si="1105"/>
        <v/>
      </c>
      <c r="X498" s="232">
        <f t="shared" si="1141"/>
        <v>1</v>
      </c>
      <c r="Y498" s="371"/>
      <c r="Z498" s="495">
        <v>80</v>
      </c>
      <c r="AA498" s="496">
        <v>10</v>
      </c>
      <c r="AB498" s="482">
        <f t="shared" si="1106"/>
        <v>10</v>
      </c>
      <c r="AC498" s="371"/>
      <c r="AD498" s="232">
        <f t="shared" si="1107"/>
        <v>80</v>
      </c>
      <c r="AE498" s="232" t="str">
        <f t="shared" si="1108"/>
        <v/>
      </c>
      <c r="AF498" s="232" t="str">
        <f t="shared" si="1109"/>
        <v/>
      </c>
      <c r="AG498" s="232">
        <f t="shared" si="1142"/>
        <v>1</v>
      </c>
      <c r="AH498" s="371"/>
      <c r="AI498" s="495">
        <v>70</v>
      </c>
      <c r="AJ498" s="496">
        <v>20</v>
      </c>
      <c r="AK498" s="482">
        <f t="shared" si="1110"/>
        <v>10</v>
      </c>
      <c r="AL498" s="371"/>
      <c r="AM498" s="232">
        <f t="shared" si="1111"/>
        <v>70</v>
      </c>
      <c r="AN498" s="232" t="str">
        <f t="shared" si="1112"/>
        <v/>
      </c>
      <c r="AO498" s="232" t="str">
        <f t="shared" si="1113"/>
        <v/>
      </c>
      <c r="AP498" s="232">
        <f t="shared" si="1143"/>
        <v>1</v>
      </c>
      <c r="AQ498" s="371"/>
      <c r="AR498" s="495">
        <v>80</v>
      </c>
      <c r="AS498" s="496">
        <v>10</v>
      </c>
      <c r="AT498" s="482">
        <f t="shared" si="1114"/>
        <v>10</v>
      </c>
      <c r="AU498" s="371"/>
      <c r="AV498" s="232">
        <f t="shared" si="1115"/>
        <v>80</v>
      </c>
      <c r="AW498" s="232" t="str">
        <f t="shared" si="1116"/>
        <v/>
      </c>
      <c r="AX498" s="232" t="str">
        <f t="shared" si="1117"/>
        <v/>
      </c>
      <c r="AY498" s="232">
        <f t="shared" si="1144"/>
        <v>1</v>
      </c>
      <c r="AZ498" s="371"/>
      <c r="BA498" s="495">
        <v>80</v>
      </c>
      <c r="BB498" s="496">
        <v>10</v>
      </c>
      <c r="BC498" s="482">
        <f t="shared" si="1118"/>
        <v>10</v>
      </c>
      <c r="BD498" s="371"/>
      <c r="BE498" s="232">
        <f t="shared" si="1119"/>
        <v>80</v>
      </c>
      <c r="BF498" s="232" t="str">
        <f t="shared" si="1120"/>
        <v/>
      </c>
      <c r="BG498" s="232" t="str">
        <f t="shared" si="1121"/>
        <v/>
      </c>
      <c r="BH498" s="232">
        <f t="shared" si="1145"/>
        <v>1</v>
      </c>
      <c r="BI498" s="371"/>
      <c r="BJ498" s="495">
        <v>80</v>
      </c>
      <c r="BK498" s="496">
        <v>10</v>
      </c>
      <c r="BL498" s="482">
        <f t="shared" si="1122"/>
        <v>10</v>
      </c>
      <c r="BM498" s="371"/>
      <c r="BN498" s="232">
        <f t="shared" si="1123"/>
        <v>80</v>
      </c>
      <c r="BO498" s="232" t="str">
        <f t="shared" si="1124"/>
        <v/>
      </c>
      <c r="BP498" s="232" t="str">
        <f t="shared" si="1125"/>
        <v/>
      </c>
      <c r="BQ498" s="232">
        <f t="shared" si="1146"/>
        <v>1</v>
      </c>
      <c r="BR498" s="371"/>
      <c r="BS498" s="495">
        <v>50</v>
      </c>
      <c r="BT498" s="496">
        <v>40</v>
      </c>
      <c r="BU498" s="482">
        <f t="shared" si="1126"/>
        <v>10</v>
      </c>
      <c r="BV498" s="371"/>
      <c r="BW498" s="232">
        <f t="shared" si="1127"/>
        <v>50</v>
      </c>
      <c r="BX498" s="232" t="str">
        <f t="shared" si="1128"/>
        <v/>
      </c>
      <c r="BY498" s="232" t="str">
        <f t="shared" si="1129"/>
        <v/>
      </c>
      <c r="BZ498" s="232">
        <f t="shared" si="1147"/>
        <v>1</v>
      </c>
      <c r="CA498" s="371"/>
      <c r="CB498" s="501">
        <f t="shared" si="1130"/>
        <v>80</v>
      </c>
      <c r="CC498" s="502">
        <f t="shared" si="1131"/>
        <v>10</v>
      </c>
      <c r="CD498" s="503">
        <f t="shared" si="1132"/>
        <v>10</v>
      </c>
      <c r="CE498" s="371"/>
      <c r="CF498" s="232">
        <f t="shared" si="1133"/>
        <v>80</v>
      </c>
      <c r="CG498" s="232" t="str">
        <f t="shared" si="1134"/>
        <v/>
      </c>
      <c r="CH498" s="232" t="str">
        <f t="shared" si="1135"/>
        <v/>
      </c>
      <c r="CI498" s="232">
        <f t="shared" si="1148"/>
        <v>1</v>
      </c>
      <c r="CJ498" s="232"/>
      <c r="CK498" s="495">
        <v>80</v>
      </c>
      <c r="CL498" s="496">
        <v>10</v>
      </c>
      <c r="CM498" s="482">
        <f t="shared" si="1136"/>
        <v>10</v>
      </c>
      <c r="CN498" s="371"/>
      <c r="CO498" s="232">
        <f t="shared" si="1137"/>
        <v>80</v>
      </c>
      <c r="CP498" s="232" t="str">
        <f t="shared" si="1138"/>
        <v/>
      </c>
      <c r="CQ498" s="232" t="str">
        <f t="shared" si="1139"/>
        <v/>
      </c>
      <c r="CR498" s="232">
        <f t="shared" si="1149"/>
        <v>1</v>
      </c>
      <c r="CS498" s="232"/>
      <c r="CT498" s="371"/>
      <c r="CU498" s="300"/>
      <c r="CV498" s="246"/>
      <c r="CW498" s="264"/>
    </row>
    <row r="499" spans="1:101" x14ac:dyDescent="0.2">
      <c r="A499" s="264"/>
      <c r="B499" s="264"/>
      <c r="C499" s="202"/>
      <c r="D499" s="271">
        <v>8</v>
      </c>
      <c r="E499" s="167" t="s">
        <v>324</v>
      </c>
      <c r="F499" s="469">
        <v>2</v>
      </c>
      <c r="G499" s="474"/>
      <c r="H499" s="475">
        <v>1</v>
      </c>
      <c r="I499" s="389" t="str">
        <f t="shared" si="1100"/>
        <v>x</v>
      </c>
      <c r="J499" s="390" t="str">
        <f t="shared" si="1101"/>
        <v/>
      </c>
      <c r="K499" s="391" t="str">
        <f t="shared" si="1102"/>
        <v/>
      </c>
      <c r="L499" s="299"/>
      <c r="M499" s="375"/>
      <c r="N499" s="379"/>
      <c r="O499" s="236"/>
      <c r="P499" s="236"/>
      <c r="Q499" s="483">
        <v>70</v>
      </c>
      <c r="R499" s="484">
        <v>20</v>
      </c>
      <c r="S499" s="485">
        <f t="shared" si="1140"/>
        <v>10</v>
      </c>
      <c r="T499" s="371"/>
      <c r="U499" s="232">
        <f t="shared" si="1103"/>
        <v>70</v>
      </c>
      <c r="V499" s="232" t="str">
        <f t="shared" si="1104"/>
        <v/>
      </c>
      <c r="W499" s="232" t="str">
        <f t="shared" si="1105"/>
        <v/>
      </c>
      <c r="X499" s="232">
        <f t="shared" si="1141"/>
        <v>1</v>
      </c>
      <c r="Y499" s="371"/>
      <c r="Z499" s="497">
        <v>80</v>
      </c>
      <c r="AA499" s="498">
        <v>10</v>
      </c>
      <c r="AB499" s="485">
        <f t="shared" si="1106"/>
        <v>10</v>
      </c>
      <c r="AC499" s="371"/>
      <c r="AD499" s="232">
        <f t="shared" si="1107"/>
        <v>80</v>
      </c>
      <c r="AE499" s="232" t="str">
        <f t="shared" si="1108"/>
        <v/>
      </c>
      <c r="AF499" s="232" t="str">
        <f t="shared" si="1109"/>
        <v/>
      </c>
      <c r="AG499" s="232">
        <f t="shared" si="1142"/>
        <v>1</v>
      </c>
      <c r="AH499" s="371"/>
      <c r="AI499" s="497">
        <v>80</v>
      </c>
      <c r="AJ499" s="498">
        <v>10</v>
      </c>
      <c r="AK499" s="485">
        <f t="shared" si="1110"/>
        <v>10</v>
      </c>
      <c r="AL499" s="371"/>
      <c r="AM499" s="232">
        <f t="shared" si="1111"/>
        <v>80</v>
      </c>
      <c r="AN499" s="232" t="str">
        <f t="shared" si="1112"/>
        <v/>
      </c>
      <c r="AO499" s="232" t="str">
        <f t="shared" si="1113"/>
        <v/>
      </c>
      <c r="AP499" s="232">
        <f t="shared" si="1143"/>
        <v>1</v>
      </c>
      <c r="AQ499" s="371"/>
      <c r="AR499" s="497">
        <v>20</v>
      </c>
      <c r="AS499" s="498">
        <v>60</v>
      </c>
      <c r="AT499" s="485">
        <f t="shared" si="1114"/>
        <v>20</v>
      </c>
      <c r="AU499" s="371"/>
      <c r="AV499" s="232">
        <f t="shared" si="1115"/>
        <v>20</v>
      </c>
      <c r="AW499" s="232" t="str">
        <f t="shared" si="1116"/>
        <v/>
      </c>
      <c r="AX499" s="232" t="str">
        <f t="shared" si="1117"/>
        <v/>
      </c>
      <c r="AY499" s="232" t="str">
        <f t="shared" si="1144"/>
        <v/>
      </c>
      <c r="AZ499" s="371"/>
      <c r="BA499" s="497">
        <v>80</v>
      </c>
      <c r="BB499" s="498">
        <v>10</v>
      </c>
      <c r="BC499" s="485">
        <f t="shared" si="1118"/>
        <v>10</v>
      </c>
      <c r="BD499" s="371"/>
      <c r="BE499" s="232">
        <f t="shared" si="1119"/>
        <v>80</v>
      </c>
      <c r="BF499" s="232" t="str">
        <f t="shared" si="1120"/>
        <v/>
      </c>
      <c r="BG499" s="232" t="str">
        <f t="shared" si="1121"/>
        <v/>
      </c>
      <c r="BH499" s="232">
        <f t="shared" si="1145"/>
        <v>1</v>
      </c>
      <c r="BI499" s="371"/>
      <c r="BJ499" s="497">
        <v>30</v>
      </c>
      <c r="BK499" s="498">
        <v>40</v>
      </c>
      <c r="BL499" s="485">
        <f t="shared" si="1122"/>
        <v>30</v>
      </c>
      <c r="BM499" s="371"/>
      <c r="BN499" s="232">
        <f t="shared" si="1123"/>
        <v>30</v>
      </c>
      <c r="BO499" s="232" t="str">
        <f t="shared" si="1124"/>
        <v/>
      </c>
      <c r="BP499" s="232" t="str">
        <f t="shared" si="1125"/>
        <v/>
      </c>
      <c r="BQ499" s="232" t="str">
        <f t="shared" si="1146"/>
        <v/>
      </c>
      <c r="BR499" s="371"/>
      <c r="BS499" s="497">
        <v>40</v>
      </c>
      <c r="BT499" s="498">
        <v>20</v>
      </c>
      <c r="BU499" s="485">
        <f t="shared" si="1126"/>
        <v>40</v>
      </c>
      <c r="BV499" s="371"/>
      <c r="BW499" s="232">
        <f t="shared" si="1127"/>
        <v>40</v>
      </c>
      <c r="BX499" s="232" t="str">
        <f t="shared" si="1128"/>
        <v/>
      </c>
      <c r="BY499" s="232" t="str">
        <f t="shared" si="1129"/>
        <v/>
      </c>
      <c r="BZ499" s="232">
        <f t="shared" si="1147"/>
        <v>1</v>
      </c>
      <c r="CA499" s="371"/>
      <c r="CB499" s="504">
        <f t="shared" si="1130"/>
        <v>60</v>
      </c>
      <c r="CC499" s="505">
        <f t="shared" si="1131"/>
        <v>20</v>
      </c>
      <c r="CD499" s="506">
        <f t="shared" si="1132"/>
        <v>20</v>
      </c>
      <c r="CE499" s="371"/>
      <c r="CF499" s="232">
        <f t="shared" si="1133"/>
        <v>60</v>
      </c>
      <c r="CG499" s="232" t="str">
        <f t="shared" si="1134"/>
        <v/>
      </c>
      <c r="CH499" s="232" t="str">
        <f t="shared" si="1135"/>
        <v/>
      </c>
      <c r="CI499" s="232">
        <f t="shared" si="1148"/>
        <v>1</v>
      </c>
      <c r="CJ499" s="232"/>
      <c r="CK499" s="497">
        <v>50</v>
      </c>
      <c r="CL499" s="498">
        <v>40</v>
      </c>
      <c r="CM499" s="485">
        <f t="shared" si="1136"/>
        <v>10</v>
      </c>
      <c r="CN499" s="371"/>
      <c r="CO499" s="232">
        <f t="shared" si="1137"/>
        <v>50</v>
      </c>
      <c r="CP499" s="232" t="str">
        <f t="shared" si="1138"/>
        <v/>
      </c>
      <c r="CQ499" s="232" t="str">
        <f t="shared" si="1139"/>
        <v/>
      </c>
      <c r="CR499" s="232">
        <f t="shared" si="1149"/>
        <v>1</v>
      </c>
      <c r="CS499" s="232"/>
      <c r="CT499" s="371"/>
      <c r="CU499" s="300"/>
      <c r="CV499" s="246"/>
      <c r="CW499" s="264"/>
    </row>
    <row r="500" spans="1:101" ht="13.5" thickBot="1" x14ac:dyDescent="0.25">
      <c r="A500" s="264"/>
      <c r="B500" s="264"/>
      <c r="C500" s="202"/>
      <c r="D500" s="271">
        <v>9</v>
      </c>
      <c r="E500" s="168" t="s">
        <v>325</v>
      </c>
      <c r="F500" s="470">
        <v>0</v>
      </c>
      <c r="G500" s="476"/>
      <c r="H500" s="477">
        <v>2</v>
      </c>
      <c r="I500" s="392" t="str">
        <f t="shared" si="1100"/>
        <v/>
      </c>
      <c r="J500" s="393" t="str">
        <f t="shared" si="1101"/>
        <v/>
      </c>
      <c r="K500" s="394" t="str">
        <f t="shared" si="1102"/>
        <v>x</v>
      </c>
      <c r="L500" s="299"/>
      <c r="M500" s="375"/>
      <c r="N500" s="379"/>
      <c r="O500" s="236"/>
      <c r="P500" s="236"/>
      <c r="Q500" s="489">
        <v>20</v>
      </c>
      <c r="R500" s="490">
        <v>70</v>
      </c>
      <c r="S500" s="491">
        <f t="shared" si="1140"/>
        <v>10</v>
      </c>
      <c r="T500" s="371"/>
      <c r="U500" s="232" t="str">
        <f t="shared" si="1103"/>
        <v/>
      </c>
      <c r="V500" s="232" t="str">
        <f t="shared" si="1104"/>
        <v/>
      </c>
      <c r="W500" s="232">
        <f t="shared" si="1105"/>
        <v>10</v>
      </c>
      <c r="X500" s="232" t="str">
        <f t="shared" si="1141"/>
        <v/>
      </c>
      <c r="Y500" s="371"/>
      <c r="Z500" s="499">
        <v>80</v>
      </c>
      <c r="AA500" s="500">
        <v>10</v>
      </c>
      <c r="AB500" s="491">
        <f t="shared" si="1106"/>
        <v>10</v>
      </c>
      <c r="AC500" s="371"/>
      <c r="AD500" s="232" t="str">
        <f t="shared" si="1107"/>
        <v/>
      </c>
      <c r="AE500" s="232" t="str">
        <f t="shared" si="1108"/>
        <v/>
      </c>
      <c r="AF500" s="232">
        <f t="shared" si="1109"/>
        <v>10</v>
      </c>
      <c r="AG500" s="232" t="str">
        <f t="shared" si="1142"/>
        <v/>
      </c>
      <c r="AH500" s="371"/>
      <c r="AI500" s="499">
        <v>20</v>
      </c>
      <c r="AJ500" s="500">
        <v>30</v>
      </c>
      <c r="AK500" s="491">
        <f t="shared" si="1110"/>
        <v>50</v>
      </c>
      <c r="AL500" s="371"/>
      <c r="AM500" s="232" t="str">
        <f t="shared" si="1111"/>
        <v/>
      </c>
      <c r="AN500" s="232" t="str">
        <f t="shared" si="1112"/>
        <v/>
      </c>
      <c r="AO500" s="232">
        <f t="shared" si="1113"/>
        <v>50</v>
      </c>
      <c r="AP500" s="232">
        <f t="shared" si="1143"/>
        <v>1</v>
      </c>
      <c r="AQ500" s="371"/>
      <c r="AR500" s="499">
        <v>20</v>
      </c>
      <c r="AS500" s="500">
        <v>30</v>
      </c>
      <c r="AT500" s="491">
        <f t="shared" si="1114"/>
        <v>50</v>
      </c>
      <c r="AU500" s="371"/>
      <c r="AV500" s="232" t="str">
        <f t="shared" si="1115"/>
        <v/>
      </c>
      <c r="AW500" s="232" t="str">
        <f t="shared" si="1116"/>
        <v/>
      </c>
      <c r="AX500" s="232">
        <f t="shared" si="1117"/>
        <v>50</v>
      </c>
      <c r="AY500" s="232">
        <f t="shared" si="1144"/>
        <v>1</v>
      </c>
      <c r="AZ500" s="371"/>
      <c r="BA500" s="499">
        <v>10</v>
      </c>
      <c r="BB500" s="500">
        <v>10</v>
      </c>
      <c r="BC500" s="491">
        <f t="shared" si="1118"/>
        <v>80</v>
      </c>
      <c r="BD500" s="371"/>
      <c r="BE500" s="232" t="str">
        <f t="shared" si="1119"/>
        <v/>
      </c>
      <c r="BF500" s="232" t="str">
        <f t="shared" si="1120"/>
        <v/>
      </c>
      <c r="BG500" s="232">
        <f t="shared" si="1121"/>
        <v>80</v>
      </c>
      <c r="BH500" s="232">
        <f t="shared" si="1145"/>
        <v>1</v>
      </c>
      <c r="BI500" s="371"/>
      <c r="BJ500" s="499">
        <v>20</v>
      </c>
      <c r="BK500" s="500">
        <v>60</v>
      </c>
      <c r="BL500" s="491">
        <f t="shared" si="1122"/>
        <v>20</v>
      </c>
      <c r="BM500" s="371"/>
      <c r="BN500" s="232" t="str">
        <f t="shared" si="1123"/>
        <v/>
      </c>
      <c r="BO500" s="232" t="str">
        <f t="shared" si="1124"/>
        <v/>
      </c>
      <c r="BP500" s="232">
        <f t="shared" si="1125"/>
        <v>20</v>
      </c>
      <c r="BQ500" s="232" t="str">
        <f t="shared" si="1146"/>
        <v/>
      </c>
      <c r="BR500" s="371"/>
      <c r="BS500" s="499">
        <v>20</v>
      </c>
      <c r="BT500" s="500">
        <v>60</v>
      </c>
      <c r="BU500" s="491">
        <f t="shared" si="1126"/>
        <v>20</v>
      </c>
      <c r="BV500" s="371"/>
      <c r="BW500" s="232" t="str">
        <f t="shared" si="1127"/>
        <v/>
      </c>
      <c r="BX500" s="232" t="str">
        <f t="shared" si="1128"/>
        <v/>
      </c>
      <c r="BY500" s="232">
        <f t="shared" si="1129"/>
        <v>20</v>
      </c>
      <c r="BZ500" s="232" t="str">
        <f t="shared" si="1147"/>
        <v/>
      </c>
      <c r="CA500" s="371"/>
      <c r="CB500" s="507">
        <f t="shared" si="1130"/>
        <v>30</v>
      </c>
      <c r="CC500" s="508">
        <f t="shared" si="1131"/>
        <v>30</v>
      </c>
      <c r="CD500" s="509">
        <f t="shared" si="1132"/>
        <v>40</v>
      </c>
      <c r="CE500" s="371"/>
      <c r="CF500" s="232" t="str">
        <f t="shared" si="1133"/>
        <v/>
      </c>
      <c r="CG500" s="232" t="str">
        <f t="shared" si="1134"/>
        <v/>
      </c>
      <c r="CH500" s="232">
        <f t="shared" si="1135"/>
        <v>40</v>
      </c>
      <c r="CI500" s="232">
        <f t="shared" si="1148"/>
        <v>1</v>
      </c>
      <c r="CJ500" s="232"/>
      <c r="CK500" s="499">
        <v>40</v>
      </c>
      <c r="CL500" s="500">
        <v>40</v>
      </c>
      <c r="CM500" s="491">
        <f t="shared" si="1136"/>
        <v>20</v>
      </c>
      <c r="CN500" s="371"/>
      <c r="CO500" s="232" t="str">
        <f t="shared" si="1137"/>
        <v/>
      </c>
      <c r="CP500" s="232" t="str">
        <f t="shared" si="1138"/>
        <v/>
      </c>
      <c r="CQ500" s="232">
        <f t="shared" si="1139"/>
        <v>20</v>
      </c>
      <c r="CR500" s="232" t="str">
        <f t="shared" si="1149"/>
        <v/>
      </c>
      <c r="CS500" s="232"/>
      <c r="CT500" s="371"/>
      <c r="CU500" s="300"/>
      <c r="CV500" s="246"/>
      <c r="CW500" s="264"/>
    </row>
    <row r="501" spans="1:101" x14ac:dyDescent="0.2">
      <c r="A501" s="264"/>
      <c r="B501" s="264"/>
      <c r="C501" s="202"/>
      <c r="D501" s="271">
        <v>10</v>
      </c>
      <c r="E501" s="169" t="s">
        <v>326</v>
      </c>
      <c r="F501" s="471">
        <v>0</v>
      </c>
      <c r="G501" s="478"/>
      <c r="H501" s="479">
        <v>2</v>
      </c>
      <c r="I501" s="170" t="str">
        <f t="shared" si="1100"/>
        <v/>
      </c>
      <c r="J501" s="387" t="str">
        <f t="shared" si="1101"/>
        <v/>
      </c>
      <c r="K501" s="388" t="str">
        <f t="shared" si="1102"/>
        <v>x</v>
      </c>
      <c r="L501" s="299"/>
      <c r="M501" s="375"/>
      <c r="N501" s="379"/>
      <c r="O501" s="236"/>
      <c r="P501" s="236"/>
      <c r="Q501" s="492">
        <v>20</v>
      </c>
      <c r="R501" s="493">
        <v>60</v>
      </c>
      <c r="S501" s="494">
        <f t="shared" si="1140"/>
        <v>20</v>
      </c>
      <c r="T501" s="371"/>
      <c r="U501" s="232" t="str">
        <f t="shared" si="1103"/>
        <v/>
      </c>
      <c r="V501" s="232" t="str">
        <f t="shared" si="1104"/>
        <v/>
      </c>
      <c r="W501" s="232">
        <f t="shared" si="1105"/>
        <v>20</v>
      </c>
      <c r="X501" s="232" t="str">
        <f t="shared" si="1141"/>
        <v/>
      </c>
      <c r="Y501" s="371"/>
      <c r="Z501" s="495">
        <v>80</v>
      </c>
      <c r="AA501" s="496">
        <v>10</v>
      </c>
      <c r="AB501" s="494">
        <f t="shared" si="1106"/>
        <v>10</v>
      </c>
      <c r="AC501" s="371"/>
      <c r="AD501" s="232" t="str">
        <f t="shared" si="1107"/>
        <v/>
      </c>
      <c r="AE501" s="232" t="str">
        <f t="shared" si="1108"/>
        <v/>
      </c>
      <c r="AF501" s="232">
        <f t="shared" si="1109"/>
        <v>10</v>
      </c>
      <c r="AG501" s="232" t="str">
        <f t="shared" si="1142"/>
        <v/>
      </c>
      <c r="AH501" s="371"/>
      <c r="AI501" s="495">
        <v>50</v>
      </c>
      <c r="AJ501" s="496">
        <v>20</v>
      </c>
      <c r="AK501" s="494">
        <f t="shared" si="1110"/>
        <v>30</v>
      </c>
      <c r="AL501" s="371"/>
      <c r="AM501" s="232" t="str">
        <f t="shared" si="1111"/>
        <v/>
      </c>
      <c r="AN501" s="232" t="str">
        <f t="shared" si="1112"/>
        <v/>
      </c>
      <c r="AO501" s="232">
        <f t="shared" si="1113"/>
        <v>30</v>
      </c>
      <c r="AP501" s="232" t="str">
        <f t="shared" si="1143"/>
        <v/>
      </c>
      <c r="AQ501" s="371"/>
      <c r="AR501" s="495">
        <v>50</v>
      </c>
      <c r="AS501" s="496">
        <v>40</v>
      </c>
      <c r="AT501" s="494">
        <f t="shared" si="1114"/>
        <v>10</v>
      </c>
      <c r="AU501" s="371"/>
      <c r="AV501" s="232" t="str">
        <f t="shared" si="1115"/>
        <v/>
      </c>
      <c r="AW501" s="232" t="str">
        <f t="shared" si="1116"/>
        <v/>
      </c>
      <c r="AX501" s="232">
        <f t="shared" si="1117"/>
        <v>10</v>
      </c>
      <c r="AY501" s="232" t="str">
        <f t="shared" si="1144"/>
        <v/>
      </c>
      <c r="AZ501" s="371"/>
      <c r="BA501" s="495">
        <v>80</v>
      </c>
      <c r="BB501" s="496">
        <v>10</v>
      </c>
      <c r="BC501" s="494">
        <f t="shared" si="1118"/>
        <v>10</v>
      </c>
      <c r="BD501" s="371"/>
      <c r="BE501" s="232" t="str">
        <f t="shared" si="1119"/>
        <v/>
      </c>
      <c r="BF501" s="232" t="str">
        <f t="shared" si="1120"/>
        <v/>
      </c>
      <c r="BG501" s="232">
        <f t="shared" si="1121"/>
        <v>10</v>
      </c>
      <c r="BH501" s="232" t="str">
        <f t="shared" si="1145"/>
        <v/>
      </c>
      <c r="BI501" s="371"/>
      <c r="BJ501" s="495">
        <v>20</v>
      </c>
      <c r="BK501" s="496">
        <v>60</v>
      </c>
      <c r="BL501" s="494">
        <f t="shared" si="1122"/>
        <v>20</v>
      </c>
      <c r="BM501" s="371"/>
      <c r="BN501" s="232" t="str">
        <f t="shared" si="1123"/>
        <v/>
      </c>
      <c r="BO501" s="232" t="str">
        <f t="shared" si="1124"/>
        <v/>
      </c>
      <c r="BP501" s="232">
        <f t="shared" si="1125"/>
        <v>20</v>
      </c>
      <c r="BQ501" s="232" t="str">
        <f t="shared" si="1146"/>
        <v/>
      </c>
      <c r="BR501" s="371"/>
      <c r="BS501" s="495">
        <v>50</v>
      </c>
      <c r="BT501" s="496">
        <v>40</v>
      </c>
      <c r="BU501" s="494">
        <f t="shared" si="1126"/>
        <v>10</v>
      </c>
      <c r="BV501" s="371"/>
      <c r="BW501" s="232" t="str">
        <f t="shared" si="1127"/>
        <v/>
      </c>
      <c r="BX501" s="232" t="str">
        <f t="shared" si="1128"/>
        <v/>
      </c>
      <c r="BY501" s="232">
        <f t="shared" si="1129"/>
        <v>10</v>
      </c>
      <c r="BZ501" s="232" t="str">
        <f t="shared" si="1147"/>
        <v/>
      </c>
      <c r="CA501" s="371"/>
      <c r="CB501" s="501">
        <f t="shared" si="1130"/>
        <v>50</v>
      </c>
      <c r="CC501" s="502">
        <f t="shared" si="1131"/>
        <v>30</v>
      </c>
      <c r="CD501" s="503">
        <f t="shared" si="1132"/>
        <v>20</v>
      </c>
      <c r="CE501" s="371"/>
      <c r="CF501" s="232" t="str">
        <f t="shared" si="1133"/>
        <v/>
      </c>
      <c r="CG501" s="232" t="str">
        <f t="shared" si="1134"/>
        <v/>
      </c>
      <c r="CH501" s="232">
        <f t="shared" si="1135"/>
        <v>20</v>
      </c>
      <c r="CI501" s="232" t="str">
        <f t="shared" si="1148"/>
        <v/>
      </c>
      <c r="CJ501" s="232"/>
      <c r="CK501" s="495">
        <v>80</v>
      </c>
      <c r="CL501" s="496">
        <v>10</v>
      </c>
      <c r="CM501" s="494">
        <f t="shared" si="1136"/>
        <v>10</v>
      </c>
      <c r="CN501" s="371"/>
      <c r="CO501" s="232" t="str">
        <f t="shared" si="1137"/>
        <v/>
      </c>
      <c r="CP501" s="232" t="str">
        <f t="shared" si="1138"/>
        <v/>
      </c>
      <c r="CQ501" s="232">
        <f t="shared" si="1139"/>
        <v>10</v>
      </c>
      <c r="CR501" s="232" t="str">
        <f t="shared" si="1149"/>
        <v/>
      </c>
      <c r="CS501" s="232"/>
      <c r="CT501" s="371"/>
      <c r="CU501" s="300"/>
      <c r="CV501" s="246"/>
      <c r="CW501" s="264"/>
    </row>
    <row r="502" spans="1:101" x14ac:dyDescent="0.2">
      <c r="A502" s="264"/>
      <c r="B502" s="264"/>
      <c r="C502" s="202"/>
      <c r="D502" s="271">
        <v>11</v>
      </c>
      <c r="E502" s="167" t="s">
        <v>327</v>
      </c>
      <c r="F502" s="469">
        <v>2</v>
      </c>
      <c r="G502" s="474"/>
      <c r="H502" s="475">
        <v>1</v>
      </c>
      <c r="I502" s="389" t="str">
        <f t="shared" si="1100"/>
        <v>x</v>
      </c>
      <c r="J502" s="390" t="str">
        <f t="shared" si="1101"/>
        <v/>
      </c>
      <c r="K502" s="391" t="str">
        <f t="shared" si="1102"/>
        <v/>
      </c>
      <c r="L502" s="299"/>
      <c r="M502" s="375"/>
      <c r="N502" s="379"/>
      <c r="O502" s="236"/>
      <c r="P502" s="236"/>
      <c r="Q502" s="483">
        <v>60</v>
      </c>
      <c r="R502" s="484">
        <v>20</v>
      </c>
      <c r="S502" s="485">
        <f t="shared" si="1140"/>
        <v>20</v>
      </c>
      <c r="T502" s="371"/>
      <c r="U502" s="232">
        <f t="shared" si="1103"/>
        <v>60</v>
      </c>
      <c r="V502" s="232" t="str">
        <f t="shared" si="1104"/>
        <v/>
      </c>
      <c r="W502" s="232" t="str">
        <f t="shared" si="1105"/>
        <v/>
      </c>
      <c r="X502" s="232">
        <f t="shared" si="1141"/>
        <v>1</v>
      </c>
      <c r="Y502" s="371"/>
      <c r="Z502" s="497">
        <v>10</v>
      </c>
      <c r="AA502" s="498">
        <v>80</v>
      </c>
      <c r="AB502" s="485">
        <f t="shared" si="1106"/>
        <v>10</v>
      </c>
      <c r="AC502" s="371"/>
      <c r="AD502" s="232">
        <f t="shared" si="1107"/>
        <v>10</v>
      </c>
      <c r="AE502" s="232" t="str">
        <f t="shared" si="1108"/>
        <v/>
      </c>
      <c r="AF502" s="232" t="str">
        <f t="shared" si="1109"/>
        <v/>
      </c>
      <c r="AG502" s="232" t="str">
        <f t="shared" si="1142"/>
        <v/>
      </c>
      <c r="AH502" s="371"/>
      <c r="AI502" s="497">
        <v>60</v>
      </c>
      <c r="AJ502" s="498">
        <v>20</v>
      </c>
      <c r="AK502" s="485">
        <f t="shared" si="1110"/>
        <v>20</v>
      </c>
      <c r="AL502" s="371"/>
      <c r="AM502" s="232">
        <f t="shared" si="1111"/>
        <v>60</v>
      </c>
      <c r="AN502" s="232" t="str">
        <f t="shared" si="1112"/>
        <v/>
      </c>
      <c r="AO502" s="232" t="str">
        <f t="shared" si="1113"/>
        <v/>
      </c>
      <c r="AP502" s="232">
        <f t="shared" si="1143"/>
        <v>1</v>
      </c>
      <c r="AQ502" s="371"/>
      <c r="AR502" s="497">
        <v>20</v>
      </c>
      <c r="AS502" s="498">
        <v>30</v>
      </c>
      <c r="AT502" s="485">
        <f t="shared" si="1114"/>
        <v>50</v>
      </c>
      <c r="AU502" s="371"/>
      <c r="AV502" s="232">
        <f t="shared" si="1115"/>
        <v>20</v>
      </c>
      <c r="AW502" s="232" t="str">
        <f t="shared" si="1116"/>
        <v/>
      </c>
      <c r="AX502" s="232" t="str">
        <f t="shared" si="1117"/>
        <v/>
      </c>
      <c r="AY502" s="232" t="str">
        <f t="shared" si="1144"/>
        <v/>
      </c>
      <c r="AZ502" s="371"/>
      <c r="BA502" s="497">
        <v>80</v>
      </c>
      <c r="BB502" s="498">
        <v>10</v>
      </c>
      <c r="BC502" s="485">
        <f t="shared" si="1118"/>
        <v>10</v>
      </c>
      <c r="BD502" s="371"/>
      <c r="BE502" s="232">
        <f t="shared" si="1119"/>
        <v>80</v>
      </c>
      <c r="BF502" s="232" t="str">
        <f t="shared" si="1120"/>
        <v/>
      </c>
      <c r="BG502" s="232" t="str">
        <f t="shared" si="1121"/>
        <v/>
      </c>
      <c r="BH502" s="232">
        <f t="shared" si="1145"/>
        <v>1</v>
      </c>
      <c r="BI502" s="371"/>
      <c r="BJ502" s="497">
        <v>20</v>
      </c>
      <c r="BK502" s="498">
        <v>60</v>
      </c>
      <c r="BL502" s="485">
        <f t="shared" si="1122"/>
        <v>20</v>
      </c>
      <c r="BM502" s="371"/>
      <c r="BN502" s="232">
        <f t="shared" si="1123"/>
        <v>20</v>
      </c>
      <c r="BO502" s="232" t="str">
        <f t="shared" si="1124"/>
        <v/>
      </c>
      <c r="BP502" s="232" t="str">
        <f t="shared" si="1125"/>
        <v/>
      </c>
      <c r="BQ502" s="232" t="str">
        <f t="shared" si="1146"/>
        <v/>
      </c>
      <c r="BR502" s="371"/>
      <c r="BS502" s="497">
        <v>40</v>
      </c>
      <c r="BT502" s="498">
        <v>20</v>
      </c>
      <c r="BU502" s="485">
        <f t="shared" si="1126"/>
        <v>40</v>
      </c>
      <c r="BV502" s="371"/>
      <c r="BW502" s="232">
        <f t="shared" si="1127"/>
        <v>40</v>
      </c>
      <c r="BX502" s="232" t="str">
        <f t="shared" si="1128"/>
        <v/>
      </c>
      <c r="BY502" s="232" t="str">
        <f t="shared" si="1129"/>
        <v/>
      </c>
      <c r="BZ502" s="232">
        <f t="shared" si="1147"/>
        <v>1</v>
      </c>
      <c r="CA502" s="371"/>
      <c r="CB502" s="504">
        <f t="shared" si="1130"/>
        <v>50</v>
      </c>
      <c r="CC502" s="505">
        <f t="shared" si="1131"/>
        <v>30</v>
      </c>
      <c r="CD502" s="506">
        <f t="shared" si="1132"/>
        <v>20</v>
      </c>
      <c r="CE502" s="371"/>
      <c r="CF502" s="232">
        <f t="shared" si="1133"/>
        <v>50</v>
      </c>
      <c r="CG502" s="232" t="str">
        <f t="shared" si="1134"/>
        <v/>
      </c>
      <c r="CH502" s="232" t="str">
        <f t="shared" si="1135"/>
        <v/>
      </c>
      <c r="CI502" s="232">
        <f t="shared" si="1148"/>
        <v>1</v>
      </c>
      <c r="CJ502" s="232"/>
      <c r="CK502" s="497">
        <v>20</v>
      </c>
      <c r="CL502" s="498">
        <v>70</v>
      </c>
      <c r="CM502" s="485">
        <f t="shared" si="1136"/>
        <v>10</v>
      </c>
      <c r="CN502" s="371"/>
      <c r="CO502" s="232">
        <f t="shared" si="1137"/>
        <v>20</v>
      </c>
      <c r="CP502" s="232" t="str">
        <f t="shared" si="1138"/>
        <v/>
      </c>
      <c r="CQ502" s="232" t="str">
        <f t="shared" si="1139"/>
        <v/>
      </c>
      <c r="CR502" s="232" t="str">
        <f t="shared" si="1149"/>
        <v/>
      </c>
      <c r="CS502" s="232"/>
      <c r="CT502" s="371"/>
      <c r="CU502" s="300"/>
      <c r="CV502" s="246"/>
      <c r="CW502" s="264"/>
    </row>
    <row r="503" spans="1:101" ht="13.5" thickBot="1" x14ac:dyDescent="0.25">
      <c r="A503" s="264"/>
      <c r="B503" s="264"/>
      <c r="C503" s="202"/>
      <c r="D503" s="271">
        <v>12</v>
      </c>
      <c r="E503" s="168" t="s">
        <v>328</v>
      </c>
      <c r="F503" s="470">
        <v>2</v>
      </c>
      <c r="G503" s="476"/>
      <c r="H503" s="477">
        <v>3</v>
      </c>
      <c r="I503" s="392" t="str">
        <f t="shared" si="1100"/>
        <v/>
      </c>
      <c r="J503" s="393" t="str">
        <f t="shared" si="1101"/>
        <v/>
      </c>
      <c r="K503" s="394" t="str">
        <f t="shared" si="1102"/>
        <v>x</v>
      </c>
      <c r="L503" s="299"/>
      <c r="M503" s="375"/>
      <c r="N503" s="379"/>
      <c r="O503" s="236"/>
      <c r="P503" s="236"/>
      <c r="Q503" s="489">
        <v>10</v>
      </c>
      <c r="R503" s="490">
        <v>80</v>
      </c>
      <c r="S503" s="491">
        <f t="shared" si="1140"/>
        <v>10</v>
      </c>
      <c r="T503" s="371"/>
      <c r="U503" s="232" t="str">
        <f t="shared" si="1103"/>
        <v/>
      </c>
      <c r="V503" s="232" t="str">
        <f t="shared" si="1104"/>
        <v/>
      </c>
      <c r="W503" s="232">
        <f t="shared" si="1105"/>
        <v>10</v>
      </c>
      <c r="X503" s="232" t="str">
        <f t="shared" si="1141"/>
        <v/>
      </c>
      <c r="Y503" s="371"/>
      <c r="Z503" s="499">
        <v>10</v>
      </c>
      <c r="AA503" s="500">
        <v>10</v>
      </c>
      <c r="AB503" s="491">
        <f t="shared" si="1106"/>
        <v>80</v>
      </c>
      <c r="AC503" s="371"/>
      <c r="AD503" s="232" t="str">
        <f t="shared" si="1107"/>
        <v/>
      </c>
      <c r="AE503" s="232" t="str">
        <f t="shared" si="1108"/>
        <v/>
      </c>
      <c r="AF503" s="232">
        <f t="shared" si="1109"/>
        <v>80</v>
      </c>
      <c r="AG503" s="232">
        <f t="shared" si="1142"/>
        <v>1</v>
      </c>
      <c r="AH503" s="371"/>
      <c r="AI503" s="499">
        <v>20</v>
      </c>
      <c r="AJ503" s="500">
        <v>30</v>
      </c>
      <c r="AK503" s="491">
        <f t="shared" si="1110"/>
        <v>50</v>
      </c>
      <c r="AL503" s="371"/>
      <c r="AM503" s="232" t="str">
        <f t="shared" si="1111"/>
        <v/>
      </c>
      <c r="AN503" s="232" t="str">
        <f t="shared" si="1112"/>
        <v/>
      </c>
      <c r="AO503" s="232">
        <f t="shared" si="1113"/>
        <v>50</v>
      </c>
      <c r="AP503" s="232">
        <f t="shared" si="1143"/>
        <v>1</v>
      </c>
      <c r="AQ503" s="371"/>
      <c r="AR503" s="499">
        <v>30</v>
      </c>
      <c r="AS503" s="500">
        <v>10</v>
      </c>
      <c r="AT503" s="491">
        <f t="shared" si="1114"/>
        <v>60</v>
      </c>
      <c r="AU503" s="371"/>
      <c r="AV503" s="232" t="str">
        <f t="shared" si="1115"/>
        <v/>
      </c>
      <c r="AW503" s="232" t="str">
        <f t="shared" si="1116"/>
        <v/>
      </c>
      <c r="AX503" s="232">
        <f t="shared" si="1117"/>
        <v>60</v>
      </c>
      <c r="AY503" s="232">
        <f t="shared" si="1144"/>
        <v>1</v>
      </c>
      <c r="AZ503" s="371"/>
      <c r="BA503" s="499">
        <v>10</v>
      </c>
      <c r="BB503" s="500">
        <v>10</v>
      </c>
      <c r="BC503" s="491">
        <f t="shared" si="1118"/>
        <v>80</v>
      </c>
      <c r="BD503" s="371"/>
      <c r="BE503" s="232" t="str">
        <f t="shared" si="1119"/>
        <v/>
      </c>
      <c r="BF503" s="232" t="str">
        <f t="shared" si="1120"/>
        <v/>
      </c>
      <c r="BG503" s="232">
        <f t="shared" si="1121"/>
        <v>80</v>
      </c>
      <c r="BH503" s="232">
        <f t="shared" si="1145"/>
        <v>1</v>
      </c>
      <c r="BI503" s="371"/>
      <c r="BJ503" s="499">
        <v>10</v>
      </c>
      <c r="BK503" s="500">
        <v>10</v>
      </c>
      <c r="BL503" s="491">
        <f t="shared" si="1122"/>
        <v>80</v>
      </c>
      <c r="BM503" s="371"/>
      <c r="BN503" s="232" t="str">
        <f t="shared" si="1123"/>
        <v/>
      </c>
      <c r="BO503" s="232" t="str">
        <f t="shared" si="1124"/>
        <v/>
      </c>
      <c r="BP503" s="232">
        <f t="shared" si="1125"/>
        <v>80</v>
      </c>
      <c r="BQ503" s="232">
        <f t="shared" si="1146"/>
        <v>1</v>
      </c>
      <c r="BR503" s="371"/>
      <c r="BS503" s="499">
        <v>10</v>
      </c>
      <c r="BT503" s="500">
        <v>30</v>
      </c>
      <c r="BU503" s="491">
        <f t="shared" si="1126"/>
        <v>60</v>
      </c>
      <c r="BV503" s="371"/>
      <c r="BW503" s="232" t="str">
        <f t="shared" si="1127"/>
        <v/>
      </c>
      <c r="BX503" s="232" t="str">
        <f t="shared" si="1128"/>
        <v/>
      </c>
      <c r="BY503" s="232">
        <f t="shared" si="1129"/>
        <v>60</v>
      </c>
      <c r="BZ503" s="232">
        <f t="shared" si="1147"/>
        <v>1</v>
      </c>
      <c r="CA503" s="371"/>
      <c r="CB503" s="507">
        <f t="shared" si="1130"/>
        <v>20</v>
      </c>
      <c r="CC503" s="508">
        <f t="shared" si="1131"/>
        <v>20</v>
      </c>
      <c r="CD503" s="509">
        <f t="shared" si="1132"/>
        <v>60</v>
      </c>
      <c r="CE503" s="371"/>
      <c r="CF503" s="232" t="str">
        <f t="shared" si="1133"/>
        <v/>
      </c>
      <c r="CG503" s="232" t="str">
        <f t="shared" si="1134"/>
        <v/>
      </c>
      <c r="CH503" s="232">
        <f t="shared" si="1135"/>
        <v>60</v>
      </c>
      <c r="CI503" s="232">
        <f t="shared" si="1148"/>
        <v>1</v>
      </c>
      <c r="CJ503" s="232"/>
      <c r="CK503" s="499">
        <v>10</v>
      </c>
      <c r="CL503" s="500">
        <v>10</v>
      </c>
      <c r="CM503" s="491">
        <f t="shared" si="1136"/>
        <v>80</v>
      </c>
      <c r="CN503" s="371"/>
      <c r="CO503" s="232" t="str">
        <f t="shared" si="1137"/>
        <v/>
      </c>
      <c r="CP503" s="232" t="str">
        <f t="shared" si="1138"/>
        <v/>
      </c>
      <c r="CQ503" s="232">
        <f t="shared" si="1139"/>
        <v>80</v>
      </c>
      <c r="CR503" s="232">
        <f t="shared" si="1149"/>
        <v>1</v>
      </c>
      <c r="CS503" s="232"/>
      <c r="CT503" s="371"/>
      <c r="CU503" s="300"/>
      <c r="CV503" s="246"/>
      <c r="CW503" s="264"/>
    </row>
    <row r="504" spans="1:101" x14ac:dyDescent="0.2">
      <c r="A504" s="264"/>
      <c r="B504" s="264"/>
      <c r="C504" s="202"/>
      <c r="D504" s="272"/>
      <c r="E504" s="235"/>
      <c r="F504" s="395">
        <f>IF(SUM(F492:F503)=0,"",SUM(F492:F503))</f>
        <v>21</v>
      </c>
      <c r="G504" s="370" t="s">
        <v>49</v>
      </c>
      <c r="H504" s="396">
        <f>IF(SUM(H492:H503)=0,"",SUM(H492:H503))</f>
        <v>21</v>
      </c>
      <c r="I504" s="397">
        <f>IF(COUNTIF(I492:I503,"=x")=0,"",COUNTIF(I492:I503,"=x"))</f>
        <v>5</v>
      </c>
      <c r="J504" s="398" t="str">
        <f>IF(COUNTIF(J492:J503,"=x")=0,"",COUNTIF(J492:J503,"=x"))</f>
        <v/>
      </c>
      <c r="K504" s="399">
        <f>IF(COUNTIF(K492:K503,"=x")=0,"",COUNTIF(K492:K503,"=x"))</f>
        <v>7</v>
      </c>
      <c r="L504" s="299"/>
      <c r="M504" s="375"/>
      <c r="N504" s="379"/>
      <c r="O504" s="236"/>
      <c r="P504" s="369"/>
      <c r="Q504" s="466">
        <f>SUM(U492:U503)</f>
        <v>350</v>
      </c>
      <c r="R504" s="466">
        <f>SUM(V492:V503)</f>
        <v>0</v>
      </c>
      <c r="S504" s="466">
        <f>SUM(W492:W503)</f>
        <v>160</v>
      </c>
      <c r="T504" s="368"/>
      <c r="U504" s="232"/>
      <c r="V504" s="232"/>
      <c r="W504" s="232"/>
      <c r="X504" s="232"/>
      <c r="Y504" s="367"/>
      <c r="Z504" s="466">
        <f>SUM(AD492:AD503)</f>
        <v>330</v>
      </c>
      <c r="AA504" s="466">
        <f>SUM(AE492:AE503)</f>
        <v>0</v>
      </c>
      <c r="AB504" s="466">
        <f>SUM(AF492:AF503)</f>
        <v>280</v>
      </c>
      <c r="AC504" s="368"/>
      <c r="AD504" s="232"/>
      <c r="AE504" s="232"/>
      <c r="AF504" s="232"/>
      <c r="AG504" s="232"/>
      <c r="AH504" s="367"/>
      <c r="AI504" s="466">
        <f>SUM(AM492:AM503)</f>
        <v>370</v>
      </c>
      <c r="AJ504" s="466">
        <f>SUM(AN492:AN503)</f>
        <v>0</v>
      </c>
      <c r="AK504" s="466">
        <f>SUM(AO492:AO503)</f>
        <v>230</v>
      </c>
      <c r="AL504" s="368"/>
      <c r="AM504" s="232"/>
      <c r="AN504" s="232"/>
      <c r="AO504" s="232"/>
      <c r="AP504" s="232"/>
      <c r="AQ504" s="367"/>
      <c r="AR504" s="466">
        <f>SUM(AV492:AV503)</f>
        <v>260</v>
      </c>
      <c r="AS504" s="466">
        <f>SUM(AW492:AW503)</f>
        <v>0</v>
      </c>
      <c r="AT504" s="466">
        <f>SUM(AX492:AX503)</f>
        <v>320</v>
      </c>
      <c r="AU504" s="368"/>
      <c r="AV504" s="232"/>
      <c r="AW504" s="232"/>
      <c r="AX504" s="232"/>
      <c r="AY504" s="232"/>
      <c r="AZ504" s="367"/>
      <c r="BA504" s="466">
        <f>SUM(BE492:BE503)</f>
        <v>400</v>
      </c>
      <c r="BB504" s="466">
        <f>SUM(BF492:BF503)</f>
        <v>0</v>
      </c>
      <c r="BC504" s="466">
        <f>SUM(BG492:BG503)</f>
        <v>420</v>
      </c>
      <c r="BD504" s="368"/>
      <c r="BE504" s="232"/>
      <c r="BF504" s="232"/>
      <c r="BG504" s="232"/>
      <c r="BH504" s="232"/>
      <c r="BI504" s="367"/>
      <c r="BJ504" s="466">
        <f>SUM(BN492:BN503)</f>
        <v>290</v>
      </c>
      <c r="BK504" s="466">
        <f>SUM(BO492:BO503)</f>
        <v>0</v>
      </c>
      <c r="BL504" s="466">
        <f>SUM(BP492:BP503)</f>
        <v>440</v>
      </c>
      <c r="BM504" s="368"/>
      <c r="BN504" s="232"/>
      <c r="BO504" s="232"/>
      <c r="BP504" s="232"/>
      <c r="BQ504" s="232"/>
      <c r="BR504" s="367"/>
      <c r="BS504" s="466">
        <f>SUM(BW492:BW503)</f>
        <v>280</v>
      </c>
      <c r="BT504" s="466">
        <f>SUM(BX492:BX503)</f>
        <v>0</v>
      </c>
      <c r="BU504" s="466">
        <f>SUM(BY492:BY503)</f>
        <v>290</v>
      </c>
      <c r="BV504" s="368"/>
      <c r="BW504" s="232"/>
      <c r="BX504" s="232"/>
      <c r="BY504" s="232"/>
      <c r="BZ504" s="232"/>
      <c r="CA504" s="369"/>
      <c r="CB504" s="466">
        <f>SUM(CF492:CF503)</f>
        <v>350</v>
      </c>
      <c r="CC504" s="466">
        <f>SUM(CG492:CG503)</f>
        <v>0</v>
      </c>
      <c r="CD504" s="466">
        <f>SUM(CH492:CH503)</f>
        <v>310</v>
      </c>
      <c r="CE504" s="368"/>
      <c r="CF504" s="232"/>
      <c r="CG504" s="232"/>
      <c r="CH504" s="232"/>
      <c r="CI504" s="232"/>
      <c r="CJ504" s="232"/>
      <c r="CK504" s="466">
        <f>SUM(CO492:CO503)</f>
        <v>290</v>
      </c>
      <c r="CL504" s="466">
        <f>SUM(CP492:CP503)</f>
        <v>0</v>
      </c>
      <c r="CM504" s="466">
        <f>SUM(CQ492:CQ503)</f>
        <v>240</v>
      </c>
      <c r="CN504" s="368"/>
      <c r="CO504" s="232"/>
      <c r="CP504" s="232"/>
      <c r="CQ504" s="232"/>
      <c r="CR504" s="232"/>
      <c r="CS504" s="232"/>
      <c r="CT504" s="232"/>
      <c r="CU504" s="300"/>
      <c r="CV504" s="246"/>
      <c r="CW504" s="265"/>
    </row>
    <row r="505" spans="1:101" ht="13.5" thickBot="1" x14ac:dyDescent="0.25">
      <c r="A505" s="264"/>
      <c r="B505" s="264"/>
      <c r="C505" s="202"/>
      <c r="D505" s="289"/>
      <c r="E505" s="282"/>
      <c r="F505" s="283"/>
      <c r="G505" s="282"/>
      <c r="H505" s="282"/>
      <c r="I505" s="282"/>
      <c r="J505" s="282"/>
      <c r="K505" s="282"/>
      <c r="L505" s="293"/>
      <c r="M505" s="301"/>
      <c r="N505" s="380"/>
      <c r="O505" s="376"/>
      <c r="P505" s="284"/>
      <c r="Q505" s="285"/>
      <c r="R505" s="285"/>
      <c r="S505" s="285"/>
      <c r="T505" s="286"/>
      <c r="U505" s="287"/>
      <c r="V505" s="287"/>
      <c r="W505" s="287"/>
      <c r="X505" s="287"/>
      <c r="Y505" s="284"/>
      <c r="Z505" s="285"/>
      <c r="AA505" s="285"/>
      <c r="AB505" s="285"/>
      <c r="AC505" s="286"/>
      <c r="AD505" s="287"/>
      <c r="AE505" s="287"/>
      <c r="AF505" s="287"/>
      <c r="AG505" s="288"/>
      <c r="AH505" s="284"/>
      <c r="AI505" s="285"/>
      <c r="AJ505" s="285"/>
      <c r="AK505" s="285"/>
      <c r="AL505" s="286"/>
      <c r="AM505" s="287"/>
      <c r="AN505" s="287"/>
      <c r="AO505" s="287"/>
      <c r="AP505" s="288"/>
      <c r="AQ505" s="284"/>
      <c r="AR505" s="285"/>
      <c r="AS505" s="285"/>
      <c r="AT505" s="285"/>
      <c r="AU505" s="286"/>
      <c r="AV505" s="287"/>
      <c r="AW505" s="287"/>
      <c r="AX505" s="287"/>
      <c r="AY505" s="288"/>
      <c r="AZ505" s="284"/>
      <c r="BA505" s="285"/>
      <c r="BB505" s="285"/>
      <c r="BC505" s="285"/>
      <c r="BD505" s="286"/>
      <c r="BE505" s="287"/>
      <c r="BF505" s="287"/>
      <c r="BG505" s="287"/>
      <c r="BH505" s="288"/>
      <c r="BI505" s="284"/>
      <c r="BJ505" s="284"/>
      <c r="BK505" s="284"/>
      <c r="BL505" s="284"/>
      <c r="BM505" s="284"/>
      <c r="BN505" s="284"/>
      <c r="BO505" s="284"/>
      <c r="BP505" s="284"/>
      <c r="BQ505" s="284"/>
      <c r="BR505" s="284"/>
      <c r="BS505" s="284"/>
      <c r="BT505" s="284"/>
      <c r="BU505" s="284"/>
      <c r="BV505" s="284"/>
      <c r="BW505" s="284"/>
      <c r="BX505" s="284"/>
      <c r="BY505" s="284"/>
      <c r="BZ505" s="284"/>
      <c r="CA505" s="284"/>
      <c r="CB505" s="284"/>
      <c r="CC505" s="284"/>
      <c r="CD505" s="284"/>
      <c r="CE505" s="284"/>
      <c r="CF505" s="284"/>
      <c r="CG505" s="284"/>
      <c r="CH505" s="284"/>
      <c r="CI505" s="284"/>
      <c r="CJ505" s="288"/>
      <c r="CK505" s="288"/>
      <c r="CL505" s="288"/>
      <c r="CM505" s="288"/>
      <c r="CN505" s="288"/>
      <c r="CO505" s="288"/>
      <c r="CP505" s="288"/>
      <c r="CQ505" s="288"/>
      <c r="CR505" s="288"/>
      <c r="CS505" s="288"/>
      <c r="CT505" s="282"/>
      <c r="CU505" s="294"/>
      <c r="CV505" s="246"/>
      <c r="CW505" s="265"/>
    </row>
    <row r="506" spans="1:101" ht="14.25" thickTop="1" thickBot="1" x14ac:dyDescent="0.25">
      <c r="A506" s="256"/>
      <c r="B506" s="256"/>
      <c r="C506" s="210"/>
      <c r="D506" s="211"/>
      <c r="E506" s="247"/>
      <c r="F506" s="248"/>
      <c r="G506" s="247"/>
      <c r="H506" s="247"/>
      <c r="I506" s="247"/>
      <c r="J506" s="247"/>
      <c r="K506" s="247"/>
      <c r="L506" s="249"/>
      <c r="M506" s="250"/>
      <c r="N506" s="250"/>
      <c r="O506" s="250"/>
      <c r="P506" s="250"/>
      <c r="Q506" s="247"/>
      <c r="R506" s="247"/>
      <c r="S506" s="247"/>
      <c r="T506" s="251"/>
      <c r="U506" s="252"/>
      <c r="V506" s="252"/>
      <c r="W506" s="252"/>
      <c r="X506" s="252"/>
      <c r="Y506" s="250"/>
      <c r="Z506" s="247"/>
      <c r="AA506" s="247"/>
      <c r="AB506" s="247"/>
      <c r="AC506" s="251"/>
      <c r="AD506" s="252"/>
      <c r="AE506" s="252"/>
      <c r="AF506" s="252"/>
      <c r="AG506" s="247"/>
      <c r="AH506" s="250"/>
      <c r="AI506" s="247"/>
      <c r="AJ506" s="247"/>
      <c r="AK506" s="247"/>
      <c r="AL506" s="251"/>
      <c r="AM506" s="252"/>
      <c r="AN506" s="252"/>
      <c r="AO506" s="252"/>
      <c r="AP506" s="253"/>
      <c r="AQ506" s="250"/>
      <c r="AR506" s="247"/>
      <c r="AS506" s="247"/>
      <c r="AT506" s="247"/>
      <c r="AU506" s="251"/>
      <c r="AV506" s="252"/>
      <c r="AW506" s="252"/>
      <c r="AX506" s="252"/>
      <c r="AY506" s="247"/>
      <c r="AZ506" s="250"/>
      <c r="BA506" s="247"/>
      <c r="BB506" s="247"/>
      <c r="BC506" s="247"/>
      <c r="BD506" s="251"/>
      <c r="BE506" s="252"/>
      <c r="BF506" s="252"/>
      <c r="BG506" s="252"/>
      <c r="BH506" s="247"/>
      <c r="BI506" s="250"/>
      <c r="BJ506" s="247"/>
      <c r="BK506" s="247"/>
      <c r="BL506" s="247"/>
      <c r="BM506" s="251"/>
      <c r="BN506" s="252"/>
      <c r="BO506" s="252"/>
      <c r="BP506" s="252"/>
      <c r="BQ506" s="247"/>
      <c r="BR506" s="212"/>
      <c r="BS506" s="247"/>
      <c r="BT506" s="247"/>
      <c r="BU506" s="247"/>
      <c r="BV506" s="250"/>
      <c r="BW506" s="252"/>
      <c r="BX506" s="252"/>
      <c r="BY506" s="252"/>
      <c r="BZ506" s="247"/>
      <c r="CA506" s="247"/>
      <c r="CB506" s="253"/>
      <c r="CC506" s="253"/>
      <c r="CD506" s="253"/>
      <c r="CE506" s="253"/>
      <c r="CF506" s="247"/>
      <c r="CG506" s="247"/>
      <c r="CH506" s="247"/>
      <c r="CI506" s="247"/>
      <c r="CJ506" s="247"/>
      <c r="CK506" s="247"/>
      <c r="CL506" s="247"/>
      <c r="CM506" s="247"/>
      <c r="CN506" s="247"/>
      <c r="CO506" s="247"/>
      <c r="CP506" s="247"/>
      <c r="CQ506" s="247"/>
      <c r="CR506" s="247"/>
      <c r="CS506" s="247"/>
      <c r="CT506" s="247"/>
      <c r="CU506" s="247"/>
      <c r="CV506" s="254"/>
      <c r="CW506" s="255"/>
    </row>
    <row r="507" spans="1:101" ht="14.25" thickTop="1" thickBot="1" x14ac:dyDescent="0.25">
      <c r="A507" s="255"/>
      <c r="B507" s="255"/>
      <c r="C507" s="255"/>
      <c r="D507" s="255"/>
      <c r="E507" s="255"/>
      <c r="F507" s="255"/>
      <c r="G507" s="255"/>
      <c r="H507" s="255"/>
      <c r="I507" s="255"/>
      <c r="J507" s="255"/>
      <c r="K507" s="255"/>
      <c r="L507" s="255"/>
      <c r="M507" s="255"/>
      <c r="N507" s="255"/>
      <c r="O507" s="255"/>
      <c r="P507" s="255"/>
      <c r="Q507" s="255"/>
      <c r="R507" s="255"/>
      <c r="S507" s="255"/>
      <c r="T507" s="255"/>
      <c r="U507" s="255"/>
      <c r="V507" s="255"/>
      <c r="W507" s="255"/>
      <c r="X507" s="255"/>
      <c r="Y507" s="255"/>
      <c r="Z507" s="255"/>
      <c r="AA507" s="255"/>
      <c r="AB507" s="255"/>
      <c r="AC507" s="255"/>
      <c r="AD507" s="255"/>
      <c r="AE507" s="255"/>
      <c r="AF507" s="255"/>
      <c r="AG507" s="255"/>
      <c r="AH507" s="255"/>
      <c r="AI507" s="255"/>
      <c r="AJ507" s="255"/>
      <c r="AK507" s="255"/>
      <c r="AL507" s="255"/>
      <c r="AM507" s="255"/>
      <c r="AN507" s="255"/>
      <c r="AO507" s="255"/>
      <c r="AP507" s="255"/>
      <c r="AQ507" s="255"/>
      <c r="AR507" s="255"/>
      <c r="AS507" s="255"/>
      <c r="AT507" s="255"/>
      <c r="AU507" s="255"/>
      <c r="AV507" s="255"/>
      <c r="AW507" s="255"/>
      <c r="AX507" s="255"/>
      <c r="AY507" s="255"/>
      <c r="AZ507" s="255"/>
      <c r="BA507" s="255"/>
      <c r="BB507" s="255"/>
      <c r="BC507" s="255"/>
      <c r="BD507" s="255"/>
      <c r="BE507" s="255"/>
      <c r="BF507" s="255"/>
      <c r="BG507" s="255"/>
      <c r="BH507" s="255"/>
      <c r="BI507" s="255"/>
      <c r="BJ507" s="255"/>
      <c r="BK507" s="255"/>
      <c r="BL507" s="255"/>
      <c r="BM507" s="255"/>
      <c r="BN507" s="255"/>
      <c r="BO507" s="255"/>
      <c r="BP507" s="255"/>
      <c r="BQ507" s="255"/>
      <c r="BR507" s="255"/>
      <c r="BS507" s="255"/>
      <c r="BT507" s="255"/>
      <c r="BU507" s="255"/>
      <c r="BV507" s="255"/>
      <c r="BW507" s="255"/>
      <c r="BX507" s="255"/>
      <c r="BY507" s="255"/>
      <c r="BZ507" s="255"/>
      <c r="CA507" s="255"/>
      <c r="CB507" s="436"/>
      <c r="CC507" s="436"/>
      <c r="CD507" s="436"/>
      <c r="CE507" s="436"/>
      <c r="CF507" s="255"/>
      <c r="CG507" s="255"/>
      <c r="CH507" s="255"/>
      <c r="CI507" s="255"/>
      <c r="CJ507" s="255"/>
      <c r="CK507" s="255"/>
      <c r="CL507" s="255"/>
      <c r="CM507" s="255"/>
      <c r="CN507" s="255"/>
      <c r="CO507" s="255"/>
      <c r="CP507" s="255"/>
      <c r="CQ507" s="255"/>
      <c r="CR507" s="255"/>
      <c r="CS507" s="255"/>
      <c r="CT507" s="255"/>
      <c r="CU507" s="255"/>
      <c r="CV507" s="255"/>
      <c r="CW507" s="255"/>
    </row>
    <row r="508" spans="1:101" ht="21" thickTop="1" x14ac:dyDescent="0.3">
      <c r="A508" s="256"/>
      <c r="B508" s="256"/>
      <c r="C508" s="190"/>
      <c r="D508" s="191"/>
      <c r="E508" s="866" t="str">
        <f>E2</f>
        <v>STPS 2026</v>
      </c>
      <c r="F508" s="267"/>
      <c r="G508" s="267"/>
      <c r="H508" s="267"/>
      <c r="I508" s="192"/>
      <c r="J508" s="192"/>
      <c r="K508" s="192"/>
      <c r="L508" s="193"/>
      <c r="M508" s="192"/>
      <c r="N508" s="192"/>
      <c r="O508" s="192"/>
      <c r="P508" s="194"/>
      <c r="Q508" s="192"/>
      <c r="R508" s="192"/>
      <c r="S508" s="192"/>
      <c r="T508" s="195"/>
      <c r="U508" s="196"/>
      <c r="V508" s="196"/>
      <c r="W508" s="196"/>
      <c r="X508" s="196"/>
      <c r="Y508" s="194"/>
      <c r="Z508" s="192"/>
      <c r="AA508" s="192"/>
      <c r="AB508" s="192"/>
      <c r="AC508" s="195"/>
      <c r="AD508" s="196"/>
      <c r="AE508" s="196"/>
      <c r="AF508" s="196"/>
      <c r="AG508" s="197"/>
      <c r="AH508" s="194"/>
      <c r="AI508" s="192"/>
      <c r="AJ508" s="237"/>
      <c r="AK508" s="237"/>
      <c r="AL508" s="198"/>
      <c r="AM508" s="238"/>
      <c r="AN508" s="238"/>
      <c r="AO508" s="238"/>
      <c r="AP508" s="197"/>
      <c r="AQ508" s="239"/>
      <c r="AR508" s="240"/>
      <c r="AS508" s="199"/>
      <c r="AT508" s="200"/>
      <c r="AU508" s="198"/>
      <c r="AV508" s="196"/>
      <c r="AW508" s="196"/>
      <c r="AX508" s="196"/>
      <c r="AY508" s="197"/>
      <c r="AZ508" s="239"/>
      <c r="BA508" s="240"/>
      <c r="BB508" s="200"/>
      <c r="BC508" s="237"/>
      <c r="BD508" s="241"/>
      <c r="BE508" s="196"/>
      <c r="BF508" s="196"/>
      <c r="BG508" s="196"/>
      <c r="BH508" s="197"/>
      <c r="BI508" s="242"/>
      <c r="BJ508" s="237"/>
      <c r="BK508" s="237"/>
      <c r="BL508" s="237"/>
      <c r="BM508" s="241"/>
      <c r="BN508" s="196"/>
      <c r="BO508" s="196"/>
      <c r="BP508" s="196"/>
      <c r="BQ508" s="197"/>
      <c r="BR508" s="201"/>
      <c r="BS508" s="237"/>
      <c r="BT508" s="237"/>
      <c r="BU508" s="237"/>
      <c r="BV508" s="242"/>
      <c r="BW508" s="237"/>
      <c r="BX508" s="237"/>
      <c r="BY508" s="237"/>
      <c r="BZ508" s="237"/>
      <c r="CA508" s="237"/>
      <c r="CB508" s="437"/>
      <c r="CC508" s="437"/>
      <c r="CD508" s="437"/>
      <c r="CE508" s="437"/>
      <c r="CF508" s="237"/>
      <c r="CG508" s="237"/>
      <c r="CH508" s="237"/>
      <c r="CI508" s="237"/>
      <c r="CJ508" s="197"/>
      <c r="CK508" s="197"/>
      <c r="CL508" s="197"/>
      <c r="CM508" s="197"/>
      <c r="CN508" s="197"/>
      <c r="CO508" s="197"/>
      <c r="CP508" s="197"/>
      <c r="CQ508" s="197"/>
      <c r="CR508" s="197"/>
      <c r="CS508" s="197"/>
      <c r="CT508" s="401"/>
      <c r="CU508" s="237"/>
      <c r="CV508" s="243"/>
      <c r="CW508" s="255"/>
    </row>
    <row r="509" spans="1:101" ht="13.5" thickBot="1" x14ac:dyDescent="0.25">
      <c r="A509" s="256"/>
      <c r="B509" s="256"/>
      <c r="C509" s="202"/>
      <c r="D509" s="188"/>
      <c r="E509" s="266" t="str">
        <f>E3</f>
        <v>Skorgen Tippelag</v>
      </c>
      <c r="F509" s="406"/>
      <c r="G509" s="406"/>
      <c r="H509" s="406"/>
      <c r="I509" s="406"/>
      <c r="J509" s="406"/>
      <c r="K509" s="406"/>
      <c r="L509" s="406"/>
      <c r="M509" s="406"/>
      <c r="N509" s="406"/>
      <c r="O509" s="406"/>
      <c r="P509" s="406"/>
      <c r="Q509" s="406"/>
      <c r="R509" s="406"/>
      <c r="S509" s="406"/>
      <c r="T509" s="406"/>
      <c r="U509" s="406"/>
      <c r="V509" s="406"/>
      <c r="W509" s="406"/>
      <c r="X509" s="406"/>
      <c r="Y509" s="406"/>
      <c r="Z509" s="406"/>
      <c r="AA509" s="406"/>
      <c r="AB509" s="406"/>
      <c r="AC509" s="406"/>
      <c r="AD509" s="406"/>
      <c r="AE509" s="406"/>
      <c r="AF509" s="406"/>
      <c r="AG509" s="406"/>
      <c r="AH509" s="406"/>
      <c r="AI509" s="406"/>
      <c r="AJ509" s="406"/>
      <c r="AK509" s="406"/>
      <c r="AL509" s="406"/>
      <c r="AM509" s="406"/>
      <c r="AN509" s="406"/>
      <c r="AO509" s="406"/>
      <c r="AP509" s="406"/>
      <c r="AQ509" s="406"/>
      <c r="AR509" s="406"/>
      <c r="AS509" s="406"/>
      <c r="AT509" s="406"/>
      <c r="AU509" s="406"/>
      <c r="AV509" s="406"/>
      <c r="AW509" s="406"/>
      <c r="AX509" s="406"/>
      <c r="AY509" s="406"/>
      <c r="AZ509" s="406"/>
      <c r="BA509" s="406"/>
      <c r="BB509" s="406"/>
      <c r="BC509" s="406"/>
      <c r="BD509" s="406"/>
      <c r="BE509" s="406"/>
      <c r="BF509" s="406"/>
      <c r="BG509" s="406"/>
      <c r="BH509" s="406"/>
      <c r="BI509" s="406"/>
      <c r="BJ509" s="406"/>
      <c r="BK509" s="406"/>
      <c r="BL509" s="406"/>
      <c r="BM509" s="406"/>
      <c r="BN509" s="406"/>
      <c r="BO509" s="406"/>
      <c r="BP509" s="406"/>
      <c r="BQ509" s="406"/>
      <c r="BR509" s="406"/>
      <c r="BS509" s="406"/>
      <c r="BT509" s="406"/>
      <c r="BU509" s="406"/>
      <c r="BV509" s="406"/>
      <c r="BW509" s="406"/>
      <c r="BX509" s="406"/>
      <c r="BY509" s="406"/>
      <c r="BZ509" s="406"/>
      <c r="CA509" s="406"/>
      <c r="CB509" s="438"/>
      <c r="CC509" s="438"/>
      <c r="CD509" s="438"/>
      <c r="CE509" s="438"/>
      <c r="CF509" s="406"/>
      <c r="CG509" s="406"/>
      <c r="CH509" s="406"/>
      <c r="CI509" s="406"/>
      <c r="CJ509" s="406"/>
      <c r="CK509" s="406"/>
      <c r="CL509" s="406"/>
      <c r="CM509" s="406"/>
      <c r="CN509" s="366"/>
      <c r="CO509" s="366"/>
      <c r="CP509" s="366"/>
      <c r="CQ509" s="366"/>
      <c r="CR509" s="366"/>
      <c r="CS509" s="366"/>
      <c r="CT509" s="187"/>
      <c r="CU509" s="310"/>
      <c r="CV509" s="246"/>
      <c r="CW509" s="255"/>
    </row>
    <row r="510" spans="1:101" ht="18.75" thickTop="1" x14ac:dyDescent="0.2">
      <c r="A510" s="256"/>
      <c r="B510" s="256"/>
      <c r="C510" s="209"/>
      <c r="D510" s="290"/>
      <c r="E510" s="273"/>
      <c r="F510" s="274"/>
      <c r="G510" s="273"/>
      <c r="H510" s="273"/>
      <c r="I510" s="803" t="s">
        <v>39</v>
      </c>
      <c r="J510" s="805"/>
      <c r="K510" s="805"/>
      <c r="L510" s="291"/>
      <c r="M510" s="302"/>
      <c r="N510" s="242"/>
      <c r="O510" s="275"/>
      <c r="P510" s="275"/>
      <c r="Q510" s="808">
        <f>IF($F514="","",SUM(Q526:S526)-S512)</f>
        <v>490</v>
      </c>
      <c r="R510" s="808"/>
      <c r="S510" s="808"/>
      <c r="T510" s="276"/>
      <c r="U510" s="277"/>
      <c r="V510" s="277"/>
      <c r="W510" s="277"/>
      <c r="X510" s="277"/>
      <c r="Y510" s="275"/>
      <c r="Z510" s="808">
        <f>IF($F514="","",SUM(Z526:AB526)-AB512)</f>
        <v>610</v>
      </c>
      <c r="AA510" s="808"/>
      <c r="AB510" s="808"/>
      <c r="AC510" s="276"/>
      <c r="AD510" s="277"/>
      <c r="AE510" s="277"/>
      <c r="AF510" s="277"/>
      <c r="AG510" s="273"/>
      <c r="AH510" s="275"/>
      <c r="AI510" s="808">
        <f>IF($F514="","",SUM(AI526:AK526)-AK512)</f>
        <v>420</v>
      </c>
      <c r="AJ510" s="808"/>
      <c r="AK510" s="808"/>
      <c r="AL510" s="276"/>
      <c r="AM510" s="277"/>
      <c r="AN510" s="277"/>
      <c r="AO510" s="277"/>
      <c r="AP510" s="273"/>
      <c r="AQ510" s="275"/>
      <c r="AR510" s="808">
        <f>IF($F514="","",SUM(AR526:AT526)-AT512)</f>
        <v>470</v>
      </c>
      <c r="AS510" s="808"/>
      <c r="AT510" s="808"/>
      <c r="AU510" s="278"/>
      <c r="AV510" s="277"/>
      <c r="AW510" s="277"/>
      <c r="AX510" s="277"/>
      <c r="AY510" s="279"/>
      <c r="AZ510" s="280"/>
      <c r="BA510" s="808">
        <f>IF($F514="","",SUM(BA526:BC526)-BC512)</f>
        <v>470</v>
      </c>
      <c r="BB510" s="808"/>
      <c r="BC510" s="808"/>
      <c r="BD510" s="278"/>
      <c r="BE510" s="277"/>
      <c r="BF510" s="277"/>
      <c r="BG510" s="277"/>
      <c r="BH510" s="279"/>
      <c r="BI510" s="280"/>
      <c r="BJ510" s="808">
        <f>IF($F514="","",SUM(BJ526:BL526)-BL512)</f>
        <v>440</v>
      </c>
      <c r="BK510" s="808"/>
      <c r="BL510" s="808"/>
      <c r="BM510" s="278"/>
      <c r="BN510" s="277"/>
      <c r="BO510" s="277"/>
      <c r="BP510" s="277"/>
      <c r="BQ510" s="279"/>
      <c r="BR510" s="281"/>
      <c r="BS510" s="808">
        <f>IF($F514="","",SUM(BS526:BU526)-BU512)</f>
        <v>520</v>
      </c>
      <c r="BT510" s="808"/>
      <c r="BU510" s="808"/>
      <c r="BV510" s="280"/>
      <c r="BW510" s="279"/>
      <c r="BX510" s="279"/>
      <c r="BY510" s="279"/>
      <c r="BZ510" s="279"/>
      <c r="CA510" s="281"/>
      <c r="CB510" s="808">
        <f>IF($F514="","",SUM(CB526:CD526)-CD512)</f>
        <v>480</v>
      </c>
      <c r="CC510" s="808"/>
      <c r="CD510" s="808"/>
      <c r="CE510" s="280"/>
      <c r="CF510" s="279"/>
      <c r="CG510" s="279"/>
      <c r="CH510" s="279"/>
      <c r="CI510" s="279"/>
      <c r="CJ510" s="273"/>
      <c r="CK510" s="808">
        <f>IF($F514="","",SUM(CK526:CM526))</f>
        <v>460</v>
      </c>
      <c r="CL510" s="808"/>
      <c r="CM510" s="808"/>
      <c r="CN510" s="280"/>
      <c r="CO510" s="279"/>
      <c r="CP510" s="279"/>
      <c r="CQ510" s="279"/>
      <c r="CR510" s="273"/>
      <c r="CS510" s="273"/>
      <c r="CT510" s="273"/>
      <c r="CU510" s="292"/>
      <c r="CV510" s="246"/>
      <c r="CW510" s="255"/>
    </row>
    <row r="511" spans="1:101" x14ac:dyDescent="0.2">
      <c r="A511" s="256"/>
      <c r="B511" s="256"/>
      <c r="C511" s="209"/>
      <c r="D511" s="916">
        <v>10</v>
      </c>
      <c r="E511" s="588">
        <v>46088</v>
      </c>
      <c r="F511" s="213"/>
      <c r="G511" s="214"/>
      <c r="H511" s="214"/>
      <c r="I511" s="804">
        <f>IF(ISERROR(AVERAGE(Q510,Z510,AI510,AR510,BA510,BJ510,BS510,CB510,CK510)),"",AVERAGE(Q510,Z510,AI510,AR510,BA510,BJ510,BS510,CB510,CK510))</f>
        <v>484.44444444444446</v>
      </c>
      <c r="J511" s="806"/>
      <c r="K511" s="806"/>
      <c r="L511" s="295"/>
      <c r="M511" s="372"/>
      <c r="N511" s="245"/>
      <c r="O511" s="215"/>
      <c r="P511" s="215"/>
      <c r="Q511" s="710">
        <f>IF(Q510="","",Q510/Data!$X$1)</f>
        <v>0.40833333333333333</v>
      </c>
      <c r="R511" s="710"/>
      <c r="S511" s="711">
        <f>IF(SUM(X514:X525)=0,"",SUM(X514:X525))</f>
        <v>5</v>
      </c>
      <c r="T511" s="216"/>
      <c r="U511" s="217"/>
      <c r="V511" s="217"/>
      <c r="W511" s="217"/>
      <c r="X511" s="217"/>
      <c r="Y511" s="215"/>
      <c r="Z511" s="710">
        <f>IF(Z510="","",Z510/Data!$X$1)</f>
        <v>0.5083333333333333</v>
      </c>
      <c r="AA511" s="710"/>
      <c r="AB511" s="711">
        <f>IF(SUM(AG514:AG525)=0,"",SUM(AG514:AG525))</f>
        <v>7</v>
      </c>
      <c r="AC511" s="216"/>
      <c r="AD511" s="217"/>
      <c r="AE511" s="217"/>
      <c r="AF511" s="217"/>
      <c r="AG511" s="217"/>
      <c r="AH511" s="215"/>
      <c r="AI511" s="710">
        <f>IF(AI510="","",AI510/Data!$X$1)</f>
        <v>0.35</v>
      </c>
      <c r="AJ511" s="710"/>
      <c r="AK511" s="711">
        <f>IF(SUM(AP514:AP525)=0,"",SUM(AP514:AP525))</f>
        <v>5</v>
      </c>
      <c r="AL511" s="216"/>
      <c r="AM511" s="217"/>
      <c r="AN511" s="217"/>
      <c r="AO511" s="217"/>
      <c r="AP511" s="217"/>
      <c r="AQ511" s="215"/>
      <c r="AR511" s="710">
        <f>IF(AR510="","",AR510/Data!$X$1)</f>
        <v>0.39166666666666666</v>
      </c>
      <c r="AS511" s="710"/>
      <c r="AT511" s="711">
        <f>IF(SUM(AY514:AY525)=0,"",SUM(AY514:AY525))</f>
        <v>5</v>
      </c>
      <c r="AU511" s="218"/>
      <c r="AV511" s="217"/>
      <c r="AW511" s="217"/>
      <c r="AX511" s="217"/>
      <c r="AY511" s="217"/>
      <c r="AZ511" s="219"/>
      <c r="BA511" s="710">
        <f>IF(BA510="","",BA510/Data!$X$1)</f>
        <v>0.39166666666666666</v>
      </c>
      <c r="BB511" s="710"/>
      <c r="BC511" s="711">
        <f>IF(SUM(BH514:BH525)=0,"",SUM(BH514:BH525))</f>
        <v>5</v>
      </c>
      <c r="BD511" s="218"/>
      <c r="BE511" s="217"/>
      <c r="BF511" s="217"/>
      <c r="BG511" s="217"/>
      <c r="BH511" s="217"/>
      <c r="BI511" s="219"/>
      <c r="BJ511" s="710">
        <f>IF(BJ510="","",BJ510/Data!$X$1)</f>
        <v>0.36666666666666664</v>
      </c>
      <c r="BK511" s="710"/>
      <c r="BL511" s="711">
        <f>IF(SUM(BQ514:BQ525)=0,"",SUM(BQ514:BQ525))</f>
        <v>5</v>
      </c>
      <c r="BM511" s="218"/>
      <c r="BN511" s="217"/>
      <c r="BO511" s="217"/>
      <c r="BP511" s="217"/>
      <c r="BQ511" s="217"/>
      <c r="BR511" s="220"/>
      <c r="BS511" s="710">
        <f>IF(BS510="","",BS510/Data!$X$1)</f>
        <v>0.43333333333333335</v>
      </c>
      <c r="BT511" s="710"/>
      <c r="BU511" s="711">
        <f>IF(SUM(BZ514:BZ525)=0,"",SUM(BZ514:BZ525))</f>
        <v>7</v>
      </c>
      <c r="BV511" s="219"/>
      <c r="BW511" s="217"/>
      <c r="BX511" s="217"/>
      <c r="BY511" s="217"/>
      <c r="BZ511" s="217"/>
      <c r="CA511" s="220"/>
      <c r="CB511" s="710">
        <f>IF(CB510="","",CB510/Data!$X$1)</f>
        <v>0.4</v>
      </c>
      <c r="CC511" s="710"/>
      <c r="CD511" s="711">
        <f>IF(SUM(CI514:CI525)=0,"",SUM(CI514:CI525))</f>
        <v>8</v>
      </c>
      <c r="CE511" s="219"/>
      <c r="CF511" s="217"/>
      <c r="CG511" s="217"/>
      <c r="CH511" s="217"/>
      <c r="CI511" s="217"/>
      <c r="CJ511" s="217"/>
      <c r="CK511" s="710">
        <f>IF(CK510="","",CK510/Data!$X$1)</f>
        <v>0.38333333333333336</v>
      </c>
      <c r="CL511" s="710"/>
      <c r="CM511" s="711">
        <f>IF(SUM(CR514:CR525)=0,"",SUM(CR514:CR525))</f>
        <v>6</v>
      </c>
      <c r="CN511" s="219"/>
      <c r="CO511" s="217"/>
      <c r="CP511" s="217"/>
      <c r="CQ511" s="217"/>
      <c r="CR511" s="217"/>
      <c r="CS511" s="217"/>
      <c r="CT511" s="217"/>
      <c r="CU511" s="296"/>
      <c r="CV511" s="246"/>
      <c r="CW511" s="255"/>
    </row>
    <row r="512" spans="1:101" ht="13.5" thickBot="1" x14ac:dyDescent="0.25">
      <c r="A512" s="256"/>
      <c r="B512" s="256"/>
      <c r="C512" s="209"/>
      <c r="D512" s="269">
        <f>D490+1</f>
        <v>24</v>
      </c>
      <c r="E512" s="402" t="str">
        <f>IF(E511="","Sett inn dato over her",TEXT(E511,"dddd"))</f>
        <v>lørdag</v>
      </c>
      <c r="F512" s="221"/>
      <c r="G512" s="222"/>
      <c r="H512" s="222"/>
      <c r="I512" s="802"/>
      <c r="J512" s="807"/>
      <c r="K512" s="807"/>
      <c r="L512" s="297"/>
      <c r="M512" s="373"/>
      <c r="N512" s="377"/>
      <c r="O512" s="222"/>
      <c r="P512" s="222"/>
      <c r="Q512" s="385" t="str">
        <f>Data!$E$11</f>
        <v>AHH</v>
      </c>
      <c r="R512" s="386">
        <f>IF($F525="","",RANK(Q510,$Q510:$CL510))</f>
        <v>3</v>
      </c>
      <c r="S512" s="510"/>
      <c r="T512" s="216">
        <v>0</v>
      </c>
      <c r="U512" s="217"/>
      <c r="V512" s="217"/>
      <c r="W512" s="217"/>
      <c r="X512" s="217"/>
      <c r="Y512" s="215"/>
      <c r="Z512" s="385" t="str">
        <f>Data!$E$12</f>
        <v>RB</v>
      </c>
      <c r="AA512" s="386">
        <f>IF($F525="","",RANK(Z510,$Q510:$CL510))</f>
        <v>1</v>
      </c>
      <c r="AB512" s="510"/>
      <c r="AC512" s="216"/>
      <c r="AD512" s="217"/>
      <c r="AE512" s="217"/>
      <c r="AF512" s="217"/>
      <c r="AG512" s="217"/>
      <c r="AH512" s="215"/>
      <c r="AI512" s="385" t="str">
        <f>Data!$E$13</f>
        <v>EB</v>
      </c>
      <c r="AJ512" s="386">
        <f>IF($F525="","",RANK(AI510,$Q510:$CL510))</f>
        <v>9</v>
      </c>
      <c r="AK512" s="510"/>
      <c r="AL512" s="216"/>
      <c r="AM512" s="217"/>
      <c r="AN512" s="217"/>
      <c r="AO512" s="217"/>
      <c r="AP512" s="217"/>
      <c r="AQ512" s="215"/>
      <c r="AR512" s="346" t="str">
        <f>Data!$E$14</f>
        <v>KAF</v>
      </c>
      <c r="AS512" s="386">
        <f>IF($F525="","",RANK(AR510,$Q510:$CL510))</f>
        <v>5</v>
      </c>
      <c r="AT512" s="510"/>
      <c r="AU512" s="216"/>
      <c r="AV512" s="217"/>
      <c r="AW512" s="217"/>
      <c r="AX512" s="217"/>
      <c r="AY512" s="217"/>
      <c r="AZ512" s="215"/>
      <c r="BA512" s="346" t="str">
        <f>Data!$E$15</f>
        <v>ØG</v>
      </c>
      <c r="BB512" s="386">
        <f>IF($F525="","",RANK(BA510,$Q510:$CL510))</f>
        <v>5</v>
      </c>
      <c r="BC512" s="510"/>
      <c r="BD512" s="216"/>
      <c r="BE512" s="217"/>
      <c r="BF512" s="217"/>
      <c r="BG512" s="217"/>
      <c r="BH512" s="217"/>
      <c r="BI512" s="215"/>
      <c r="BJ512" s="346" t="str">
        <f>Data!$E$16</f>
        <v>JH</v>
      </c>
      <c r="BK512" s="386">
        <f>IF($F525="","",RANK(BJ510,$Q510:$CL510))</f>
        <v>8</v>
      </c>
      <c r="BL512" s="510"/>
      <c r="BM512" s="216"/>
      <c r="BN512" s="217"/>
      <c r="BO512" s="217"/>
      <c r="BP512" s="217"/>
      <c r="BQ512" s="217"/>
      <c r="BR512" s="223"/>
      <c r="BS512" s="346" t="str">
        <f>Data!$E$17</f>
        <v>TOH</v>
      </c>
      <c r="BT512" s="386">
        <f>IF($F525="","",RANK(BS510,$Q510:$CL510))</f>
        <v>2</v>
      </c>
      <c r="BU512" s="510"/>
      <c r="BV512" s="215"/>
      <c r="BW512" s="217"/>
      <c r="BX512" s="217"/>
      <c r="BY512" s="217"/>
      <c r="BZ512" s="217"/>
      <c r="CA512" s="223"/>
      <c r="CB512" s="346" t="s">
        <v>26</v>
      </c>
      <c r="CC512" s="386">
        <f>IF($F525="","",RANK(CB510,$Q510:$CM510))</f>
        <v>4</v>
      </c>
      <c r="CD512" s="511"/>
      <c r="CE512" s="215"/>
      <c r="CF512" s="217"/>
      <c r="CG512" s="217"/>
      <c r="CH512" s="217"/>
      <c r="CI512" s="217"/>
      <c r="CJ512" s="217"/>
      <c r="CK512" s="346" t="s">
        <v>27</v>
      </c>
      <c r="CL512" s="386">
        <f>IF($F525="","",RANK(CK510,$Q510:$CM510))</f>
        <v>7</v>
      </c>
      <c r="CM512" s="798"/>
      <c r="CN512" s="215"/>
      <c r="CO512" s="217"/>
      <c r="CP512" s="217"/>
      <c r="CQ512" s="217"/>
      <c r="CR512" s="217"/>
      <c r="CS512" s="217"/>
      <c r="CT512" s="217"/>
      <c r="CU512" s="296"/>
      <c r="CV512" s="246"/>
      <c r="CW512" s="255"/>
    </row>
    <row r="513" spans="1:101" ht="13.5" thickBot="1" x14ac:dyDescent="0.25">
      <c r="A513" s="264"/>
      <c r="B513" s="264"/>
      <c r="C513" s="202"/>
      <c r="D513" s="270"/>
      <c r="E513" s="224"/>
      <c r="F513" s="225"/>
      <c r="G513" s="226"/>
      <c r="H513" s="226"/>
      <c r="I513" s="227" t="s">
        <v>45</v>
      </c>
      <c r="J513" s="228" t="s">
        <v>46</v>
      </c>
      <c r="K513" s="229" t="s">
        <v>47</v>
      </c>
      <c r="L513" s="298"/>
      <c r="M513" s="374"/>
      <c r="N513" s="378"/>
      <c r="O513" s="230"/>
      <c r="P513" s="230"/>
      <c r="Q513" s="227" t="s">
        <v>45</v>
      </c>
      <c r="R513" s="228" t="s">
        <v>46</v>
      </c>
      <c r="S513" s="229" t="s">
        <v>47</v>
      </c>
      <c r="T513" s="231"/>
      <c r="U513" s="232"/>
      <c r="V513" s="232"/>
      <c r="W513" s="232"/>
      <c r="X513" s="232"/>
      <c r="Y513" s="230"/>
      <c r="Z513" s="227" t="s">
        <v>45</v>
      </c>
      <c r="AA513" s="228" t="s">
        <v>46</v>
      </c>
      <c r="AB513" s="229" t="s">
        <v>47</v>
      </c>
      <c r="AC513" s="231"/>
      <c r="AD513" s="232"/>
      <c r="AE513" s="232"/>
      <c r="AF513" s="232"/>
      <c r="AG513" s="232"/>
      <c r="AH513" s="230"/>
      <c r="AI513" s="227" t="s">
        <v>45</v>
      </c>
      <c r="AJ513" s="228" t="s">
        <v>46</v>
      </c>
      <c r="AK513" s="229" t="s">
        <v>47</v>
      </c>
      <c r="AL513" s="231"/>
      <c r="AM513" s="232"/>
      <c r="AN513" s="232"/>
      <c r="AO513" s="232"/>
      <c r="AP513" s="232"/>
      <c r="AQ513" s="230"/>
      <c r="AR513" s="227" t="s">
        <v>45</v>
      </c>
      <c r="AS513" s="228" t="s">
        <v>46</v>
      </c>
      <c r="AT513" s="229" t="s">
        <v>47</v>
      </c>
      <c r="AU513" s="231"/>
      <c r="AV513" s="232"/>
      <c r="AW513" s="232"/>
      <c r="AX513" s="232"/>
      <c r="AY513" s="232"/>
      <c r="AZ513" s="230"/>
      <c r="BA513" s="227" t="s">
        <v>45</v>
      </c>
      <c r="BB513" s="228" t="s">
        <v>46</v>
      </c>
      <c r="BC513" s="229" t="s">
        <v>47</v>
      </c>
      <c r="BD513" s="231"/>
      <c r="BE513" s="232"/>
      <c r="BF513" s="232"/>
      <c r="BG513" s="232"/>
      <c r="BH513" s="232"/>
      <c r="BI513" s="230"/>
      <c r="BJ513" s="227" t="s">
        <v>45</v>
      </c>
      <c r="BK513" s="228" t="s">
        <v>46</v>
      </c>
      <c r="BL513" s="229" t="s">
        <v>47</v>
      </c>
      <c r="BM513" s="231"/>
      <c r="BN513" s="232"/>
      <c r="BO513" s="232"/>
      <c r="BP513" s="232"/>
      <c r="BQ513" s="232"/>
      <c r="BR513" s="230"/>
      <c r="BS513" s="227" t="s">
        <v>45</v>
      </c>
      <c r="BT513" s="228" t="s">
        <v>46</v>
      </c>
      <c r="BU513" s="229" t="s">
        <v>47</v>
      </c>
      <c r="BV513" s="231"/>
      <c r="BW513" s="232"/>
      <c r="BX513" s="232"/>
      <c r="BY513" s="232"/>
      <c r="BZ513" s="233"/>
      <c r="CA513" s="230"/>
      <c r="CB513" s="227" t="s">
        <v>45</v>
      </c>
      <c r="CC513" s="228" t="s">
        <v>46</v>
      </c>
      <c r="CD513" s="229" t="s">
        <v>47</v>
      </c>
      <c r="CE513" s="231"/>
      <c r="CF513" s="232"/>
      <c r="CG513" s="232"/>
      <c r="CH513" s="232"/>
      <c r="CI513" s="232"/>
      <c r="CJ513" s="232"/>
      <c r="CK513" s="227" t="s">
        <v>45</v>
      </c>
      <c r="CL513" s="228" t="s">
        <v>46</v>
      </c>
      <c r="CM513" s="229" t="s">
        <v>47</v>
      </c>
      <c r="CN513" s="231"/>
      <c r="CO513" s="232"/>
      <c r="CP513" s="232"/>
      <c r="CQ513" s="232"/>
      <c r="CR513" s="232"/>
      <c r="CS513" s="232"/>
      <c r="CT513" s="234"/>
      <c r="CU513" s="296"/>
      <c r="CV513" s="246"/>
      <c r="CW513" s="265"/>
    </row>
    <row r="514" spans="1:101" x14ac:dyDescent="0.2">
      <c r="A514" s="264"/>
      <c r="B514" s="264"/>
      <c r="C514" s="202"/>
      <c r="D514" s="271">
        <v>1</v>
      </c>
      <c r="E514" s="166" t="s">
        <v>187</v>
      </c>
      <c r="F514" s="468">
        <v>1</v>
      </c>
      <c r="G514" s="472" t="s">
        <v>49</v>
      </c>
      <c r="H514" s="473">
        <v>2</v>
      </c>
      <c r="I514" s="170" t="str">
        <f t="shared" ref="I514:I525" si="1150">IF($F514&gt;$H514,"x","")</f>
        <v/>
      </c>
      <c r="J514" s="387" t="str">
        <f t="shared" ref="J514:J525" si="1151">IF(F514&lt;&gt;"",IF(H514&lt;&gt;"",IF(F514=H514,"x",""),""),"")</f>
        <v/>
      </c>
      <c r="K514" s="388" t="str">
        <f t="shared" ref="K514:K525" si="1152">IF($F514&lt;$H514,"x","")</f>
        <v>x</v>
      </c>
      <c r="L514" s="299"/>
      <c r="M514" s="375"/>
      <c r="N514" s="379"/>
      <c r="O514" s="236"/>
      <c r="P514" s="236"/>
      <c r="Q514" s="480">
        <v>40</v>
      </c>
      <c r="R514" s="481">
        <v>50</v>
      </c>
      <c r="S514" s="482">
        <f>IF(Q514="","",100-SUM(Q514:R514))</f>
        <v>10</v>
      </c>
      <c r="T514" s="371"/>
      <c r="U514" s="232" t="str">
        <f t="shared" ref="U514:U525" si="1153">IF($I514="x",Q514,"")</f>
        <v/>
      </c>
      <c r="V514" s="232" t="str">
        <f t="shared" ref="V514:V525" si="1154">IF($J514="x",R514,"")</f>
        <v/>
      </c>
      <c r="W514" s="232">
        <f t="shared" ref="W514:W525" si="1155">IF($K514="x",S514,"")</f>
        <v>10</v>
      </c>
      <c r="X514" s="232" t="str">
        <f>IF((MAX(U514,V514,W514))=0,"",IF((MAX(U514,V514,W514))=(MAX(Q514,R514,S514)),1,""))</f>
        <v/>
      </c>
      <c r="Y514" s="371"/>
      <c r="Z514" s="495">
        <v>10</v>
      </c>
      <c r="AA514" s="496">
        <v>10</v>
      </c>
      <c r="AB514" s="482">
        <f t="shared" ref="AB514:AB525" si="1156">IF(Z514="","",100-SUM(Z514:AA514))</f>
        <v>80</v>
      </c>
      <c r="AC514" s="371"/>
      <c r="AD514" s="232" t="str">
        <f t="shared" ref="AD514:AD525" si="1157">IF($I514="x",Z514,"")</f>
        <v/>
      </c>
      <c r="AE514" s="232" t="str">
        <f t="shared" ref="AE514:AE525" si="1158">IF($J514="x",AA514,"")</f>
        <v/>
      </c>
      <c r="AF514" s="232">
        <f t="shared" ref="AF514:AF525" si="1159">IF($K514="x",AB514,"")</f>
        <v>80</v>
      </c>
      <c r="AG514" s="232">
        <f>IF((MAX(AD514,AE514,AF514))=0,"",IF((MAX(AD514,AE514,AF514))=(MAX(Z514,AA514,AB514)),1,""))</f>
        <v>1</v>
      </c>
      <c r="AH514" s="371"/>
      <c r="AI514" s="495">
        <v>20</v>
      </c>
      <c r="AJ514" s="496">
        <v>30</v>
      </c>
      <c r="AK514" s="482">
        <f t="shared" ref="AK514:AK525" si="1160">IF(AI514="","",100-SUM(AI514:AJ514))</f>
        <v>50</v>
      </c>
      <c r="AL514" s="371"/>
      <c r="AM514" s="232" t="str">
        <f t="shared" ref="AM514:AM525" si="1161">IF($I514="x",AI514,"")</f>
        <v/>
      </c>
      <c r="AN514" s="232" t="str">
        <f t="shared" ref="AN514:AN525" si="1162">IF($J514="x",AJ514,"")</f>
        <v/>
      </c>
      <c r="AO514" s="232">
        <f t="shared" ref="AO514:AO525" si="1163">IF($K514="x",AK514,"")</f>
        <v>50</v>
      </c>
      <c r="AP514" s="232">
        <f>IF((MAX(AM514,AN514,AO514))=0,"",IF((MAX(AM514,AN514,AO514))=(MAX(AI514,AJ514,AK514)),1,""))</f>
        <v>1</v>
      </c>
      <c r="AQ514" s="371"/>
      <c r="AR514" s="495">
        <v>20</v>
      </c>
      <c r="AS514" s="496">
        <v>20</v>
      </c>
      <c r="AT514" s="482">
        <f t="shared" ref="AT514:AT525" si="1164">IF(AR514="","",100-SUM(AR514:AS514))</f>
        <v>60</v>
      </c>
      <c r="AU514" s="371"/>
      <c r="AV514" s="232" t="str">
        <f t="shared" ref="AV514:AV525" si="1165">IF($I514="x",AR514,"")</f>
        <v/>
      </c>
      <c r="AW514" s="232" t="str">
        <f t="shared" ref="AW514:AW525" si="1166">IF($J514="x",AS514,"")</f>
        <v/>
      </c>
      <c r="AX514" s="232">
        <f t="shared" ref="AX514:AX525" si="1167">IF($K514="x",AT514,"")</f>
        <v>60</v>
      </c>
      <c r="AY514" s="232">
        <f>IF((MAX(AV514,AW514,AX514))=0,"",IF((MAX(AV514,AW514,AX514))=(MAX(AR514,AS514,AT514)),1,""))</f>
        <v>1</v>
      </c>
      <c r="AZ514" s="371"/>
      <c r="BA514" s="495">
        <v>10</v>
      </c>
      <c r="BB514" s="496">
        <v>10</v>
      </c>
      <c r="BC514" s="482">
        <f t="shared" ref="BC514:BC525" si="1168">IF(BA514="","",100-SUM(BA514:BB514))</f>
        <v>80</v>
      </c>
      <c r="BD514" s="371"/>
      <c r="BE514" s="232" t="str">
        <f t="shared" ref="BE514:BE525" si="1169">IF($I514="x",BA514,"")</f>
        <v/>
      </c>
      <c r="BF514" s="232" t="str">
        <f t="shared" ref="BF514:BF525" si="1170">IF($J514="x",BB514,"")</f>
        <v/>
      </c>
      <c r="BG514" s="232">
        <f t="shared" ref="BG514:BG525" si="1171">IF($K514="x",BC514,"")</f>
        <v>80</v>
      </c>
      <c r="BH514" s="232">
        <f>IF((MAX(BE514,BF514,BG514))=0,"",IF((MAX(BE514,BF514,BG514))=(MAX(BA514,BB514,BC514)),1,""))</f>
        <v>1</v>
      </c>
      <c r="BI514" s="371"/>
      <c r="BJ514" s="495">
        <v>20</v>
      </c>
      <c r="BK514" s="496">
        <v>30</v>
      </c>
      <c r="BL514" s="482">
        <f t="shared" ref="BL514:BL525" si="1172">IF(BJ514="","",100-SUM(BJ514:BK514))</f>
        <v>50</v>
      </c>
      <c r="BM514" s="371"/>
      <c r="BN514" s="232" t="str">
        <f t="shared" ref="BN514:BN525" si="1173">IF($I514="x",BJ514,"")</f>
        <v/>
      </c>
      <c r="BO514" s="232" t="str">
        <f t="shared" ref="BO514:BO525" si="1174">IF($J514="x",BK514,"")</f>
        <v/>
      </c>
      <c r="BP514" s="232">
        <f t="shared" ref="BP514:BP525" si="1175">IF($K514="x",BL514,"")</f>
        <v>50</v>
      </c>
      <c r="BQ514" s="232">
        <f>IF((MAX(BN514,BO514,BP514))=0,"",IF((MAX(BN514,BO514,BP514))=(MAX(BJ514,BK514,BL514)),1,""))</f>
        <v>1</v>
      </c>
      <c r="BR514" s="371"/>
      <c r="BS514" s="495">
        <v>30</v>
      </c>
      <c r="BT514" s="496">
        <v>20</v>
      </c>
      <c r="BU514" s="482">
        <f t="shared" ref="BU514:BU525" si="1176">IF(BS514="","",100-SUM(BS514:BT514))</f>
        <v>50</v>
      </c>
      <c r="BV514" s="371"/>
      <c r="BW514" s="232" t="str">
        <f t="shared" ref="BW514:BW525" si="1177">IF($I514="x",BS514,"")</f>
        <v/>
      </c>
      <c r="BX514" s="232" t="str">
        <f t="shared" ref="BX514:BX525" si="1178">IF($J514="x",BT514,"")</f>
        <v/>
      </c>
      <c r="BY514" s="232">
        <f t="shared" ref="BY514:BY525" si="1179">IF($K514="x",BU514,"")</f>
        <v>50</v>
      </c>
      <c r="BZ514" s="232">
        <f>IF((MAX(BW514,BX514,BY514))=0,"",IF((MAX(BW514,BX514,BY514))=(MAX(BS514,BT514,BU514)),1,""))</f>
        <v>1</v>
      </c>
      <c r="CA514" s="371"/>
      <c r="CB514" s="501">
        <f t="shared" ref="CB514:CB525" si="1180">IFERROR(ROUNDUP((SUM(Q514,Z514,AI514,AR514,BA514,BJ514,BS514)/SUM($Q514:$S514,$Z514:$AB514,$AI514:$AK514,$AR514:$AT514,$BA514:$BC514,$BJ514:$BL514,$BS514:$BU514))*100,-1),"")</f>
        <v>30</v>
      </c>
      <c r="CC514" s="502">
        <f t="shared" ref="CC514:CC525" si="1181">IFERROR(ROUNDDOWN((SUM(R514,AA514,AJ514,AS514,BB514,BK514,BT514)/SUM($Q514:$S514,$Z514:$AB514,$AI514:$AK514,$AR514:$AT514,$BA514:$BC514,$BJ514:$BL514,$BS514:$BU514))*100,-1),"")</f>
        <v>20</v>
      </c>
      <c r="CD514" s="503">
        <f t="shared" ref="CD514:CD525" si="1182">IF(CB514="","",100-SUM(CB514:CC514))</f>
        <v>50</v>
      </c>
      <c r="CE514" s="371"/>
      <c r="CF514" s="232" t="str">
        <f t="shared" ref="CF514:CF525" si="1183">IF($I514="x",CB514,"")</f>
        <v/>
      </c>
      <c r="CG514" s="232" t="str">
        <f t="shared" ref="CG514:CG525" si="1184">IF($J514="x",CC514,"")</f>
        <v/>
      </c>
      <c r="CH514" s="232">
        <f t="shared" ref="CH514:CH525" si="1185">IF($K514="x",CD514,"")</f>
        <v>50</v>
      </c>
      <c r="CI514" s="232">
        <f>IF((MAX(CF514,CG514,CH514))=0,"",IF((MAX(CF514,CG514,CH514))=(MAX(CB514,CC514,CD514)),1,""))</f>
        <v>1</v>
      </c>
      <c r="CJ514" s="232"/>
      <c r="CK514" s="495">
        <v>20</v>
      </c>
      <c r="CL514" s="496">
        <v>30</v>
      </c>
      <c r="CM514" s="482">
        <f t="shared" ref="CM514:CM525" si="1186">IF(CK514="","",100-SUM(CK514:CL514))</f>
        <v>50</v>
      </c>
      <c r="CN514" s="371"/>
      <c r="CO514" s="232" t="str">
        <f t="shared" ref="CO514:CO525" si="1187">IF($I514="x",CK514,"")</f>
        <v/>
      </c>
      <c r="CP514" s="232" t="str">
        <f t="shared" ref="CP514:CP525" si="1188">IF($J514="x",CL514,"")</f>
        <v/>
      </c>
      <c r="CQ514" s="232">
        <f t="shared" ref="CQ514:CQ525" si="1189">IF($K514="x",CM514,"")</f>
        <v>50</v>
      </c>
      <c r="CR514" s="232">
        <f>IF((MAX(CO514,CP514,CQ514))=0,"",IF((MAX(CO514,CP514,CQ514))=(MAX(CK514,CL514,CM514)),1,""))</f>
        <v>1</v>
      </c>
      <c r="CS514" s="232"/>
      <c r="CT514" s="371"/>
      <c r="CU514" s="296"/>
      <c r="CV514" s="246"/>
      <c r="CW514" s="264"/>
    </row>
    <row r="515" spans="1:101" x14ac:dyDescent="0.2">
      <c r="A515" s="264"/>
      <c r="B515" s="264"/>
      <c r="C515" s="202"/>
      <c r="D515" s="271">
        <v>2</v>
      </c>
      <c r="E515" s="167" t="s">
        <v>329</v>
      </c>
      <c r="F515" s="469">
        <v>2</v>
      </c>
      <c r="G515" s="474" t="s">
        <v>49</v>
      </c>
      <c r="H515" s="475">
        <v>2</v>
      </c>
      <c r="I515" s="389" t="str">
        <f t="shared" si="1150"/>
        <v/>
      </c>
      <c r="J515" s="390" t="str">
        <f t="shared" si="1151"/>
        <v>x</v>
      </c>
      <c r="K515" s="391" t="str">
        <f t="shared" si="1152"/>
        <v/>
      </c>
      <c r="L515" s="299"/>
      <c r="M515" s="375"/>
      <c r="N515" s="379"/>
      <c r="O515" s="236"/>
      <c r="P515" s="236"/>
      <c r="Q515" s="483">
        <v>10</v>
      </c>
      <c r="R515" s="484">
        <v>20</v>
      </c>
      <c r="S515" s="485">
        <f t="shared" ref="S515:S525" si="1190">IF(Q515="","",100-SUM(Q515:R515))</f>
        <v>70</v>
      </c>
      <c r="T515" s="371"/>
      <c r="U515" s="232" t="str">
        <f t="shared" si="1153"/>
        <v/>
      </c>
      <c r="V515" s="232">
        <f t="shared" si="1154"/>
        <v>20</v>
      </c>
      <c r="W515" s="232" t="str">
        <f t="shared" si="1155"/>
        <v/>
      </c>
      <c r="X515" s="232" t="str">
        <f t="shared" ref="X515:X525" si="1191">IF((MAX(U515,V515,W515))=0,"",IF((MAX(U515,V515,W515))=(MAX(Q515,R515,S515)),1,""))</f>
        <v/>
      </c>
      <c r="Y515" s="371"/>
      <c r="Z515" s="497">
        <v>10</v>
      </c>
      <c r="AA515" s="498">
        <v>10</v>
      </c>
      <c r="AB515" s="485">
        <f t="shared" si="1156"/>
        <v>80</v>
      </c>
      <c r="AC515" s="371"/>
      <c r="AD515" s="232" t="str">
        <f t="shared" si="1157"/>
        <v/>
      </c>
      <c r="AE515" s="232">
        <f t="shared" si="1158"/>
        <v>10</v>
      </c>
      <c r="AF515" s="232" t="str">
        <f t="shared" si="1159"/>
        <v/>
      </c>
      <c r="AG515" s="232" t="str">
        <f t="shared" ref="AG515:AG525" si="1192">IF((MAX(AD515,AE515,AF515))=0,"",IF((MAX(AD515,AE515,AF515))=(MAX(Z515,AA515,AB515)),1,""))</f>
        <v/>
      </c>
      <c r="AH515" s="371"/>
      <c r="AI515" s="497">
        <v>10</v>
      </c>
      <c r="AJ515" s="498">
        <v>20</v>
      </c>
      <c r="AK515" s="485">
        <f t="shared" si="1160"/>
        <v>70</v>
      </c>
      <c r="AL515" s="371"/>
      <c r="AM515" s="232" t="str">
        <f t="shared" si="1161"/>
        <v/>
      </c>
      <c r="AN515" s="232">
        <f t="shared" si="1162"/>
        <v>20</v>
      </c>
      <c r="AO515" s="232" t="str">
        <f t="shared" si="1163"/>
        <v/>
      </c>
      <c r="AP515" s="232" t="str">
        <f t="shared" ref="AP515:AP525" si="1193">IF((MAX(AM515,AN515,AO515))=0,"",IF((MAX(AM515,AN515,AO515))=(MAX(AI515,AJ515,AK515)),1,""))</f>
        <v/>
      </c>
      <c r="AQ515" s="371"/>
      <c r="AR515" s="497">
        <v>10</v>
      </c>
      <c r="AS515" s="498">
        <v>10</v>
      </c>
      <c r="AT515" s="485">
        <f t="shared" si="1164"/>
        <v>80</v>
      </c>
      <c r="AU515" s="371"/>
      <c r="AV515" s="232" t="str">
        <f t="shared" si="1165"/>
        <v/>
      </c>
      <c r="AW515" s="232">
        <f t="shared" si="1166"/>
        <v>10</v>
      </c>
      <c r="AX515" s="232" t="str">
        <f t="shared" si="1167"/>
        <v/>
      </c>
      <c r="AY515" s="232" t="str">
        <f t="shared" ref="AY515:AY525" si="1194">IF((MAX(AV515,AW515,AX515))=0,"",IF((MAX(AV515,AW515,AX515))=(MAX(AR515,AS515,AT515)),1,""))</f>
        <v/>
      </c>
      <c r="AZ515" s="371"/>
      <c r="BA515" s="497">
        <v>10</v>
      </c>
      <c r="BB515" s="498">
        <v>10</v>
      </c>
      <c r="BC515" s="485">
        <f t="shared" si="1168"/>
        <v>80</v>
      </c>
      <c r="BD515" s="371"/>
      <c r="BE515" s="232" t="str">
        <f t="shared" si="1169"/>
        <v/>
      </c>
      <c r="BF515" s="232">
        <f t="shared" si="1170"/>
        <v>10</v>
      </c>
      <c r="BG515" s="232" t="str">
        <f t="shared" si="1171"/>
        <v/>
      </c>
      <c r="BH515" s="232" t="str">
        <f t="shared" ref="BH515:BH525" si="1195">IF((MAX(BE515,BF515,BG515))=0,"",IF((MAX(BE515,BF515,BG515))=(MAX(BA515,BB515,BC515)),1,""))</f>
        <v/>
      </c>
      <c r="BI515" s="371"/>
      <c r="BJ515" s="497">
        <v>60</v>
      </c>
      <c r="BK515" s="498">
        <v>20</v>
      </c>
      <c r="BL515" s="485">
        <f t="shared" si="1172"/>
        <v>20</v>
      </c>
      <c r="BM515" s="371"/>
      <c r="BN515" s="232" t="str">
        <f t="shared" si="1173"/>
        <v/>
      </c>
      <c r="BO515" s="232">
        <f t="shared" si="1174"/>
        <v>20</v>
      </c>
      <c r="BP515" s="232" t="str">
        <f t="shared" si="1175"/>
        <v/>
      </c>
      <c r="BQ515" s="232" t="str">
        <f t="shared" ref="BQ515:BQ525" si="1196">IF((MAX(BN515,BO515,BP515))=0,"",IF((MAX(BN515,BO515,BP515))=(MAX(BJ515,BK515,BL515)),1,""))</f>
        <v/>
      </c>
      <c r="BR515" s="371"/>
      <c r="BS515" s="497">
        <v>10</v>
      </c>
      <c r="BT515" s="498">
        <v>30</v>
      </c>
      <c r="BU515" s="485">
        <f t="shared" si="1176"/>
        <v>60</v>
      </c>
      <c r="BV515" s="371"/>
      <c r="BW515" s="232" t="str">
        <f t="shared" si="1177"/>
        <v/>
      </c>
      <c r="BX515" s="232">
        <f t="shared" si="1178"/>
        <v>30</v>
      </c>
      <c r="BY515" s="232" t="str">
        <f t="shared" si="1179"/>
        <v/>
      </c>
      <c r="BZ515" s="232" t="str">
        <f t="shared" ref="BZ515:BZ525" si="1197">IF((MAX(BW515,BX515,BY515))=0,"",IF((MAX(BW515,BX515,BY515))=(MAX(BS515,BT515,BU515)),1,""))</f>
        <v/>
      </c>
      <c r="CA515" s="371"/>
      <c r="CB515" s="504">
        <f t="shared" si="1180"/>
        <v>20</v>
      </c>
      <c r="CC515" s="505">
        <f t="shared" si="1181"/>
        <v>10</v>
      </c>
      <c r="CD515" s="506">
        <f t="shared" si="1182"/>
        <v>70</v>
      </c>
      <c r="CE515" s="371"/>
      <c r="CF515" s="232" t="str">
        <f t="shared" si="1183"/>
        <v/>
      </c>
      <c r="CG515" s="232">
        <f t="shared" si="1184"/>
        <v>10</v>
      </c>
      <c r="CH515" s="232" t="str">
        <f t="shared" si="1185"/>
        <v/>
      </c>
      <c r="CI515" s="232" t="str">
        <f t="shared" ref="CI515:CI525" si="1198">IF((MAX(CF515,CG515,CH515))=0,"",IF((MAX(CF515,CG515,CH515))=(MAX(CB515,CC515,CD515)),1,""))</f>
        <v/>
      </c>
      <c r="CJ515" s="232"/>
      <c r="CK515" s="497">
        <v>30</v>
      </c>
      <c r="CL515" s="498">
        <v>40</v>
      </c>
      <c r="CM515" s="485">
        <f t="shared" si="1186"/>
        <v>30</v>
      </c>
      <c r="CN515" s="371"/>
      <c r="CO515" s="232" t="str">
        <f t="shared" si="1187"/>
        <v/>
      </c>
      <c r="CP515" s="232">
        <f t="shared" si="1188"/>
        <v>40</v>
      </c>
      <c r="CQ515" s="232" t="str">
        <f t="shared" si="1189"/>
        <v/>
      </c>
      <c r="CR515" s="232">
        <f t="shared" ref="CR515:CR525" si="1199">IF((MAX(CO515,CP515,CQ515))=0,"",IF((MAX(CO515,CP515,CQ515))=(MAX(CK515,CL515,CM515)),1,""))</f>
        <v>1</v>
      </c>
      <c r="CS515" s="232"/>
      <c r="CT515" s="371"/>
      <c r="CU515" s="296"/>
      <c r="CV515" s="246"/>
      <c r="CW515" s="264"/>
    </row>
    <row r="516" spans="1:101" ht="13.5" thickBot="1" x14ac:dyDescent="0.25">
      <c r="A516" s="264"/>
      <c r="B516" s="264"/>
      <c r="C516" s="202"/>
      <c r="D516" s="271">
        <v>3</v>
      </c>
      <c r="E516" s="168" t="s">
        <v>330</v>
      </c>
      <c r="F516" s="470">
        <v>0</v>
      </c>
      <c r="G516" s="476" t="s">
        <v>49</v>
      </c>
      <c r="H516" s="477">
        <v>2</v>
      </c>
      <c r="I516" s="392" t="str">
        <f t="shared" si="1150"/>
        <v/>
      </c>
      <c r="J516" s="393" t="str">
        <f t="shared" si="1151"/>
        <v/>
      </c>
      <c r="K516" s="394" t="str">
        <f t="shared" si="1152"/>
        <v>x</v>
      </c>
      <c r="L516" s="299"/>
      <c r="M516" s="375"/>
      <c r="N516" s="379"/>
      <c r="O516" s="236"/>
      <c r="P516" s="236"/>
      <c r="Q516" s="486">
        <v>40</v>
      </c>
      <c r="R516" s="487">
        <v>50</v>
      </c>
      <c r="S516" s="488">
        <f t="shared" si="1190"/>
        <v>10</v>
      </c>
      <c r="T516" s="371"/>
      <c r="U516" s="232" t="str">
        <f t="shared" si="1153"/>
        <v/>
      </c>
      <c r="V516" s="232" t="str">
        <f t="shared" si="1154"/>
        <v/>
      </c>
      <c r="W516" s="232">
        <f t="shared" si="1155"/>
        <v>10</v>
      </c>
      <c r="X516" s="232" t="str">
        <f t="shared" si="1191"/>
        <v/>
      </c>
      <c r="Y516" s="371"/>
      <c r="Z516" s="499">
        <v>10</v>
      </c>
      <c r="AA516" s="500">
        <v>10</v>
      </c>
      <c r="AB516" s="488">
        <f t="shared" si="1156"/>
        <v>80</v>
      </c>
      <c r="AC516" s="371"/>
      <c r="AD516" s="232" t="str">
        <f t="shared" si="1157"/>
        <v/>
      </c>
      <c r="AE516" s="232" t="str">
        <f t="shared" si="1158"/>
        <v/>
      </c>
      <c r="AF516" s="232">
        <f t="shared" si="1159"/>
        <v>80</v>
      </c>
      <c r="AG516" s="232">
        <f t="shared" si="1192"/>
        <v>1</v>
      </c>
      <c r="AH516" s="371"/>
      <c r="AI516" s="499">
        <v>20</v>
      </c>
      <c r="AJ516" s="500">
        <v>30</v>
      </c>
      <c r="AK516" s="488">
        <f t="shared" si="1160"/>
        <v>50</v>
      </c>
      <c r="AL516" s="371"/>
      <c r="AM516" s="232" t="str">
        <f t="shared" si="1161"/>
        <v/>
      </c>
      <c r="AN516" s="232" t="str">
        <f t="shared" si="1162"/>
        <v/>
      </c>
      <c r="AO516" s="232">
        <f t="shared" si="1163"/>
        <v>50</v>
      </c>
      <c r="AP516" s="232">
        <f t="shared" si="1193"/>
        <v>1</v>
      </c>
      <c r="AQ516" s="371"/>
      <c r="AR516" s="499">
        <v>10</v>
      </c>
      <c r="AS516" s="500">
        <v>30</v>
      </c>
      <c r="AT516" s="488">
        <f t="shared" si="1164"/>
        <v>60</v>
      </c>
      <c r="AU516" s="371"/>
      <c r="AV516" s="232" t="str">
        <f t="shared" si="1165"/>
        <v/>
      </c>
      <c r="AW516" s="232" t="str">
        <f t="shared" si="1166"/>
        <v/>
      </c>
      <c r="AX516" s="232">
        <f t="shared" si="1167"/>
        <v>60</v>
      </c>
      <c r="AY516" s="232">
        <f t="shared" si="1194"/>
        <v>1</v>
      </c>
      <c r="AZ516" s="371"/>
      <c r="BA516" s="499">
        <v>80</v>
      </c>
      <c r="BB516" s="500">
        <v>10</v>
      </c>
      <c r="BC516" s="488">
        <f t="shared" si="1168"/>
        <v>10</v>
      </c>
      <c r="BD516" s="371"/>
      <c r="BE516" s="232" t="str">
        <f t="shared" si="1169"/>
        <v/>
      </c>
      <c r="BF516" s="232" t="str">
        <f t="shared" si="1170"/>
        <v/>
      </c>
      <c r="BG516" s="232">
        <f t="shared" si="1171"/>
        <v>10</v>
      </c>
      <c r="BH516" s="232" t="str">
        <f t="shared" si="1195"/>
        <v/>
      </c>
      <c r="BI516" s="371"/>
      <c r="BJ516" s="499">
        <v>10</v>
      </c>
      <c r="BK516" s="500">
        <v>10</v>
      </c>
      <c r="BL516" s="488">
        <f t="shared" si="1172"/>
        <v>80</v>
      </c>
      <c r="BM516" s="371"/>
      <c r="BN516" s="232" t="str">
        <f t="shared" si="1173"/>
        <v/>
      </c>
      <c r="BO516" s="232" t="str">
        <f t="shared" si="1174"/>
        <v/>
      </c>
      <c r="BP516" s="232">
        <f t="shared" si="1175"/>
        <v>80</v>
      </c>
      <c r="BQ516" s="232">
        <f t="shared" si="1196"/>
        <v>1</v>
      </c>
      <c r="BR516" s="371"/>
      <c r="BS516" s="499">
        <v>40</v>
      </c>
      <c r="BT516" s="500">
        <v>50</v>
      </c>
      <c r="BU516" s="488">
        <f t="shared" si="1176"/>
        <v>10</v>
      </c>
      <c r="BV516" s="371"/>
      <c r="BW516" s="232" t="str">
        <f t="shared" si="1177"/>
        <v/>
      </c>
      <c r="BX516" s="232" t="str">
        <f t="shared" si="1178"/>
        <v/>
      </c>
      <c r="BY516" s="232">
        <f t="shared" si="1179"/>
        <v>10</v>
      </c>
      <c r="BZ516" s="232" t="str">
        <f t="shared" si="1197"/>
        <v/>
      </c>
      <c r="CA516" s="371"/>
      <c r="CB516" s="507">
        <f t="shared" si="1180"/>
        <v>30</v>
      </c>
      <c r="CC516" s="508">
        <f t="shared" si="1181"/>
        <v>20</v>
      </c>
      <c r="CD516" s="509">
        <f t="shared" si="1182"/>
        <v>50</v>
      </c>
      <c r="CE516" s="371"/>
      <c r="CF516" s="232" t="str">
        <f t="shared" si="1183"/>
        <v/>
      </c>
      <c r="CG516" s="232" t="str">
        <f t="shared" si="1184"/>
        <v/>
      </c>
      <c r="CH516" s="232">
        <f t="shared" si="1185"/>
        <v>50</v>
      </c>
      <c r="CI516" s="232">
        <f t="shared" si="1198"/>
        <v>1</v>
      </c>
      <c r="CJ516" s="232"/>
      <c r="CK516" s="499">
        <v>30</v>
      </c>
      <c r="CL516" s="500">
        <v>40</v>
      </c>
      <c r="CM516" s="488">
        <f t="shared" si="1186"/>
        <v>30</v>
      </c>
      <c r="CN516" s="371"/>
      <c r="CO516" s="232" t="str">
        <f t="shared" si="1187"/>
        <v/>
      </c>
      <c r="CP516" s="232" t="str">
        <f t="shared" si="1188"/>
        <v/>
      </c>
      <c r="CQ516" s="232">
        <f t="shared" si="1189"/>
        <v>30</v>
      </c>
      <c r="CR516" s="232" t="str">
        <f t="shared" si="1199"/>
        <v/>
      </c>
      <c r="CS516" s="232"/>
      <c r="CT516" s="371"/>
      <c r="CU516" s="296"/>
      <c r="CV516" s="246"/>
      <c r="CW516" s="264"/>
    </row>
    <row r="517" spans="1:101" x14ac:dyDescent="0.2">
      <c r="A517" s="264"/>
      <c r="B517" s="264"/>
      <c r="C517" s="202"/>
      <c r="D517" s="271">
        <v>4</v>
      </c>
      <c r="E517" s="166" t="s">
        <v>331</v>
      </c>
      <c r="F517" s="468">
        <v>1</v>
      </c>
      <c r="G517" s="472" t="s">
        <v>49</v>
      </c>
      <c r="H517" s="473">
        <v>0</v>
      </c>
      <c r="I517" s="170" t="str">
        <f t="shared" si="1150"/>
        <v>x</v>
      </c>
      <c r="J517" s="387" t="str">
        <f t="shared" si="1151"/>
        <v/>
      </c>
      <c r="K517" s="388" t="str">
        <f t="shared" si="1152"/>
        <v/>
      </c>
      <c r="L517" s="299"/>
      <c r="M517" s="375"/>
      <c r="N517" s="379"/>
      <c r="O517" s="236"/>
      <c r="P517" s="236"/>
      <c r="Q517" s="480">
        <v>80</v>
      </c>
      <c r="R517" s="481">
        <v>10</v>
      </c>
      <c r="S517" s="482">
        <f t="shared" si="1190"/>
        <v>10</v>
      </c>
      <c r="T517" s="371"/>
      <c r="U517" s="232">
        <f t="shared" si="1153"/>
        <v>80</v>
      </c>
      <c r="V517" s="232" t="str">
        <f t="shared" si="1154"/>
        <v/>
      </c>
      <c r="W517" s="232" t="str">
        <f t="shared" si="1155"/>
        <v/>
      </c>
      <c r="X517" s="232">
        <f t="shared" si="1191"/>
        <v>1</v>
      </c>
      <c r="Y517" s="371"/>
      <c r="Z517" s="495">
        <v>10</v>
      </c>
      <c r="AA517" s="496">
        <v>10</v>
      </c>
      <c r="AB517" s="482">
        <f t="shared" si="1156"/>
        <v>80</v>
      </c>
      <c r="AC517" s="371"/>
      <c r="AD517" s="232">
        <f t="shared" si="1157"/>
        <v>10</v>
      </c>
      <c r="AE517" s="232" t="str">
        <f t="shared" si="1158"/>
        <v/>
      </c>
      <c r="AF517" s="232" t="str">
        <f t="shared" si="1159"/>
        <v/>
      </c>
      <c r="AG517" s="232" t="str">
        <f t="shared" si="1192"/>
        <v/>
      </c>
      <c r="AH517" s="371"/>
      <c r="AI517" s="495">
        <v>80</v>
      </c>
      <c r="AJ517" s="496">
        <v>10</v>
      </c>
      <c r="AK517" s="482">
        <f t="shared" si="1160"/>
        <v>10</v>
      </c>
      <c r="AL517" s="371"/>
      <c r="AM517" s="232">
        <f t="shared" si="1161"/>
        <v>80</v>
      </c>
      <c r="AN517" s="232" t="str">
        <f t="shared" si="1162"/>
        <v/>
      </c>
      <c r="AO517" s="232" t="str">
        <f t="shared" si="1163"/>
        <v/>
      </c>
      <c r="AP517" s="232">
        <f t="shared" si="1193"/>
        <v>1</v>
      </c>
      <c r="AQ517" s="371"/>
      <c r="AR517" s="495">
        <v>10</v>
      </c>
      <c r="AS517" s="496">
        <v>40</v>
      </c>
      <c r="AT517" s="482">
        <f t="shared" si="1164"/>
        <v>50</v>
      </c>
      <c r="AU517" s="371"/>
      <c r="AV517" s="232">
        <f t="shared" si="1165"/>
        <v>10</v>
      </c>
      <c r="AW517" s="232" t="str">
        <f t="shared" si="1166"/>
        <v/>
      </c>
      <c r="AX517" s="232" t="str">
        <f t="shared" si="1167"/>
        <v/>
      </c>
      <c r="AY517" s="232" t="str">
        <f t="shared" si="1194"/>
        <v/>
      </c>
      <c r="AZ517" s="371"/>
      <c r="BA517" s="495">
        <v>80</v>
      </c>
      <c r="BB517" s="496">
        <v>10</v>
      </c>
      <c r="BC517" s="482">
        <f t="shared" si="1168"/>
        <v>10</v>
      </c>
      <c r="BD517" s="371"/>
      <c r="BE517" s="232">
        <f t="shared" si="1169"/>
        <v>80</v>
      </c>
      <c r="BF517" s="232" t="str">
        <f t="shared" si="1170"/>
        <v/>
      </c>
      <c r="BG517" s="232" t="str">
        <f t="shared" si="1171"/>
        <v/>
      </c>
      <c r="BH517" s="232">
        <f t="shared" si="1195"/>
        <v>1</v>
      </c>
      <c r="BI517" s="371"/>
      <c r="BJ517" s="495">
        <v>30</v>
      </c>
      <c r="BK517" s="496">
        <v>40</v>
      </c>
      <c r="BL517" s="482">
        <f t="shared" si="1172"/>
        <v>30</v>
      </c>
      <c r="BM517" s="371"/>
      <c r="BN517" s="232">
        <f t="shared" si="1173"/>
        <v>30</v>
      </c>
      <c r="BO517" s="232" t="str">
        <f t="shared" si="1174"/>
        <v/>
      </c>
      <c r="BP517" s="232" t="str">
        <f t="shared" si="1175"/>
        <v/>
      </c>
      <c r="BQ517" s="232" t="str">
        <f t="shared" si="1196"/>
        <v/>
      </c>
      <c r="BR517" s="371"/>
      <c r="BS517" s="495">
        <v>60</v>
      </c>
      <c r="BT517" s="496">
        <v>20</v>
      </c>
      <c r="BU517" s="482">
        <f t="shared" si="1176"/>
        <v>20</v>
      </c>
      <c r="BV517" s="371"/>
      <c r="BW517" s="232">
        <f t="shared" si="1177"/>
        <v>60</v>
      </c>
      <c r="BX517" s="232" t="str">
        <f t="shared" si="1178"/>
        <v/>
      </c>
      <c r="BY517" s="232" t="str">
        <f t="shared" si="1179"/>
        <v/>
      </c>
      <c r="BZ517" s="232">
        <f t="shared" si="1197"/>
        <v>1</v>
      </c>
      <c r="CA517" s="371"/>
      <c r="CB517" s="501">
        <f t="shared" si="1180"/>
        <v>50</v>
      </c>
      <c r="CC517" s="502">
        <f t="shared" si="1181"/>
        <v>20</v>
      </c>
      <c r="CD517" s="503">
        <f t="shared" si="1182"/>
        <v>30</v>
      </c>
      <c r="CE517" s="371"/>
      <c r="CF517" s="232">
        <f t="shared" si="1183"/>
        <v>50</v>
      </c>
      <c r="CG517" s="232" t="str">
        <f t="shared" si="1184"/>
        <v/>
      </c>
      <c r="CH517" s="232" t="str">
        <f t="shared" si="1185"/>
        <v/>
      </c>
      <c r="CI517" s="232">
        <f t="shared" si="1198"/>
        <v>1</v>
      </c>
      <c r="CJ517" s="232"/>
      <c r="CK517" s="495">
        <v>50</v>
      </c>
      <c r="CL517" s="496">
        <v>20</v>
      </c>
      <c r="CM517" s="482">
        <f t="shared" si="1186"/>
        <v>30</v>
      </c>
      <c r="CN517" s="371"/>
      <c r="CO517" s="232">
        <f t="shared" si="1187"/>
        <v>50</v>
      </c>
      <c r="CP517" s="232" t="str">
        <f t="shared" si="1188"/>
        <v/>
      </c>
      <c r="CQ517" s="232" t="str">
        <f t="shared" si="1189"/>
        <v/>
      </c>
      <c r="CR517" s="232">
        <f t="shared" si="1199"/>
        <v>1</v>
      </c>
      <c r="CS517" s="232"/>
      <c r="CT517" s="371"/>
      <c r="CU517" s="296"/>
      <c r="CV517" s="246"/>
      <c r="CW517" s="264"/>
    </row>
    <row r="518" spans="1:101" x14ac:dyDescent="0.2">
      <c r="A518" s="264"/>
      <c r="B518" s="264"/>
      <c r="C518" s="202"/>
      <c r="D518" s="271">
        <v>5</v>
      </c>
      <c r="E518" s="167" t="s">
        <v>332</v>
      </c>
      <c r="F518" s="469">
        <v>1</v>
      </c>
      <c r="G518" s="474" t="s">
        <v>49</v>
      </c>
      <c r="H518" s="475">
        <v>1</v>
      </c>
      <c r="I518" s="389" t="str">
        <f t="shared" si="1150"/>
        <v/>
      </c>
      <c r="J518" s="390" t="str">
        <f t="shared" si="1151"/>
        <v>x</v>
      </c>
      <c r="K518" s="391" t="str">
        <f t="shared" si="1152"/>
        <v/>
      </c>
      <c r="L518" s="299"/>
      <c r="M518" s="375"/>
      <c r="N518" s="379"/>
      <c r="O518" s="236"/>
      <c r="P518" s="236"/>
      <c r="Q518" s="483">
        <v>80</v>
      </c>
      <c r="R518" s="484">
        <v>10</v>
      </c>
      <c r="S518" s="485">
        <f t="shared" si="1190"/>
        <v>10</v>
      </c>
      <c r="T518" s="371"/>
      <c r="U518" s="232" t="str">
        <f t="shared" si="1153"/>
        <v/>
      </c>
      <c r="V518" s="232">
        <f t="shared" si="1154"/>
        <v>10</v>
      </c>
      <c r="W518" s="232" t="str">
        <f t="shared" si="1155"/>
        <v/>
      </c>
      <c r="X518" s="232" t="str">
        <f t="shared" si="1191"/>
        <v/>
      </c>
      <c r="Y518" s="371"/>
      <c r="Z518" s="497">
        <v>80</v>
      </c>
      <c r="AA518" s="498">
        <v>10</v>
      </c>
      <c r="AB518" s="485">
        <f t="shared" si="1156"/>
        <v>10</v>
      </c>
      <c r="AC518" s="371"/>
      <c r="AD518" s="232" t="str">
        <f t="shared" si="1157"/>
        <v/>
      </c>
      <c r="AE518" s="232">
        <f t="shared" si="1158"/>
        <v>10</v>
      </c>
      <c r="AF518" s="232" t="str">
        <f t="shared" si="1159"/>
        <v/>
      </c>
      <c r="AG518" s="232" t="str">
        <f t="shared" si="1192"/>
        <v/>
      </c>
      <c r="AH518" s="371"/>
      <c r="AI518" s="497">
        <v>70</v>
      </c>
      <c r="AJ518" s="498">
        <v>20</v>
      </c>
      <c r="AK518" s="485">
        <f t="shared" si="1160"/>
        <v>10</v>
      </c>
      <c r="AL518" s="371"/>
      <c r="AM518" s="232" t="str">
        <f t="shared" si="1161"/>
        <v/>
      </c>
      <c r="AN518" s="232">
        <f t="shared" si="1162"/>
        <v>20</v>
      </c>
      <c r="AO518" s="232" t="str">
        <f t="shared" si="1163"/>
        <v/>
      </c>
      <c r="AP518" s="232" t="str">
        <f t="shared" si="1193"/>
        <v/>
      </c>
      <c r="AQ518" s="371"/>
      <c r="AR518" s="497">
        <v>60</v>
      </c>
      <c r="AS518" s="498">
        <v>30</v>
      </c>
      <c r="AT518" s="485">
        <f t="shared" si="1164"/>
        <v>10</v>
      </c>
      <c r="AU518" s="371"/>
      <c r="AV518" s="232" t="str">
        <f t="shared" si="1165"/>
        <v/>
      </c>
      <c r="AW518" s="232">
        <f t="shared" si="1166"/>
        <v>30</v>
      </c>
      <c r="AX518" s="232" t="str">
        <f t="shared" si="1167"/>
        <v/>
      </c>
      <c r="AY518" s="232" t="str">
        <f t="shared" si="1194"/>
        <v/>
      </c>
      <c r="AZ518" s="371"/>
      <c r="BA518" s="497">
        <v>10</v>
      </c>
      <c r="BB518" s="498">
        <v>10</v>
      </c>
      <c r="BC518" s="485">
        <f t="shared" si="1168"/>
        <v>80</v>
      </c>
      <c r="BD518" s="371"/>
      <c r="BE518" s="232" t="str">
        <f t="shared" si="1169"/>
        <v/>
      </c>
      <c r="BF518" s="232">
        <f t="shared" si="1170"/>
        <v>10</v>
      </c>
      <c r="BG518" s="232" t="str">
        <f t="shared" si="1171"/>
        <v/>
      </c>
      <c r="BH518" s="232" t="str">
        <f t="shared" si="1195"/>
        <v/>
      </c>
      <c r="BI518" s="371"/>
      <c r="BJ518" s="497">
        <v>80</v>
      </c>
      <c r="BK518" s="498">
        <v>10</v>
      </c>
      <c r="BL518" s="485">
        <f t="shared" si="1172"/>
        <v>10</v>
      </c>
      <c r="BM518" s="371"/>
      <c r="BN518" s="232" t="str">
        <f t="shared" si="1173"/>
        <v/>
      </c>
      <c r="BO518" s="232">
        <f t="shared" si="1174"/>
        <v>10</v>
      </c>
      <c r="BP518" s="232" t="str">
        <f t="shared" si="1175"/>
        <v/>
      </c>
      <c r="BQ518" s="232" t="str">
        <f t="shared" si="1196"/>
        <v/>
      </c>
      <c r="BR518" s="371"/>
      <c r="BS518" s="497">
        <v>10</v>
      </c>
      <c r="BT518" s="498">
        <v>10</v>
      </c>
      <c r="BU518" s="485">
        <f t="shared" si="1176"/>
        <v>80</v>
      </c>
      <c r="BV518" s="371"/>
      <c r="BW518" s="232" t="str">
        <f t="shared" si="1177"/>
        <v/>
      </c>
      <c r="BX518" s="232">
        <f t="shared" si="1178"/>
        <v>10</v>
      </c>
      <c r="BY518" s="232" t="str">
        <f t="shared" si="1179"/>
        <v/>
      </c>
      <c r="BZ518" s="232" t="str">
        <f t="shared" si="1197"/>
        <v/>
      </c>
      <c r="CA518" s="371"/>
      <c r="CB518" s="504">
        <f t="shared" si="1180"/>
        <v>60</v>
      </c>
      <c r="CC518" s="505">
        <f t="shared" si="1181"/>
        <v>10</v>
      </c>
      <c r="CD518" s="506">
        <f t="shared" si="1182"/>
        <v>30</v>
      </c>
      <c r="CE518" s="371"/>
      <c r="CF518" s="232" t="str">
        <f t="shared" si="1183"/>
        <v/>
      </c>
      <c r="CG518" s="232">
        <f t="shared" si="1184"/>
        <v>10</v>
      </c>
      <c r="CH518" s="232" t="str">
        <f t="shared" si="1185"/>
        <v/>
      </c>
      <c r="CI518" s="232" t="str">
        <f t="shared" si="1198"/>
        <v/>
      </c>
      <c r="CJ518" s="232"/>
      <c r="CK518" s="497">
        <v>60</v>
      </c>
      <c r="CL518" s="498">
        <v>10</v>
      </c>
      <c r="CM518" s="485">
        <f t="shared" si="1186"/>
        <v>30</v>
      </c>
      <c r="CN518" s="371"/>
      <c r="CO518" s="232" t="str">
        <f t="shared" si="1187"/>
        <v/>
      </c>
      <c r="CP518" s="232">
        <f t="shared" si="1188"/>
        <v>10</v>
      </c>
      <c r="CQ518" s="232" t="str">
        <f t="shared" si="1189"/>
        <v/>
      </c>
      <c r="CR518" s="232" t="str">
        <f t="shared" si="1199"/>
        <v/>
      </c>
      <c r="CS518" s="232"/>
      <c r="CT518" s="371"/>
      <c r="CU518" s="296"/>
      <c r="CV518" s="246"/>
      <c r="CW518" s="264"/>
    </row>
    <row r="519" spans="1:101" ht="13.5" thickBot="1" x14ac:dyDescent="0.25">
      <c r="A519" s="264"/>
      <c r="B519" s="264"/>
      <c r="C519" s="202"/>
      <c r="D519" s="271">
        <v>6</v>
      </c>
      <c r="E519" s="168" t="s">
        <v>333</v>
      </c>
      <c r="F519" s="470">
        <v>1</v>
      </c>
      <c r="G519" s="476" t="s">
        <v>49</v>
      </c>
      <c r="H519" s="477">
        <v>1</v>
      </c>
      <c r="I519" s="392" t="str">
        <f t="shared" si="1150"/>
        <v/>
      </c>
      <c r="J519" s="393" t="str">
        <f t="shared" si="1151"/>
        <v>x</v>
      </c>
      <c r="K519" s="394" t="str">
        <f t="shared" si="1152"/>
        <v/>
      </c>
      <c r="L519" s="299"/>
      <c r="M519" s="375"/>
      <c r="N519" s="379"/>
      <c r="O519" s="236"/>
      <c r="P519" s="236"/>
      <c r="Q519" s="489">
        <v>40</v>
      </c>
      <c r="R519" s="490">
        <v>30</v>
      </c>
      <c r="S519" s="491">
        <f t="shared" si="1190"/>
        <v>30</v>
      </c>
      <c r="T519" s="371"/>
      <c r="U519" s="232" t="str">
        <f t="shared" si="1153"/>
        <v/>
      </c>
      <c r="V519" s="232">
        <f t="shared" si="1154"/>
        <v>30</v>
      </c>
      <c r="W519" s="232" t="str">
        <f t="shared" si="1155"/>
        <v/>
      </c>
      <c r="X519" s="232" t="str">
        <f t="shared" si="1191"/>
        <v/>
      </c>
      <c r="Y519" s="371"/>
      <c r="Z519" s="499">
        <v>80</v>
      </c>
      <c r="AA519" s="500">
        <v>10</v>
      </c>
      <c r="AB519" s="491">
        <f t="shared" si="1156"/>
        <v>10</v>
      </c>
      <c r="AC519" s="371"/>
      <c r="AD519" s="232" t="str">
        <f t="shared" si="1157"/>
        <v/>
      </c>
      <c r="AE519" s="232">
        <f t="shared" si="1158"/>
        <v>10</v>
      </c>
      <c r="AF519" s="232" t="str">
        <f t="shared" si="1159"/>
        <v/>
      </c>
      <c r="AG519" s="232" t="str">
        <f t="shared" si="1192"/>
        <v/>
      </c>
      <c r="AH519" s="371"/>
      <c r="AI519" s="499">
        <v>80</v>
      </c>
      <c r="AJ519" s="500">
        <v>10</v>
      </c>
      <c r="AK519" s="491">
        <f t="shared" si="1160"/>
        <v>10</v>
      </c>
      <c r="AL519" s="371"/>
      <c r="AM519" s="232" t="str">
        <f t="shared" si="1161"/>
        <v/>
      </c>
      <c r="AN519" s="232">
        <f t="shared" si="1162"/>
        <v>10</v>
      </c>
      <c r="AO519" s="232" t="str">
        <f t="shared" si="1163"/>
        <v/>
      </c>
      <c r="AP519" s="232" t="str">
        <f t="shared" si="1193"/>
        <v/>
      </c>
      <c r="AQ519" s="371"/>
      <c r="AR519" s="499">
        <v>60</v>
      </c>
      <c r="AS519" s="500">
        <v>30</v>
      </c>
      <c r="AT519" s="491">
        <f t="shared" si="1164"/>
        <v>10</v>
      </c>
      <c r="AU519" s="371"/>
      <c r="AV519" s="232" t="str">
        <f t="shared" si="1165"/>
        <v/>
      </c>
      <c r="AW519" s="232">
        <f t="shared" si="1166"/>
        <v>30</v>
      </c>
      <c r="AX519" s="232" t="str">
        <f t="shared" si="1167"/>
        <v/>
      </c>
      <c r="AY519" s="232" t="str">
        <f t="shared" si="1194"/>
        <v/>
      </c>
      <c r="AZ519" s="371"/>
      <c r="BA519" s="499">
        <v>80</v>
      </c>
      <c r="BB519" s="500">
        <v>10</v>
      </c>
      <c r="BC519" s="491">
        <f t="shared" si="1168"/>
        <v>10</v>
      </c>
      <c r="BD519" s="371"/>
      <c r="BE519" s="232" t="str">
        <f t="shared" si="1169"/>
        <v/>
      </c>
      <c r="BF519" s="232">
        <f t="shared" si="1170"/>
        <v>10</v>
      </c>
      <c r="BG519" s="232" t="str">
        <f t="shared" si="1171"/>
        <v/>
      </c>
      <c r="BH519" s="232" t="str">
        <f t="shared" si="1195"/>
        <v/>
      </c>
      <c r="BI519" s="371"/>
      <c r="BJ519" s="499">
        <v>80</v>
      </c>
      <c r="BK519" s="500">
        <v>10</v>
      </c>
      <c r="BL519" s="491">
        <f t="shared" si="1172"/>
        <v>10</v>
      </c>
      <c r="BM519" s="371"/>
      <c r="BN519" s="232" t="str">
        <f t="shared" si="1173"/>
        <v/>
      </c>
      <c r="BO519" s="232">
        <f t="shared" si="1174"/>
        <v>10</v>
      </c>
      <c r="BP519" s="232" t="str">
        <f t="shared" si="1175"/>
        <v/>
      </c>
      <c r="BQ519" s="232" t="str">
        <f t="shared" si="1196"/>
        <v/>
      </c>
      <c r="BR519" s="371"/>
      <c r="BS519" s="499">
        <v>40</v>
      </c>
      <c r="BT519" s="500">
        <v>30</v>
      </c>
      <c r="BU519" s="491">
        <f t="shared" si="1176"/>
        <v>30</v>
      </c>
      <c r="BV519" s="371"/>
      <c r="BW519" s="232" t="str">
        <f t="shared" si="1177"/>
        <v/>
      </c>
      <c r="BX519" s="232">
        <f t="shared" si="1178"/>
        <v>30</v>
      </c>
      <c r="BY519" s="232" t="str">
        <f t="shared" si="1179"/>
        <v/>
      </c>
      <c r="BZ519" s="232" t="str">
        <f t="shared" si="1197"/>
        <v/>
      </c>
      <c r="CA519" s="371"/>
      <c r="CB519" s="507">
        <f t="shared" si="1180"/>
        <v>70</v>
      </c>
      <c r="CC519" s="508">
        <f t="shared" si="1181"/>
        <v>10</v>
      </c>
      <c r="CD519" s="509">
        <f t="shared" si="1182"/>
        <v>20</v>
      </c>
      <c r="CE519" s="371"/>
      <c r="CF519" s="232" t="str">
        <f t="shared" si="1183"/>
        <v/>
      </c>
      <c r="CG519" s="232">
        <f t="shared" si="1184"/>
        <v>10</v>
      </c>
      <c r="CH519" s="232" t="str">
        <f t="shared" si="1185"/>
        <v/>
      </c>
      <c r="CI519" s="232" t="str">
        <f t="shared" si="1198"/>
        <v/>
      </c>
      <c r="CJ519" s="232"/>
      <c r="CK519" s="499">
        <v>60</v>
      </c>
      <c r="CL519" s="500">
        <v>20</v>
      </c>
      <c r="CM519" s="491">
        <f t="shared" si="1186"/>
        <v>20</v>
      </c>
      <c r="CN519" s="371"/>
      <c r="CO519" s="232" t="str">
        <f t="shared" si="1187"/>
        <v/>
      </c>
      <c r="CP519" s="232">
        <f t="shared" si="1188"/>
        <v>20</v>
      </c>
      <c r="CQ519" s="232" t="str">
        <f t="shared" si="1189"/>
        <v/>
      </c>
      <c r="CR519" s="232" t="str">
        <f t="shared" si="1199"/>
        <v/>
      </c>
      <c r="CS519" s="232"/>
      <c r="CT519" s="371"/>
      <c r="CU519" s="296"/>
      <c r="CV519" s="246"/>
      <c r="CW519" s="264"/>
    </row>
    <row r="520" spans="1:101" x14ac:dyDescent="0.2">
      <c r="A520" s="264"/>
      <c r="B520" s="264"/>
      <c r="C520" s="202"/>
      <c r="D520" s="271">
        <v>7</v>
      </c>
      <c r="E520" s="166" t="s">
        <v>334</v>
      </c>
      <c r="F520" s="468">
        <v>2</v>
      </c>
      <c r="G520" s="472" t="s">
        <v>49</v>
      </c>
      <c r="H520" s="473">
        <v>0</v>
      </c>
      <c r="I520" s="170" t="str">
        <f t="shared" si="1150"/>
        <v>x</v>
      </c>
      <c r="J520" s="387" t="str">
        <f t="shared" si="1151"/>
        <v/>
      </c>
      <c r="K520" s="388" t="str">
        <f t="shared" si="1152"/>
        <v/>
      </c>
      <c r="L520" s="299"/>
      <c r="M520" s="375"/>
      <c r="N520" s="379"/>
      <c r="O520" s="236"/>
      <c r="P520" s="236"/>
      <c r="Q520" s="480">
        <v>60</v>
      </c>
      <c r="R520" s="481">
        <v>10</v>
      </c>
      <c r="S520" s="482">
        <f t="shared" si="1190"/>
        <v>30</v>
      </c>
      <c r="T520" s="371"/>
      <c r="U520" s="232">
        <f t="shared" si="1153"/>
        <v>60</v>
      </c>
      <c r="V520" s="232" t="str">
        <f t="shared" si="1154"/>
        <v/>
      </c>
      <c r="W520" s="232" t="str">
        <f t="shared" si="1155"/>
        <v/>
      </c>
      <c r="X520" s="232">
        <f t="shared" si="1191"/>
        <v>1</v>
      </c>
      <c r="Y520" s="371"/>
      <c r="Z520" s="495">
        <v>80</v>
      </c>
      <c r="AA520" s="496">
        <v>10</v>
      </c>
      <c r="AB520" s="482">
        <f t="shared" si="1156"/>
        <v>10</v>
      </c>
      <c r="AC520" s="371"/>
      <c r="AD520" s="232">
        <f t="shared" si="1157"/>
        <v>80</v>
      </c>
      <c r="AE520" s="232" t="str">
        <f t="shared" si="1158"/>
        <v/>
      </c>
      <c r="AF520" s="232" t="str">
        <f t="shared" si="1159"/>
        <v/>
      </c>
      <c r="AG520" s="232">
        <f t="shared" si="1192"/>
        <v>1</v>
      </c>
      <c r="AH520" s="371"/>
      <c r="AI520" s="495">
        <v>40</v>
      </c>
      <c r="AJ520" s="496">
        <v>30</v>
      </c>
      <c r="AK520" s="482">
        <f t="shared" si="1160"/>
        <v>30</v>
      </c>
      <c r="AL520" s="371"/>
      <c r="AM520" s="232">
        <f t="shared" si="1161"/>
        <v>40</v>
      </c>
      <c r="AN520" s="232" t="str">
        <f t="shared" si="1162"/>
        <v/>
      </c>
      <c r="AO520" s="232" t="str">
        <f t="shared" si="1163"/>
        <v/>
      </c>
      <c r="AP520" s="232">
        <f t="shared" si="1193"/>
        <v>1</v>
      </c>
      <c r="AQ520" s="371"/>
      <c r="AR520" s="495">
        <v>30</v>
      </c>
      <c r="AS520" s="496">
        <v>40</v>
      </c>
      <c r="AT520" s="482">
        <f t="shared" si="1164"/>
        <v>30</v>
      </c>
      <c r="AU520" s="371"/>
      <c r="AV520" s="232">
        <f t="shared" si="1165"/>
        <v>30</v>
      </c>
      <c r="AW520" s="232" t="str">
        <f t="shared" si="1166"/>
        <v/>
      </c>
      <c r="AX520" s="232" t="str">
        <f t="shared" si="1167"/>
        <v/>
      </c>
      <c r="AY520" s="232" t="str">
        <f t="shared" si="1194"/>
        <v/>
      </c>
      <c r="AZ520" s="371"/>
      <c r="BA520" s="495">
        <v>80</v>
      </c>
      <c r="BB520" s="496">
        <v>10</v>
      </c>
      <c r="BC520" s="482">
        <f t="shared" si="1168"/>
        <v>10</v>
      </c>
      <c r="BD520" s="371"/>
      <c r="BE520" s="232">
        <f t="shared" si="1169"/>
        <v>80</v>
      </c>
      <c r="BF520" s="232" t="str">
        <f t="shared" si="1170"/>
        <v/>
      </c>
      <c r="BG520" s="232" t="str">
        <f t="shared" si="1171"/>
        <v/>
      </c>
      <c r="BH520" s="232">
        <f t="shared" si="1195"/>
        <v>1</v>
      </c>
      <c r="BI520" s="371"/>
      <c r="BJ520" s="495">
        <v>20</v>
      </c>
      <c r="BK520" s="496">
        <v>60</v>
      </c>
      <c r="BL520" s="482">
        <f t="shared" si="1172"/>
        <v>20</v>
      </c>
      <c r="BM520" s="371"/>
      <c r="BN520" s="232">
        <f t="shared" si="1173"/>
        <v>20</v>
      </c>
      <c r="BO520" s="232" t="str">
        <f t="shared" si="1174"/>
        <v/>
      </c>
      <c r="BP520" s="232" t="str">
        <f t="shared" si="1175"/>
        <v/>
      </c>
      <c r="BQ520" s="232" t="str">
        <f t="shared" si="1196"/>
        <v/>
      </c>
      <c r="BR520" s="371"/>
      <c r="BS520" s="495">
        <v>50</v>
      </c>
      <c r="BT520" s="496">
        <v>10</v>
      </c>
      <c r="BU520" s="482">
        <f t="shared" si="1176"/>
        <v>40</v>
      </c>
      <c r="BV520" s="371"/>
      <c r="BW520" s="232">
        <f t="shared" si="1177"/>
        <v>50</v>
      </c>
      <c r="BX520" s="232" t="str">
        <f t="shared" si="1178"/>
        <v/>
      </c>
      <c r="BY520" s="232" t="str">
        <f t="shared" si="1179"/>
        <v/>
      </c>
      <c r="BZ520" s="232">
        <f t="shared" si="1197"/>
        <v>1</v>
      </c>
      <c r="CA520" s="371"/>
      <c r="CB520" s="501">
        <f t="shared" si="1180"/>
        <v>60</v>
      </c>
      <c r="CC520" s="502">
        <f t="shared" si="1181"/>
        <v>20</v>
      </c>
      <c r="CD520" s="503">
        <f t="shared" si="1182"/>
        <v>20</v>
      </c>
      <c r="CE520" s="371"/>
      <c r="CF520" s="232">
        <f t="shared" si="1183"/>
        <v>60</v>
      </c>
      <c r="CG520" s="232" t="str">
        <f t="shared" si="1184"/>
        <v/>
      </c>
      <c r="CH520" s="232" t="str">
        <f t="shared" si="1185"/>
        <v/>
      </c>
      <c r="CI520" s="232">
        <f t="shared" si="1198"/>
        <v>1</v>
      </c>
      <c r="CJ520" s="232"/>
      <c r="CK520" s="495">
        <v>20</v>
      </c>
      <c r="CL520" s="496">
        <v>60</v>
      </c>
      <c r="CM520" s="482">
        <f t="shared" si="1186"/>
        <v>20</v>
      </c>
      <c r="CN520" s="371"/>
      <c r="CO520" s="232">
        <f t="shared" si="1187"/>
        <v>20</v>
      </c>
      <c r="CP520" s="232" t="str">
        <f t="shared" si="1188"/>
        <v/>
      </c>
      <c r="CQ520" s="232" t="str">
        <f t="shared" si="1189"/>
        <v/>
      </c>
      <c r="CR520" s="232" t="str">
        <f t="shared" si="1199"/>
        <v/>
      </c>
      <c r="CS520" s="232"/>
      <c r="CT520" s="371"/>
      <c r="CU520" s="300"/>
      <c r="CV520" s="246"/>
      <c r="CW520" s="264"/>
    </row>
    <row r="521" spans="1:101" x14ac:dyDescent="0.2">
      <c r="A521" s="264"/>
      <c r="B521" s="264"/>
      <c r="C521" s="202"/>
      <c r="D521" s="271">
        <v>8</v>
      </c>
      <c r="E521" s="167" t="s">
        <v>335</v>
      </c>
      <c r="F521" s="469">
        <v>2</v>
      </c>
      <c r="G521" s="474" t="s">
        <v>49</v>
      </c>
      <c r="H521" s="475">
        <v>1</v>
      </c>
      <c r="I521" s="389" t="str">
        <f t="shared" si="1150"/>
        <v>x</v>
      </c>
      <c r="J521" s="390" t="str">
        <f t="shared" si="1151"/>
        <v/>
      </c>
      <c r="K521" s="391" t="str">
        <f t="shared" si="1152"/>
        <v/>
      </c>
      <c r="L521" s="299"/>
      <c r="M521" s="375"/>
      <c r="N521" s="379"/>
      <c r="O521" s="236"/>
      <c r="P521" s="236"/>
      <c r="Q521" s="483">
        <v>70</v>
      </c>
      <c r="R521" s="484">
        <v>20</v>
      </c>
      <c r="S521" s="485">
        <f t="shared" si="1190"/>
        <v>10</v>
      </c>
      <c r="T521" s="371"/>
      <c r="U521" s="232">
        <f t="shared" si="1153"/>
        <v>70</v>
      </c>
      <c r="V521" s="232" t="str">
        <f t="shared" si="1154"/>
        <v/>
      </c>
      <c r="W521" s="232" t="str">
        <f t="shared" si="1155"/>
        <v/>
      </c>
      <c r="X521" s="232">
        <f t="shared" si="1191"/>
        <v>1</v>
      </c>
      <c r="Y521" s="371"/>
      <c r="Z521" s="497">
        <v>80</v>
      </c>
      <c r="AA521" s="498">
        <v>10</v>
      </c>
      <c r="AB521" s="485">
        <f t="shared" si="1156"/>
        <v>10</v>
      </c>
      <c r="AC521" s="371"/>
      <c r="AD521" s="232">
        <f t="shared" si="1157"/>
        <v>80</v>
      </c>
      <c r="AE521" s="232" t="str">
        <f t="shared" si="1158"/>
        <v/>
      </c>
      <c r="AF521" s="232" t="str">
        <f t="shared" si="1159"/>
        <v/>
      </c>
      <c r="AG521" s="232">
        <f t="shared" si="1192"/>
        <v>1</v>
      </c>
      <c r="AH521" s="371"/>
      <c r="AI521" s="497">
        <v>30</v>
      </c>
      <c r="AJ521" s="498">
        <v>50</v>
      </c>
      <c r="AK521" s="485">
        <f t="shared" si="1160"/>
        <v>20</v>
      </c>
      <c r="AL521" s="371"/>
      <c r="AM521" s="232">
        <f t="shared" si="1161"/>
        <v>30</v>
      </c>
      <c r="AN521" s="232" t="str">
        <f t="shared" si="1162"/>
        <v/>
      </c>
      <c r="AO521" s="232" t="str">
        <f t="shared" si="1163"/>
        <v/>
      </c>
      <c r="AP521" s="232" t="str">
        <f t="shared" si="1193"/>
        <v/>
      </c>
      <c r="AQ521" s="371"/>
      <c r="AR521" s="497">
        <v>40</v>
      </c>
      <c r="AS521" s="498">
        <v>50</v>
      </c>
      <c r="AT521" s="485">
        <f t="shared" si="1164"/>
        <v>10</v>
      </c>
      <c r="AU521" s="371"/>
      <c r="AV521" s="232">
        <f t="shared" si="1165"/>
        <v>40</v>
      </c>
      <c r="AW521" s="232" t="str">
        <f t="shared" si="1166"/>
        <v/>
      </c>
      <c r="AX521" s="232" t="str">
        <f t="shared" si="1167"/>
        <v/>
      </c>
      <c r="AY521" s="232" t="str">
        <f t="shared" si="1194"/>
        <v/>
      </c>
      <c r="AZ521" s="371"/>
      <c r="BA521" s="497">
        <v>80</v>
      </c>
      <c r="BB521" s="498">
        <v>10</v>
      </c>
      <c r="BC521" s="485">
        <f t="shared" si="1168"/>
        <v>10</v>
      </c>
      <c r="BD521" s="371"/>
      <c r="BE521" s="232">
        <f t="shared" si="1169"/>
        <v>80</v>
      </c>
      <c r="BF521" s="232" t="str">
        <f t="shared" si="1170"/>
        <v/>
      </c>
      <c r="BG521" s="232" t="str">
        <f t="shared" si="1171"/>
        <v/>
      </c>
      <c r="BH521" s="232">
        <f t="shared" si="1195"/>
        <v>1</v>
      </c>
      <c r="BI521" s="371"/>
      <c r="BJ521" s="497">
        <v>10</v>
      </c>
      <c r="BK521" s="498">
        <v>80</v>
      </c>
      <c r="BL521" s="485">
        <f t="shared" si="1172"/>
        <v>10</v>
      </c>
      <c r="BM521" s="371"/>
      <c r="BN521" s="232">
        <f t="shared" si="1173"/>
        <v>10</v>
      </c>
      <c r="BO521" s="232" t="str">
        <f t="shared" si="1174"/>
        <v/>
      </c>
      <c r="BP521" s="232" t="str">
        <f t="shared" si="1175"/>
        <v/>
      </c>
      <c r="BQ521" s="232" t="str">
        <f t="shared" si="1196"/>
        <v/>
      </c>
      <c r="BR521" s="371"/>
      <c r="BS521" s="497">
        <v>40</v>
      </c>
      <c r="BT521" s="498">
        <v>20</v>
      </c>
      <c r="BU521" s="485">
        <f t="shared" si="1176"/>
        <v>40</v>
      </c>
      <c r="BV521" s="371"/>
      <c r="BW521" s="232">
        <f t="shared" si="1177"/>
        <v>40</v>
      </c>
      <c r="BX521" s="232" t="str">
        <f t="shared" si="1178"/>
        <v/>
      </c>
      <c r="BY521" s="232" t="str">
        <f t="shared" si="1179"/>
        <v/>
      </c>
      <c r="BZ521" s="232">
        <f t="shared" si="1197"/>
        <v>1</v>
      </c>
      <c r="CA521" s="371"/>
      <c r="CB521" s="504">
        <f t="shared" si="1180"/>
        <v>50</v>
      </c>
      <c r="CC521" s="505">
        <f t="shared" si="1181"/>
        <v>30</v>
      </c>
      <c r="CD521" s="506">
        <f t="shared" si="1182"/>
        <v>20</v>
      </c>
      <c r="CE521" s="371"/>
      <c r="CF521" s="232">
        <f t="shared" si="1183"/>
        <v>50</v>
      </c>
      <c r="CG521" s="232" t="str">
        <f t="shared" si="1184"/>
        <v/>
      </c>
      <c r="CH521" s="232" t="str">
        <f t="shared" si="1185"/>
        <v/>
      </c>
      <c r="CI521" s="232">
        <f t="shared" si="1198"/>
        <v>1</v>
      </c>
      <c r="CJ521" s="232"/>
      <c r="CK521" s="497">
        <v>20</v>
      </c>
      <c r="CL521" s="498">
        <v>60</v>
      </c>
      <c r="CM521" s="485">
        <f t="shared" si="1186"/>
        <v>20</v>
      </c>
      <c r="CN521" s="371"/>
      <c r="CO521" s="232">
        <f t="shared" si="1187"/>
        <v>20</v>
      </c>
      <c r="CP521" s="232" t="str">
        <f t="shared" si="1188"/>
        <v/>
      </c>
      <c r="CQ521" s="232" t="str">
        <f t="shared" si="1189"/>
        <v/>
      </c>
      <c r="CR521" s="232" t="str">
        <f t="shared" si="1199"/>
        <v/>
      </c>
      <c r="CS521" s="232"/>
      <c r="CT521" s="371"/>
      <c r="CU521" s="300"/>
      <c r="CV521" s="246"/>
      <c r="CW521" s="264"/>
    </row>
    <row r="522" spans="1:101" ht="13.5" thickBot="1" x14ac:dyDescent="0.25">
      <c r="A522" s="264"/>
      <c r="B522" s="264"/>
      <c r="C522" s="202"/>
      <c r="D522" s="271">
        <v>9</v>
      </c>
      <c r="E522" s="168" t="s">
        <v>336</v>
      </c>
      <c r="F522" s="470">
        <v>3</v>
      </c>
      <c r="G522" s="476" t="s">
        <v>49</v>
      </c>
      <c r="H522" s="477">
        <v>2</v>
      </c>
      <c r="I522" s="392" t="str">
        <f t="shared" si="1150"/>
        <v>x</v>
      </c>
      <c r="J522" s="393" t="str">
        <f t="shared" si="1151"/>
        <v/>
      </c>
      <c r="K522" s="394" t="str">
        <f t="shared" si="1152"/>
        <v/>
      </c>
      <c r="L522" s="299"/>
      <c r="M522" s="375"/>
      <c r="N522" s="379"/>
      <c r="O522" s="236"/>
      <c r="P522" s="236"/>
      <c r="Q522" s="489">
        <v>30</v>
      </c>
      <c r="R522" s="490">
        <v>60</v>
      </c>
      <c r="S522" s="491">
        <f t="shared" si="1190"/>
        <v>10</v>
      </c>
      <c r="T522" s="371"/>
      <c r="U522" s="232">
        <f t="shared" si="1153"/>
        <v>30</v>
      </c>
      <c r="V522" s="232" t="str">
        <f t="shared" si="1154"/>
        <v/>
      </c>
      <c r="W522" s="232" t="str">
        <f t="shared" si="1155"/>
        <v/>
      </c>
      <c r="X522" s="232" t="str">
        <f t="shared" si="1191"/>
        <v/>
      </c>
      <c r="Y522" s="371"/>
      <c r="Z522" s="499">
        <v>80</v>
      </c>
      <c r="AA522" s="500">
        <v>10</v>
      </c>
      <c r="AB522" s="491">
        <f t="shared" si="1156"/>
        <v>10</v>
      </c>
      <c r="AC522" s="371"/>
      <c r="AD522" s="232">
        <f t="shared" si="1157"/>
        <v>80</v>
      </c>
      <c r="AE522" s="232" t="str">
        <f t="shared" si="1158"/>
        <v/>
      </c>
      <c r="AF522" s="232" t="str">
        <f t="shared" si="1159"/>
        <v/>
      </c>
      <c r="AG522" s="232">
        <f t="shared" si="1192"/>
        <v>1</v>
      </c>
      <c r="AH522" s="371"/>
      <c r="AI522" s="499">
        <v>20</v>
      </c>
      <c r="AJ522" s="500">
        <v>60</v>
      </c>
      <c r="AK522" s="491">
        <f t="shared" si="1160"/>
        <v>20</v>
      </c>
      <c r="AL522" s="371"/>
      <c r="AM522" s="232">
        <f t="shared" si="1161"/>
        <v>20</v>
      </c>
      <c r="AN522" s="232" t="str">
        <f t="shared" si="1162"/>
        <v/>
      </c>
      <c r="AO522" s="232" t="str">
        <f t="shared" si="1163"/>
        <v/>
      </c>
      <c r="AP522" s="232" t="str">
        <f t="shared" si="1193"/>
        <v/>
      </c>
      <c r="AQ522" s="371"/>
      <c r="AR522" s="499">
        <v>60</v>
      </c>
      <c r="AS522" s="500">
        <v>30</v>
      </c>
      <c r="AT522" s="491">
        <f t="shared" si="1164"/>
        <v>10</v>
      </c>
      <c r="AU522" s="371"/>
      <c r="AV522" s="232">
        <f t="shared" si="1165"/>
        <v>60</v>
      </c>
      <c r="AW522" s="232" t="str">
        <f t="shared" si="1166"/>
        <v/>
      </c>
      <c r="AX522" s="232" t="str">
        <f t="shared" si="1167"/>
        <v/>
      </c>
      <c r="AY522" s="232">
        <f t="shared" si="1194"/>
        <v>1</v>
      </c>
      <c r="AZ522" s="371"/>
      <c r="BA522" s="499">
        <v>10</v>
      </c>
      <c r="BB522" s="500">
        <v>10</v>
      </c>
      <c r="BC522" s="491">
        <f t="shared" si="1168"/>
        <v>80</v>
      </c>
      <c r="BD522" s="371"/>
      <c r="BE522" s="232">
        <f t="shared" si="1169"/>
        <v>10</v>
      </c>
      <c r="BF522" s="232" t="str">
        <f t="shared" si="1170"/>
        <v/>
      </c>
      <c r="BG522" s="232" t="str">
        <f t="shared" si="1171"/>
        <v/>
      </c>
      <c r="BH522" s="232" t="str">
        <f t="shared" si="1195"/>
        <v/>
      </c>
      <c r="BI522" s="371"/>
      <c r="BJ522" s="499">
        <v>60</v>
      </c>
      <c r="BK522" s="500">
        <v>20</v>
      </c>
      <c r="BL522" s="491">
        <f t="shared" si="1172"/>
        <v>20</v>
      </c>
      <c r="BM522" s="371"/>
      <c r="BN522" s="232">
        <f t="shared" si="1173"/>
        <v>60</v>
      </c>
      <c r="BO522" s="232" t="str">
        <f t="shared" si="1174"/>
        <v/>
      </c>
      <c r="BP522" s="232" t="str">
        <f t="shared" si="1175"/>
        <v/>
      </c>
      <c r="BQ522" s="232">
        <f t="shared" si="1196"/>
        <v>1</v>
      </c>
      <c r="BR522" s="371"/>
      <c r="BS522" s="499">
        <v>30</v>
      </c>
      <c r="BT522" s="500">
        <v>50</v>
      </c>
      <c r="BU522" s="491">
        <f t="shared" si="1176"/>
        <v>20</v>
      </c>
      <c r="BV522" s="371"/>
      <c r="BW522" s="232">
        <f t="shared" si="1177"/>
        <v>30</v>
      </c>
      <c r="BX522" s="232" t="str">
        <f t="shared" si="1178"/>
        <v/>
      </c>
      <c r="BY522" s="232" t="str">
        <f t="shared" si="1179"/>
        <v/>
      </c>
      <c r="BZ522" s="232" t="str">
        <f t="shared" si="1197"/>
        <v/>
      </c>
      <c r="CA522" s="371"/>
      <c r="CB522" s="507">
        <f t="shared" si="1180"/>
        <v>50</v>
      </c>
      <c r="CC522" s="508">
        <f t="shared" si="1181"/>
        <v>30</v>
      </c>
      <c r="CD522" s="509">
        <f t="shared" si="1182"/>
        <v>20</v>
      </c>
      <c r="CE522" s="371"/>
      <c r="CF522" s="232">
        <f t="shared" si="1183"/>
        <v>50</v>
      </c>
      <c r="CG522" s="232" t="str">
        <f t="shared" si="1184"/>
        <v/>
      </c>
      <c r="CH522" s="232" t="str">
        <f t="shared" si="1185"/>
        <v/>
      </c>
      <c r="CI522" s="232">
        <f t="shared" si="1198"/>
        <v>1</v>
      </c>
      <c r="CJ522" s="232"/>
      <c r="CK522" s="499">
        <v>50</v>
      </c>
      <c r="CL522" s="500">
        <v>30</v>
      </c>
      <c r="CM522" s="491">
        <f t="shared" si="1186"/>
        <v>20</v>
      </c>
      <c r="CN522" s="371"/>
      <c r="CO522" s="232">
        <f t="shared" si="1187"/>
        <v>50</v>
      </c>
      <c r="CP522" s="232" t="str">
        <f t="shared" si="1188"/>
        <v/>
      </c>
      <c r="CQ522" s="232" t="str">
        <f t="shared" si="1189"/>
        <v/>
      </c>
      <c r="CR522" s="232">
        <f t="shared" si="1199"/>
        <v>1</v>
      </c>
      <c r="CS522" s="232"/>
      <c r="CT522" s="371"/>
      <c r="CU522" s="300"/>
      <c r="CV522" s="246"/>
      <c r="CW522" s="264"/>
    </row>
    <row r="523" spans="1:101" x14ac:dyDescent="0.2">
      <c r="A523" s="264"/>
      <c r="B523" s="264"/>
      <c r="C523" s="202"/>
      <c r="D523" s="271">
        <v>10</v>
      </c>
      <c r="E523" s="169" t="s">
        <v>337</v>
      </c>
      <c r="F523" s="471">
        <v>2</v>
      </c>
      <c r="G523" s="478" t="s">
        <v>49</v>
      </c>
      <c r="H523" s="479">
        <v>3</v>
      </c>
      <c r="I523" s="170" t="str">
        <f t="shared" si="1150"/>
        <v/>
      </c>
      <c r="J523" s="387" t="str">
        <f t="shared" si="1151"/>
        <v/>
      </c>
      <c r="K523" s="388" t="str">
        <f t="shared" si="1152"/>
        <v>x</v>
      </c>
      <c r="L523" s="299"/>
      <c r="M523" s="375"/>
      <c r="N523" s="379"/>
      <c r="O523" s="236"/>
      <c r="P523" s="236"/>
      <c r="Q523" s="492">
        <v>50</v>
      </c>
      <c r="R523" s="493">
        <v>40</v>
      </c>
      <c r="S523" s="494">
        <f t="shared" si="1190"/>
        <v>10</v>
      </c>
      <c r="T523" s="371"/>
      <c r="U523" s="232" t="str">
        <f t="shared" si="1153"/>
        <v/>
      </c>
      <c r="V523" s="232" t="str">
        <f t="shared" si="1154"/>
        <v/>
      </c>
      <c r="W523" s="232">
        <f t="shared" si="1155"/>
        <v>10</v>
      </c>
      <c r="X523" s="232" t="str">
        <f t="shared" si="1191"/>
        <v/>
      </c>
      <c r="Y523" s="371"/>
      <c r="Z523" s="495">
        <v>80</v>
      </c>
      <c r="AA523" s="496">
        <v>10</v>
      </c>
      <c r="AB523" s="494">
        <f t="shared" si="1156"/>
        <v>10</v>
      </c>
      <c r="AC523" s="371"/>
      <c r="AD523" s="232" t="str">
        <f t="shared" si="1157"/>
        <v/>
      </c>
      <c r="AE523" s="232" t="str">
        <f t="shared" si="1158"/>
        <v/>
      </c>
      <c r="AF523" s="232">
        <f t="shared" si="1159"/>
        <v>10</v>
      </c>
      <c r="AG523" s="232" t="str">
        <f t="shared" si="1192"/>
        <v/>
      </c>
      <c r="AH523" s="371"/>
      <c r="AI523" s="495">
        <v>50</v>
      </c>
      <c r="AJ523" s="496">
        <v>30</v>
      </c>
      <c r="AK523" s="494">
        <f t="shared" si="1160"/>
        <v>20</v>
      </c>
      <c r="AL523" s="371"/>
      <c r="AM523" s="232" t="str">
        <f t="shared" si="1161"/>
        <v/>
      </c>
      <c r="AN523" s="232" t="str">
        <f t="shared" si="1162"/>
        <v/>
      </c>
      <c r="AO523" s="232">
        <f t="shared" si="1163"/>
        <v>20</v>
      </c>
      <c r="AP523" s="232" t="str">
        <f t="shared" si="1193"/>
        <v/>
      </c>
      <c r="AQ523" s="371"/>
      <c r="AR523" s="495">
        <v>50</v>
      </c>
      <c r="AS523" s="496">
        <v>40</v>
      </c>
      <c r="AT523" s="494">
        <f t="shared" si="1164"/>
        <v>10</v>
      </c>
      <c r="AU523" s="371"/>
      <c r="AV523" s="232" t="str">
        <f t="shared" si="1165"/>
        <v/>
      </c>
      <c r="AW523" s="232" t="str">
        <f t="shared" si="1166"/>
        <v/>
      </c>
      <c r="AX523" s="232">
        <f t="shared" si="1167"/>
        <v>10</v>
      </c>
      <c r="AY523" s="232" t="str">
        <f t="shared" si="1194"/>
        <v/>
      </c>
      <c r="AZ523" s="371"/>
      <c r="BA523" s="495">
        <v>80</v>
      </c>
      <c r="BB523" s="496">
        <v>10</v>
      </c>
      <c r="BC523" s="494">
        <f t="shared" si="1168"/>
        <v>10</v>
      </c>
      <c r="BD523" s="371"/>
      <c r="BE523" s="232" t="str">
        <f t="shared" si="1169"/>
        <v/>
      </c>
      <c r="BF523" s="232" t="str">
        <f t="shared" si="1170"/>
        <v/>
      </c>
      <c r="BG523" s="232">
        <f t="shared" si="1171"/>
        <v>10</v>
      </c>
      <c r="BH523" s="232" t="str">
        <f t="shared" si="1195"/>
        <v/>
      </c>
      <c r="BI523" s="371"/>
      <c r="BJ523" s="495">
        <v>50</v>
      </c>
      <c r="BK523" s="496">
        <v>30</v>
      </c>
      <c r="BL523" s="494">
        <f t="shared" si="1172"/>
        <v>20</v>
      </c>
      <c r="BM523" s="371"/>
      <c r="BN523" s="232" t="str">
        <f t="shared" si="1173"/>
        <v/>
      </c>
      <c r="BO523" s="232" t="str">
        <f t="shared" si="1174"/>
        <v/>
      </c>
      <c r="BP523" s="232">
        <f t="shared" si="1175"/>
        <v>20</v>
      </c>
      <c r="BQ523" s="232" t="str">
        <f t="shared" si="1196"/>
        <v/>
      </c>
      <c r="BR523" s="371"/>
      <c r="BS523" s="495">
        <v>10</v>
      </c>
      <c r="BT523" s="496">
        <v>10</v>
      </c>
      <c r="BU523" s="494">
        <f t="shared" si="1176"/>
        <v>80</v>
      </c>
      <c r="BV523" s="371"/>
      <c r="BW523" s="232" t="str">
        <f t="shared" si="1177"/>
        <v/>
      </c>
      <c r="BX523" s="232" t="str">
        <f t="shared" si="1178"/>
        <v/>
      </c>
      <c r="BY523" s="232">
        <f t="shared" si="1179"/>
        <v>80</v>
      </c>
      <c r="BZ523" s="232">
        <f t="shared" si="1197"/>
        <v>1</v>
      </c>
      <c r="CA523" s="371"/>
      <c r="CB523" s="501">
        <f t="shared" si="1180"/>
        <v>60</v>
      </c>
      <c r="CC523" s="502">
        <f t="shared" si="1181"/>
        <v>20</v>
      </c>
      <c r="CD523" s="503">
        <f t="shared" si="1182"/>
        <v>20</v>
      </c>
      <c r="CE523" s="371"/>
      <c r="CF523" s="232" t="str">
        <f t="shared" si="1183"/>
        <v/>
      </c>
      <c r="CG523" s="232" t="str">
        <f t="shared" si="1184"/>
        <v/>
      </c>
      <c r="CH523" s="232">
        <f t="shared" si="1185"/>
        <v>20</v>
      </c>
      <c r="CI523" s="232" t="str">
        <f t="shared" si="1198"/>
        <v/>
      </c>
      <c r="CJ523" s="232"/>
      <c r="CK523" s="495">
        <v>50</v>
      </c>
      <c r="CL523" s="496">
        <v>30</v>
      </c>
      <c r="CM523" s="494">
        <f t="shared" si="1186"/>
        <v>20</v>
      </c>
      <c r="CN523" s="371"/>
      <c r="CO523" s="232" t="str">
        <f t="shared" si="1187"/>
        <v/>
      </c>
      <c r="CP523" s="232" t="str">
        <f t="shared" si="1188"/>
        <v/>
      </c>
      <c r="CQ523" s="232">
        <f t="shared" si="1189"/>
        <v>20</v>
      </c>
      <c r="CR523" s="232" t="str">
        <f t="shared" si="1199"/>
        <v/>
      </c>
      <c r="CS523" s="232"/>
      <c r="CT523" s="371"/>
      <c r="CU523" s="300"/>
      <c r="CV523" s="246"/>
      <c r="CW523" s="264"/>
    </row>
    <row r="524" spans="1:101" x14ac:dyDescent="0.2">
      <c r="A524" s="264"/>
      <c r="B524" s="264"/>
      <c r="C524" s="202"/>
      <c r="D524" s="271">
        <v>11</v>
      </c>
      <c r="E524" s="167" t="s">
        <v>338</v>
      </c>
      <c r="F524" s="469">
        <v>0</v>
      </c>
      <c r="G524" s="474" t="s">
        <v>49</v>
      </c>
      <c r="H524" s="475">
        <v>3</v>
      </c>
      <c r="I524" s="389" t="str">
        <f t="shared" si="1150"/>
        <v/>
      </c>
      <c r="J524" s="390" t="str">
        <f t="shared" si="1151"/>
        <v/>
      </c>
      <c r="K524" s="391" t="str">
        <f t="shared" si="1152"/>
        <v>x</v>
      </c>
      <c r="L524" s="299"/>
      <c r="M524" s="375"/>
      <c r="N524" s="379"/>
      <c r="O524" s="236"/>
      <c r="P524" s="236"/>
      <c r="Q524" s="483">
        <v>10</v>
      </c>
      <c r="R524" s="484">
        <v>10</v>
      </c>
      <c r="S524" s="485">
        <f t="shared" si="1190"/>
        <v>80</v>
      </c>
      <c r="T524" s="371"/>
      <c r="U524" s="232" t="str">
        <f t="shared" si="1153"/>
        <v/>
      </c>
      <c r="V524" s="232" t="str">
        <f t="shared" si="1154"/>
        <v/>
      </c>
      <c r="W524" s="232">
        <f t="shared" si="1155"/>
        <v>80</v>
      </c>
      <c r="X524" s="232">
        <f t="shared" si="1191"/>
        <v>1</v>
      </c>
      <c r="Y524" s="371"/>
      <c r="Z524" s="497">
        <v>10</v>
      </c>
      <c r="AA524" s="498">
        <v>10</v>
      </c>
      <c r="AB524" s="485">
        <f t="shared" si="1156"/>
        <v>80</v>
      </c>
      <c r="AC524" s="371"/>
      <c r="AD524" s="232" t="str">
        <f t="shared" si="1157"/>
        <v/>
      </c>
      <c r="AE524" s="232" t="str">
        <f t="shared" si="1158"/>
        <v/>
      </c>
      <c r="AF524" s="232">
        <f t="shared" si="1159"/>
        <v>80</v>
      </c>
      <c r="AG524" s="232">
        <f t="shared" si="1192"/>
        <v>1</v>
      </c>
      <c r="AH524" s="371"/>
      <c r="AI524" s="497">
        <v>20</v>
      </c>
      <c r="AJ524" s="498">
        <v>20</v>
      </c>
      <c r="AK524" s="485">
        <f t="shared" si="1160"/>
        <v>60</v>
      </c>
      <c r="AL524" s="371"/>
      <c r="AM524" s="232" t="str">
        <f t="shared" si="1161"/>
        <v/>
      </c>
      <c r="AN524" s="232" t="str">
        <f t="shared" si="1162"/>
        <v/>
      </c>
      <c r="AO524" s="232">
        <f t="shared" si="1163"/>
        <v>60</v>
      </c>
      <c r="AP524" s="232">
        <f t="shared" si="1193"/>
        <v>1</v>
      </c>
      <c r="AQ524" s="371"/>
      <c r="AR524" s="497">
        <v>10</v>
      </c>
      <c r="AS524" s="498">
        <v>10</v>
      </c>
      <c r="AT524" s="485">
        <f t="shared" si="1164"/>
        <v>80</v>
      </c>
      <c r="AU524" s="371"/>
      <c r="AV524" s="232" t="str">
        <f t="shared" si="1165"/>
        <v/>
      </c>
      <c r="AW524" s="232" t="str">
        <f t="shared" si="1166"/>
        <v/>
      </c>
      <c r="AX524" s="232">
        <f t="shared" si="1167"/>
        <v>80</v>
      </c>
      <c r="AY524" s="232">
        <f t="shared" si="1194"/>
        <v>1</v>
      </c>
      <c r="AZ524" s="371"/>
      <c r="BA524" s="497">
        <v>80</v>
      </c>
      <c r="BB524" s="498">
        <v>10</v>
      </c>
      <c r="BC524" s="485">
        <f t="shared" si="1168"/>
        <v>10</v>
      </c>
      <c r="BD524" s="371"/>
      <c r="BE524" s="232" t="str">
        <f t="shared" si="1169"/>
        <v/>
      </c>
      <c r="BF524" s="232" t="str">
        <f t="shared" si="1170"/>
        <v/>
      </c>
      <c r="BG524" s="232">
        <f t="shared" si="1171"/>
        <v>10</v>
      </c>
      <c r="BH524" s="232" t="str">
        <f t="shared" si="1195"/>
        <v/>
      </c>
      <c r="BI524" s="371"/>
      <c r="BJ524" s="497">
        <v>10</v>
      </c>
      <c r="BK524" s="498">
        <v>10</v>
      </c>
      <c r="BL524" s="485">
        <f t="shared" si="1172"/>
        <v>80</v>
      </c>
      <c r="BM524" s="371"/>
      <c r="BN524" s="232" t="str">
        <f t="shared" si="1173"/>
        <v/>
      </c>
      <c r="BO524" s="232" t="str">
        <f t="shared" si="1174"/>
        <v/>
      </c>
      <c r="BP524" s="232">
        <f t="shared" si="1175"/>
        <v>80</v>
      </c>
      <c r="BQ524" s="232">
        <f t="shared" si="1196"/>
        <v>1</v>
      </c>
      <c r="BR524" s="371"/>
      <c r="BS524" s="497">
        <v>10</v>
      </c>
      <c r="BT524" s="498">
        <v>10</v>
      </c>
      <c r="BU524" s="485">
        <f t="shared" si="1176"/>
        <v>80</v>
      </c>
      <c r="BV524" s="371"/>
      <c r="BW524" s="232" t="str">
        <f t="shared" si="1177"/>
        <v/>
      </c>
      <c r="BX524" s="232" t="str">
        <f t="shared" si="1178"/>
        <v/>
      </c>
      <c r="BY524" s="232">
        <f t="shared" si="1179"/>
        <v>80</v>
      </c>
      <c r="BZ524" s="232">
        <f t="shared" si="1197"/>
        <v>1</v>
      </c>
      <c r="CA524" s="371"/>
      <c r="CB524" s="504">
        <f t="shared" si="1180"/>
        <v>30</v>
      </c>
      <c r="CC524" s="505">
        <f t="shared" si="1181"/>
        <v>10</v>
      </c>
      <c r="CD524" s="506">
        <f t="shared" si="1182"/>
        <v>60</v>
      </c>
      <c r="CE524" s="371"/>
      <c r="CF524" s="232" t="str">
        <f t="shared" si="1183"/>
        <v/>
      </c>
      <c r="CG524" s="232" t="str">
        <f t="shared" si="1184"/>
        <v/>
      </c>
      <c r="CH524" s="232">
        <f t="shared" si="1185"/>
        <v>60</v>
      </c>
      <c r="CI524" s="232">
        <f t="shared" si="1198"/>
        <v>1</v>
      </c>
      <c r="CJ524" s="232"/>
      <c r="CK524" s="497">
        <v>20</v>
      </c>
      <c r="CL524" s="498">
        <v>10</v>
      </c>
      <c r="CM524" s="485">
        <f t="shared" si="1186"/>
        <v>70</v>
      </c>
      <c r="CN524" s="371"/>
      <c r="CO524" s="232" t="str">
        <f t="shared" si="1187"/>
        <v/>
      </c>
      <c r="CP524" s="232" t="str">
        <f t="shared" si="1188"/>
        <v/>
      </c>
      <c r="CQ524" s="232">
        <f t="shared" si="1189"/>
        <v>70</v>
      </c>
      <c r="CR524" s="232">
        <f t="shared" si="1199"/>
        <v>1</v>
      </c>
      <c r="CS524" s="232"/>
      <c r="CT524" s="371"/>
      <c r="CU524" s="300"/>
      <c r="CV524" s="246"/>
      <c r="CW524" s="264"/>
    </row>
    <row r="525" spans="1:101" ht="13.5" thickBot="1" x14ac:dyDescent="0.25">
      <c r="A525" s="264"/>
      <c r="B525" s="264"/>
      <c r="C525" s="202"/>
      <c r="D525" s="271">
        <v>12</v>
      </c>
      <c r="E525" s="168" t="s">
        <v>339</v>
      </c>
      <c r="F525" s="470">
        <v>0</v>
      </c>
      <c r="G525" s="476" t="s">
        <v>49</v>
      </c>
      <c r="H525" s="477">
        <v>2</v>
      </c>
      <c r="I525" s="392" t="str">
        <f t="shared" si="1150"/>
        <v/>
      </c>
      <c r="J525" s="393" t="str">
        <f t="shared" si="1151"/>
        <v/>
      </c>
      <c r="K525" s="394" t="str">
        <f t="shared" si="1152"/>
        <v>x</v>
      </c>
      <c r="L525" s="299"/>
      <c r="M525" s="375"/>
      <c r="N525" s="379"/>
      <c r="O525" s="236"/>
      <c r="P525" s="236"/>
      <c r="Q525" s="489">
        <v>10</v>
      </c>
      <c r="R525" s="490">
        <v>10</v>
      </c>
      <c r="S525" s="491">
        <f t="shared" si="1190"/>
        <v>80</v>
      </c>
      <c r="T525" s="371"/>
      <c r="U525" s="232" t="str">
        <f t="shared" si="1153"/>
        <v/>
      </c>
      <c r="V525" s="232" t="str">
        <f t="shared" si="1154"/>
        <v/>
      </c>
      <c r="W525" s="232">
        <f t="shared" si="1155"/>
        <v>80</v>
      </c>
      <c r="X525" s="232">
        <f t="shared" si="1191"/>
        <v>1</v>
      </c>
      <c r="Y525" s="371"/>
      <c r="Z525" s="499">
        <v>10</v>
      </c>
      <c r="AA525" s="500">
        <v>10</v>
      </c>
      <c r="AB525" s="491">
        <f t="shared" si="1156"/>
        <v>80</v>
      </c>
      <c r="AC525" s="371"/>
      <c r="AD525" s="232" t="str">
        <f t="shared" si="1157"/>
        <v/>
      </c>
      <c r="AE525" s="232" t="str">
        <f t="shared" si="1158"/>
        <v/>
      </c>
      <c r="AF525" s="232">
        <f t="shared" si="1159"/>
        <v>80</v>
      </c>
      <c r="AG525" s="232">
        <f t="shared" si="1192"/>
        <v>1</v>
      </c>
      <c r="AH525" s="371"/>
      <c r="AI525" s="499">
        <v>40</v>
      </c>
      <c r="AJ525" s="500">
        <v>40</v>
      </c>
      <c r="AK525" s="491">
        <f t="shared" si="1160"/>
        <v>20</v>
      </c>
      <c r="AL525" s="371"/>
      <c r="AM525" s="232" t="str">
        <f t="shared" si="1161"/>
        <v/>
      </c>
      <c r="AN525" s="232" t="str">
        <f t="shared" si="1162"/>
        <v/>
      </c>
      <c r="AO525" s="232">
        <f t="shared" si="1163"/>
        <v>20</v>
      </c>
      <c r="AP525" s="232" t="str">
        <f t="shared" si="1193"/>
        <v/>
      </c>
      <c r="AQ525" s="371"/>
      <c r="AR525" s="499">
        <v>20</v>
      </c>
      <c r="AS525" s="500">
        <v>30</v>
      </c>
      <c r="AT525" s="491">
        <f t="shared" si="1164"/>
        <v>50</v>
      </c>
      <c r="AU525" s="371"/>
      <c r="AV525" s="232" t="str">
        <f t="shared" si="1165"/>
        <v/>
      </c>
      <c r="AW525" s="232" t="str">
        <f t="shared" si="1166"/>
        <v/>
      </c>
      <c r="AX525" s="232">
        <f t="shared" si="1167"/>
        <v>50</v>
      </c>
      <c r="AY525" s="232">
        <f t="shared" si="1194"/>
        <v>1</v>
      </c>
      <c r="AZ525" s="371"/>
      <c r="BA525" s="499">
        <v>10</v>
      </c>
      <c r="BB525" s="500">
        <v>10</v>
      </c>
      <c r="BC525" s="491">
        <f t="shared" si="1168"/>
        <v>80</v>
      </c>
      <c r="BD525" s="371"/>
      <c r="BE525" s="232" t="str">
        <f t="shared" si="1169"/>
        <v/>
      </c>
      <c r="BF525" s="232" t="str">
        <f t="shared" si="1170"/>
        <v/>
      </c>
      <c r="BG525" s="232">
        <f t="shared" si="1171"/>
        <v>80</v>
      </c>
      <c r="BH525" s="232">
        <f t="shared" si="1195"/>
        <v>1</v>
      </c>
      <c r="BI525" s="371"/>
      <c r="BJ525" s="499">
        <v>20</v>
      </c>
      <c r="BK525" s="500">
        <v>30</v>
      </c>
      <c r="BL525" s="491">
        <f t="shared" si="1172"/>
        <v>50</v>
      </c>
      <c r="BM525" s="371"/>
      <c r="BN525" s="232" t="str">
        <f t="shared" si="1173"/>
        <v/>
      </c>
      <c r="BO525" s="232" t="str">
        <f t="shared" si="1174"/>
        <v/>
      </c>
      <c r="BP525" s="232">
        <f t="shared" si="1175"/>
        <v>50</v>
      </c>
      <c r="BQ525" s="232">
        <f t="shared" si="1196"/>
        <v>1</v>
      </c>
      <c r="BR525" s="371"/>
      <c r="BS525" s="499">
        <v>30</v>
      </c>
      <c r="BT525" s="500">
        <v>20</v>
      </c>
      <c r="BU525" s="491">
        <f t="shared" si="1176"/>
        <v>50</v>
      </c>
      <c r="BV525" s="371"/>
      <c r="BW525" s="232" t="str">
        <f t="shared" si="1177"/>
        <v/>
      </c>
      <c r="BX525" s="232" t="str">
        <f t="shared" si="1178"/>
        <v/>
      </c>
      <c r="BY525" s="232">
        <f t="shared" si="1179"/>
        <v>50</v>
      </c>
      <c r="BZ525" s="232">
        <f t="shared" si="1197"/>
        <v>1</v>
      </c>
      <c r="CA525" s="371"/>
      <c r="CB525" s="507">
        <f t="shared" si="1180"/>
        <v>20</v>
      </c>
      <c r="CC525" s="508">
        <f t="shared" si="1181"/>
        <v>20</v>
      </c>
      <c r="CD525" s="509">
        <f t="shared" si="1182"/>
        <v>60</v>
      </c>
      <c r="CE525" s="371"/>
      <c r="CF525" s="232" t="str">
        <f t="shared" si="1183"/>
        <v/>
      </c>
      <c r="CG525" s="232" t="str">
        <f t="shared" si="1184"/>
        <v/>
      </c>
      <c r="CH525" s="232">
        <f t="shared" si="1185"/>
        <v>60</v>
      </c>
      <c r="CI525" s="232">
        <f t="shared" si="1198"/>
        <v>1</v>
      </c>
      <c r="CJ525" s="232"/>
      <c r="CK525" s="499">
        <v>10</v>
      </c>
      <c r="CL525" s="500">
        <v>10</v>
      </c>
      <c r="CM525" s="491">
        <f t="shared" si="1186"/>
        <v>80</v>
      </c>
      <c r="CN525" s="371"/>
      <c r="CO525" s="232" t="str">
        <f t="shared" si="1187"/>
        <v/>
      </c>
      <c r="CP525" s="232" t="str">
        <f t="shared" si="1188"/>
        <v/>
      </c>
      <c r="CQ525" s="232">
        <f t="shared" si="1189"/>
        <v>80</v>
      </c>
      <c r="CR525" s="232">
        <f t="shared" si="1199"/>
        <v>1</v>
      </c>
      <c r="CS525" s="232"/>
      <c r="CT525" s="371"/>
      <c r="CU525" s="300"/>
      <c r="CV525" s="246"/>
      <c r="CW525" s="264"/>
    </row>
    <row r="526" spans="1:101" x14ac:dyDescent="0.2">
      <c r="A526" s="264"/>
      <c r="B526" s="264"/>
      <c r="C526" s="202"/>
      <c r="D526" s="272"/>
      <c r="E526" s="235"/>
      <c r="F526" s="395">
        <f>IF(SUM(F514:F525)=0,"",SUM(F514:F525))</f>
        <v>15</v>
      </c>
      <c r="G526" s="370" t="s">
        <v>49</v>
      </c>
      <c r="H526" s="396">
        <f>IF(SUM(H514:H525)=0,"",SUM(H514:H525))</f>
        <v>19</v>
      </c>
      <c r="I526" s="397">
        <f>IF(COUNTIF(I514:I525,"=x")=0,"",COUNTIF(I514:I525,"=x"))</f>
        <v>4</v>
      </c>
      <c r="J526" s="398">
        <f>IF(COUNTIF(J514:J525,"=x")=0,"",COUNTIF(J514:J525,"=x"))</f>
        <v>3</v>
      </c>
      <c r="K526" s="399">
        <f>IF(COUNTIF(K514:K525,"=x")=0,"",COUNTIF(K514:K525,"=x"))</f>
        <v>5</v>
      </c>
      <c r="L526" s="299"/>
      <c r="M526" s="375"/>
      <c r="N526" s="379"/>
      <c r="O526" s="236"/>
      <c r="P526" s="369"/>
      <c r="Q526" s="466">
        <f>SUM(U514:U525)</f>
        <v>240</v>
      </c>
      <c r="R526" s="466">
        <f>SUM(V514:V525)</f>
        <v>60</v>
      </c>
      <c r="S526" s="466">
        <f>SUM(W514:W525)</f>
        <v>190</v>
      </c>
      <c r="T526" s="368"/>
      <c r="U526" s="232"/>
      <c r="V526" s="232"/>
      <c r="W526" s="232"/>
      <c r="X526" s="232"/>
      <c r="Y526" s="367"/>
      <c r="Z526" s="466">
        <f>SUM(AD514:AD525)</f>
        <v>250</v>
      </c>
      <c r="AA526" s="466">
        <f>SUM(AE514:AE525)</f>
        <v>30</v>
      </c>
      <c r="AB526" s="466">
        <f>SUM(AF514:AF525)</f>
        <v>330</v>
      </c>
      <c r="AC526" s="368"/>
      <c r="AD526" s="232"/>
      <c r="AE526" s="232"/>
      <c r="AF526" s="232"/>
      <c r="AG526" s="232"/>
      <c r="AH526" s="367"/>
      <c r="AI526" s="466">
        <f>SUM(AM514:AM525)</f>
        <v>170</v>
      </c>
      <c r="AJ526" s="466">
        <f>SUM(AN514:AN525)</f>
        <v>50</v>
      </c>
      <c r="AK526" s="466">
        <f>SUM(AO514:AO525)</f>
        <v>200</v>
      </c>
      <c r="AL526" s="368"/>
      <c r="AM526" s="232"/>
      <c r="AN526" s="232"/>
      <c r="AO526" s="232"/>
      <c r="AP526" s="232"/>
      <c r="AQ526" s="367"/>
      <c r="AR526" s="466">
        <f>SUM(AV514:AV525)</f>
        <v>140</v>
      </c>
      <c r="AS526" s="466">
        <f>SUM(AW514:AW525)</f>
        <v>70</v>
      </c>
      <c r="AT526" s="466">
        <f>SUM(AX514:AX525)</f>
        <v>260</v>
      </c>
      <c r="AU526" s="368"/>
      <c r="AV526" s="232"/>
      <c r="AW526" s="232"/>
      <c r="AX526" s="232"/>
      <c r="AY526" s="232"/>
      <c r="AZ526" s="367"/>
      <c r="BA526" s="466">
        <f>SUM(BE514:BE525)</f>
        <v>250</v>
      </c>
      <c r="BB526" s="466">
        <f>SUM(BF514:BF525)</f>
        <v>30</v>
      </c>
      <c r="BC526" s="466">
        <f>SUM(BG514:BG525)</f>
        <v>190</v>
      </c>
      <c r="BD526" s="368"/>
      <c r="BE526" s="232"/>
      <c r="BF526" s="232"/>
      <c r="BG526" s="232"/>
      <c r="BH526" s="232"/>
      <c r="BI526" s="367"/>
      <c r="BJ526" s="466">
        <f>SUM(BN514:BN525)</f>
        <v>120</v>
      </c>
      <c r="BK526" s="466">
        <f>SUM(BO514:BO525)</f>
        <v>40</v>
      </c>
      <c r="BL526" s="466">
        <f>SUM(BP514:BP525)</f>
        <v>280</v>
      </c>
      <c r="BM526" s="368"/>
      <c r="BN526" s="232"/>
      <c r="BO526" s="232"/>
      <c r="BP526" s="232"/>
      <c r="BQ526" s="232"/>
      <c r="BR526" s="367"/>
      <c r="BS526" s="466">
        <f>SUM(BW514:BW525)</f>
        <v>180</v>
      </c>
      <c r="BT526" s="466">
        <f>SUM(BX514:BX525)</f>
        <v>70</v>
      </c>
      <c r="BU526" s="466">
        <f>SUM(BY514:BY525)</f>
        <v>270</v>
      </c>
      <c r="BV526" s="368"/>
      <c r="BW526" s="232"/>
      <c r="BX526" s="232"/>
      <c r="BY526" s="232"/>
      <c r="BZ526" s="232"/>
      <c r="CA526" s="369"/>
      <c r="CB526" s="466">
        <f>SUM(CF514:CF525)</f>
        <v>210</v>
      </c>
      <c r="CC526" s="466">
        <f>SUM(CG514:CG525)</f>
        <v>30</v>
      </c>
      <c r="CD526" s="466">
        <f>SUM(CH514:CH525)</f>
        <v>240</v>
      </c>
      <c r="CE526" s="368"/>
      <c r="CF526" s="232"/>
      <c r="CG526" s="232"/>
      <c r="CH526" s="232"/>
      <c r="CI526" s="232"/>
      <c r="CJ526" s="232"/>
      <c r="CK526" s="466">
        <f>SUM(CO514:CO525)</f>
        <v>140</v>
      </c>
      <c r="CL526" s="466">
        <f>SUM(CP514:CP525)</f>
        <v>70</v>
      </c>
      <c r="CM526" s="466">
        <f>SUM(CQ514:CQ525)</f>
        <v>250</v>
      </c>
      <c r="CN526" s="368"/>
      <c r="CO526" s="232"/>
      <c r="CP526" s="232"/>
      <c r="CQ526" s="232"/>
      <c r="CR526" s="232"/>
      <c r="CS526" s="232"/>
      <c r="CT526" s="232"/>
      <c r="CU526" s="300"/>
      <c r="CV526" s="246"/>
      <c r="CW526" s="265"/>
    </row>
    <row r="527" spans="1:101" ht="13.5" thickBot="1" x14ac:dyDescent="0.25">
      <c r="A527" s="264"/>
      <c r="B527" s="264"/>
      <c r="C527" s="202"/>
      <c r="D527" s="289"/>
      <c r="E527" s="282"/>
      <c r="F527" s="283"/>
      <c r="G527" s="282"/>
      <c r="H527" s="282"/>
      <c r="I527" s="282"/>
      <c r="J527" s="282"/>
      <c r="K527" s="282"/>
      <c r="L527" s="293"/>
      <c r="M527" s="301"/>
      <c r="N527" s="380"/>
      <c r="O527" s="376"/>
      <c r="P527" s="284"/>
      <c r="Q527" s="285"/>
      <c r="R527" s="285"/>
      <c r="S527" s="285"/>
      <c r="T527" s="286"/>
      <c r="U527" s="287"/>
      <c r="V527" s="287"/>
      <c r="W527" s="287"/>
      <c r="X527" s="287"/>
      <c r="Y527" s="284"/>
      <c r="Z527" s="285"/>
      <c r="AA527" s="285"/>
      <c r="AB527" s="285"/>
      <c r="AC527" s="286"/>
      <c r="AD527" s="287"/>
      <c r="AE527" s="287"/>
      <c r="AF527" s="287"/>
      <c r="AG527" s="288"/>
      <c r="AH527" s="284"/>
      <c r="AI527" s="285"/>
      <c r="AJ527" s="285"/>
      <c r="AK527" s="285"/>
      <c r="AL527" s="286"/>
      <c r="AM527" s="287"/>
      <c r="AN527" s="287"/>
      <c r="AO527" s="287"/>
      <c r="AP527" s="288"/>
      <c r="AQ527" s="284"/>
      <c r="AR527" s="285"/>
      <c r="AS527" s="285"/>
      <c r="AT527" s="285"/>
      <c r="AU527" s="286"/>
      <c r="AV527" s="287"/>
      <c r="AW527" s="287"/>
      <c r="AX527" s="287"/>
      <c r="AY527" s="288"/>
      <c r="AZ527" s="284"/>
      <c r="BA527" s="285"/>
      <c r="BB527" s="285"/>
      <c r="BC527" s="285"/>
      <c r="BD527" s="286"/>
      <c r="BE527" s="287"/>
      <c r="BF527" s="287"/>
      <c r="BG527" s="287"/>
      <c r="BH527" s="288"/>
      <c r="BI527" s="284"/>
      <c r="BJ527" s="284"/>
      <c r="BK527" s="284"/>
      <c r="BL527" s="284"/>
      <c r="BM527" s="284"/>
      <c r="BN527" s="284"/>
      <c r="BO527" s="284"/>
      <c r="BP527" s="284"/>
      <c r="BQ527" s="284"/>
      <c r="BR527" s="284"/>
      <c r="BS527" s="284"/>
      <c r="BT527" s="284"/>
      <c r="BU527" s="284"/>
      <c r="BV527" s="284"/>
      <c r="BW527" s="284"/>
      <c r="BX527" s="284"/>
      <c r="BY527" s="284"/>
      <c r="BZ527" s="284"/>
      <c r="CA527" s="284"/>
      <c r="CB527" s="284"/>
      <c r="CC527" s="284"/>
      <c r="CD527" s="284"/>
      <c r="CE527" s="284"/>
      <c r="CF527" s="284"/>
      <c r="CG527" s="284"/>
      <c r="CH527" s="284"/>
      <c r="CI527" s="284"/>
      <c r="CJ527" s="288"/>
      <c r="CK527" s="288"/>
      <c r="CL527" s="288"/>
      <c r="CM527" s="288"/>
      <c r="CN527" s="288"/>
      <c r="CO527" s="288"/>
      <c r="CP527" s="288"/>
      <c r="CQ527" s="288"/>
      <c r="CR527" s="288"/>
      <c r="CS527" s="288"/>
      <c r="CT527" s="282"/>
      <c r="CU527" s="294"/>
      <c r="CV527" s="246"/>
      <c r="CW527" s="265"/>
    </row>
    <row r="528" spans="1:101" ht="14.25" thickTop="1" thickBot="1" x14ac:dyDescent="0.25">
      <c r="A528" s="256"/>
      <c r="B528" s="256"/>
      <c r="C528" s="210"/>
      <c r="D528" s="211"/>
      <c r="E528" s="247"/>
      <c r="F528" s="248"/>
      <c r="G528" s="247"/>
      <c r="H528" s="247"/>
      <c r="I528" s="247"/>
      <c r="J528" s="247"/>
      <c r="K528" s="247"/>
      <c r="L528" s="249"/>
      <c r="M528" s="250"/>
      <c r="N528" s="250"/>
      <c r="O528" s="250"/>
      <c r="P528" s="250"/>
      <c r="Q528" s="247"/>
      <c r="R528" s="247"/>
      <c r="S528" s="247"/>
      <c r="T528" s="251"/>
      <c r="U528" s="252"/>
      <c r="V528" s="252"/>
      <c r="W528" s="252"/>
      <c r="X528" s="252"/>
      <c r="Y528" s="250"/>
      <c r="Z528" s="247"/>
      <c r="AA528" s="247"/>
      <c r="AB528" s="247"/>
      <c r="AC528" s="251"/>
      <c r="AD528" s="252"/>
      <c r="AE528" s="252"/>
      <c r="AF528" s="252"/>
      <c r="AG528" s="247"/>
      <c r="AH528" s="250"/>
      <c r="AI528" s="247"/>
      <c r="AJ528" s="247"/>
      <c r="AK528" s="247"/>
      <c r="AL528" s="251"/>
      <c r="AM528" s="252"/>
      <c r="AN528" s="252"/>
      <c r="AO528" s="252"/>
      <c r="AP528" s="253"/>
      <c r="AQ528" s="250"/>
      <c r="AR528" s="247"/>
      <c r="AS528" s="247"/>
      <c r="AT528" s="247"/>
      <c r="AU528" s="251"/>
      <c r="AV528" s="252"/>
      <c r="AW528" s="252"/>
      <c r="AX528" s="252"/>
      <c r="AY528" s="247"/>
      <c r="AZ528" s="250"/>
      <c r="BA528" s="247"/>
      <c r="BB528" s="247"/>
      <c r="BC528" s="247"/>
      <c r="BD528" s="251"/>
      <c r="BE528" s="252"/>
      <c r="BF528" s="252"/>
      <c r="BG528" s="252"/>
      <c r="BH528" s="247"/>
      <c r="BI528" s="250"/>
      <c r="BJ528" s="247"/>
      <c r="BK528" s="247"/>
      <c r="BL528" s="247"/>
      <c r="BM528" s="251"/>
      <c r="BN528" s="252"/>
      <c r="BO528" s="252"/>
      <c r="BP528" s="252"/>
      <c r="BQ528" s="247"/>
      <c r="BR528" s="212"/>
      <c r="BS528" s="247"/>
      <c r="BT528" s="247"/>
      <c r="BU528" s="247"/>
      <c r="BV528" s="250"/>
      <c r="BW528" s="252"/>
      <c r="BX528" s="252"/>
      <c r="BY528" s="252"/>
      <c r="BZ528" s="247"/>
      <c r="CA528" s="247"/>
      <c r="CB528" s="253"/>
      <c r="CC528" s="253"/>
      <c r="CD528" s="253"/>
      <c r="CE528" s="253"/>
      <c r="CF528" s="247"/>
      <c r="CG528" s="247"/>
      <c r="CH528" s="247"/>
      <c r="CI528" s="247"/>
      <c r="CJ528" s="247"/>
      <c r="CK528" s="247"/>
      <c r="CL528" s="247"/>
      <c r="CM528" s="247"/>
      <c r="CN528" s="247"/>
      <c r="CO528" s="247"/>
      <c r="CP528" s="247"/>
      <c r="CQ528" s="247"/>
      <c r="CR528" s="247"/>
      <c r="CS528" s="247"/>
      <c r="CT528" s="247"/>
      <c r="CU528" s="247"/>
      <c r="CV528" s="254"/>
      <c r="CW528" s="255"/>
    </row>
    <row r="529" spans="1:101" ht="14.25" thickTop="1" thickBot="1" x14ac:dyDescent="0.25">
      <c r="A529" s="255"/>
      <c r="B529" s="255"/>
      <c r="C529" s="255"/>
      <c r="D529" s="255"/>
      <c r="E529" s="255"/>
      <c r="F529" s="255"/>
      <c r="G529" s="255"/>
      <c r="H529" s="255"/>
      <c r="I529" s="255"/>
      <c r="J529" s="255"/>
      <c r="K529" s="255"/>
      <c r="L529" s="255"/>
      <c r="M529" s="255"/>
      <c r="N529" s="255"/>
      <c r="O529" s="255"/>
      <c r="P529" s="255"/>
      <c r="Q529" s="255"/>
      <c r="R529" s="255"/>
      <c r="S529" s="255"/>
      <c r="T529" s="255"/>
      <c r="U529" s="255"/>
      <c r="V529" s="255"/>
      <c r="W529" s="255"/>
      <c r="X529" s="255"/>
      <c r="Y529" s="255"/>
      <c r="Z529" s="255"/>
      <c r="AA529" s="255"/>
      <c r="AB529" s="255"/>
      <c r="AC529" s="255"/>
      <c r="AD529" s="255"/>
      <c r="AE529" s="255"/>
      <c r="AF529" s="255"/>
      <c r="AG529" s="255"/>
      <c r="AH529" s="255"/>
      <c r="AI529" s="255"/>
      <c r="AJ529" s="255"/>
      <c r="AK529" s="255"/>
      <c r="AL529" s="255"/>
      <c r="AM529" s="255"/>
      <c r="AN529" s="255"/>
      <c r="AO529" s="255"/>
      <c r="AP529" s="255"/>
      <c r="AQ529" s="255"/>
      <c r="AR529" s="255"/>
      <c r="AS529" s="255"/>
      <c r="AT529" s="255"/>
      <c r="AU529" s="255"/>
      <c r="AV529" s="255"/>
      <c r="AW529" s="255"/>
      <c r="AX529" s="255"/>
      <c r="AY529" s="255"/>
      <c r="AZ529" s="255"/>
      <c r="BA529" s="255"/>
      <c r="BB529" s="255"/>
      <c r="BC529" s="255"/>
      <c r="BD529" s="255"/>
      <c r="BE529" s="255"/>
      <c r="BF529" s="255"/>
      <c r="BG529" s="255"/>
      <c r="BH529" s="255"/>
      <c r="BI529" s="255"/>
      <c r="BJ529" s="255"/>
      <c r="BK529" s="255"/>
      <c r="BL529" s="255"/>
      <c r="BM529" s="255"/>
      <c r="BN529" s="255"/>
      <c r="BO529" s="255"/>
      <c r="BP529" s="255"/>
      <c r="BQ529" s="255"/>
      <c r="BR529" s="255"/>
      <c r="BS529" s="255"/>
      <c r="BT529" s="255"/>
      <c r="BU529" s="255"/>
      <c r="BV529" s="255"/>
      <c r="BW529" s="255"/>
      <c r="BX529" s="255"/>
      <c r="BY529" s="255"/>
      <c r="BZ529" s="255"/>
      <c r="CA529" s="255"/>
      <c r="CB529" s="436"/>
      <c r="CC529" s="436"/>
      <c r="CD529" s="436"/>
      <c r="CE529" s="436"/>
      <c r="CF529" s="255"/>
      <c r="CG529" s="255"/>
      <c r="CH529" s="255"/>
      <c r="CI529" s="255"/>
      <c r="CJ529" s="255"/>
      <c r="CK529" s="255"/>
      <c r="CL529" s="255"/>
      <c r="CM529" s="255"/>
      <c r="CN529" s="255"/>
      <c r="CO529" s="255"/>
      <c r="CP529" s="255"/>
      <c r="CQ529" s="255"/>
      <c r="CR529" s="255"/>
      <c r="CS529" s="255"/>
      <c r="CT529" s="255"/>
      <c r="CU529" s="255"/>
      <c r="CV529" s="255"/>
      <c r="CW529" s="255"/>
    </row>
    <row r="530" spans="1:101" ht="21" thickTop="1" x14ac:dyDescent="0.3">
      <c r="A530" s="256"/>
      <c r="B530" s="256"/>
      <c r="C530" s="190"/>
      <c r="D530" s="191"/>
      <c r="E530" s="866" t="str">
        <f>E2</f>
        <v>STPS 2026</v>
      </c>
      <c r="F530" s="267"/>
      <c r="G530" s="267"/>
      <c r="H530" s="267"/>
      <c r="I530" s="192"/>
      <c r="J530" s="192"/>
      <c r="K530" s="192"/>
      <c r="L530" s="193"/>
      <c r="M530" s="192"/>
      <c r="N530" s="192"/>
      <c r="O530" s="192"/>
      <c r="P530" s="194"/>
      <c r="Q530" s="192"/>
      <c r="R530" s="192"/>
      <c r="S530" s="192"/>
      <c r="T530" s="195"/>
      <c r="U530" s="196"/>
      <c r="V530" s="196"/>
      <c r="W530" s="196"/>
      <c r="X530" s="196"/>
      <c r="Y530" s="194"/>
      <c r="Z530" s="192"/>
      <c r="AA530" s="192"/>
      <c r="AB530" s="192"/>
      <c r="AC530" s="195"/>
      <c r="AD530" s="196"/>
      <c r="AE530" s="196"/>
      <c r="AF530" s="196"/>
      <c r="AG530" s="197"/>
      <c r="AH530" s="194"/>
      <c r="AI530" s="192"/>
      <c r="AJ530" s="237"/>
      <c r="AK530" s="237"/>
      <c r="AL530" s="198"/>
      <c r="AM530" s="238"/>
      <c r="AN530" s="238"/>
      <c r="AO530" s="238"/>
      <c r="AP530" s="197"/>
      <c r="AQ530" s="239"/>
      <c r="AR530" s="240"/>
      <c r="AS530" s="199"/>
      <c r="AT530" s="200"/>
      <c r="AU530" s="198"/>
      <c r="AV530" s="196"/>
      <c r="AW530" s="196"/>
      <c r="AX530" s="196"/>
      <c r="AY530" s="197"/>
      <c r="AZ530" s="239"/>
      <c r="BA530" s="240"/>
      <c r="BB530" s="200"/>
      <c r="BC530" s="237"/>
      <c r="BD530" s="241"/>
      <c r="BE530" s="196"/>
      <c r="BF530" s="196"/>
      <c r="BG530" s="196"/>
      <c r="BH530" s="197"/>
      <c r="BI530" s="242"/>
      <c r="BJ530" s="237"/>
      <c r="BK530" s="237"/>
      <c r="BL530" s="237"/>
      <c r="BM530" s="241"/>
      <c r="BN530" s="196"/>
      <c r="BO530" s="196"/>
      <c r="BP530" s="196"/>
      <c r="BQ530" s="197"/>
      <c r="BR530" s="201"/>
      <c r="BS530" s="237"/>
      <c r="BT530" s="237"/>
      <c r="BU530" s="237"/>
      <c r="BV530" s="242"/>
      <c r="BW530" s="237"/>
      <c r="BX530" s="237"/>
      <c r="BY530" s="237"/>
      <c r="BZ530" s="237"/>
      <c r="CA530" s="237"/>
      <c r="CB530" s="437"/>
      <c r="CC530" s="437"/>
      <c r="CD530" s="437"/>
      <c r="CE530" s="437"/>
      <c r="CF530" s="237"/>
      <c r="CG530" s="237"/>
      <c r="CH530" s="237"/>
      <c r="CI530" s="237"/>
      <c r="CJ530" s="197"/>
      <c r="CK530" s="197"/>
      <c r="CL530" s="197"/>
      <c r="CM530" s="197"/>
      <c r="CN530" s="197"/>
      <c r="CO530" s="197"/>
      <c r="CP530" s="197"/>
      <c r="CQ530" s="197"/>
      <c r="CR530" s="197"/>
      <c r="CS530" s="197"/>
      <c r="CT530" s="401"/>
      <c r="CU530" s="237"/>
      <c r="CV530" s="243"/>
      <c r="CW530" s="255"/>
    </row>
    <row r="531" spans="1:101" ht="13.5" thickBot="1" x14ac:dyDescent="0.25">
      <c r="A531" s="256"/>
      <c r="B531" s="256"/>
      <c r="C531" s="202"/>
      <c r="D531" s="188"/>
      <c r="E531" s="266" t="str">
        <f>E3</f>
        <v>Skorgen Tippelag</v>
      </c>
      <c r="F531" s="406"/>
      <c r="G531" s="406"/>
      <c r="H531" s="406"/>
      <c r="I531" s="406"/>
      <c r="J531" s="406"/>
      <c r="K531" s="406"/>
      <c r="L531" s="406"/>
      <c r="M531" s="406"/>
      <c r="N531" s="406"/>
      <c r="O531" s="406"/>
      <c r="P531" s="406"/>
      <c r="Q531" s="406"/>
      <c r="R531" s="406"/>
      <c r="S531" s="406"/>
      <c r="T531" s="406"/>
      <c r="U531" s="406"/>
      <c r="V531" s="406"/>
      <c r="W531" s="406"/>
      <c r="X531" s="406"/>
      <c r="Y531" s="406"/>
      <c r="Z531" s="406"/>
      <c r="AA531" s="406"/>
      <c r="AB531" s="406"/>
      <c r="AC531" s="406"/>
      <c r="AD531" s="406"/>
      <c r="AE531" s="406"/>
      <c r="AF531" s="406"/>
      <c r="AG531" s="406"/>
      <c r="AH531" s="406"/>
      <c r="AI531" s="406"/>
      <c r="AJ531" s="406"/>
      <c r="AK531" s="406"/>
      <c r="AL531" s="406"/>
      <c r="AM531" s="406"/>
      <c r="AN531" s="406"/>
      <c r="AO531" s="406"/>
      <c r="AP531" s="406"/>
      <c r="AQ531" s="406"/>
      <c r="AR531" s="406"/>
      <c r="AS531" s="406"/>
      <c r="AT531" s="406"/>
      <c r="AU531" s="406"/>
      <c r="AV531" s="406"/>
      <c r="AW531" s="406"/>
      <c r="AX531" s="406"/>
      <c r="AY531" s="406"/>
      <c r="AZ531" s="406"/>
      <c r="BA531" s="406"/>
      <c r="BB531" s="406"/>
      <c r="BC531" s="406"/>
      <c r="BD531" s="406"/>
      <c r="BE531" s="406"/>
      <c r="BF531" s="406"/>
      <c r="BG531" s="406"/>
      <c r="BH531" s="406"/>
      <c r="BI531" s="406"/>
      <c r="BJ531" s="406"/>
      <c r="BK531" s="406"/>
      <c r="BL531" s="406"/>
      <c r="BM531" s="406"/>
      <c r="BN531" s="406"/>
      <c r="BO531" s="406"/>
      <c r="BP531" s="406"/>
      <c r="BQ531" s="406"/>
      <c r="BR531" s="406"/>
      <c r="BS531" s="406"/>
      <c r="BT531" s="406"/>
      <c r="BU531" s="406"/>
      <c r="BV531" s="406"/>
      <c r="BW531" s="406"/>
      <c r="BX531" s="406"/>
      <c r="BY531" s="406"/>
      <c r="BZ531" s="406"/>
      <c r="CA531" s="406"/>
      <c r="CB531" s="438"/>
      <c r="CC531" s="438"/>
      <c r="CD531" s="438"/>
      <c r="CE531" s="438"/>
      <c r="CF531" s="406"/>
      <c r="CG531" s="406"/>
      <c r="CH531" s="406"/>
      <c r="CI531" s="406"/>
      <c r="CJ531" s="406"/>
      <c r="CK531" s="406"/>
      <c r="CL531" s="406"/>
      <c r="CM531" s="406"/>
      <c r="CN531" s="366"/>
      <c r="CO531" s="366"/>
      <c r="CP531" s="366"/>
      <c r="CQ531" s="366"/>
      <c r="CR531" s="366"/>
      <c r="CS531" s="366"/>
      <c r="CT531" s="187"/>
      <c r="CU531" s="310"/>
      <c r="CV531" s="246"/>
      <c r="CW531" s="255"/>
    </row>
    <row r="532" spans="1:101" ht="18.75" thickTop="1" x14ac:dyDescent="0.2">
      <c r="A532" s="256"/>
      <c r="B532" s="256"/>
      <c r="C532" s="209"/>
      <c r="D532" s="290"/>
      <c r="E532" s="273"/>
      <c r="F532" s="274"/>
      <c r="G532" s="273"/>
      <c r="H532" s="273"/>
      <c r="I532" s="803" t="s">
        <v>39</v>
      </c>
      <c r="J532" s="805"/>
      <c r="K532" s="805"/>
      <c r="L532" s="291"/>
      <c r="M532" s="302"/>
      <c r="N532" s="242"/>
      <c r="O532" s="275"/>
      <c r="P532" s="275"/>
      <c r="Q532" s="808">
        <f>IF($F536="","",SUM(Q548:S548)-S534)</f>
        <v>480</v>
      </c>
      <c r="R532" s="808"/>
      <c r="S532" s="808"/>
      <c r="T532" s="276"/>
      <c r="U532" s="277"/>
      <c r="V532" s="277"/>
      <c r="W532" s="277"/>
      <c r="X532" s="277"/>
      <c r="Y532" s="275"/>
      <c r="Z532" s="808">
        <f>IF($F536="","",SUM(Z548:AB548)-AB534)</f>
        <v>470</v>
      </c>
      <c r="AA532" s="808"/>
      <c r="AB532" s="808"/>
      <c r="AC532" s="276"/>
      <c r="AD532" s="277"/>
      <c r="AE532" s="277"/>
      <c r="AF532" s="277"/>
      <c r="AG532" s="273"/>
      <c r="AH532" s="275"/>
      <c r="AI532" s="808">
        <f>IF($F536="","",SUM(AI548:AK548)-AK534)</f>
        <v>370</v>
      </c>
      <c r="AJ532" s="808"/>
      <c r="AK532" s="808"/>
      <c r="AL532" s="276"/>
      <c r="AM532" s="277"/>
      <c r="AN532" s="277"/>
      <c r="AO532" s="277"/>
      <c r="AP532" s="273"/>
      <c r="AQ532" s="275"/>
      <c r="AR532" s="808">
        <f>IF($F536="","",SUM(AR548:AT548)-AT534)</f>
        <v>340</v>
      </c>
      <c r="AS532" s="808"/>
      <c r="AT532" s="808"/>
      <c r="AU532" s="278"/>
      <c r="AV532" s="277"/>
      <c r="AW532" s="277"/>
      <c r="AX532" s="277"/>
      <c r="AY532" s="279"/>
      <c r="AZ532" s="280"/>
      <c r="BA532" s="808">
        <f>IF($F536="","",SUM(BA548:BC548)-BC534)</f>
        <v>270</v>
      </c>
      <c r="BB532" s="808"/>
      <c r="BC532" s="808"/>
      <c r="BD532" s="278"/>
      <c r="BE532" s="277"/>
      <c r="BF532" s="277"/>
      <c r="BG532" s="277"/>
      <c r="BH532" s="279"/>
      <c r="BI532" s="280"/>
      <c r="BJ532" s="808">
        <f>IF($F536="","",SUM(BJ548:BL548)-BL534)</f>
        <v>370</v>
      </c>
      <c r="BK532" s="808"/>
      <c r="BL532" s="808"/>
      <c r="BM532" s="278"/>
      <c r="BN532" s="277"/>
      <c r="BO532" s="277"/>
      <c r="BP532" s="277"/>
      <c r="BQ532" s="279"/>
      <c r="BR532" s="281"/>
      <c r="BS532" s="808">
        <f>IF($F536="","",SUM(BS548:BU548)-BU534)</f>
        <v>470</v>
      </c>
      <c r="BT532" s="808"/>
      <c r="BU532" s="808"/>
      <c r="BV532" s="280"/>
      <c r="BW532" s="279"/>
      <c r="BX532" s="279"/>
      <c r="BY532" s="279"/>
      <c r="BZ532" s="279"/>
      <c r="CA532" s="281"/>
      <c r="CB532" s="808">
        <f>IF($F536="","",SUM(CB548:CD548)-CD534)</f>
        <v>380</v>
      </c>
      <c r="CC532" s="808"/>
      <c r="CD532" s="808"/>
      <c r="CE532" s="280"/>
      <c r="CF532" s="279"/>
      <c r="CG532" s="279"/>
      <c r="CH532" s="279"/>
      <c r="CI532" s="279"/>
      <c r="CJ532" s="273"/>
      <c r="CK532" s="808">
        <f>IF($F536="","",SUM(CK548:CM548))</f>
        <v>400</v>
      </c>
      <c r="CL532" s="808"/>
      <c r="CM532" s="808"/>
      <c r="CN532" s="280"/>
      <c r="CO532" s="279"/>
      <c r="CP532" s="279"/>
      <c r="CQ532" s="279"/>
      <c r="CR532" s="273"/>
      <c r="CS532" s="273"/>
      <c r="CT532" s="273"/>
      <c r="CU532" s="292"/>
      <c r="CV532" s="246"/>
      <c r="CW532" s="255"/>
    </row>
    <row r="533" spans="1:101" x14ac:dyDescent="0.2">
      <c r="A533" s="256"/>
      <c r="B533" s="256"/>
      <c r="C533" s="209"/>
      <c r="D533" s="916">
        <v>11</v>
      </c>
      <c r="E533" s="588">
        <v>46095</v>
      </c>
      <c r="F533" s="213"/>
      <c r="G533" s="214"/>
      <c r="H533" s="214"/>
      <c r="I533" s="804">
        <f>IF(ISERROR(AVERAGE(Q532,Z532,AI532,AR532,BA532,BJ532,BS532,CB532,CK532)),"",AVERAGE(Q532,Z532,AI532,AR532,BA532,BJ532,BS532,CB532,CK532))</f>
        <v>394.44444444444446</v>
      </c>
      <c r="J533" s="806"/>
      <c r="K533" s="806"/>
      <c r="L533" s="295"/>
      <c r="M533" s="372"/>
      <c r="N533" s="245"/>
      <c r="O533" s="215"/>
      <c r="P533" s="215"/>
      <c r="Q533" s="710">
        <f>IF(Q532="","",Q532/Data!$X$1)</f>
        <v>0.4</v>
      </c>
      <c r="R533" s="710"/>
      <c r="S533" s="711">
        <f>IF(SUM(X536:X547)=0,"",SUM(X536:X547))</f>
        <v>6</v>
      </c>
      <c r="T533" s="216"/>
      <c r="U533" s="217"/>
      <c r="V533" s="217"/>
      <c r="W533" s="217"/>
      <c r="X533" s="217"/>
      <c r="Y533" s="215"/>
      <c r="Z533" s="710">
        <f>IF(Z532="","",Z532/Data!$X$1)</f>
        <v>0.39166666666666666</v>
      </c>
      <c r="AA533" s="710"/>
      <c r="AB533" s="711">
        <f>IF(SUM(AG536:AG547)=0,"",SUM(AG536:AG547))</f>
        <v>5</v>
      </c>
      <c r="AC533" s="216"/>
      <c r="AD533" s="217"/>
      <c r="AE533" s="217"/>
      <c r="AF533" s="217"/>
      <c r="AG533" s="217"/>
      <c r="AH533" s="215"/>
      <c r="AI533" s="710">
        <f>IF(AI532="","",AI532/Data!$X$1)</f>
        <v>0.30833333333333335</v>
      </c>
      <c r="AJ533" s="710"/>
      <c r="AK533" s="711">
        <f>IF(SUM(AP536:AP547)=0,"",SUM(AP536:AP547))</f>
        <v>3</v>
      </c>
      <c r="AL533" s="216"/>
      <c r="AM533" s="217"/>
      <c r="AN533" s="217"/>
      <c r="AO533" s="217"/>
      <c r="AP533" s="217"/>
      <c r="AQ533" s="215"/>
      <c r="AR533" s="710">
        <f>IF(AR532="","",AR532/Data!$X$1)</f>
        <v>0.28333333333333333</v>
      </c>
      <c r="AS533" s="710"/>
      <c r="AT533" s="711">
        <f>IF(SUM(AY536:AY547)=0,"",SUM(AY536:AY547))</f>
        <v>4</v>
      </c>
      <c r="AU533" s="218"/>
      <c r="AV533" s="217"/>
      <c r="AW533" s="217"/>
      <c r="AX533" s="217"/>
      <c r="AY533" s="217"/>
      <c r="AZ533" s="219"/>
      <c r="BA533" s="710">
        <f>IF(BA532="","",BA532/Data!$X$1)</f>
        <v>0.22500000000000001</v>
      </c>
      <c r="BB533" s="710"/>
      <c r="BC533" s="711">
        <f>IF(SUM(BH536:BH547)=0,"",SUM(BH536:BH547))</f>
        <v>2</v>
      </c>
      <c r="BD533" s="218"/>
      <c r="BE533" s="217"/>
      <c r="BF533" s="217"/>
      <c r="BG533" s="217"/>
      <c r="BH533" s="217"/>
      <c r="BI533" s="219"/>
      <c r="BJ533" s="710">
        <f>IF(BJ532="","",BJ532/Data!$X$1)</f>
        <v>0.30833333333333335</v>
      </c>
      <c r="BK533" s="710"/>
      <c r="BL533" s="711">
        <f>IF(SUM(BQ536:BQ547)=0,"",SUM(BQ536:BQ547))</f>
        <v>4</v>
      </c>
      <c r="BM533" s="218"/>
      <c r="BN533" s="217"/>
      <c r="BO533" s="217"/>
      <c r="BP533" s="217"/>
      <c r="BQ533" s="217"/>
      <c r="BR533" s="220"/>
      <c r="BS533" s="710">
        <f>IF(BS532="","",BS532/Data!$X$1)</f>
        <v>0.39166666666666666</v>
      </c>
      <c r="BT533" s="710"/>
      <c r="BU533" s="711">
        <f>IF(SUM(BZ536:BZ547)=0,"",SUM(BZ536:BZ547))</f>
        <v>5</v>
      </c>
      <c r="BV533" s="219"/>
      <c r="BW533" s="217"/>
      <c r="BX533" s="217"/>
      <c r="BY533" s="217"/>
      <c r="BZ533" s="217"/>
      <c r="CA533" s="220"/>
      <c r="CB533" s="710">
        <f>IF(CB532="","",CB532/Data!$X$1)</f>
        <v>0.31666666666666665</v>
      </c>
      <c r="CC533" s="710"/>
      <c r="CD533" s="711">
        <f>IF(SUM(CI536:CI547)=0,"",SUM(CI536:CI547))</f>
        <v>4</v>
      </c>
      <c r="CE533" s="219"/>
      <c r="CF533" s="217"/>
      <c r="CG533" s="217"/>
      <c r="CH533" s="217"/>
      <c r="CI533" s="217"/>
      <c r="CJ533" s="217"/>
      <c r="CK533" s="710">
        <f>IF(CK532="","",CK532/Data!$X$1)</f>
        <v>0.33333333333333331</v>
      </c>
      <c r="CL533" s="710"/>
      <c r="CM533" s="711">
        <f>IF(SUM(CR536:CR547)=0,"",SUM(CR536:CR547))</f>
        <v>5</v>
      </c>
      <c r="CN533" s="219"/>
      <c r="CO533" s="217"/>
      <c r="CP533" s="217"/>
      <c r="CQ533" s="217"/>
      <c r="CR533" s="217"/>
      <c r="CS533" s="217"/>
      <c r="CT533" s="217"/>
      <c r="CU533" s="296"/>
      <c r="CV533" s="246"/>
      <c r="CW533" s="255"/>
    </row>
    <row r="534" spans="1:101" ht="13.5" thickBot="1" x14ac:dyDescent="0.25">
      <c r="A534" s="256"/>
      <c r="B534" s="256"/>
      <c r="C534" s="209"/>
      <c r="D534" s="269">
        <f>D512+1</f>
        <v>25</v>
      </c>
      <c r="E534" s="402" t="str">
        <f>IF(E533="","Sett inn dato over her",TEXT(E533,"dddd"))</f>
        <v>lørdag</v>
      </c>
      <c r="F534" s="221"/>
      <c r="G534" s="222"/>
      <c r="H534" s="222"/>
      <c r="I534" s="802"/>
      <c r="J534" s="807"/>
      <c r="K534" s="807"/>
      <c r="L534" s="297"/>
      <c r="M534" s="373"/>
      <c r="N534" s="377"/>
      <c r="O534" s="222"/>
      <c r="P534" s="222"/>
      <c r="Q534" s="385" t="str">
        <f>Data!$E$11</f>
        <v>AHH</v>
      </c>
      <c r="R534" s="386">
        <f>IF($F547="","",RANK(Q532,$Q532:$CL532))</f>
        <v>1</v>
      </c>
      <c r="S534" s="510"/>
      <c r="T534" s="216">
        <v>0</v>
      </c>
      <c r="U534" s="217"/>
      <c r="V534" s="217"/>
      <c r="W534" s="217"/>
      <c r="X534" s="217"/>
      <c r="Y534" s="215"/>
      <c r="Z534" s="385" t="str">
        <f>Data!$E$12</f>
        <v>RB</v>
      </c>
      <c r="AA534" s="386">
        <f>IF($F547="","",RANK(Z532,$Q532:$CL532))</f>
        <v>2</v>
      </c>
      <c r="AB534" s="510"/>
      <c r="AC534" s="216"/>
      <c r="AD534" s="217"/>
      <c r="AE534" s="217"/>
      <c r="AF534" s="217"/>
      <c r="AG534" s="217"/>
      <c r="AH534" s="215"/>
      <c r="AI534" s="385" t="str">
        <f>Data!$E$13</f>
        <v>EB</v>
      </c>
      <c r="AJ534" s="386">
        <f>IF($F547="","",RANK(AI532,$Q532:$CL532))</f>
        <v>6</v>
      </c>
      <c r="AK534" s="510"/>
      <c r="AL534" s="216"/>
      <c r="AM534" s="217"/>
      <c r="AN534" s="217"/>
      <c r="AO534" s="217"/>
      <c r="AP534" s="217"/>
      <c r="AQ534" s="215"/>
      <c r="AR534" s="346" t="str">
        <f>Data!$E$14</f>
        <v>KAF</v>
      </c>
      <c r="AS534" s="386">
        <f>IF($F547="","",RANK(AR532,$Q532:$CL532))</f>
        <v>8</v>
      </c>
      <c r="AT534" s="510"/>
      <c r="AU534" s="216"/>
      <c r="AV534" s="217"/>
      <c r="AW534" s="217"/>
      <c r="AX534" s="217"/>
      <c r="AY534" s="217"/>
      <c r="AZ534" s="215"/>
      <c r="BA534" s="346" t="str">
        <f>Data!$E$15</f>
        <v>ØG</v>
      </c>
      <c r="BB534" s="386">
        <f>IF($F547="","",RANK(BA532,$Q532:$CL532))</f>
        <v>9</v>
      </c>
      <c r="BC534" s="510"/>
      <c r="BD534" s="216"/>
      <c r="BE534" s="217"/>
      <c r="BF534" s="217"/>
      <c r="BG534" s="217"/>
      <c r="BH534" s="217"/>
      <c r="BI534" s="215"/>
      <c r="BJ534" s="346" t="str">
        <f>Data!$E$16</f>
        <v>JH</v>
      </c>
      <c r="BK534" s="386">
        <f>IF($F547="","",RANK(BJ532,$Q532:$CL532))</f>
        <v>6</v>
      </c>
      <c r="BL534" s="510"/>
      <c r="BM534" s="216"/>
      <c r="BN534" s="217"/>
      <c r="BO534" s="217"/>
      <c r="BP534" s="217"/>
      <c r="BQ534" s="217"/>
      <c r="BR534" s="223"/>
      <c r="BS534" s="346" t="str">
        <f>Data!$E$17</f>
        <v>TOH</v>
      </c>
      <c r="BT534" s="386">
        <f>IF($F547="","",RANK(BS532,$Q532:$CL532))</f>
        <v>2</v>
      </c>
      <c r="BU534" s="510"/>
      <c r="BV534" s="215"/>
      <c r="BW534" s="217"/>
      <c r="BX534" s="217"/>
      <c r="BY534" s="217"/>
      <c r="BZ534" s="217"/>
      <c r="CA534" s="223"/>
      <c r="CB534" s="346" t="s">
        <v>26</v>
      </c>
      <c r="CC534" s="386">
        <f>IF($F547="","",RANK(CB532,$Q532:$CM532))</f>
        <v>5</v>
      </c>
      <c r="CD534" s="511"/>
      <c r="CE534" s="215"/>
      <c r="CF534" s="217"/>
      <c r="CG534" s="217"/>
      <c r="CH534" s="217"/>
      <c r="CI534" s="217"/>
      <c r="CJ534" s="217"/>
      <c r="CK534" s="346" t="s">
        <v>27</v>
      </c>
      <c r="CL534" s="386">
        <f>IF($F547="","",RANK(CK532,$Q532:$CM532))</f>
        <v>4</v>
      </c>
      <c r="CM534" s="798"/>
      <c r="CN534" s="215"/>
      <c r="CO534" s="217"/>
      <c r="CP534" s="217"/>
      <c r="CQ534" s="217"/>
      <c r="CR534" s="217"/>
      <c r="CS534" s="217"/>
      <c r="CT534" s="217"/>
      <c r="CU534" s="296"/>
      <c r="CV534" s="246"/>
      <c r="CW534" s="255"/>
    </row>
    <row r="535" spans="1:101" ht="13.5" thickBot="1" x14ac:dyDescent="0.25">
      <c r="A535" s="264"/>
      <c r="B535" s="264"/>
      <c r="C535" s="202"/>
      <c r="D535" s="270"/>
      <c r="E535" s="224"/>
      <c r="F535" s="225"/>
      <c r="G535" s="226"/>
      <c r="H535" s="226"/>
      <c r="I535" s="227" t="s">
        <v>45</v>
      </c>
      <c r="J535" s="228" t="s">
        <v>46</v>
      </c>
      <c r="K535" s="229" t="s">
        <v>47</v>
      </c>
      <c r="L535" s="298"/>
      <c r="M535" s="374"/>
      <c r="N535" s="378"/>
      <c r="O535" s="230"/>
      <c r="P535" s="230"/>
      <c r="Q535" s="227" t="s">
        <v>45</v>
      </c>
      <c r="R535" s="228" t="s">
        <v>46</v>
      </c>
      <c r="S535" s="229" t="s">
        <v>47</v>
      </c>
      <c r="T535" s="231"/>
      <c r="U535" s="232"/>
      <c r="V535" s="232"/>
      <c r="W535" s="232"/>
      <c r="X535" s="232"/>
      <c r="Y535" s="230"/>
      <c r="Z535" s="227" t="s">
        <v>45</v>
      </c>
      <c r="AA535" s="228" t="s">
        <v>46</v>
      </c>
      <c r="AB535" s="229" t="s">
        <v>47</v>
      </c>
      <c r="AC535" s="231"/>
      <c r="AD535" s="232"/>
      <c r="AE535" s="232"/>
      <c r="AF535" s="232"/>
      <c r="AG535" s="232"/>
      <c r="AH535" s="230"/>
      <c r="AI535" s="227" t="s">
        <v>45</v>
      </c>
      <c r="AJ535" s="228" t="s">
        <v>46</v>
      </c>
      <c r="AK535" s="229" t="s">
        <v>47</v>
      </c>
      <c r="AL535" s="231"/>
      <c r="AM535" s="232"/>
      <c r="AN535" s="232"/>
      <c r="AO535" s="232"/>
      <c r="AP535" s="232"/>
      <c r="AQ535" s="230"/>
      <c r="AR535" s="227" t="s">
        <v>45</v>
      </c>
      <c r="AS535" s="228" t="s">
        <v>46</v>
      </c>
      <c r="AT535" s="229" t="s">
        <v>47</v>
      </c>
      <c r="AU535" s="231"/>
      <c r="AV535" s="232"/>
      <c r="AW535" s="232"/>
      <c r="AX535" s="232"/>
      <c r="AY535" s="232"/>
      <c r="AZ535" s="230"/>
      <c r="BA535" s="227" t="s">
        <v>45</v>
      </c>
      <c r="BB535" s="228" t="s">
        <v>46</v>
      </c>
      <c r="BC535" s="229" t="s">
        <v>47</v>
      </c>
      <c r="BD535" s="231"/>
      <c r="BE535" s="232"/>
      <c r="BF535" s="232"/>
      <c r="BG535" s="232"/>
      <c r="BH535" s="232"/>
      <c r="BI535" s="230"/>
      <c r="BJ535" s="227" t="s">
        <v>45</v>
      </c>
      <c r="BK535" s="228" t="s">
        <v>46</v>
      </c>
      <c r="BL535" s="229" t="s">
        <v>47</v>
      </c>
      <c r="BM535" s="231"/>
      <c r="BN535" s="232"/>
      <c r="BO535" s="232"/>
      <c r="BP535" s="232"/>
      <c r="BQ535" s="232"/>
      <c r="BR535" s="230"/>
      <c r="BS535" s="227" t="s">
        <v>45</v>
      </c>
      <c r="BT535" s="228" t="s">
        <v>46</v>
      </c>
      <c r="BU535" s="229" t="s">
        <v>47</v>
      </c>
      <c r="BV535" s="231"/>
      <c r="BW535" s="232"/>
      <c r="BX535" s="232"/>
      <c r="BY535" s="232"/>
      <c r="BZ535" s="233"/>
      <c r="CA535" s="230"/>
      <c r="CB535" s="227" t="s">
        <v>45</v>
      </c>
      <c r="CC535" s="228" t="s">
        <v>46</v>
      </c>
      <c r="CD535" s="229" t="s">
        <v>47</v>
      </c>
      <c r="CE535" s="231"/>
      <c r="CF535" s="232"/>
      <c r="CG535" s="232"/>
      <c r="CH535" s="232"/>
      <c r="CI535" s="232"/>
      <c r="CJ535" s="232"/>
      <c r="CK535" s="227" t="s">
        <v>45</v>
      </c>
      <c r="CL535" s="228" t="s">
        <v>46</v>
      </c>
      <c r="CM535" s="229" t="s">
        <v>47</v>
      </c>
      <c r="CN535" s="231"/>
      <c r="CO535" s="232"/>
      <c r="CP535" s="232"/>
      <c r="CQ535" s="232"/>
      <c r="CR535" s="232"/>
      <c r="CS535" s="232"/>
      <c r="CT535" s="234"/>
      <c r="CU535" s="296"/>
      <c r="CV535" s="246"/>
      <c r="CW535" s="265"/>
    </row>
    <row r="536" spans="1:101" x14ac:dyDescent="0.2">
      <c r="A536" s="264"/>
      <c r="B536" s="264"/>
      <c r="C536" s="202"/>
      <c r="D536" s="271">
        <v>1</v>
      </c>
      <c r="E536" s="166" t="s">
        <v>146</v>
      </c>
      <c r="F536" s="468">
        <v>2</v>
      </c>
      <c r="G536" s="472"/>
      <c r="H536" s="473">
        <v>0</v>
      </c>
      <c r="I536" s="170" t="str">
        <f t="shared" ref="I536:I547" si="1200">IF($F536&gt;$H536,"x","")</f>
        <v>x</v>
      </c>
      <c r="J536" s="387" t="str">
        <f t="shared" ref="J536:J547" si="1201">IF(F536&lt;&gt;"",IF(H536&lt;&gt;"",IF(F536=H536,"x",""),""),"")</f>
        <v/>
      </c>
      <c r="K536" s="388" t="str">
        <f t="shared" ref="K536:K547" si="1202">IF($F536&lt;$H536,"x","")</f>
        <v/>
      </c>
      <c r="L536" s="299"/>
      <c r="M536" s="375"/>
      <c r="N536" s="379"/>
      <c r="O536" s="236"/>
      <c r="P536" s="236"/>
      <c r="Q536" s="480">
        <v>50</v>
      </c>
      <c r="R536" s="481">
        <v>30</v>
      </c>
      <c r="S536" s="482">
        <f>IF(Q536="","",100-SUM(Q536:R536))</f>
        <v>20</v>
      </c>
      <c r="T536" s="371"/>
      <c r="U536" s="232">
        <f t="shared" ref="U536:U547" si="1203">IF($I536="x",Q536,"")</f>
        <v>50</v>
      </c>
      <c r="V536" s="232" t="str">
        <f t="shared" ref="V536:V547" si="1204">IF($J536="x",R536,"")</f>
        <v/>
      </c>
      <c r="W536" s="232" t="str">
        <f t="shared" ref="W536:W547" si="1205">IF($K536="x",S536,"")</f>
        <v/>
      </c>
      <c r="X536" s="232">
        <f>IF((MAX(U536,V536,W536))=0,"",IF((MAX(U536,V536,W536))=(MAX(Q536,R536,S536)),1,""))</f>
        <v>1</v>
      </c>
      <c r="Y536" s="371"/>
      <c r="Z536" s="495">
        <v>80</v>
      </c>
      <c r="AA536" s="496">
        <v>10</v>
      </c>
      <c r="AB536" s="482">
        <f t="shared" ref="AB536:AB547" si="1206">IF(Z536="","",100-SUM(Z536:AA536))</f>
        <v>10</v>
      </c>
      <c r="AC536" s="371"/>
      <c r="AD536" s="232">
        <f t="shared" ref="AD536:AD547" si="1207">IF($I536="x",Z536,"")</f>
        <v>80</v>
      </c>
      <c r="AE536" s="232" t="str">
        <f t="shared" ref="AE536:AE547" si="1208">IF($J536="x",AA536,"")</f>
        <v/>
      </c>
      <c r="AF536" s="232" t="str">
        <f t="shared" ref="AF536:AF547" si="1209">IF($K536="x",AB536,"")</f>
        <v/>
      </c>
      <c r="AG536" s="232">
        <f>IF((MAX(AD536,AE536,AF536))=0,"",IF((MAX(AD536,AE536,AF536))=(MAX(Z536,AA536,AB536)),1,""))</f>
        <v>1</v>
      </c>
      <c r="AH536" s="371"/>
      <c r="AI536" s="495">
        <v>80</v>
      </c>
      <c r="AJ536" s="496">
        <v>10</v>
      </c>
      <c r="AK536" s="482">
        <f t="shared" ref="AK536:AK547" si="1210">IF(AI536="","",100-SUM(AI536:AJ536))</f>
        <v>10</v>
      </c>
      <c r="AL536" s="371"/>
      <c r="AM536" s="232">
        <f t="shared" ref="AM536:AM547" si="1211">IF($I536="x",AI536,"")</f>
        <v>80</v>
      </c>
      <c r="AN536" s="232" t="str">
        <f t="shared" ref="AN536:AN547" si="1212">IF($J536="x",AJ536,"")</f>
        <v/>
      </c>
      <c r="AO536" s="232" t="str">
        <f t="shared" ref="AO536:AO547" si="1213">IF($K536="x",AK536,"")</f>
        <v/>
      </c>
      <c r="AP536" s="232">
        <f>IF((MAX(AM536,AN536,AO536))=0,"",IF((MAX(AM536,AN536,AO536))=(MAX(AI536,AJ536,AK536)),1,""))</f>
        <v>1</v>
      </c>
      <c r="AQ536" s="371"/>
      <c r="AR536" s="495">
        <v>60</v>
      </c>
      <c r="AS536" s="496">
        <v>30</v>
      </c>
      <c r="AT536" s="482">
        <f t="shared" ref="AT536:AT547" si="1214">IF(AR536="","",100-SUM(AR536:AS536))</f>
        <v>10</v>
      </c>
      <c r="AU536" s="371"/>
      <c r="AV536" s="232">
        <f t="shared" ref="AV536:AV547" si="1215">IF($I536="x",AR536,"")</f>
        <v>60</v>
      </c>
      <c r="AW536" s="232" t="str">
        <f t="shared" ref="AW536:AW547" si="1216">IF($J536="x",AS536,"")</f>
        <v/>
      </c>
      <c r="AX536" s="232" t="str">
        <f t="shared" ref="AX536:AX547" si="1217">IF($K536="x",AT536,"")</f>
        <v/>
      </c>
      <c r="AY536" s="232">
        <f>IF((MAX(AV536,AW536,AX536))=0,"",IF((MAX(AV536,AW536,AX536))=(MAX(AR536,AS536,AT536)),1,""))</f>
        <v>1</v>
      </c>
      <c r="AZ536" s="371"/>
      <c r="BA536" s="495">
        <v>80</v>
      </c>
      <c r="BB536" s="496">
        <v>10</v>
      </c>
      <c r="BC536" s="482">
        <f t="shared" ref="BC536:BC547" si="1218">IF(BA536="","",100-SUM(BA536:BB536))</f>
        <v>10</v>
      </c>
      <c r="BD536" s="371"/>
      <c r="BE536" s="232">
        <f t="shared" ref="BE536:BE547" si="1219">IF($I536="x",BA536,"")</f>
        <v>80</v>
      </c>
      <c r="BF536" s="232" t="str">
        <f t="shared" ref="BF536:BF547" si="1220">IF($J536="x",BB536,"")</f>
        <v/>
      </c>
      <c r="BG536" s="232" t="str">
        <f t="shared" ref="BG536:BG547" si="1221">IF($K536="x",BC536,"")</f>
        <v/>
      </c>
      <c r="BH536" s="232">
        <f>IF((MAX(BE536,BF536,BG536))=0,"",IF((MAX(BE536,BF536,BG536))=(MAX(BA536,BB536,BC536)),1,""))</f>
        <v>1</v>
      </c>
      <c r="BI536" s="371"/>
      <c r="BJ536" s="495">
        <v>80</v>
      </c>
      <c r="BK536" s="496">
        <v>10</v>
      </c>
      <c r="BL536" s="482">
        <f t="shared" ref="BL536:BL547" si="1222">IF(BJ536="","",100-SUM(BJ536:BK536))</f>
        <v>10</v>
      </c>
      <c r="BM536" s="371"/>
      <c r="BN536" s="232">
        <f t="shared" ref="BN536:BN547" si="1223">IF($I536="x",BJ536,"")</f>
        <v>80</v>
      </c>
      <c r="BO536" s="232" t="str">
        <f t="shared" ref="BO536:BO547" si="1224">IF($J536="x",BK536,"")</f>
        <v/>
      </c>
      <c r="BP536" s="232" t="str">
        <f t="shared" ref="BP536:BP547" si="1225">IF($K536="x",BL536,"")</f>
        <v/>
      </c>
      <c r="BQ536" s="232">
        <f>IF((MAX(BN536,BO536,BP536))=0,"",IF((MAX(BN536,BO536,BP536))=(MAX(BJ536,BK536,BL536)),1,""))</f>
        <v>1</v>
      </c>
      <c r="BR536" s="371"/>
      <c r="BS536" s="495">
        <v>60</v>
      </c>
      <c r="BT536" s="496">
        <v>20</v>
      </c>
      <c r="BU536" s="482">
        <f t="shared" ref="BU536:BU547" si="1226">IF(BS536="","",100-SUM(BS536:BT536))</f>
        <v>20</v>
      </c>
      <c r="BV536" s="371"/>
      <c r="BW536" s="232">
        <f t="shared" ref="BW536:BW547" si="1227">IF($I536="x",BS536,"")</f>
        <v>60</v>
      </c>
      <c r="BX536" s="232" t="str">
        <f t="shared" ref="BX536:BX547" si="1228">IF($J536="x",BT536,"")</f>
        <v/>
      </c>
      <c r="BY536" s="232" t="str">
        <f t="shared" ref="BY536:BY547" si="1229">IF($K536="x",BU536,"")</f>
        <v/>
      </c>
      <c r="BZ536" s="232">
        <f>IF((MAX(BW536,BX536,BY536))=0,"",IF((MAX(BW536,BX536,BY536))=(MAX(BS536,BT536,BU536)),1,""))</f>
        <v>1</v>
      </c>
      <c r="CA536" s="371"/>
      <c r="CB536" s="501">
        <f t="shared" ref="CB536:CB547" si="1230">IFERROR(ROUNDUP((SUM(Q536,Z536,AI536,AR536,BA536,BJ536,BS536)/SUM($Q536:$S536,$Z536:$AB536,$AI536:$AK536,$AR536:$AT536,$BA536:$BC536,$BJ536:$BL536,$BS536:$BU536))*100,-1),"")</f>
        <v>70</v>
      </c>
      <c r="CC536" s="502">
        <f t="shared" ref="CC536:CC547" si="1231">IFERROR(ROUNDDOWN((SUM(R536,AA536,AJ536,AS536,BB536,BK536,BT536)/SUM($Q536:$S536,$Z536:$AB536,$AI536:$AK536,$AR536:$AT536,$BA536:$BC536,$BJ536:$BL536,$BS536:$BU536))*100,-1),"")</f>
        <v>10</v>
      </c>
      <c r="CD536" s="503">
        <f t="shared" ref="CD536:CD547" si="1232">IF(CB536="","",100-SUM(CB536:CC536))</f>
        <v>20</v>
      </c>
      <c r="CE536" s="371"/>
      <c r="CF536" s="232">
        <f t="shared" ref="CF536:CF547" si="1233">IF($I536="x",CB536,"")</f>
        <v>70</v>
      </c>
      <c r="CG536" s="232" t="str">
        <f t="shared" ref="CG536:CG547" si="1234">IF($J536="x",CC536,"")</f>
        <v/>
      </c>
      <c r="CH536" s="232" t="str">
        <f t="shared" ref="CH536:CH547" si="1235">IF($K536="x",CD536,"")</f>
        <v/>
      </c>
      <c r="CI536" s="232">
        <f>IF((MAX(CF536,CG536,CH536))=0,"",IF((MAX(CF536,CG536,CH536))=(MAX(CB536,CC536,CD536)),1,""))</f>
        <v>1</v>
      </c>
      <c r="CJ536" s="232"/>
      <c r="CK536" s="495">
        <v>70</v>
      </c>
      <c r="CL536" s="496">
        <v>20</v>
      </c>
      <c r="CM536" s="482">
        <f t="shared" ref="CM536:CM547" si="1236">IF(CK536="","",100-SUM(CK536:CL536))</f>
        <v>10</v>
      </c>
      <c r="CN536" s="371"/>
      <c r="CO536" s="232">
        <f t="shared" ref="CO536:CO547" si="1237">IF($I536="x",CK536,"")</f>
        <v>70</v>
      </c>
      <c r="CP536" s="232" t="str">
        <f t="shared" ref="CP536:CP547" si="1238">IF($J536="x",CL536,"")</f>
        <v/>
      </c>
      <c r="CQ536" s="232" t="str">
        <f t="shared" ref="CQ536:CQ547" si="1239">IF($K536="x",CM536,"")</f>
        <v/>
      </c>
      <c r="CR536" s="232">
        <f>IF((MAX(CO536,CP536,CQ536))=0,"",IF((MAX(CO536,CP536,CQ536))=(MAX(CK536,CL536,CM536)),1,""))</f>
        <v>1</v>
      </c>
      <c r="CS536" s="232"/>
      <c r="CT536" s="371"/>
      <c r="CU536" s="296"/>
      <c r="CV536" s="246"/>
      <c r="CW536" s="264"/>
    </row>
    <row r="537" spans="1:101" x14ac:dyDescent="0.2">
      <c r="A537" s="264"/>
      <c r="B537" s="264"/>
      <c r="C537" s="202"/>
      <c r="D537" s="271">
        <v>2</v>
      </c>
      <c r="E537" s="167" t="s">
        <v>340</v>
      </c>
      <c r="F537" s="469">
        <v>2</v>
      </c>
      <c r="G537" s="474"/>
      <c r="H537" s="475">
        <v>1</v>
      </c>
      <c r="I537" s="389" t="str">
        <f t="shared" si="1200"/>
        <v>x</v>
      </c>
      <c r="J537" s="390" t="str">
        <f t="shared" si="1201"/>
        <v/>
      </c>
      <c r="K537" s="391" t="str">
        <f t="shared" si="1202"/>
        <v/>
      </c>
      <c r="L537" s="299"/>
      <c r="M537" s="375"/>
      <c r="N537" s="379"/>
      <c r="O537" s="236"/>
      <c r="P537" s="236"/>
      <c r="Q537" s="483">
        <v>20</v>
      </c>
      <c r="R537" s="484">
        <v>20</v>
      </c>
      <c r="S537" s="485">
        <f t="shared" ref="S537:S547" si="1240">IF(Q537="","",100-SUM(Q537:R537))</f>
        <v>60</v>
      </c>
      <c r="T537" s="371"/>
      <c r="U537" s="232">
        <f t="shared" si="1203"/>
        <v>20</v>
      </c>
      <c r="V537" s="232" t="str">
        <f t="shared" si="1204"/>
        <v/>
      </c>
      <c r="W537" s="232" t="str">
        <f t="shared" si="1205"/>
        <v/>
      </c>
      <c r="X537" s="232" t="str">
        <f t="shared" ref="X537:X547" si="1241">IF((MAX(U537,V537,W537))=0,"",IF((MAX(U537,V537,W537))=(MAX(Q537,R537,S537)),1,""))</f>
        <v/>
      </c>
      <c r="Y537" s="371"/>
      <c r="Z537" s="497">
        <v>10</v>
      </c>
      <c r="AA537" s="498">
        <v>10</v>
      </c>
      <c r="AB537" s="485">
        <f t="shared" si="1206"/>
        <v>80</v>
      </c>
      <c r="AC537" s="371"/>
      <c r="AD537" s="232">
        <f t="shared" si="1207"/>
        <v>10</v>
      </c>
      <c r="AE537" s="232" t="str">
        <f t="shared" si="1208"/>
        <v/>
      </c>
      <c r="AF537" s="232" t="str">
        <f t="shared" si="1209"/>
        <v/>
      </c>
      <c r="AG537" s="232" t="str">
        <f t="shared" ref="AG537:AG547" si="1242">IF((MAX(AD537,AE537,AF537))=0,"",IF((MAX(AD537,AE537,AF537))=(MAX(Z537,AA537,AB537)),1,""))</f>
        <v/>
      </c>
      <c r="AH537" s="371"/>
      <c r="AI537" s="497">
        <v>10</v>
      </c>
      <c r="AJ537" s="498">
        <v>10</v>
      </c>
      <c r="AK537" s="485">
        <f t="shared" si="1210"/>
        <v>80</v>
      </c>
      <c r="AL537" s="371"/>
      <c r="AM537" s="232">
        <f t="shared" si="1211"/>
        <v>10</v>
      </c>
      <c r="AN537" s="232" t="str">
        <f t="shared" si="1212"/>
        <v/>
      </c>
      <c r="AO537" s="232" t="str">
        <f t="shared" si="1213"/>
        <v/>
      </c>
      <c r="AP537" s="232" t="str">
        <f t="shared" ref="AP537:AP547" si="1243">IF((MAX(AM537,AN537,AO537))=0,"",IF((MAX(AM537,AN537,AO537))=(MAX(AI537,AJ537,AK537)),1,""))</f>
        <v/>
      </c>
      <c r="AQ537" s="371"/>
      <c r="AR537" s="497">
        <v>10</v>
      </c>
      <c r="AS537" s="498">
        <v>10</v>
      </c>
      <c r="AT537" s="485">
        <f t="shared" si="1214"/>
        <v>80</v>
      </c>
      <c r="AU537" s="371"/>
      <c r="AV537" s="232">
        <f t="shared" si="1215"/>
        <v>10</v>
      </c>
      <c r="AW537" s="232" t="str">
        <f t="shared" si="1216"/>
        <v/>
      </c>
      <c r="AX537" s="232" t="str">
        <f t="shared" si="1217"/>
        <v/>
      </c>
      <c r="AY537" s="232" t="str">
        <f t="shared" ref="AY537:AY547" si="1244">IF((MAX(AV537,AW537,AX537))=0,"",IF((MAX(AV537,AW537,AX537))=(MAX(AR537,AS537,AT537)),1,""))</f>
        <v/>
      </c>
      <c r="AZ537" s="371"/>
      <c r="BA537" s="497">
        <v>10</v>
      </c>
      <c r="BB537" s="498">
        <v>10</v>
      </c>
      <c r="BC537" s="485">
        <f t="shared" si="1218"/>
        <v>80</v>
      </c>
      <c r="BD537" s="371"/>
      <c r="BE537" s="232">
        <f t="shared" si="1219"/>
        <v>10</v>
      </c>
      <c r="BF537" s="232" t="str">
        <f t="shared" si="1220"/>
        <v/>
      </c>
      <c r="BG537" s="232" t="str">
        <f t="shared" si="1221"/>
        <v/>
      </c>
      <c r="BH537" s="232" t="str">
        <f t="shared" ref="BH537:BH547" si="1245">IF((MAX(BE537,BF537,BG537))=0,"",IF((MAX(BE537,BF537,BG537))=(MAX(BA537,BB537,BC537)),1,""))</f>
        <v/>
      </c>
      <c r="BI537" s="371"/>
      <c r="BJ537" s="497">
        <v>10</v>
      </c>
      <c r="BK537" s="498">
        <v>10</v>
      </c>
      <c r="BL537" s="485">
        <f t="shared" si="1222"/>
        <v>80</v>
      </c>
      <c r="BM537" s="371"/>
      <c r="BN537" s="232">
        <f t="shared" si="1223"/>
        <v>10</v>
      </c>
      <c r="BO537" s="232" t="str">
        <f t="shared" si="1224"/>
        <v/>
      </c>
      <c r="BP537" s="232" t="str">
        <f t="shared" si="1225"/>
        <v/>
      </c>
      <c r="BQ537" s="232" t="str">
        <f t="shared" ref="BQ537:BQ547" si="1246">IF((MAX(BN537,BO537,BP537))=0,"",IF((MAX(BN537,BO537,BP537))=(MAX(BJ537,BK537,BL537)),1,""))</f>
        <v/>
      </c>
      <c r="BR537" s="371"/>
      <c r="BS537" s="497">
        <v>50</v>
      </c>
      <c r="BT537" s="498">
        <v>30</v>
      </c>
      <c r="BU537" s="485">
        <f t="shared" si="1226"/>
        <v>20</v>
      </c>
      <c r="BV537" s="371"/>
      <c r="BW537" s="232">
        <f t="shared" si="1227"/>
        <v>50</v>
      </c>
      <c r="BX537" s="232" t="str">
        <f t="shared" si="1228"/>
        <v/>
      </c>
      <c r="BY537" s="232" t="str">
        <f t="shared" si="1229"/>
        <v/>
      </c>
      <c r="BZ537" s="232">
        <f t="shared" ref="BZ537:BZ547" si="1247">IF((MAX(BW537,BX537,BY537))=0,"",IF((MAX(BW537,BX537,BY537))=(MAX(BS537,BT537,BU537)),1,""))</f>
        <v>1</v>
      </c>
      <c r="CA537" s="371"/>
      <c r="CB537" s="504">
        <f t="shared" si="1230"/>
        <v>20</v>
      </c>
      <c r="CC537" s="505">
        <f t="shared" si="1231"/>
        <v>10</v>
      </c>
      <c r="CD537" s="506">
        <f t="shared" si="1232"/>
        <v>70</v>
      </c>
      <c r="CE537" s="371"/>
      <c r="CF537" s="232">
        <f t="shared" si="1233"/>
        <v>20</v>
      </c>
      <c r="CG537" s="232" t="str">
        <f t="shared" si="1234"/>
        <v/>
      </c>
      <c r="CH537" s="232" t="str">
        <f t="shared" si="1235"/>
        <v/>
      </c>
      <c r="CI537" s="232" t="str">
        <f t="shared" ref="CI537:CI547" si="1248">IF((MAX(CF537,CG537,CH537))=0,"",IF((MAX(CF537,CG537,CH537))=(MAX(CB537,CC537,CD537)),1,""))</f>
        <v/>
      </c>
      <c r="CJ537" s="232"/>
      <c r="CK537" s="497">
        <v>10</v>
      </c>
      <c r="CL537" s="498">
        <v>10</v>
      </c>
      <c r="CM537" s="485">
        <f t="shared" si="1236"/>
        <v>80</v>
      </c>
      <c r="CN537" s="371"/>
      <c r="CO537" s="232">
        <f t="shared" si="1237"/>
        <v>10</v>
      </c>
      <c r="CP537" s="232" t="str">
        <f t="shared" si="1238"/>
        <v/>
      </c>
      <c r="CQ537" s="232" t="str">
        <f t="shared" si="1239"/>
        <v/>
      </c>
      <c r="CR537" s="232" t="str">
        <f t="shared" ref="CR537:CR547" si="1249">IF((MAX(CO537,CP537,CQ537))=0,"",IF((MAX(CO537,CP537,CQ537))=(MAX(CK537,CL537,CM537)),1,""))</f>
        <v/>
      </c>
      <c r="CS537" s="232"/>
      <c r="CT537" s="371"/>
      <c r="CU537" s="296"/>
      <c r="CV537" s="246"/>
      <c r="CW537" s="264"/>
    </row>
    <row r="538" spans="1:101" ht="13.5" thickBot="1" x14ac:dyDescent="0.25">
      <c r="A538" s="264"/>
      <c r="B538" s="264"/>
      <c r="C538" s="202"/>
      <c r="D538" s="271">
        <v>3</v>
      </c>
      <c r="E538" s="168" t="s">
        <v>341</v>
      </c>
      <c r="F538" s="470">
        <v>1</v>
      </c>
      <c r="G538" s="476"/>
      <c r="H538" s="477">
        <v>1</v>
      </c>
      <c r="I538" s="392" t="str">
        <f t="shared" si="1200"/>
        <v/>
      </c>
      <c r="J538" s="393" t="str">
        <f t="shared" si="1201"/>
        <v>x</v>
      </c>
      <c r="K538" s="394" t="str">
        <f t="shared" si="1202"/>
        <v/>
      </c>
      <c r="L538" s="299"/>
      <c r="M538" s="375"/>
      <c r="N538" s="379"/>
      <c r="O538" s="236"/>
      <c r="P538" s="236"/>
      <c r="Q538" s="486">
        <v>20</v>
      </c>
      <c r="R538" s="487">
        <v>70</v>
      </c>
      <c r="S538" s="488">
        <f t="shared" si="1240"/>
        <v>10</v>
      </c>
      <c r="T538" s="371"/>
      <c r="U538" s="232" t="str">
        <f t="shared" si="1203"/>
        <v/>
      </c>
      <c r="V538" s="232">
        <f t="shared" si="1204"/>
        <v>70</v>
      </c>
      <c r="W538" s="232" t="str">
        <f t="shared" si="1205"/>
        <v/>
      </c>
      <c r="X538" s="232">
        <f t="shared" si="1241"/>
        <v>1</v>
      </c>
      <c r="Y538" s="371"/>
      <c r="Z538" s="499">
        <v>10</v>
      </c>
      <c r="AA538" s="500">
        <v>10</v>
      </c>
      <c r="AB538" s="488">
        <f t="shared" si="1206"/>
        <v>80</v>
      </c>
      <c r="AC538" s="371"/>
      <c r="AD538" s="232" t="str">
        <f t="shared" si="1207"/>
        <v/>
      </c>
      <c r="AE538" s="232">
        <f t="shared" si="1208"/>
        <v>10</v>
      </c>
      <c r="AF538" s="232" t="str">
        <f t="shared" si="1209"/>
        <v/>
      </c>
      <c r="AG538" s="232" t="str">
        <f t="shared" si="1242"/>
        <v/>
      </c>
      <c r="AH538" s="371"/>
      <c r="AI538" s="499">
        <v>20</v>
      </c>
      <c r="AJ538" s="500">
        <v>20</v>
      </c>
      <c r="AK538" s="488">
        <f t="shared" si="1210"/>
        <v>60</v>
      </c>
      <c r="AL538" s="371"/>
      <c r="AM538" s="232" t="str">
        <f t="shared" si="1211"/>
        <v/>
      </c>
      <c r="AN538" s="232">
        <f t="shared" si="1212"/>
        <v>20</v>
      </c>
      <c r="AO538" s="232" t="str">
        <f t="shared" si="1213"/>
        <v/>
      </c>
      <c r="AP538" s="232" t="str">
        <f t="shared" si="1243"/>
        <v/>
      </c>
      <c r="AQ538" s="371"/>
      <c r="AR538" s="499">
        <v>10</v>
      </c>
      <c r="AS538" s="500">
        <v>10</v>
      </c>
      <c r="AT538" s="488">
        <f t="shared" si="1214"/>
        <v>80</v>
      </c>
      <c r="AU538" s="371"/>
      <c r="AV538" s="232" t="str">
        <f t="shared" si="1215"/>
        <v/>
      </c>
      <c r="AW538" s="232">
        <f t="shared" si="1216"/>
        <v>10</v>
      </c>
      <c r="AX538" s="232" t="str">
        <f t="shared" si="1217"/>
        <v/>
      </c>
      <c r="AY538" s="232" t="str">
        <f t="shared" si="1244"/>
        <v/>
      </c>
      <c r="AZ538" s="371"/>
      <c r="BA538" s="499">
        <v>10</v>
      </c>
      <c r="BB538" s="500">
        <v>10</v>
      </c>
      <c r="BC538" s="488">
        <f t="shared" si="1218"/>
        <v>80</v>
      </c>
      <c r="BD538" s="371"/>
      <c r="BE538" s="232" t="str">
        <f t="shared" si="1219"/>
        <v/>
      </c>
      <c r="BF538" s="232">
        <f t="shared" si="1220"/>
        <v>10</v>
      </c>
      <c r="BG538" s="232" t="str">
        <f t="shared" si="1221"/>
        <v/>
      </c>
      <c r="BH538" s="232" t="str">
        <f t="shared" si="1245"/>
        <v/>
      </c>
      <c r="BI538" s="371"/>
      <c r="BJ538" s="499">
        <v>20</v>
      </c>
      <c r="BK538" s="500">
        <v>20</v>
      </c>
      <c r="BL538" s="488">
        <f t="shared" si="1222"/>
        <v>60</v>
      </c>
      <c r="BM538" s="371"/>
      <c r="BN538" s="232" t="str">
        <f t="shared" si="1223"/>
        <v/>
      </c>
      <c r="BO538" s="232">
        <f t="shared" si="1224"/>
        <v>20</v>
      </c>
      <c r="BP538" s="232" t="str">
        <f t="shared" si="1225"/>
        <v/>
      </c>
      <c r="BQ538" s="232" t="str">
        <f t="shared" si="1246"/>
        <v/>
      </c>
      <c r="BR538" s="371"/>
      <c r="BS538" s="499">
        <v>30</v>
      </c>
      <c r="BT538" s="500">
        <v>30</v>
      </c>
      <c r="BU538" s="488">
        <f t="shared" si="1226"/>
        <v>40</v>
      </c>
      <c r="BV538" s="371"/>
      <c r="BW538" s="232" t="str">
        <f t="shared" si="1227"/>
        <v/>
      </c>
      <c r="BX538" s="232">
        <f t="shared" si="1228"/>
        <v>30</v>
      </c>
      <c r="BY538" s="232" t="str">
        <f t="shared" si="1229"/>
        <v/>
      </c>
      <c r="BZ538" s="232" t="str">
        <f t="shared" si="1247"/>
        <v/>
      </c>
      <c r="CA538" s="371"/>
      <c r="CB538" s="507">
        <f t="shared" si="1230"/>
        <v>20</v>
      </c>
      <c r="CC538" s="508">
        <f t="shared" si="1231"/>
        <v>20</v>
      </c>
      <c r="CD538" s="509">
        <f t="shared" si="1232"/>
        <v>60</v>
      </c>
      <c r="CE538" s="371"/>
      <c r="CF538" s="232" t="str">
        <f t="shared" si="1233"/>
        <v/>
      </c>
      <c r="CG538" s="232">
        <f t="shared" si="1234"/>
        <v>20</v>
      </c>
      <c r="CH538" s="232" t="str">
        <f t="shared" si="1235"/>
        <v/>
      </c>
      <c r="CI538" s="232" t="str">
        <f t="shared" si="1248"/>
        <v/>
      </c>
      <c r="CJ538" s="232"/>
      <c r="CK538" s="499">
        <v>10</v>
      </c>
      <c r="CL538" s="500">
        <v>30</v>
      </c>
      <c r="CM538" s="488">
        <f t="shared" si="1236"/>
        <v>60</v>
      </c>
      <c r="CN538" s="371"/>
      <c r="CO538" s="232" t="str">
        <f t="shared" si="1237"/>
        <v/>
      </c>
      <c r="CP538" s="232">
        <f t="shared" si="1238"/>
        <v>30</v>
      </c>
      <c r="CQ538" s="232" t="str">
        <f t="shared" si="1239"/>
        <v/>
      </c>
      <c r="CR538" s="232" t="str">
        <f t="shared" si="1249"/>
        <v/>
      </c>
      <c r="CS538" s="232"/>
      <c r="CT538" s="371"/>
      <c r="CU538" s="296"/>
      <c r="CV538" s="246"/>
      <c r="CW538" s="264"/>
    </row>
    <row r="539" spans="1:101" x14ac:dyDescent="0.2">
      <c r="A539" s="264"/>
      <c r="B539" s="264"/>
      <c r="C539" s="202"/>
      <c r="D539" s="271">
        <v>4</v>
      </c>
      <c r="E539" s="166" t="s">
        <v>342</v>
      </c>
      <c r="F539" s="468">
        <v>2</v>
      </c>
      <c r="G539" s="472"/>
      <c r="H539" s="473">
        <v>0</v>
      </c>
      <c r="I539" s="170" t="str">
        <f t="shared" si="1200"/>
        <v>x</v>
      </c>
      <c r="J539" s="387" t="str">
        <f t="shared" si="1201"/>
        <v/>
      </c>
      <c r="K539" s="388" t="str">
        <f t="shared" si="1202"/>
        <v/>
      </c>
      <c r="L539" s="299"/>
      <c r="M539" s="375"/>
      <c r="N539" s="379"/>
      <c r="O539" s="236"/>
      <c r="P539" s="236"/>
      <c r="Q539" s="480">
        <v>80</v>
      </c>
      <c r="R539" s="481">
        <v>10</v>
      </c>
      <c r="S539" s="482">
        <f t="shared" si="1240"/>
        <v>10</v>
      </c>
      <c r="T539" s="371"/>
      <c r="U539" s="232">
        <f t="shared" si="1203"/>
        <v>80</v>
      </c>
      <c r="V539" s="232" t="str">
        <f t="shared" si="1204"/>
        <v/>
      </c>
      <c r="W539" s="232" t="str">
        <f t="shared" si="1205"/>
        <v/>
      </c>
      <c r="X539" s="232">
        <f t="shared" si="1241"/>
        <v>1</v>
      </c>
      <c r="Y539" s="371"/>
      <c r="Z539" s="495">
        <v>80</v>
      </c>
      <c r="AA539" s="496">
        <v>10</v>
      </c>
      <c r="AB539" s="482">
        <f t="shared" si="1206"/>
        <v>10</v>
      </c>
      <c r="AC539" s="371"/>
      <c r="AD539" s="232">
        <f t="shared" si="1207"/>
        <v>80</v>
      </c>
      <c r="AE539" s="232" t="str">
        <f t="shared" si="1208"/>
        <v/>
      </c>
      <c r="AF539" s="232" t="str">
        <f t="shared" si="1209"/>
        <v/>
      </c>
      <c r="AG539" s="232">
        <f t="shared" si="1242"/>
        <v>1</v>
      </c>
      <c r="AH539" s="371"/>
      <c r="AI539" s="495">
        <v>80</v>
      </c>
      <c r="AJ539" s="496">
        <v>10</v>
      </c>
      <c r="AK539" s="482">
        <f t="shared" si="1210"/>
        <v>10</v>
      </c>
      <c r="AL539" s="371"/>
      <c r="AM539" s="232">
        <f t="shared" si="1211"/>
        <v>80</v>
      </c>
      <c r="AN539" s="232" t="str">
        <f t="shared" si="1212"/>
        <v/>
      </c>
      <c r="AO539" s="232" t="str">
        <f t="shared" si="1213"/>
        <v/>
      </c>
      <c r="AP539" s="232">
        <f t="shared" si="1243"/>
        <v>1</v>
      </c>
      <c r="AQ539" s="371"/>
      <c r="AR539" s="495">
        <v>80</v>
      </c>
      <c r="AS539" s="496">
        <v>10</v>
      </c>
      <c r="AT539" s="482">
        <f t="shared" si="1214"/>
        <v>10</v>
      </c>
      <c r="AU539" s="371"/>
      <c r="AV539" s="232">
        <f t="shared" si="1215"/>
        <v>80</v>
      </c>
      <c r="AW539" s="232" t="str">
        <f t="shared" si="1216"/>
        <v/>
      </c>
      <c r="AX539" s="232" t="str">
        <f t="shared" si="1217"/>
        <v/>
      </c>
      <c r="AY539" s="232">
        <f t="shared" si="1244"/>
        <v>1</v>
      </c>
      <c r="AZ539" s="371"/>
      <c r="BA539" s="495">
        <v>80</v>
      </c>
      <c r="BB539" s="496">
        <v>10</v>
      </c>
      <c r="BC539" s="482">
        <f t="shared" si="1218"/>
        <v>10</v>
      </c>
      <c r="BD539" s="371"/>
      <c r="BE539" s="232">
        <f t="shared" si="1219"/>
        <v>80</v>
      </c>
      <c r="BF539" s="232" t="str">
        <f t="shared" si="1220"/>
        <v/>
      </c>
      <c r="BG539" s="232" t="str">
        <f t="shared" si="1221"/>
        <v/>
      </c>
      <c r="BH539" s="232">
        <f t="shared" si="1245"/>
        <v>1</v>
      </c>
      <c r="BI539" s="371"/>
      <c r="BJ539" s="495">
        <v>70</v>
      </c>
      <c r="BK539" s="496">
        <v>20</v>
      </c>
      <c r="BL539" s="482">
        <f t="shared" si="1222"/>
        <v>10</v>
      </c>
      <c r="BM539" s="371"/>
      <c r="BN539" s="232">
        <f t="shared" si="1223"/>
        <v>70</v>
      </c>
      <c r="BO539" s="232" t="str">
        <f t="shared" si="1224"/>
        <v/>
      </c>
      <c r="BP539" s="232" t="str">
        <f t="shared" si="1225"/>
        <v/>
      </c>
      <c r="BQ539" s="232">
        <f t="shared" si="1246"/>
        <v>1</v>
      </c>
      <c r="BR539" s="371"/>
      <c r="BS539" s="495">
        <v>70</v>
      </c>
      <c r="BT539" s="496">
        <v>20</v>
      </c>
      <c r="BU539" s="482">
        <f t="shared" si="1226"/>
        <v>10</v>
      </c>
      <c r="BV539" s="371"/>
      <c r="BW539" s="232">
        <f t="shared" si="1227"/>
        <v>70</v>
      </c>
      <c r="BX539" s="232" t="str">
        <f t="shared" si="1228"/>
        <v/>
      </c>
      <c r="BY539" s="232" t="str">
        <f t="shared" si="1229"/>
        <v/>
      </c>
      <c r="BZ539" s="232">
        <f t="shared" si="1247"/>
        <v>1</v>
      </c>
      <c r="CA539" s="371"/>
      <c r="CB539" s="501">
        <f t="shared" si="1230"/>
        <v>80</v>
      </c>
      <c r="CC539" s="502">
        <f t="shared" si="1231"/>
        <v>10</v>
      </c>
      <c r="CD539" s="503">
        <f t="shared" si="1232"/>
        <v>10</v>
      </c>
      <c r="CE539" s="371"/>
      <c r="CF539" s="232">
        <f t="shared" si="1233"/>
        <v>80</v>
      </c>
      <c r="CG539" s="232" t="str">
        <f t="shared" si="1234"/>
        <v/>
      </c>
      <c r="CH539" s="232" t="str">
        <f t="shared" si="1235"/>
        <v/>
      </c>
      <c r="CI539" s="232">
        <f t="shared" si="1248"/>
        <v>1</v>
      </c>
      <c r="CJ539" s="232"/>
      <c r="CK539" s="495">
        <v>80</v>
      </c>
      <c r="CL539" s="496">
        <v>10</v>
      </c>
      <c r="CM539" s="482">
        <f t="shared" si="1236"/>
        <v>10</v>
      </c>
      <c r="CN539" s="371"/>
      <c r="CO539" s="232">
        <f t="shared" si="1237"/>
        <v>80</v>
      </c>
      <c r="CP539" s="232" t="str">
        <f t="shared" si="1238"/>
        <v/>
      </c>
      <c r="CQ539" s="232" t="str">
        <f t="shared" si="1239"/>
        <v/>
      </c>
      <c r="CR539" s="232">
        <f t="shared" si="1249"/>
        <v>1</v>
      </c>
      <c r="CS539" s="232"/>
      <c r="CT539" s="371"/>
      <c r="CU539" s="296"/>
      <c r="CV539" s="246"/>
      <c r="CW539" s="264"/>
    </row>
    <row r="540" spans="1:101" x14ac:dyDescent="0.2">
      <c r="A540" s="264"/>
      <c r="B540" s="264"/>
      <c r="C540" s="202"/>
      <c r="D540" s="271">
        <v>5</v>
      </c>
      <c r="E540" s="167" t="s">
        <v>343</v>
      </c>
      <c r="F540" s="469">
        <v>0</v>
      </c>
      <c r="G540" s="474"/>
      <c r="H540" s="475">
        <v>1</v>
      </c>
      <c r="I540" s="389" t="str">
        <f t="shared" si="1200"/>
        <v/>
      </c>
      <c r="J540" s="390" t="str">
        <f t="shared" si="1201"/>
        <v/>
      </c>
      <c r="K540" s="391" t="str">
        <f t="shared" si="1202"/>
        <v>x</v>
      </c>
      <c r="L540" s="299"/>
      <c r="M540" s="375"/>
      <c r="N540" s="379"/>
      <c r="O540" s="236"/>
      <c r="P540" s="236"/>
      <c r="Q540" s="483">
        <v>60</v>
      </c>
      <c r="R540" s="484">
        <v>20</v>
      </c>
      <c r="S540" s="485">
        <f t="shared" si="1240"/>
        <v>20</v>
      </c>
      <c r="T540" s="371"/>
      <c r="U540" s="232" t="str">
        <f t="shared" si="1203"/>
        <v/>
      </c>
      <c r="V540" s="232" t="str">
        <f t="shared" si="1204"/>
        <v/>
      </c>
      <c r="W540" s="232">
        <f t="shared" si="1205"/>
        <v>20</v>
      </c>
      <c r="X540" s="232" t="str">
        <f t="shared" si="1241"/>
        <v/>
      </c>
      <c r="Y540" s="371"/>
      <c r="Z540" s="497">
        <v>80</v>
      </c>
      <c r="AA540" s="498">
        <v>10</v>
      </c>
      <c r="AB540" s="485">
        <f t="shared" si="1206"/>
        <v>10</v>
      </c>
      <c r="AC540" s="371"/>
      <c r="AD540" s="232" t="str">
        <f t="shared" si="1207"/>
        <v/>
      </c>
      <c r="AE540" s="232" t="str">
        <f t="shared" si="1208"/>
        <v/>
      </c>
      <c r="AF540" s="232">
        <f t="shared" si="1209"/>
        <v>10</v>
      </c>
      <c r="AG540" s="232" t="str">
        <f t="shared" si="1242"/>
        <v/>
      </c>
      <c r="AH540" s="371"/>
      <c r="AI540" s="497">
        <v>70</v>
      </c>
      <c r="AJ540" s="498">
        <v>20</v>
      </c>
      <c r="AK540" s="485">
        <f t="shared" si="1210"/>
        <v>10</v>
      </c>
      <c r="AL540" s="371"/>
      <c r="AM540" s="232" t="str">
        <f t="shared" si="1211"/>
        <v/>
      </c>
      <c r="AN540" s="232" t="str">
        <f t="shared" si="1212"/>
        <v/>
      </c>
      <c r="AO540" s="232">
        <f t="shared" si="1213"/>
        <v>10</v>
      </c>
      <c r="AP540" s="232" t="str">
        <f t="shared" si="1243"/>
        <v/>
      </c>
      <c r="AQ540" s="371"/>
      <c r="AR540" s="497">
        <v>60</v>
      </c>
      <c r="AS540" s="498">
        <v>30</v>
      </c>
      <c r="AT540" s="485">
        <f t="shared" si="1214"/>
        <v>10</v>
      </c>
      <c r="AU540" s="371"/>
      <c r="AV540" s="232" t="str">
        <f t="shared" si="1215"/>
        <v/>
      </c>
      <c r="AW540" s="232" t="str">
        <f t="shared" si="1216"/>
        <v/>
      </c>
      <c r="AX540" s="232">
        <f t="shared" si="1217"/>
        <v>10</v>
      </c>
      <c r="AY540" s="232" t="str">
        <f t="shared" si="1244"/>
        <v/>
      </c>
      <c r="AZ540" s="371"/>
      <c r="BA540" s="497">
        <v>80</v>
      </c>
      <c r="BB540" s="498">
        <v>10</v>
      </c>
      <c r="BC540" s="485">
        <f t="shared" si="1218"/>
        <v>10</v>
      </c>
      <c r="BD540" s="371"/>
      <c r="BE540" s="232" t="str">
        <f t="shared" si="1219"/>
        <v/>
      </c>
      <c r="BF540" s="232" t="str">
        <f t="shared" si="1220"/>
        <v/>
      </c>
      <c r="BG540" s="232">
        <f t="shared" si="1221"/>
        <v>10</v>
      </c>
      <c r="BH540" s="232" t="str">
        <f t="shared" si="1245"/>
        <v/>
      </c>
      <c r="BI540" s="371"/>
      <c r="BJ540" s="497">
        <v>40</v>
      </c>
      <c r="BK540" s="498">
        <v>20</v>
      </c>
      <c r="BL540" s="485">
        <f t="shared" si="1222"/>
        <v>40</v>
      </c>
      <c r="BM540" s="371"/>
      <c r="BN540" s="232" t="str">
        <f t="shared" si="1223"/>
        <v/>
      </c>
      <c r="BO540" s="232" t="str">
        <f t="shared" si="1224"/>
        <v/>
      </c>
      <c r="BP540" s="232">
        <f t="shared" si="1225"/>
        <v>40</v>
      </c>
      <c r="BQ540" s="232">
        <f t="shared" si="1246"/>
        <v>1</v>
      </c>
      <c r="BR540" s="371"/>
      <c r="BS540" s="497">
        <v>40</v>
      </c>
      <c r="BT540" s="498">
        <v>30</v>
      </c>
      <c r="BU540" s="485">
        <f t="shared" si="1226"/>
        <v>30</v>
      </c>
      <c r="BV540" s="371"/>
      <c r="BW540" s="232" t="str">
        <f t="shared" si="1227"/>
        <v/>
      </c>
      <c r="BX540" s="232" t="str">
        <f t="shared" si="1228"/>
        <v/>
      </c>
      <c r="BY540" s="232">
        <f t="shared" si="1229"/>
        <v>30</v>
      </c>
      <c r="BZ540" s="232" t="str">
        <f t="shared" si="1247"/>
        <v/>
      </c>
      <c r="CA540" s="371"/>
      <c r="CB540" s="504">
        <f t="shared" si="1230"/>
        <v>70</v>
      </c>
      <c r="CC540" s="505">
        <f t="shared" si="1231"/>
        <v>20</v>
      </c>
      <c r="CD540" s="506">
        <f t="shared" si="1232"/>
        <v>10</v>
      </c>
      <c r="CE540" s="371"/>
      <c r="CF540" s="232" t="str">
        <f t="shared" si="1233"/>
        <v/>
      </c>
      <c r="CG540" s="232" t="str">
        <f t="shared" si="1234"/>
        <v/>
      </c>
      <c r="CH540" s="232">
        <f t="shared" si="1235"/>
        <v>10</v>
      </c>
      <c r="CI540" s="232" t="str">
        <f t="shared" si="1248"/>
        <v/>
      </c>
      <c r="CJ540" s="232"/>
      <c r="CK540" s="497">
        <v>80</v>
      </c>
      <c r="CL540" s="498">
        <v>10</v>
      </c>
      <c r="CM540" s="485">
        <f t="shared" si="1236"/>
        <v>10</v>
      </c>
      <c r="CN540" s="371"/>
      <c r="CO540" s="232" t="str">
        <f t="shared" si="1237"/>
        <v/>
      </c>
      <c r="CP540" s="232" t="str">
        <f t="shared" si="1238"/>
        <v/>
      </c>
      <c r="CQ540" s="232">
        <f t="shared" si="1239"/>
        <v>10</v>
      </c>
      <c r="CR540" s="232" t="str">
        <f t="shared" si="1249"/>
        <v/>
      </c>
      <c r="CS540" s="232"/>
      <c r="CT540" s="371"/>
      <c r="CU540" s="296"/>
      <c r="CV540" s="246"/>
      <c r="CW540" s="264"/>
    </row>
    <row r="541" spans="1:101" ht="13.5" thickBot="1" x14ac:dyDescent="0.25">
      <c r="A541" s="264"/>
      <c r="B541" s="264"/>
      <c r="C541" s="202"/>
      <c r="D541" s="271">
        <v>6</v>
      </c>
      <c r="E541" s="168" t="s">
        <v>344</v>
      </c>
      <c r="F541" s="470">
        <v>0</v>
      </c>
      <c r="G541" s="476"/>
      <c r="H541" s="477">
        <v>1</v>
      </c>
      <c r="I541" s="392" t="str">
        <f t="shared" si="1200"/>
        <v/>
      </c>
      <c r="J541" s="393" t="str">
        <f t="shared" si="1201"/>
        <v/>
      </c>
      <c r="K541" s="394" t="str">
        <f t="shared" si="1202"/>
        <v>x</v>
      </c>
      <c r="L541" s="299"/>
      <c r="M541" s="375"/>
      <c r="N541" s="379"/>
      <c r="O541" s="236"/>
      <c r="P541" s="236"/>
      <c r="Q541" s="489">
        <v>30</v>
      </c>
      <c r="R541" s="490">
        <v>60</v>
      </c>
      <c r="S541" s="491">
        <f t="shared" si="1240"/>
        <v>10</v>
      </c>
      <c r="T541" s="371"/>
      <c r="U541" s="232" t="str">
        <f t="shared" si="1203"/>
        <v/>
      </c>
      <c r="V541" s="232" t="str">
        <f t="shared" si="1204"/>
        <v/>
      </c>
      <c r="W541" s="232">
        <f t="shared" si="1205"/>
        <v>10</v>
      </c>
      <c r="X541" s="232" t="str">
        <f t="shared" si="1241"/>
        <v/>
      </c>
      <c r="Y541" s="371"/>
      <c r="Z541" s="499">
        <v>10</v>
      </c>
      <c r="AA541" s="500">
        <v>10</v>
      </c>
      <c r="AB541" s="491">
        <f t="shared" si="1206"/>
        <v>80</v>
      </c>
      <c r="AC541" s="371"/>
      <c r="AD541" s="232" t="str">
        <f t="shared" si="1207"/>
        <v/>
      </c>
      <c r="AE541" s="232" t="str">
        <f t="shared" si="1208"/>
        <v/>
      </c>
      <c r="AF541" s="232">
        <f t="shared" si="1209"/>
        <v>80</v>
      </c>
      <c r="AG541" s="232">
        <f t="shared" si="1242"/>
        <v>1</v>
      </c>
      <c r="AH541" s="371"/>
      <c r="AI541" s="499">
        <v>50</v>
      </c>
      <c r="AJ541" s="500">
        <v>30</v>
      </c>
      <c r="AK541" s="491">
        <f t="shared" si="1210"/>
        <v>20</v>
      </c>
      <c r="AL541" s="371"/>
      <c r="AM541" s="232" t="str">
        <f t="shared" si="1211"/>
        <v/>
      </c>
      <c r="AN541" s="232" t="str">
        <f t="shared" si="1212"/>
        <v/>
      </c>
      <c r="AO541" s="232">
        <f t="shared" si="1213"/>
        <v>20</v>
      </c>
      <c r="AP541" s="232" t="str">
        <f t="shared" si="1243"/>
        <v/>
      </c>
      <c r="AQ541" s="371"/>
      <c r="AR541" s="499">
        <v>40</v>
      </c>
      <c r="AS541" s="500">
        <v>20</v>
      </c>
      <c r="AT541" s="491">
        <f t="shared" si="1214"/>
        <v>40</v>
      </c>
      <c r="AU541" s="371"/>
      <c r="AV541" s="232" t="str">
        <f t="shared" si="1215"/>
        <v/>
      </c>
      <c r="AW541" s="232" t="str">
        <f t="shared" si="1216"/>
        <v/>
      </c>
      <c r="AX541" s="232">
        <f t="shared" si="1217"/>
        <v>40</v>
      </c>
      <c r="AY541" s="232">
        <f t="shared" si="1244"/>
        <v>1</v>
      </c>
      <c r="AZ541" s="371"/>
      <c r="BA541" s="499">
        <v>80</v>
      </c>
      <c r="BB541" s="500">
        <v>10</v>
      </c>
      <c r="BC541" s="491">
        <f t="shared" si="1218"/>
        <v>10</v>
      </c>
      <c r="BD541" s="371"/>
      <c r="BE541" s="232" t="str">
        <f t="shared" si="1219"/>
        <v/>
      </c>
      <c r="BF541" s="232" t="str">
        <f t="shared" si="1220"/>
        <v/>
      </c>
      <c r="BG541" s="232">
        <f t="shared" si="1221"/>
        <v>10</v>
      </c>
      <c r="BH541" s="232" t="str">
        <f t="shared" si="1245"/>
        <v/>
      </c>
      <c r="BI541" s="371"/>
      <c r="BJ541" s="499">
        <v>80</v>
      </c>
      <c r="BK541" s="500">
        <v>10</v>
      </c>
      <c r="BL541" s="491">
        <f t="shared" si="1222"/>
        <v>10</v>
      </c>
      <c r="BM541" s="371"/>
      <c r="BN541" s="232" t="str">
        <f t="shared" si="1223"/>
        <v/>
      </c>
      <c r="BO541" s="232" t="str">
        <f t="shared" si="1224"/>
        <v/>
      </c>
      <c r="BP541" s="232">
        <f t="shared" si="1225"/>
        <v>10</v>
      </c>
      <c r="BQ541" s="232" t="str">
        <f t="shared" si="1246"/>
        <v/>
      </c>
      <c r="BR541" s="371"/>
      <c r="BS541" s="499">
        <v>50</v>
      </c>
      <c r="BT541" s="500">
        <v>30</v>
      </c>
      <c r="BU541" s="491">
        <f t="shared" si="1226"/>
        <v>20</v>
      </c>
      <c r="BV541" s="371"/>
      <c r="BW541" s="232" t="str">
        <f t="shared" si="1227"/>
        <v/>
      </c>
      <c r="BX541" s="232" t="str">
        <f t="shared" si="1228"/>
        <v/>
      </c>
      <c r="BY541" s="232">
        <f t="shared" si="1229"/>
        <v>20</v>
      </c>
      <c r="BZ541" s="232" t="str">
        <f t="shared" si="1247"/>
        <v/>
      </c>
      <c r="CA541" s="371"/>
      <c r="CB541" s="507">
        <f t="shared" si="1230"/>
        <v>50</v>
      </c>
      <c r="CC541" s="508">
        <f t="shared" si="1231"/>
        <v>20</v>
      </c>
      <c r="CD541" s="509">
        <f t="shared" si="1232"/>
        <v>30</v>
      </c>
      <c r="CE541" s="371"/>
      <c r="CF541" s="232" t="str">
        <f t="shared" si="1233"/>
        <v/>
      </c>
      <c r="CG541" s="232" t="str">
        <f t="shared" si="1234"/>
        <v/>
      </c>
      <c r="CH541" s="232">
        <f t="shared" si="1235"/>
        <v>30</v>
      </c>
      <c r="CI541" s="232" t="str">
        <f t="shared" si="1248"/>
        <v/>
      </c>
      <c r="CJ541" s="232"/>
      <c r="CK541" s="499">
        <v>40</v>
      </c>
      <c r="CL541" s="500">
        <v>20</v>
      </c>
      <c r="CM541" s="491">
        <f t="shared" si="1236"/>
        <v>40</v>
      </c>
      <c r="CN541" s="371"/>
      <c r="CO541" s="232" t="str">
        <f t="shared" si="1237"/>
        <v/>
      </c>
      <c r="CP541" s="232" t="str">
        <f t="shared" si="1238"/>
        <v/>
      </c>
      <c r="CQ541" s="232">
        <f t="shared" si="1239"/>
        <v>40</v>
      </c>
      <c r="CR541" s="232">
        <f t="shared" si="1249"/>
        <v>1</v>
      </c>
      <c r="CS541" s="232"/>
      <c r="CT541" s="371"/>
      <c r="CU541" s="296"/>
      <c r="CV541" s="246"/>
      <c r="CW541" s="264"/>
    </row>
    <row r="542" spans="1:101" x14ac:dyDescent="0.2">
      <c r="A542" s="264"/>
      <c r="B542" s="264"/>
      <c r="C542" s="202"/>
      <c r="D542" s="271">
        <v>7</v>
      </c>
      <c r="E542" s="166" t="s">
        <v>345</v>
      </c>
      <c r="F542" s="468">
        <v>0</v>
      </c>
      <c r="G542" s="472"/>
      <c r="H542" s="473">
        <v>0</v>
      </c>
      <c r="I542" s="170" t="str">
        <f t="shared" si="1200"/>
        <v/>
      </c>
      <c r="J542" s="387" t="str">
        <f t="shared" si="1201"/>
        <v>x</v>
      </c>
      <c r="K542" s="388" t="str">
        <f t="shared" si="1202"/>
        <v/>
      </c>
      <c r="L542" s="299"/>
      <c r="M542" s="375"/>
      <c r="N542" s="379"/>
      <c r="O542" s="236"/>
      <c r="P542" s="236"/>
      <c r="Q542" s="480">
        <v>10</v>
      </c>
      <c r="R542" s="481">
        <v>80</v>
      </c>
      <c r="S542" s="482">
        <f t="shared" si="1240"/>
        <v>10</v>
      </c>
      <c r="T542" s="371"/>
      <c r="U542" s="232" t="str">
        <f t="shared" si="1203"/>
        <v/>
      </c>
      <c r="V542" s="232">
        <f t="shared" si="1204"/>
        <v>80</v>
      </c>
      <c r="W542" s="232" t="str">
        <f t="shared" si="1205"/>
        <v/>
      </c>
      <c r="X542" s="232">
        <f t="shared" si="1241"/>
        <v>1</v>
      </c>
      <c r="Y542" s="371"/>
      <c r="Z542" s="495">
        <v>10</v>
      </c>
      <c r="AA542" s="496">
        <v>10</v>
      </c>
      <c r="AB542" s="482">
        <f t="shared" si="1206"/>
        <v>80</v>
      </c>
      <c r="AC542" s="371"/>
      <c r="AD542" s="232" t="str">
        <f t="shared" si="1207"/>
        <v/>
      </c>
      <c r="AE542" s="232">
        <f t="shared" si="1208"/>
        <v>10</v>
      </c>
      <c r="AF542" s="232" t="str">
        <f t="shared" si="1209"/>
        <v/>
      </c>
      <c r="AG542" s="232" t="str">
        <f t="shared" si="1242"/>
        <v/>
      </c>
      <c r="AH542" s="371"/>
      <c r="AI542" s="495">
        <v>30</v>
      </c>
      <c r="AJ542" s="496">
        <v>40</v>
      </c>
      <c r="AK542" s="482">
        <f t="shared" si="1210"/>
        <v>30</v>
      </c>
      <c r="AL542" s="371"/>
      <c r="AM542" s="232" t="str">
        <f t="shared" si="1211"/>
        <v/>
      </c>
      <c r="AN542" s="232">
        <f t="shared" si="1212"/>
        <v>40</v>
      </c>
      <c r="AO542" s="232" t="str">
        <f t="shared" si="1213"/>
        <v/>
      </c>
      <c r="AP542" s="232">
        <f t="shared" si="1243"/>
        <v>1</v>
      </c>
      <c r="AQ542" s="371"/>
      <c r="AR542" s="495">
        <v>10</v>
      </c>
      <c r="AS542" s="496">
        <v>30</v>
      </c>
      <c r="AT542" s="482">
        <f t="shared" si="1214"/>
        <v>60</v>
      </c>
      <c r="AU542" s="371"/>
      <c r="AV542" s="232" t="str">
        <f t="shared" si="1215"/>
        <v/>
      </c>
      <c r="AW542" s="232">
        <f t="shared" si="1216"/>
        <v>30</v>
      </c>
      <c r="AX542" s="232" t="str">
        <f t="shared" si="1217"/>
        <v/>
      </c>
      <c r="AY542" s="232" t="str">
        <f t="shared" si="1244"/>
        <v/>
      </c>
      <c r="AZ542" s="371"/>
      <c r="BA542" s="495">
        <v>10</v>
      </c>
      <c r="BB542" s="496">
        <v>10</v>
      </c>
      <c r="BC542" s="482">
        <f t="shared" si="1218"/>
        <v>80</v>
      </c>
      <c r="BD542" s="371"/>
      <c r="BE542" s="232" t="str">
        <f t="shared" si="1219"/>
        <v/>
      </c>
      <c r="BF542" s="232">
        <f t="shared" si="1220"/>
        <v>10</v>
      </c>
      <c r="BG542" s="232" t="str">
        <f t="shared" si="1221"/>
        <v/>
      </c>
      <c r="BH542" s="232" t="str">
        <f t="shared" si="1245"/>
        <v/>
      </c>
      <c r="BI542" s="371"/>
      <c r="BJ542" s="495">
        <v>20</v>
      </c>
      <c r="BK542" s="496">
        <v>30</v>
      </c>
      <c r="BL542" s="482">
        <f t="shared" si="1222"/>
        <v>50</v>
      </c>
      <c r="BM542" s="371"/>
      <c r="BN542" s="232" t="str">
        <f t="shared" si="1223"/>
        <v/>
      </c>
      <c r="BO542" s="232">
        <f t="shared" si="1224"/>
        <v>30</v>
      </c>
      <c r="BP542" s="232" t="str">
        <f t="shared" si="1225"/>
        <v/>
      </c>
      <c r="BQ542" s="232" t="str">
        <f t="shared" si="1246"/>
        <v/>
      </c>
      <c r="BR542" s="371"/>
      <c r="BS542" s="495">
        <v>40</v>
      </c>
      <c r="BT542" s="496">
        <v>40</v>
      </c>
      <c r="BU542" s="482">
        <f t="shared" si="1226"/>
        <v>20</v>
      </c>
      <c r="BV542" s="371"/>
      <c r="BW542" s="232" t="str">
        <f t="shared" si="1227"/>
        <v/>
      </c>
      <c r="BX542" s="232">
        <f t="shared" si="1228"/>
        <v>40</v>
      </c>
      <c r="BY542" s="232" t="str">
        <f t="shared" si="1229"/>
        <v/>
      </c>
      <c r="BZ542" s="232">
        <f t="shared" si="1247"/>
        <v>1</v>
      </c>
      <c r="CA542" s="371"/>
      <c r="CB542" s="501">
        <f t="shared" si="1230"/>
        <v>20</v>
      </c>
      <c r="CC542" s="502">
        <f t="shared" si="1231"/>
        <v>30</v>
      </c>
      <c r="CD542" s="503">
        <f t="shared" si="1232"/>
        <v>50</v>
      </c>
      <c r="CE542" s="371"/>
      <c r="CF542" s="232" t="str">
        <f t="shared" si="1233"/>
        <v/>
      </c>
      <c r="CG542" s="232">
        <f t="shared" si="1234"/>
        <v>30</v>
      </c>
      <c r="CH542" s="232" t="str">
        <f t="shared" si="1235"/>
        <v/>
      </c>
      <c r="CI542" s="232" t="str">
        <f t="shared" si="1248"/>
        <v/>
      </c>
      <c r="CJ542" s="232"/>
      <c r="CK542" s="495">
        <v>20</v>
      </c>
      <c r="CL542" s="496">
        <v>40</v>
      </c>
      <c r="CM542" s="482">
        <f t="shared" si="1236"/>
        <v>40</v>
      </c>
      <c r="CN542" s="371"/>
      <c r="CO542" s="232" t="str">
        <f t="shared" si="1237"/>
        <v/>
      </c>
      <c r="CP542" s="232">
        <f t="shared" si="1238"/>
        <v>40</v>
      </c>
      <c r="CQ542" s="232" t="str">
        <f t="shared" si="1239"/>
        <v/>
      </c>
      <c r="CR542" s="232">
        <f t="shared" si="1249"/>
        <v>1</v>
      </c>
      <c r="CS542" s="232"/>
      <c r="CT542" s="371"/>
      <c r="CU542" s="300"/>
      <c r="CV542" s="246"/>
      <c r="CW542" s="264"/>
    </row>
    <row r="543" spans="1:101" x14ac:dyDescent="0.2">
      <c r="A543" s="264"/>
      <c r="B543" s="264"/>
      <c r="C543" s="202"/>
      <c r="D543" s="271">
        <v>8</v>
      </c>
      <c r="E543" s="167" t="s">
        <v>346</v>
      </c>
      <c r="F543" s="469">
        <v>1</v>
      </c>
      <c r="G543" s="474"/>
      <c r="H543" s="475">
        <v>2</v>
      </c>
      <c r="I543" s="389" t="str">
        <f t="shared" si="1200"/>
        <v/>
      </c>
      <c r="J543" s="390" t="str">
        <f t="shared" si="1201"/>
        <v/>
      </c>
      <c r="K543" s="391" t="str">
        <f t="shared" si="1202"/>
        <v>x</v>
      </c>
      <c r="L543" s="299"/>
      <c r="M543" s="375"/>
      <c r="N543" s="379"/>
      <c r="O543" s="236"/>
      <c r="P543" s="236"/>
      <c r="Q543" s="483">
        <v>50</v>
      </c>
      <c r="R543" s="484">
        <v>30</v>
      </c>
      <c r="S543" s="485">
        <f t="shared" si="1240"/>
        <v>20</v>
      </c>
      <c r="T543" s="371"/>
      <c r="U543" s="232" t="str">
        <f t="shared" si="1203"/>
        <v/>
      </c>
      <c r="V543" s="232" t="str">
        <f t="shared" si="1204"/>
        <v/>
      </c>
      <c r="W543" s="232">
        <f t="shared" si="1205"/>
        <v>20</v>
      </c>
      <c r="X543" s="232" t="str">
        <f t="shared" si="1241"/>
        <v/>
      </c>
      <c r="Y543" s="371"/>
      <c r="Z543" s="497">
        <v>80</v>
      </c>
      <c r="AA543" s="498">
        <v>10</v>
      </c>
      <c r="AB543" s="485">
        <f t="shared" si="1206"/>
        <v>10</v>
      </c>
      <c r="AC543" s="371"/>
      <c r="AD543" s="232" t="str">
        <f t="shared" si="1207"/>
        <v/>
      </c>
      <c r="AE543" s="232" t="str">
        <f t="shared" si="1208"/>
        <v/>
      </c>
      <c r="AF543" s="232">
        <f t="shared" si="1209"/>
        <v>10</v>
      </c>
      <c r="AG543" s="232" t="str">
        <f t="shared" si="1242"/>
        <v/>
      </c>
      <c r="AH543" s="371"/>
      <c r="AI543" s="497">
        <v>80</v>
      </c>
      <c r="AJ543" s="498">
        <v>10</v>
      </c>
      <c r="AK543" s="485">
        <f t="shared" si="1210"/>
        <v>10</v>
      </c>
      <c r="AL543" s="371"/>
      <c r="AM543" s="232" t="str">
        <f t="shared" si="1211"/>
        <v/>
      </c>
      <c r="AN543" s="232" t="str">
        <f t="shared" si="1212"/>
        <v/>
      </c>
      <c r="AO543" s="232">
        <f t="shared" si="1213"/>
        <v>10</v>
      </c>
      <c r="AP543" s="232" t="str">
        <f t="shared" si="1243"/>
        <v/>
      </c>
      <c r="AQ543" s="371"/>
      <c r="AR543" s="497">
        <v>60</v>
      </c>
      <c r="AS543" s="498">
        <v>30</v>
      </c>
      <c r="AT543" s="485">
        <f t="shared" si="1214"/>
        <v>10</v>
      </c>
      <c r="AU543" s="371"/>
      <c r="AV543" s="232" t="str">
        <f t="shared" si="1215"/>
        <v/>
      </c>
      <c r="AW543" s="232" t="str">
        <f t="shared" si="1216"/>
        <v/>
      </c>
      <c r="AX543" s="232">
        <f t="shared" si="1217"/>
        <v>10</v>
      </c>
      <c r="AY543" s="232" t="str">
        <f t="shared" si="1244"/>
        <v/>
      </c>
      <c r="AZ543" s="371"/>
      <c r="BA543" s="497">
        <v>80</v>
      </c>
      <c r="BB543" s="498">
        <v>10</v>
      </c>
      <c r="BC543" s="485">
        <f t="shared" si="1218"/>
        <v>10</v>
      </c>
      <c r="BD543" s="371"/>
      <c r="BE543" s="232" t="str">
        <f t="shared" si="1219"/>
        <v/>
      </c>
      <c r="BF543" s="232" t="str">
        <f t="shared" si="1220"/>
        <v/>
      </c>
      <c r="BG543" s="232">
        <f t="shared" si="1221"/>
        <v>10</v>
      </c>
      <c r="BH543" s="232" t="str">
        <f t="shared" si="1245"/>
        <v/>
      </c>
      <c r="BI543" s="371"/>
      <c r="BJ543" s="497">
        <v>60</v>
      </c>
      <c r="BK543" s="498">
        <v>30</v>
      </c>
      <c r="BL543" s="485">
        <f t="shared" si="1222"/>
        <v>10</v>
      </c>
      <c r="BM543" s="371"/>
      <c r="BN543" s="232" t="str">
        <f t="shared" si="1223"/>
        <v/>
      </c>
      <c r="BO543" s="232" t="str">
        <f t="shared" si="1224"/>
        <v/>
      </c>
      <c r="BP543" s="232">
        <f t="shared" si="1225"/>
        <v>10</v>
      </c>
      <c r="BQ543" s="232" t="str">
        <f t="shared" si="1246"/>
        <v/>
      </c>
      <c r="BR543" s="371"/>
      <c r="BS543" s="497">
        <v>60</v>
      </c>
      <c r="BT543" s="498">
        <v>20</v>
      </c>
      <c r="BU543" s="485">
        <f t="shared" si="1226"/>
        <v>20</v>
      </c>
      <c r="BV543" s="371"/>
      <c r="BW543" s="232" t="str">
        <f t="shared" si="1227"/>
        <v/>
      </c>
      <c r="BX543" s="232" t="str">
        <f t="shared" si="1228"/>
        <v/>
      </c>
      <c r="BY543" s="232">
        <f t="shared" si="1229"/>
        <v>20</v>
      </c>
      <c r="BZ543" s="232" t="str">
        <f t="shared" si="1247"/>
        <v/>
      </c>
      <c r="CA543" s="371"/>
      <c r="CB543" s="504">
        <f t="shared" si="1230"/>
        <v>70</v>
      </c>
      <c r="CC543" s="505">
        <f t="shared" si="1231"/>
        <v>20</v>
      </c>
      <c r="CD543" s="506">
        <f t="shared" si="1232"/>
        <v>10</v>
      </c>
      <c r="CE543" s="371"/>
      <c r="CF543" s="232" t="str">
        <f t="shared" si="1233"/>
        <v/>
      </c>
      <c r="CG543" s="232" t="str">
        <f t="shared" si="1234"/>
        <v/>
      </c>
      <c r="CH543" s="232">
        <f t="shared" si="1235"/>
        <v>10</v>
      </c>
      <c r="CI543" s="232" t="str">
        <f t="shared" si="1248"/>
        <v/>
      </c>
      <c r="CJ543" s="232"/>
      <c r="CK543" s="497">
        <v>70</v>
      </c>
      <c r="CL543" s="498">
        <v>20</v>
      </c>
      <c r="CM543" s="485">
        <f t="shared" si="1236"/>
        <v>10</v>
      </c>
      <c r="CN543" s="371"/>
      <c r="CO543" s="232" t="str">
        <f t="shared" si="1237"/>
        <v/>
      </c>
      <c r="CP543" s="232" t="str">
        <f t="shared" si="1238"/>
        <v/>
      </c>
      <c r="CQ543" s="232">
        <f t="shared" si="1239"/>
        <v>10</v>
      </c>
      <c r="CR543" s="232" t="str">
        <f t="shared" si="1249"/>
        <v/>
      </c>
      <c r="CS543" s="232"/>
      <c r="CT543" s="371"/>
      <c r="CU543" s="300"/>
      <c r="CV543" s="246"/>
      <c r="CW543" s="264"/>
    </row>
    <row r="544" spans="1:101" ht="13.5" thickBot="1" x14ac:dyDescent="0.25">
      <c r="A544" s="264"/>
      <c r="B544" s="264"/>
      <c r="C544" s="202"/>
      <c r="D544" s="271">
        <v>9</v>
      </c>
      <c r="E544" s="168" t="s">
        <v>347</v>
      </c>
      <c r="F544" s="470">
        <v>3</v>
      </c>
      <c r="G544" s="476"/>
      <c r="H544" s="477">
        <v>0</v>
      </c>
      <c r="I544" s="392" t="str">
        <f t="shared" si="1200"/>
        <v>x</v>
      </c>
      <c r="J544" s="393" t="str">
        <f t="shared" si="1201"/>
        <v/>
      </c>
      <c r="K544" s="394" t="str">
        <f t="shared" si="1202"/>
        <v/>
      </c>
      <c r="L544" s="299"/>
      <c r="M544" s="375"/>
      <c r="N544" s="379"/>
      <c r="O544" s="236"/>
      <c r="P544" s="236"/>
      <c r="Q544" s="489">
        <v>40</v>
      </c>
      <c r="R544" s="490">
        <v>30</v>
      </c>
      <c r="S544" s="491">
        <f t="shared" si="1240"/>
        <v>30</v>
      </c>
      <c r="T544" s="371"/>
      <c r="U544" s="232">
        <f t="shared" si="1203"/>
        <v>40</v>
      </c>
      <c r="V544" s="232" t="str">
        <f t="shared" si="1204"/>
        <v/>
      </c>
      <c r="W544" s="232" t="str">
        <f t="shared" si="1205"/>
        <v/>
      </c>
      <c r="X544" s="232">
        <f t="shared" si="1241"/>
        <v>1</v>
      </c>
      <c r="Y544" s="371"/>
      <c r="Z544" s="499">
        <v>80</v>
      </c>
      <c r="AA544" s="500">
        <v>10</v>
      </c>
      <c r="AB544" s="491">
        <f t="shared" si="1206"/>
        <v>10</v>
      </c>
      <c r="AC544" s="371"/>
      <c r="AD544" s="232">
        <f t="shared" si="1207"/>
        <v>80</v>
      </c>
      <c r="AE544" s="232" t="str">
        <f t="shared" si="1208"/>
        <v/>
      </c>
      <c r="AF544" s="232" t="str">
        <f t="shared" si="1209"/>
        <v/>
      </c>
      <c r="AG544" s="232">
        <f t="shared" si="1242"/>
        <v>1</v>
      </c>
      <c r="AH544" s="371"/>
      <c r="AI544" s="499">
        <v>30</v>
      </c>
      <c r="AJ544" s="500">
        <v>40</v>
      </c>
      <c r="AK544" s="491">
        <f t="shared" si="1210"/>
        <v>30</v>
      </c>
      <c r="AL544" s="371"/>
      <c r="AM544" s="232">
        <f t="shared" si="1211"/>
        <v>30</v>
      </c>
      <c r="AN544" s="232" t="str">
        <f t="shared" si="1212"/>
        <v/>
      </c>
      <c r="AO544" s="232" t="str">
        <f t="shared" si="1213"/>
        <v/>
      </c>
      <c r="AP544" s="232" t="str">
        <f t="shared" si="1243"/>
        <v/>
      </c>
      <c r="AQ544" s="371"/>
      <c r="AR544" s="499">
        <v>10</v>
      </c>
      <c r="AS544" s="500">
        <v>40</v>
      </c>
      <c r="AT544" s="491">
        <f t="shared" si="1214"/>
        <v>50</v>
      </c>
      <c r="AU544" s="371"/>
      <c r="AV544" s="232">
        <f t="shared" si="1215"/>
        <v>10</v>
      </c>
      <c r="AW544" s="232" t="str">
        <f t="shared" si="1216"/>
        <v/>
      </c>
      <c r="AX544" s="232" t="str">
        <f t="shared" si="1217"/>
        <v/>
      </c>
      <c r="AY544" s="232" t="str">
        <f t="shared" si="1244"/>
        <v/>
      </c>
      <c r="AZ544" s="371"/>
      <c r="BA544" s="499">
        <v>10</v>
      </c>
      <c r="BB544" s="500">
        <v>10</v>
      </c>
      <c r="BC544" s="491">
        <f t="shared" si="1218"/>
        <v>80</v>
      </c>
      <c r="BD544" s="371"/>
      <c r="BE544" s="232">
        <f t="shared" si="1219"/>
        <v>10</v>
      </c>
      <c r="BF544" s="232" t="str">
        <f t="shared" si="1220"/>
        <v/>
      </c>
      <c r="BG544" s="232" t="str">
        <f t="shared" si="1221"/>
        <v/>
      </c>
      <c r="BH544" s="232" t="str">
        <f t="shared" si="1245"/>
        <v/>
      </c>
      <c r="BI544" s="371"/>
      <c r="BJ544" s="499">
        <v>20</v>
      </c>
      <c r="BK544" s="500">
        <v>20</v>
      </c>
      <c r="BL544" s="491">
        <f t="shared" si="1222"/>
        <v>60</v>
      </c>
      <c r="BM544" s="371"/>
      <c r="BN544" s="232">
        <f t="shared" si="1223"/>
        <v>20</v>
      </c>
      <c r="BO544" s="232" t="str">
        <f t="shared" si="1224"/>
        <v/>
      </c>
      <c r="BP544" s="232" t="str">
        <f t="shared" si="1225"/>
        <v/>
      </c>
      <c r="BQ544" s="232" t="str">
        <f t="shared" si="1246"/>
        <v/>
      </c>
      <c r="BR544" s="371"/>
      <c r="BS544" s="499">
        <v>50</v>
      </c>
      <c r="BT544" s="500">
        <v>20</v>
      </c>
      <c r="BU544" s="491">
        <f t="shared" si="1226"/>
        <v>30</v>
      </c>
      <c r="BV544" s="371"/>
      <c r="BW544" s="232">
        <f t="shared" si="1227"/>
        <v>50</v>
      </c>
      <c r="BX544" s="232" t="str">
        <f t="shared" si="1228"/>
        <v/>
      </c>
      <c r="BY544" s="232" t="str">
        <f t="shared" si="1229"/>
        <v/>
      </c>
      <c r="BZ544" s="232">
        <f t="shared" si="1247"/>
        <v>1</v>
      </c>
      <c r="CA544" s="371"/>
      <c r="CB544" s="507">
        <f t="shared" si="1230"/>
        <v>40</v>
      </c>
      <c r="CC544" s="508">
        <f t="shared" si="1231"/>
        <v>20</v>
      </c>
      <c r="CD544" s="509">
        <f t="shared" si="1232"/>
        <v>40</v>
      </c>
      <c r="CE544" s="371"/>
      <c r="CF544" s="232">
        <f t="shared" si="1233"/>
        <v>40</v>
      </c>
      <c r="CG544" s="232" t="str">
        <f t="shared" si="1234"/>
        <v/>
      </c>
      <c r="CH544" s="232" t="str">
        <f t="shared" si="1235"/>
        <v/>
      </c>
      <c r="CI544" s="232">
        <f t="shared" si="1248"/>
        <v>1</v>
      </c>
      <c r="CJ544" s="232"/>
      <c r="CK544" s="499">
        <v>50</v>
      </c>
      <c r="CL544" s="500">
        <v>30</v>
      </c>
      <c r="CM544" s="491">
        <f t="shared" si="1236"/>
        <v>20</v>
      </c>
      <c r="CN544" s="371"/>
      <c r="CO544" s="232">
        <f t="shared" si="1237"/>
        <v>50</v>
      </c>
      <c r="CP544" s="232" t="str">
        <f t="shared" si="1238"/>
        <v/>
      </c>
      <c r="CQ544" s="232" t="str">
        <f t="shared" si="1239"/>
        <v/>
      </c>
      <c r="CR544" s="232">
        <f t="shared" si="1249"/>
        <v>1</v>
      </c>
      <c r="CS544" s="232"/>
      <c r="CT544" s="371"/>
      <c r="CU544" s="300"/>
      <c r="CV544" s="246"/>
      <c r="CW544" s="264"/>
    </row>
    <row r="545" spans="1:101" x14ac:dyDescent="0.2">
      <c r="A545" s="264"/>
      <c r="B545" s="264"/>
      <c r="C545" s="202"/>
      <c r="D545" s="271">
        <v>10</v>
      </c>
      <c r="E545" s="169" t="s">
        <v>348</v>
      </c>
      <c r="F545" s="471">
        <v>1</v>
      </c>
      <c r="G545" s="478"/>
      <c r="H545" s="479">
        <v>1</v>
      </c>
      <c r="I545" s="170" t="str">
        <f t="shared" si="1200"/>
        <v/>
      </c>
      <c r="J545" s="387" t="str">
        <f t="shared" si="1201"/>
        <v>x</v>
      </c>
      <c r="K545" s="388" t="str">
        <f t="shared" si="1202"/>
        <v/>
      </c>
      <c r="L545" s="299"/>
      <c r="M545" s="375"/>
      <c r="N545" s="379"/>
      <c r="O545" s="236"/>
      <c r="P545" s="236"/>
      <c r="Q545" s="492">
        <v>50</v>
      </c>
      <c r="R545" s="493">
        <v>40</v>
      </c>
      <c r="S545" s="494">
        <f t="shared" si="1240"/>
        <v>10</v>
      </c>
      <c r="T545" s="371"/>
      <c r="U545" s="232" t="str">
        <f t="shared" si="1203"/>
        <v/>
      </c>
      <c r="V545" s="232">
        <f t="shared" si="1204"/>
        <v>40</v>
      </c>
      <c r="W545" s="232" t="str">
        <f t="shared" si="1205"/>
        <v/>
      </c>
      <c r="X545" s="232" t="str">
        <f t="shared" si="1241"/>
        <v/>
      </c>
      <c r="Y545" s="371"/>
      <c r="Z545" s="495">
        <v>80</v>
      </c>
      <c r="AA545" s="496">
        <v>10</v>
      </c>
      <c r="AB545" s="494">
        <f t="shared" si="1206"/>
        <v>10</v>
      </c>
      <c r="AC545" s="371"/>
      <c r="AD545" s="232" t="str">
        <f t="shared" si="1207"/>
        <v/>
      </c>
      <c r="AE545" s="232">
        <f t="shared" si="1208"/>
        <v>10</v>
      </c>
      <c r="AF545" s="232" t="str">
        <f t="shared" si="1209"/>
        <v/>
      </c>
      <c r="AG545" s="232" t="str">
        <f t="shared" si="1242"/>
        <v/>
      </c>
      <c r="AH545" s="371"/>
      <c r="AI545" s="495">
        <v>80</v>
      </c>
      <c r="AJ545" s="496">
        <v>10</v>
      </c>
      <c r="AK545" s="494">
        <f t="shared" si="1210"/>
        <v>10</v>
      </c>
      <c r="AL545" s="371"/>
      <c r="AM545" s="232" t="str">
        <f t="shared" si="1211"/>
        <v/>
      </c>
      <c r="AN545" s="232">
        <f t="shared" si="1212"/>
        <v>10</v>
      </c>
      <c r="AO545" s="232" t="str">
        <f t="shared" si="1213"/>
        <v/>
      </c>
      <c r="AP545" s="232" t="str">
        <f t="shared" si="1243"/>
        <v/>
      </c>
      <c r="AQ545" s="371"/>
      <c r="AR545" s="495">
        <v>60</v>
      </c>
      <c r="AS545" s="496">
        <v>30</v>
      </c>
      <c r="AT545" s="494">
        <f t="shared" si="1214"/>
        <v>10</v>
      </c>
      <c r="AU545" s="371"/>
      <c r="AV545" s="232" t="str">
        <f t="shared" si="1215"/>
        <v/>
      </c>
      <c r="AW545" s="232">
        <f t="shared" si="1216"/>
        <v>30</v>
      </c>
      <c r="AX545" s="232" t="str">
        <f t="shared" si="1217"/>
        <v/>
      </c>
      <c r="AY545" s="232" t="str">
        <f t="shared" si="1244"/>
        <v/>
      </c>
      <c r="AZ545" s="371"/>
      <c r="BA545" s="495">
        <v>80</v>
      </c>
      <c r="BB545" s="496">
        <v>10</v>
      </c>
      <c r="BC545" s="494">
        <f t="shared" si="1218"/>
        <v>10</v>
      </c>
      <c r="BD545" s="371"/>
      <c r="BE545" s="232" t="str">
        <f t="shared" si="1219"/>
        <v/>
      </c>
      <c r="BF545" s="232">
        <f t="shared" si="1220"/>
        <v>10</v>
      </c>
      <c r="BG545" s="232" t="str">
        <f t="shared" si="1221"/>
        <v/>
      </c>
      <c r="BH545" s="232" t="str">
        <f t="shared" si="1245"/>
        <v/>
      </c>
      <c r="BI545" s="371"/>
      <c r="BJ545" s="495">
        <v>30</v>
      </c>
      <c r="BK545" s="496">
        <v>40</v>
      </c>
      <c r="BL545" s="494">
        <f t="shared" si="1222"/>
        <v>30</v>
      </c>
      <c r="BM545" s="371"/>
      <c r="BN545" s="232" t="str">
        <f t="shared" si="1223"/>
        <v/>
      </c>
      <c r="BO545" s="232">
        <f t="shared" si="1224"/>
        <v>40</v>
      </c>
      <c r="BP545" s="232" t="str">
        <f t="shared" si="1225"/>
        <v/>
      </c>
      <c r="BQ545" s="232">
        <f t="shared" si="1246"/>
        <v>1</v>
      </c>
      <c r="BR545" s="371"/>
      <c r="BS545" s="495">
        <v>50</v>
      </c>
      <c r="BT545" s="496">
        <v>40</v>
      </c>
      <c r="BU545" s="494">
        <f t="shared" si="1226"/>
        <v>10</v>
      </c>
      <c r="BV545" s="371"/>
      <c r="BW545" s="232" t="str">
        <f t="shared" si="1227"/>
        <v/>
      </c>
      <c r="BX545" s="232">
        <f t="shared" si="1228"/>
        <v>40</v>
      </c>
      <c r="BY545" s="232" t="str">
        <f t="shared" si="1229"/>
        <v/>
      </c>
      <c r="BZ545" s="232" t="str">
        <f t="shared" si="1247"/>
        <v/>
      </c>
      <c r="CA545" s="371"/>
      <c r="CB545" s="501">
        <f t="shared" si="1230"/>
        <v>70</v>
      </c>
      <c r="CC545" s="502">
        <f t="shared" si="1231"/>
        <v>20</v>
      </c>
      <c r="CD545" s="503">
        <f t="shared" si="1232"/>
        <v>10</v>
      </c>
      <c r="CE545" s="371"/>
      <c r="CF545" s="232" t="str">
        <f t="shared" si="1233"/>
        <v/>
      </c>
      <c r="CG545" s="232">
        <f t="shared" si="1234"/>
        <v>20</v>
      </c>
      <c r="CH545" s="232" t="str">
        <f t="shared" si="1235"/>
        <v/>
      </c>
      <c r="CI545" s="232" t="str">
        <f t="shared" si="1248"/>
        <v/>
      </c>
      <c r="CJ545" s="232"/>
      <c r="CK545" s="495">
        <v>80</v>
      </c>
      <c r="CL545" s="496">
        <v>10</v>
      </c>
      <c r="CM545" s="494">
        <f t="shared" si="1236"/>
        <v>10</v>
      </c>
      <c r="CN545" s="371"/>
      <c r="CO545" s="232" t="str">
        <f t="shared" si="1237"/>
        <v/>
      </c>
      <c r="CP545" s="232">
        <f t="shared" si="1238"/>
        <v>10</v>
      </c>
      <c r="CQ545" s="232" t="str">
        <f t="shared" si="1239"/>
        <v/>
      </c>
      <c r="CR545" s="232" t="str">
        <f t="shared" si="1249"/>
        <v/>
      </c>
      <c r="CS545" s="232"/>
      <c r="CT545" s="371"/>
      <c r="CU545" s="300"/>
      <c r="CV545" s="246"/>
      <c r="CW545" s="264"/>
    </row>
    <row r="546" spans="1:101" x14ac:dyDescent="0.2">
      <c r="A546" s="264"/>
      <c r="B546" s="264"/>
      <c r="C546" s="202"/>
      <c r="D546" s="271">
        <v>11</v>
      </c>
      <c r="E546" s="167" t="s">
        <v>349</v>
      </c>
      <c r="F546" s="469">
        <v>1</v>
      </c>
      <c r="G546" s="474"/>
      <c r="H546" s="475">
        <v>3</v>
      </c>
      <c r="I546" s="389" t="str">
        <f t="shared" si="1200"/>
        <v/>
      </c>
      <c r="J546" s="390" t="str">
        <f t="shared" si="1201"/>
        <v/>
      </c>
      <c r="K546" s="391" t="str">
        <f t="shared" si="1202"/>
        <v>x</v>
      </c>
      <c r="L546" s="299"/>
      <c r="M546" s="375"/>
      <c r="N546" s="379"/>
      <c r="O546" s="236"/>
      <c r="P546" s="236"/>
      <c r="Q546" s="483">
        <v>10</v>
      </c>
      <c r="R546" s="484">
        <v>80</v>
      </c>
      <c r="S546" s="485">
        <f t="shared" si="1240"/>
        <v>10</v>
      </c>
      <c r="T546" s="371"/>
      <c r="U546" s="232" t="str">
        <f t="shared" si="1203"/>
        <v/>
      </c>
      <c r="V546" s="232" t="str">
        <f t="shared" si="1204"/>
        <v/>
      </c>
      <c r="W546" s="232">
        <f t="shared" si="1205"/>
        <v>10</v>
      </c>
      <c r="X546" s="232" t="str">
        <f t="shared" si="1241"/>
        <v/>
      </c>
      <c r="Y546" s="371"/>
      <c r="Z546" s="497">
        <v>80</v>
      </c>
      <c r="AA546" s="498">
        <v>10</v>
      </c>
      <c r="AB546" s="485">
        <f t="shared" si="1206"/>
        <v>10</v>
      </c>
      <c r="AC546" s="371"/>
      <c r="AD546" s="232" t="str">
        <f t="shared" si="1207"/>
        <v/>
      </c>
      <c r="AE546" s="232" t="str">
        <f t="shared" si="1208"/>
        <v/>
      </c>
      <c r="AF546" s="232">
        <f t="shared" si="1209"/>
        <v>10</v>
      </c>
      <c r="AG546" s="232" t="str">
        <f t="shared" si="1242"/>
        <v/>
      </c>
      <c r="AH546" s="371"/>
      <c r="AI546" s="497">
        <v>40</v>
      </c>
      <c r="AJ546" s="498">
        <v>30</v>
      </c>
      <c r="AK546" s="485">
        <f t="shared" si="1210"/>
        <v>30</v>
      </c>
      <c r="AL546" s="371"/>
      <c r="AM546" s="232" t="str">
        <f t="shared" si="1211"/>
        <v/>
      </c>
      <c r="AN546" s="232" t="str">
        <f t="shared" si="1212"/>
        <v/>
      </c>
      <c r="AO546" s="232">
        <f t="shared" si="1213"/>
        <v>30</v>
      </c>
      <c r="AP546" s="232" t="str">
        <f t="shared" si="1243"/>
        <v/>
      </c>
      <c r="AQ546" s="371"/>
      <c r="AR546" s="497">
        <v>60</v>
      </c>
      <c r="AS546" s="498">
        <v>30</v>
      </c>
      <c r="AT546" s="485">
        <f t="shared" si="1214"/>
        <v>10</v>
      </c>
      <c r="AU546" s="371"/>
      <c r="AV546" s="232" t="str">
        <f t="shared" si="1215"/>
        <v/>
      </c>
      <c r="AW546" s="232" t="str">
        <f t="shared" si="1216"/>
        <v/>
      </c>
      <c r="AX546" s="232">
        <f t="shared" si="1217"/>
        <v>10</v>
      </c>
      <c r="AY546" s="232" t="str">
        <f t="shared" si="1244"/>
        <v/>
      </c>
      <c r="AZ546" s="371"/>
      <c r="BA546" s="497">
        <v>80</v>
      </c>
      <c r="BB546" s="498">
        <v>10</v>
      </c>
      <c r="BC546" s="485">
        <f t="shared" si="1218"/>
        <v>10</v>
      </c>
      <c r="BD546" s="371"/>
      <c r="BE546" s="232" t="str">
        <f t="shared" si="1219"/>
        <v/>
      </c>
      <c r="BF546" s="232" t="str">
        <f t="shared" si="1220"/>
        <v/>
      </c>
      <c r="BG546" s="232">
        <f t="shared" si="1221"/>
        <v>10</v>
      </c>
      <c r="BH546" s="232" t="str">
        <f t="shared" si="1245"/>
        <v/>
      </c>
      <c r="BI546" s="371"/>
      <c r="BJ546" s="497">
        <v>30</v>
      </c>
      <c r="BK546" s="498">
        <v>40</v>
      </c>
      <c r="BL546" s="485">
        <f t="shared" si="1222"/>
        <v>30</v>
      </c>
      <c r="BM546" s="371"/>
      <c r="BN546" s="232" t="str">
        <f t="shared" si="1223"/>
        <v/>
      </c>
      <c r="BO546" s="232" t="str">
        <f t="shared" si="1224"/>
        <v/>
      </c>
      <c r="BP546" s="232">
        <f t="shared" si="1225"/>
        <v>30</v>
      </c>
      <c r="BQ546" s="232" t="str">
        <f t="shared" si="1246"/>
        <v/>
      </c>
      <c r="BR546" s="371"/>
      <c r="BS546" s="497">
        <v>60</v>
      </c>
      <c r="BT546" s="498">
        <v>20</v>
      </c>
      <c r="BU546" s="485">
        <f t="shared" si="1226"/>
        <v>20</v>
      </c>
      <c r="BV546" s="371"/>
      <c r="BW546" s="232" t="str">
        <f t="shared" si="1227"/>
        <v/>
      </c>
      <c r="BX546" s="232" t="str">
        <f t="shared" si="1228"/>
        <v/>
      </c>
      <c r="BY546" s="232">
        <f t="shared" si="1229"/>
        <v>20</v>
      </c>
      <c r="BZ546" s="232" t="str">
        <f t="shared" si="1247"/>
        <v/>
      </c>
      <c r="CA546" s="371"/>
      <c r="CB546" s="504">
        <f t="shared" si="1230"/>
        <v>60</v>
      </c>
      <c r="CC546" s="505">
        <f t="shared" si="1231"/>
        <v>30</v>
      </c>
      <c r="CD546" s="506">
        <f t="shared" si="1232"/>
        <v>10</v>
      </c>
      <c r="CE546" s="371"/>
      <c r="CF546" s="232" t="str">
        <f t="shared" si="1233"/>
        <v/>
      </c>
      <c r="CG546" s="232" t="str">
        <f t="shared" si="1234"/>
        <v/>
      </c>
      <c r="CH546" s="232">
        <f t="shared" si="1235"/>
        <v>10</v>
      </c>
      <c r="CI546" s="232" t="str">
        <f t="shared" si="1248"/>
        <v/>
      </c>
      <c r="CJ546" s="232"/>
      <c r="CK546" s="497">
        <v>40</v>
      </c>
      <c r="CL546" s="498">
        <v>40</v>
      </c>
      <c r="CM546" s="485">
        <f t="shared" si="1236"/>
        <v>20</v>
      </c>
      <c r="CN546" s="371"/>
      <c r="CO546" s="232" t="str">
        <f t="shared" si="1237"/>
        <v/>
      </c>
      <c r="CP546" s="232" t="str">
        <f t="shared" si="1238"/>
        <v/>
      </c>
      <c r="CQ546" s="232">
        <f t="shared" si="1239"/>
        <v>20</v>
      </c>
      <c r="CR546" s="232" t="str">
        <f t="shared" si="1249"/>
        <v/>
      </c>
      <c r="CS546" s="232"/>
      <c r="CT546" s="371"/>
      <c r="CU546" s="300"/>
      <c r="CV546" s="246"/>
      <c r="CW546" s="264"/>
    </row>
    <row r="547" spans="1:101" ht="13.5" thickBot="1" x14ac:dyDescent="0.25">
      <c r="A547" s="264"/>
      <c r="B547" s="264"/>
      <c r="C547" s="202"/>
      <c r="D547" s="271">
        <v>12</v>
      </c>
      <c r="E547" s="168" t="s">
        <v>350</v>
      </c>
      <c r="F547" s="470">
        <v>3</v>
      </c>
      <c r="G547" s="476"/>
      <c r="H547" s="477">
        <v>1</v>
      </c>
      <c r="I547" s="392" t="str">
        <f t="shared" si="1200"/>
        <v>x</v>
      </c>
      <c r="J547" s="393" t="str">
        <f t="shared" si="1201"/>
        <v/>
      </c>
      <c r="K547" s="394" t="str">
        <f t="shared" si="1202"/>
        <v/>
      </c>
      <c r="L547" s="299"/>
      <c r="M547" s="375"/>
      <c r="N547" s="379"/>
      <c r="O547" s="236"/>
      <c r="P547" s="236"/>
      <c r="Q547" s="489">
        <v>40</v>
      </c>
      <c r="R547" s="490">
        <v>30</v>
      </c>
      <c r="S547" s="491">
        <f t="shared" si="1240"/>
        <v>30</v>
      </c>
      <c r="T547" s="371"/>
      <c r="U547" s="232">
        <f t="shared" si="1203"/>
        <v>40</v>
      </c>
      <c r="V547" s="232" t="str">
        <f t="shared" si="1204"/>
        <v/>
      </c>
      <c r="W547" s="232" t="str">
        <f t="shared" si="1205"/>
        <v/>
      </c>
      <c r="X547" s="232">
        <f t="shared" si="1241"/>
        <v>1</v>
      </c>
      <c r="Y547" s="371"/>
      <c r="Z547" s="499">
        <v>80</v>
      </c>
      <c r="AA547" s="500">
        <v>10</v>
      </c>
      <c r="AB547" s="491">
        <f t="shared" si="1206"/>
        <v>10</v>
      </c>
      <c r="AC547" s="371"/>
      <c r="AD547" s="232">
        <f t="shared" si="1207"/>
        <v>80</v>
      </c>
      <c r="AE547" s="232" t="str">
        <f t="shared" si="1208"/>
        <v/>
      </c>
      <c r="AF547" s="232" t="str">
        <f t="shared" si="1209"/>
        <v/>
      </c>
      <c r="AG547" s="232">
        <f t="shared" si="1242"/>
        <v>1</v>
      </c>
      <c r="AH547" s="371"/>
      <c r="AI547" s="499">
        <v>30</v>
      </c>
      <c r="AJ547" s="500">
        <v>40</v>
      </c>
      <c r="AK547" s="491">
        <f t="shared" si="1210"/>
        <v>30</v>
      </c>
      <c r="AL547" s="371"/>
      <c r="AM547" s="232">
        <f t="shared" si="1211"/>
        <v>30</v>
      </c>
      <c r="AN547" s="232" t="str">
        <f t="shared" si="1212"/>
        <v/>
      </c>
      <c r="AO547" s="232" t="str">
        <f t="shared" si="1213"/>
        <v/>
      </c>
      <c r="AP547" s="232" t="str">
        <f t="shared" si="1243"/>
        <v/>
      </c>
      <c r="AQ547" s="371"/>
      <c r="AR547" s="499">
        <v>40</v>
      </c>
      <c r="AS547" s="500">
        <v>40</v>
      </c>
      <c r="AT547" s="491">
        <f t="shared" si="1214"/>
        <v>20</v>
      </c>
      <c r="AU547" s="371"/>
      <c r="AV547" s="232">
        <f t="shared" si="1215"/>
        <v>40</v>
      </c>
      <c r="AW547" s="232" t="str">
        <f t="shared" si="1216"/>
        <v/>
      </c>
      <c r="AX547" s="232" t="str">
        <f t="shared" si="1217"/>
        <v/>
      </c>
      <c r="AY547" s="232">
        <f t="shared" si="1244"/>
        <v>1</v>
      </c>
      <c r="AZ547" s="371"/>
      <c r="BA547" s="499">
        <v>20</v>
      </c>
      <c r="BB547" s="500">
        <v>60</v>
      </c>
      <c r="BC547" s="491">
        <f t="shared" si="1218"/>
        <v>20</v>
      </c>
      <c r="BD547" s="371"/>
      <c r="BE547" s="232">
        <f t="shared" si="1219"/>
        <v>20</v>
      </c>
      <c r="BF547" s="232" t="str">
        <f t="shared" si="1220"/>
        <v/>
      </c>
      <c r="BG547" s="232" t="str">
        <f t="shared" si="1221"/>
        <v/>
      </c>
      <c r="BH547" s="232" t="str">
        <f t="shared" si="1245"/>
        <v/>
      </c>
      <c r="BI547" s="371"/>
      <c r="BJ547" s="499">
        <v>10</v>
      </c>
      <c r="BK547" s="500">
        <v>10</v>
      </c>
      <c r="BL547" s="491">
        <f t="shared" si="1222"/>
        <v>80</v>
      </c>
      <c r="BM547" s="371"/>
      <c r="BN547" s="232">
        <f t="shared" si="1223"/>
        <v>10</v>
      </c>
      <c r="BO547" s="232" t="str">
        <f t="shared" si="1224"/>
        <v/>
      </c>
      <c r="BP547" s="232" t="str">
        <f t="shared" si="1225"/>
        <v/>
      </c>
      <c r="BQ547" s="232" t="str">
        <f t="shared" si="1246"/>
        <v/>
      </c>
      <c r="BR547" s="371"/>
      <c r="BS547" s="499">
        <v>40</v>
      </c>
      <c r="BT547" s="500">
        <v>50</v>
      </c>
      <c r="BU547" s="491">
        <f t="shared" si="1226"/>
        <v>10</v>
      </c>
      <c r="BV547" s="371"/>
      <c r="BW547" s="232">
        <f t="shared" si="1227"/>
        <v>40</v>
      </c>
      <c r="BX547" s="232" t="str">
        <f t="shared" si="1228"/>
        <v/>
      </c>
      <c r="BY547" s="232" t="str">
        <f t="shared" si="1229"/>
        <v/>
      </c>
      <c r="BZ547" s="232" t="str">
        <f t="shared" si="1247"/>
        <v/>
      </c>
      <c r="CA547" s="371"/>
      <c r="CB547" s="507">
        <f t="shared" si="1230"/>
        <v>40</v>
      </c>
      <c r="CC547" s="508">
        <f t="shared" si="1231"/>
        <v>30</v>
      </c>
      <c r="CD547" s="509">
        <f t="shared" si="1232"/>
        <v>30</v>
      </c>
      <c r="CE547" s="371"/>
      <c r="CF547" s="232">
        <f t="shared" si="1233"/>
        <v>40</v>
      </c>
      <c r="CG547" s="232" t="str">
        <f t="shared" si="1234"/>
        <v/>
      </c>
      <c r="CH547" s="232" t="str">
        <f t="shared" si="1235"/>
        <v/>
      </c>
      <c r="CI547" s="232">
        <f t="shared" si="1248"/>
        <v>1</v>
      </c>
      <c r="CJ547" s="232"/>
      <c r="CK547" s="499">
        <v>30</v>
      </c>
      <c r="CL547" s="500">
        <v>50</v>
      </c>
      <c r="CM547" s="491">
        <f t="shared" si="1236"/>
        <v>20</v>
      </c>
      <c r="CN547" s="371"/>
      <c r="CO547" s="232">
        <f t="shared" si="1237"/>
        <v>30</v>
      </c>
      <c r="CP547" s="232" t="str">
        <f t="shared" si="1238"/>
        <v/>
      </c>
      <c r="CQ547" s="232" t="str">
        <f t="shared" si="1239"/>
        <v/>
      </c>
      <c r="CR547" s="232" t="str">
        <f t="shared" si="1249"/>
        <v/>
      </c>
      <c r="CS547" s="232"/>
      <c r="CT547" s="371"/>
      <c r="CU547" s="300"/>
      <c r="CV547" s="246"/>
      <c r="CW547" s="264"/>
    </row>
    <row r="548" spans="1:101" x14ac:dyDescent="0.2">
      <c r="A548" s="264"/>
      <c r="B548" s="264"/>
      <c r="C548" s="202"/>
      <c r="D548" s="272"/>
      <c r="E548" s="235"/>
      <c r="F548" s="395">
        <f>IF(SUM(F536:F547)=0,"",SUM(F536:F547))</f>
        <v>16</v>
      </c>
      <c r="G548" s="370" t="s">
        <v>49</v>
      </c>
      <c r="H548" s="396">
        <f>IF(SUM(H536:H547)=0,"",SUM(H536:H547))</f>
        <v>11</v>
      </c>
      <c r="I548" s="397">
        <f>IF(COUNTIF(I536:I547,"=x")=0,"",COUNTIF(I536:I547,"=x"))</f>
        <v>5</v>
      </c>
      <c r="J548" s="398">
        <f>IF(COUNTIF(J536:J547,"=x")=0,"",COUNTIF(J536:J547,"=x"))</f>
        <v>3</v>
      </c>
      <c r="K548" s="399">
        <f>IF(COUNTIF(K536:K547,"=x")=0,"",COUNTIF(K536:K547,"=x"))</f>
        <v>4</v>
      </c>
      <c r="L548" s="299"/>
      <c r="M548" s="375"/>
      <c r="N548" s="379"/>
      <c r="O548" s="236"/>
      <c r="P548" s="369"/>
      <c r="Q548" s="466">
        <f>SUM(U536:U547)</f>
        <v>230</v>
      </c>
      <c r="R548" s="466">
        <f>SUM(V536:V547)</f>
        <v>190</v>
      </c>
      <c r="S548" s="466">
        <f>SUM(W536:W547)</f>
        <v>60</v>
      </c>
      <c r="T548" s="368"/>
      <c r="U548" s="232"/>
      <c r="V548" s="232"/>
      <c r="W548" s="232"/>
      <c r="X548" s="232"/>
      <c r="Y548" s="367"/>
      <c r="Z548" s="466">
        <f>SUM(AD536:AD547)</f>
        <v>330</v>
      </c>
      <c r="AA548" s="466">
        <f>SUM(AE536:AE547)</f>
        <v>30</v>
      </c>
      <c r="AB548" s="466">
        <f>SUM(AF536:AF547)</f>
        <v>110</v>
      </c>
      <c r="AC548" s="368"/>
      <c r="AD548" s="232"/>
      <c r="AE548" s="232"/>
      <c r="AF548" s="232"/>
      <c r="AG548" s="232"/>
      <c r="AH548" s="367"/>
      <c r="AI548" s="466">
        <f>SUM(AM536:AM547)</f>
        <v>230</v>
      </c>
      <c r="AJ548" s="466">
        <f>SUM(AN536:AN547)</f>
        <v>70</v>
      </c>
      <c r="AK548" s="466">
        <f>SUM(AO536:AO547)</f>
        <v>70</v>
      </c>
      <c r="AL548" s="368"/>
      <c r="AM548" s="232"/>
      <c r="AN548" s="232"/>
      <c r="AO548" s="232"/>
      <c r="AP548" s="232"/>
      <c r="AQ548" s="367"/>
      <c r="AR548" s="466">
        <f>SUM(AV536:AV547)</f>
        <v>200</v>
      </c>
      <c r="AS548" s="466">
        <f>SUM(AW536:AW547)</f>
        <v>70</v>
      </c>
      <c r="AT548" s="466">
        <f>SUM(AX536:AX547)</f>
        <v>70</v>
      </c>
      <c r="AU548" s="368"/>
      <c r="AV548" s="232"/>
      <c r="AW548" s="232"/>
      <c r="AX548" s="232"/>
      <c r="AY548" s="232"/>
      <c r="AZ548" s="367"/>
      <c r="BA548" s="466">
        <f>SUM(BE536:BE547)</f>
        <v>200</v>
      </c>
      <c r="BB548" s="466">
        <f>SUM(BF536:BF547)</f>
        <v>30</v>
      </c>
      <c r="BC548" s="466">
        <f>SUM(BG536:BG547)</f>
        <v>40</v>
      </c>
      <c r="BD548" s="368"/>
      <c r="BE548" s="232"/>
      <c r="BF548" s="232"/>
      <c r="BG548" s="232"/>
      <c r="BH548" s="232"/>
      <c r="BI548" s="367"/>
      <c r="BJ548" s="466">
        <f>SUM(BN536:BN547)</f>
        <v>190</v>
      </c>
      <c r="BK548" s="466">
        <f>SUM(BO536:BO547)</f>
        <v>90</v>
      </c>
      <c r="BL548" s="466">
        <f>SUM(BP536:BP547)</f>
        <v>90</v>
      </c>
      <c r="BM548" s="368"/>
      <c r="BN548" s="232"/>
      <c r="BO548" s="232"/>
      <c r="BP548" s="232"/>
      <c r="BQ548" s="232"/>
      <c r="BR548" s="367"/>
      <c r="BS548" s="466">
        <f>SUM(BW536:BW547)</f>
        <v>270</v>
      </c>
      <c r="BT548" s="466">
        <f>SUM(BX536:BX547)</f>
        <v>110</v>
      </c>
      <c r="BU548" s="466">
        <f>SUM(BY536:BY547)</f>
        <v>90</v>
      </c>
      <c r="BV548" s="368"/>
      <c r="BW548" s="232"/>
      <c r="BX548" s="232"/>
      <c r="BY548" s="232"/>
      <c r="BZ548" s="232"/>
      <c r="CA548" s="369"/>
      <c r="CB548" s="466">
        <f>SUM(CF536:CF547)</f>
        <v>250</v>
      </c>
      <c r="CC548" s="466">
        <f>SUM(CG536:CG547)</f>
        <v>70</v>
      </c>
      <c r="CD548" s="466">
        <f>SUM(CH536:CH547)</f>
        <v>60</v>
      </c>
      <c r="CE548" s="368"/>
      <c r="CF548" s="232"/>
      <c r="CG548" s="232"/>
      <c r="CH548" s="232"/>
      <c r="CI548" s="232"/>
      <c r="CJ548" s="232"/>
      <c r="CK548" s="466">
        <f>SUM(CO536:CO547)</f>
        <v>240</v>
      </c>
      <c r="CL548" s="466">
        <f>SUM(CP536:CP547)</f>
        <v>80</v>
      </c>
      <c r="CM548" s="466">
        <f>SUM(CQ536:CQ547)</f>
        <v>80</v>
      </c>
      <c r="CN548" s="368"/>
      <c r="CO548" s="232"/>
      <c r="CP548" s="232"/>
      <c r="CQ548" s="232"/>
      <c r="CR548" s="232"/>
      <c r="CS548" s="232"/>
      <c r="CT548" s="232"/>
      <c r="CU548" s="300"/>
      <c r="CV548" s="246"/>
      <c r="CW548" s="265"/>
    </row>
    <row r="549" spans="1:101" ht="13.5" thickBot="1" x14ac:dyDescent="0.25">
      <c r="A549" s="264"/>
      <c r="B549" s="264"/>
      <c r="C549" s="202"/>
      <c r="D549" s="289"/>
      <c r="E549" s="282"/>
      <c r="F549" s="283"/>
      <c r="G549" s="282"/>
      <c r="H549" s="282"/>
      <c r="I549" s="282"/>
      <c r="J549" s="282"/>
      <c r="K549" s="282"/>
      <c r="L549" s="293"/>
      <c r="M549" s="301"/>
      <c r="N549" s="380"/>
      <c r="O549" s="376"/>
      <c r="P549" s="284"/>
      <c r="Q549" s="285"/>
      <c r="R549" s="285"/>
      <c r="S549" s="285"/>
      <c r="T549" s="286"/>
      <c r="U549" s="287"/>
      <c r="V549" s="287"/>
      <c r="W549" s="287"/>
      <c r="X549" s="287"/>
      <c r="Y549" s="284"/>
      <c r="Z549" s="285"/>
      <c r="AA549" s="285"/>
      <c r="AB549" s="285"/>
      <c r="AC549" s="286"/>
      <c r="AD549" s="287"/>
      <c r="AE549" s="287"/>
      <c r="AF549" s="287"/>
      <c r="AG549" s="288"/>
      <c r="AH549" s="284"/>
      <c r="AI549" s="285"/>
      <c r="AJ549" s="285"/>
      <c r="AK549" s="285"/>
      <c r="AL549" s="286"/>
      <c r="AM549" s="287"/>
      <c r="AN549" s="287"/>
      <c r="AO549" s="287"/>
      <c r="AP549" s="288"/>
      <c r="AQ549" s="284"/>
      <c r="AR549" s="285"/>
      <c r="AS549" s="285"/>
      <c r="AT549" s="285"/>
      <c r="AU549" s="286"/>
      <c r="AV549" s="287"/>
      <c r="AW549" s="287"/>
      <c r="AX549" s="287"/>
      <c r="AY549" s="288"/>
      <c r="AZ549" s="284"/>
      <c r="BA549" s="285"/>
      <c r="BB549" s="285"/>
      <c r="BC549" s="285"/>
      <c r="BD549" s="286"/>
      <c r="BE549" s="287"/>
      <c r="BF549" s="287"/>
      <c r="BG549" s="287"/>
      <c r="BH549" s="288"/>
      <c r="BI549" s="284"/>
      <c r="BJ549" s="284"/>
      <c r="BK549" s="284"/>
      <c r="BL549" s="284"/>
      <c r="BM549" s="284"/>
      <c r="BN549" s="284"/>
      <c r="BO549" s="284"/>
      <c r="BP549" s="284"/>
      <c r="BQ549" s="284"/>
      <c r="BR549" s="284"/>
      <c r="BS549" s="284"/>
      <c r="BT549" s="284"/>
      <c r="BU549" s="284"/>
      <c r="BV549" s="284"/>
      <c r="BW549" s="284"/>
      <c r="BX549" s="284"/>
      <c r="BY549" s="284"/>
      <c r="BZ549" s="284"/>
      <c r="CA549" s="284"/>
      <c r="CB549" s="284"/>
      <c r="CC549" s="284"/>
      <c r="CD549" s="284"/>
      <c r="CE549" s="284"/>
      <c r="CF549" s="284"/>
      <c r="CG549" s="284"/>
      <c r="CH549" s="284"/>
      <c r="CI549" s="284"/>
      <c r="CJ549" s="288"/>
      <c r="CK549" s="288"/>
      <c r="CL549" s="288"/>
      <c r="CM549" s="288"/>
      <c r="CN549" s="288"/>
      <c r="CO549" s="288"/>
      <c r="CP549" s="288"/>
      <c r="CQ549" s="288"/>
      <c r="CR549" s="288"/>
      <c r="CS549" s="288"/>
      <c r="CT549" s="282"/>
      <c r="CU549" s="294"/>
      <c r="CV549" s="246"/>
      <c r="CW549" s="265"/>
    </row>
    <row r="550" spans="1:101" ht="14.25" thickTop="1" thickBot="1" x14ac:dyDescent="0.25">
      <c r="A550" s="256"/>
      <c r="B550" s="256"/>
      <c r="C550" s="210"/>
      <c r="D550" s="211"/>
      <c r="E550" s="247"/>
      <c r="F550" s="248"/>
      <c r="G550" s="247"/>
      <c r="H550" s="247"/>
      <c r="I550" s="247"/>
      <c r="J550" s="247"/>
      <c r="K550" s="247"/>
      <c r="L550" s="249"/>
      <c r="M550" s="250"/>
      <c r="N550" s="250"/>
      <c r="O550" s="250"/>
      <c r="P550" s="250"/>
      <c r="Q550" s="247"/>
      <c r="R550" s="247"/>
      <c r="S550" s="247"/>
      <c r="T550" s="251"/>
      <c r="U550" s="252"/>
      <c r="V550" s="252"/>
      <c r="W550" s="252"/>
      <c r="X550" s="252"/>
      <c r="Y550" s="250"/>
      <c r="Z550" s="247"/>
      <c r="AA550" s="247"/>
      <c r="AB550" s="247"/>
      <c r="AC550" s="251"/>
      <c r="AD550" s="252"/>
      <c r="AE550" s="252"/>
      <c r="AF550" s="252"/>
      <c r="AG550" s="247"/>
      <c r="AH550" s="250"/>
      <c r="AI550" s="247"/>
      <c r="AJ550" s="247"/>
      <c r="AK550" s="247"/>
      <c r="AL550" s="251"/>
      <c r="AM550" s="252"/>
      <c r="AN550" s="252"/>
      <c r="AO550" s="252"/>
      <c r="AP550" s="253"/>
      <c r="AQ550" s="250"/>
      <c r="AR550" s="247"/>
      <c r="AS550" s="247"/>
      <c r="AT550" s="247"/>
      <c r="AU550" s="251"/>
      <c r="AV550" s="252"/>
      <c r="AW550" s="252"/>
      <c r="AX550" s="252"/>
      <c r="AY550" s="247"/>
      <c r="AZ550" s="250"/>
      <c r="BA550" s="247"/>
      <c r="BB550" s="247"/>
      <c r="BC550" s="247"/>
      <c r="BD550" s="251"/>
      <c r="BE550" s="252"/>
      <c r="BF550" s="252"/>
      <c r="BG550" s="252"/>
      <c r="BH550" s="247"/>
      <c r="BI550" s="250"/>
      <c r="BJ550" s="247"/>
      <c r="BK550" s="247"/>
      <c r="BL550" s="247"/>
      <c r="BM550" s="251"/>
      <c r="BN550" s="252"/>
      <c r="BO550" s="252"/>
      <c r="BP550" s="252"/>
      <c r="BQ550" s="247"/>
      <c r="BR550" s="212"/>
      <c r="BS550" s="247"/>
      <c r="BT550" s="247"/>
      <c r="BU550" s="247"/>
      <c r="BV550" s="250"/>
      <c r="BW550" s="252"/>
      <c r="BX550" s="252"/>
      <c r="BY550" s="252"/>
      <c r="BZ550" s="247"/>
      <c r="CA550" s="247"/>
      <c r="CB550" s="253"/>
      <c r="CC550" s="253"/>
      <c r="CD550" s="253"/>
      <c r="CE550" s="253"/>
      <c r="CF550" s="247"/>
      <c r="CG550" s="247"/>
      <c r="CH550" s="247"/>
      <c r="CI550" s="247"/>
      <c r="CJ550" s="247"/>
      <c r="CK550" s="247"/>
      <c r="CL550" s="247"/>
      <c r="CM550" s="247"/>
      <c r="CN550" s="247"/>
      <c r="CO550" s="247"/>
      <c r="CP550" s="247"/>
      <c r="CQ550" s="247"/>
      <c r="CR550" s="247"/>
      <c r="CS550" s="247"/>
      <c r="CT550" s="247"/>
      <c r="CU550" s="247"/>
      <c r="CV550" s="254"/>
      <c r="CW550" s="255"/>
    </row>
    <row r="551" spans="1:101" ht="14.25" thickTop="1" thickBot="1" x14ac:dyDescent="0.25">
      <c r="A551" s="255"/>
      <c r="B551" s="255"/>
      <c r="C551" s="255"/>
      <c r="D551" s="255"/>
      <c r="E551" s="255"/>
      <c r="F551" s="255"/>
      <c r="G551" s="255"/>
      <c r="H551" s="255"/>
      <c r="I551" s="255"/>
      <c r="J551" s="255"/>
      <c r="K551" s="255"/>
      <c r="L551" s="255"/>
      <c r="M551" s="255"/>
      <c r="N551" s="255"/>
      <c r="O551" s="255"/>
      <c r="P551" s="255"/>
      <c r="Q551" s="255"/>
      <c r="R551" s="255"/>
      <c r="S551" s="255"/>
      <c r="T551" s="255"/>
      <c r="U551" s="255"/>
      <c r="V551" s="255"/>
      <c r="W551" s="255"/>
      <c r="X551" s="255"/>
      <c r="Y551" s="255"/>
      <c r="Z551" s="255"/>
      <c r="AA551" s="255"/>
      <c r="AB551" s="255"/>
      <c r="AC551" s="255"/>
      <c r="AD551" s="255"/>
      <c r="AE551" s="255"/>
      <c r="AF551" s="255"/>
      <c r="AG551" s="255"/>
      <c r="AH551" s="255"/>
      <c r="AI551" s="255"/>
      <c r="AJ551" s="255"/>
      <c r="AK551" s="255"/>
      <c r="AL551" s="255"/>
      <c r="AM551" s="255"/>
      <c r="AN551" s="255"/>
      <c r="AO551" s="255"/>
      <c r="AP551" s="255"/>
      <c r="AQ551" s="255"/>
      <c r="AR551" s="255"/>
      <c r="AS551" s="255"/>
      <c r="AT551" s="255"/>
      <c r="AU551" s="255"/>
      <c r="AV551" s="255"/>
      <c r="AW551" s="255"/>
      <c r="AX551" s="255"/>
      <c r="AY551" s="255"/>
      <c r="AZ551" s="255"/>
      <c r="BA551" s="255"/>
      <c r="BB551" s="255"/>
      <c r="BC551" s="255"/>
      <c r="BD551" s="255"/>
      <c r="BE551" s="255"/>
      <c r="BF551" s="255"/>
      <c r="BG551" s="255"/>
      <c r="BH551" s="255"/>
      <c r="BI551" s="255"/>
      <c r="BJ551" s="255"/>
      <c r="BK551" s="255"/>
      <c r="BL551" s="255"/>
      <c r="BM551" s="255"/>
      <c r="BN551" s="255"/>
      <c r="BO551" s="255"/>
      <c r="BP551" s="255"/>
      <c r="BQ551" s="255"/>
      <c r="BR551" s="255"/>
      <c r="BS551" s="255"/>
      <c r="BT551" s="255"/>
      <c r="BU551" s="255"/>
      <c r="BV551" s="255"/>
      <c r="BW551" s="255"/>
      <c r="BX551" s="255"/>
      <c r="BY551" s="255"/>
      <c r="BZ551" s="255"/>
      <c r="CA551" s="255"/>
      <c r="CB551" s="436"/>
      <c r="CC551" s="436"/>
      <c r="CD551" s="436"/>
      <c r="CE551" s="436"/>
      <c r="CF551" s="255"/>
      <c r="CG551" s="255"/>
      <c r="CH551" s="255"/>
      <c r="CI551" s="255"/>
      <c r="CJ551" s="255"/>
      <c r="CK551" s="255"/>
      <c r="CL551" s="255"/>
      <c r="CM551" s="255"/>
      <c r="CN551" s="255"/>
      <c r="CO551" s="255"/>
      <c r="CP551" s="255"/>
      <c r="CQ551" s="255"/>
      <c r="CR551" s="255"/>
      <c r="CS551" s="255"/>
      <c r="CT551" s="255"/>
      <c r="CU551" s="255"/>
      <c r="CV551" s="255"/>
      <c r="CW551" s="255"/>
    </row>
    <row r="552" spans="1:101" ht="21" thickTop="1" x14ac:dyDescent="0.3">
      <c r="A552" s="256"/>
      <c r="B552" s="256"/>
      <c r="C552" s="190"/>
      <c r="D552" s="191"/>
      <c r="E552" s="866" t="str">
        <f>E2</f>
        <v>STPS 2026</v>
      </c>
      <c r="F552" s="267"/>
      <c r="G552" s="267"/>
      <c r="H552" s="267"/>
      <c r="I552" s="192"/>
      <c r="J552" s="192"/>
      <c r="K552" s="192"/>
      <c r="L552" s="193"/>
      <c r="M552" s="192"/>
      <c r="N552" s="192"/>
      <c r="O552" s="192"/>
      <c r="P552" s="194"/>
      <c r="Q552" s="192"/>
      <c r="R552" s="192"/>
      <c r="S552" s="192"/>
      <c r="T552" s="195"/>
      <c r="U552" s="196"/>
      <c r="V552" s="196"/>
      <c r="W552" s="196"/>
      <c r="X552" s="196"/>
      <c r="Y552" s="194"/>
      <c r="Z552" s="192"/>
      <c r="AA552" s="192"/>
      <c r="AB552" s="192"/>
      <c r="AC552" s="195"/>
      <c r="AD552" s="196"/>
      <c r="AE552" s="196"/>
      <c r="AF552" s="196"/>
      <c r="AG552" s="197"/>
      <c r="AH552" s="194"/>
      <c r="AI552" s="192"/>
      <c r="AJ552" s="237"/>
      <c r="AK552" s="237"/>
      <c r="AL552" s="198"/>
      <c r="AM552" s="238"/>
      <c r="AN552" s="238"/>
      <c r="AO552" s="238"/>
      <c r="AP552" s="197"/>
      <c r="AQ552" s="239"/>
      <c r="AR552" s="240"/>
      <c r="AS552" s="199"/>
      <c r="AT552" s="200"/>
      <c r="AU552" s="198"/>
      <c r="AV552" s="196"/>
      <c r="AW552" s="196"/>
      <c r="AX552" s="196"/>
      <c r="AY552" s="197"/>
      <c r="AZ552" s="239"/>
      <c r="BA552" s="240"/>
      <c r="BB552" s="200"/>
      <c r="BC552" s="237"/>
      <c r="BD552" s="241"/>
      <c r="BE552" s="196"/>
      <c r="BF552" s="196"/>
      <c r="BG552" s="196"/>
      <c r="BH552" s="197"/>
      <c r="BI552" s="242"/>
      <c r="BJ552" s="237"/>
      <c r="BK552" s="237"/>
      <c r="BL552" s="237"/>
      <c r="BM552" s="241"/>
      <c r="BN552" s="196"/>
      <c r="BO552" s="196"/>
      <c r="BP552" s="196"/>
      <c r="BQ552" s="197"/>
      <c r="BR552" s="201"/>
      <c r="BS552" s="237"/>
      <c r="BT552" s="237"/>
      <c r="BU552" s="237"/>
      <c r="BV552" s="242"/>
      <c r="BW552" s="237"/>
      <c r="BX552" s="237"/>
      <c r="BY552" s="237"/>
      <c r="BZ552" s="237"/>
      <c r="CA552" s="237"/>
      <c r="CB552" s="437"/>
      <c r="CC552" s="437"/>
      <c r="CD552" s="437"/>
      <c r="CE552" s="437"/>
      <c r="CF552" s="237"/>
      <c r="CG552" s="237"/>
      <c r="CH552" s="237"/>
      <c r="CI552" s="237"/>
      <c r="CJ552" s="197"/>
      <c r="CK552" s="197"/>
      <c r="CL552" s="197"/>
      <c r="CM552" s="197"/>
      <c r="CN552" s="197"/>
      <c r="CO552" s="197"/>
      <c r="CP552" s="197"/>
      <c r="CQ552" s="197"/>
      <c r="CR552" s="197"/>
      <c r="CS552" s="197"/>
      <c r="CT552" s="401"/>
      <c r="CU552" s="237"/>
      <c r="CV552" s="243"/>
      <c r="CW552" s="255"/>
    </row>
    <row r="553" spans="1:101" ht="13.5" thickBot="1" x14ac:dyDescent="0.25">
      <c r="A553" s="256"/>
      <c r="B553" s="256"/>
      <c r="C553" s="202"/>
      <c r="D553" s="188"/>
      <c r="E553" s="266" t="str">
        <f>E3</f>
        <v>Skorgen Tippelag</v>
      </c>
      <c r="F553" s="406"/>
      <c r="G553" s="406"/>
      <c r="H553" s="406"/>
      <c r="I553" s="406"/>
      <c r="J553" s="406"/>
      <c r="K553" s="406"/>
      <c r="L553" s="406"/>
      <c r="M553" s="406"/>
      <c r="N553" s="406"/>
      <c r="O553" s="406"/>
      <c r="P553" s="406"/>
      <c r="Q553" s="406"/>
      <c r="R553" s="406"/>
      <c r="S553" s="406"/>
      <c r="T553" s="406"/>
      <c r="U553" s="406"/>
      <c r="V553" s="406"/>
      <c r="W553" s="406"/>
      <c r="X553" s="406"/>
      <c r="Y553" s="406"/>
      <c r="Z553" s="406"/>
      <c r="AA553" s="406"/>
      <c r="AB553" s="406"/>
      <c r="AC553" s="406"/>
      <c r="AD553" s="406"/>
      <c r="AE553" s="406"/>
      <c r="AF553" s="406"/>
      <c r="AG553" s="406"/>
      <c r="AH553" s="406"/>
      <c r="AI553" s="406"/>
      <c r="AJ553" s="406"/>
      <c r="AK553" s="406"/>
      <c r="AL553" s="406"/>
      <c r="AM553" s="406"/>
      <c r="AN553" s="406"/>
      <c r="AO553" s="406"/>
      <c r="AP553" s="406"/>
      <c r="AQ553" s="406"/>
      <c r="AR553" s="406"/>
      <c r="AS553" s="406"/>
      <c r="AT553" s="406"/>
      <c r="AU553" s="406"/>
      <c r="AV553" s="406"/>
      <c r="AW553" s="406"/>
      <c r="AX553" s="406"/>
      <c r="AY553" s="406"/>
      <c r="AZ553" s="406"/>
      <c r="BA553" s="406"/>
      <c r="BB553" s="406"/>
      <c r="BC553" s="406"/>
      <c r="BD553" s="406"/>
      <c r="BE553" s="406"/>
      <c r="BF553" s="406"/>
      <c r="BG553" s="406"/>
      <c r="BH553" s="406"/>
      <c r="BI553" s="406"/>
      <c r="BJ553" s="406"/>
      <c r="BK553" s="406"/>
      <c r="BL553" s="406"/>
      <c r="BM553" s="406"/>
      <c r="BN553" s="406"/>
      <c r="BO553" s="406"/>
      <c r="BP553" s="406"/>
      <c r="BQ553" s="406"/>
      <c r="BR553" s="406"/>
      <c r="BS553" s="406"/>
      <c r="BT553" s="406"/>
      <c r="BU553" s="406"/>
      <c r="BV553" s="406"/>
      <c r="BW553" s="406"/>
      <c r="BX553" s="406"/>
      <c r="BY553" s="406"/>
      <c r="BZ553" s="406"/>
      <c r="CA553" s="406"/>
      <c r="CB553" s="438"/>
      <c r="CC553" s="438"/>
      <c r="CD553" s="438"/>
      <c r="CE553" s="438"/>
      <c r="CF553" s="406"/>
      <c r="CG553" s="406"/>
      <c r="CH553" s="406"/>
      <c r="CI553" s="406"/>
      <c r="CJ553" s="406"/>
      <c r="CK553" s="406"/>
      <c r="CL553" s="406"/>
      <c r="CM553" s="406"/>
      <c r="CN553" s="366"/>
      <c r="CO553" s="366"/>
      <c r="CP553" s="366"/>
      <c r="CQ553" s="366"/>
      <c r="CR553" s="366"/>
      <c r="CS553" s="366"/>
      <c r="CT553" s="187"/>
      <c r="CU553" s="310"/>
      <c r="CV553" s="246"/>
      <c r="CW553" s="255"/>
    </row>
    <row r="554" spans="1:101" ht="18.75" thickTop="1" x14ac:dyDescent="0.2">
      <c r="A554" s="256"/>
      <c r="B554" s="256"/>
      <c r="C554" s="209"/>
      <c r="D554" s="290"/>
      <c r="E554" s="273"/>
      <c r="F554" s="274"/>
      <c r="G554" s="273"/>
      <c r="H554" s="273"/>
      <c r="I554" s="803" t="s">
        <v>39</v>
      </c>
      <c r="J554" s="805"/>
      <c r="K554" s="805"/>
      <c r="L554" s="291"/>
      <c r="M554" s="302"/>
      <c r="N554" s="242"/>
      <c r="O554" s="275"/>
      <c r="P554" s="275"/>
      <c r="Q554" s="808">
        <f>IF($F558="","",SUM(Q570:S570)-S556)</f>
        <v>450</v>
      </c>
      <c r="R554" s="808"/>
      <c r="S554" s="808"/>
      <c r="T554" s="276"/>
      <c r="U554" s="277"/>
      <c r="V554" s="277"/>
      <c r="W554" s="277"/>
      <c r="X554" s="277"/>
      <c r="Y554" s="275"/>
      <c r="Z554" s="808">
        <f>IF($F558="","",SUM(Z570:AB570)-AB556)</f>
        <v>470</v>
      </c>
      <c r="AA554" s="808"/>
      <c r="AB554" s="808"/>
      <c r="AC554" s="276"/>
      <c r="AD554" s="277"/>
      <c r="AE554" s="277"/>
      <c r="AF554" s="277"/>
      <c r="AG554" s="273"/>
      <c r="AH554" s="275"/>
      <c r="AI554" s="808">
        <f>IF($F558="","",SUM(AI570:AK570)-AK556)</f>
        <v>380</v>
      </c>
      <c r="AJ554" s="808"/>
      <c r="AK554" s="808"/>
      <c r="AL554" s="276"/>
      <c r="AM554" s="277"/>
      <c r="AN554" s="277"/>
      <c r="AO554" s="277"/>
      <c r="AP554" s="273"/>
      <c r="AQ554" s="275"/>
      <c r="AR554" s="808">
        <f>IF($F558="","",SUM(AR570:AT570)-AT556)</f>
        <v>510</v>
      </c>
      <c r="AS554" s="808"/>
      <c r="AT554" s="808"/>
      <c r="AU554" s="278"/>
      <c r="AV554" s="277"/>
      <c r="AW554" s="277"/>
      <c r="AX554" s="277"/>
      <c r="AY554" s="279"/>
      <c r="AZ554" s="280"/>
      <c r="BA554" s="808">
        <f>IF($F558="","",SUM(BA570:BC570)-BC556)</f>
        <v>470</v>
      </c>
      <c r="BB554" s="808"/>
      <c r="BC554" s="808"/>
      <c r="BD554" s="278"/>
      <c r="BE554" s="277"/>
      <c r="BF554" s="277"/>
      <c r="BG554" s="277"/>
      <c r="BH554" s="279"/>
      <c r="BI554" s="280"/>
      <c r="BJ554" s="808">
        <f>IF($F558="","",SUM(BJ570:BL570)-BL556)</f>
        <v>530</v>
      </c>
      <c r="BK554" s="808"/>
      <c r="BL554" s="808"/>
      <c r="BM554" s="278"/>
      <c r="BN554" s="277"/>
      <c r="BO554" s="277"/>
      <c r="BP554" s="277"/>
      <c r="BQ554" s="279"/>
      <c r="BR554" s="281"/>
      <c r="BS554" s="808">
        <f>IF($F558="","",SUM(BS570:BU570)-BU556)</f>
        <v>500</v>
      </c>
      <c r="BT554" s="808"/>
      <c r="BU554" s="808"/>
      <c r="BV554" s="280"/>
      <c r="BW554" s="279"/>
      <c r="BX554" s="279"/>
      <c r="BY554" s="279"/>
      <c r="BZ554" s="279"/>
      <c r="CA554" s="281"/>
      <c r="CB554" s="808">
        <f>IF($F558="","",SUM(CB570:CD570)-CD556)</f>
        <v>480</v>
      </c>
      <c r="CC554" s="808"/>
      <c r="CD554" s="808"/>
      <c r="CE554" s="280"/>
      <c r="CF554" s="279"/>
      <c r="CG554" s="279"/>
      <c r="CH554" s="279"/>
      <c r="CI554" s="279"/>
      <c r="CJ554" s="273"/>
      <c r="CK554" s="808">
        <f>IF($F558="","",SUM(CK570:CM570))</f>
        <v>360</v>
      </c>
      <c r="CL554" s="808"/>
      <c r="CM554" s="808"/>
      <c r="CN554" s="280"/>
      <c r="CO554" s="279"/>
      <c r="CP554" s="279"/>
      <c r="CQ554" s="279"/>
      <c r="CR554" s="273"/>
      <c r="CS554" s="273"/>
      <c r="CT554" s="273"/>
      <c r="CU554" s="292"/>
      <c r="CV554" s="246"/>
      <c r="CW554" s="255"/>
    </row>
    <row r="555" spans="1:101" x14ac:dyDescent="0.2">
      <c r="A555" s="256"/>
      <c r="B555" s="256"/>
      <c r="C555" s="209"/>
      <c r="D555" s="916">
        <v>12</v>
      </c>
      <c r="E555" s="588">
        <v>46102</v>
      </c>
      <c r="F555" s="213"/>
      <c r="G555" s="214"/>
      <c r="H555" s="214"/>
      <c r="I555" s="804">
        <f>IF(ISERROR(AVERAGE(Q554,Z554,AI554,AR554,BA554,BJ554,BS554,CB554,CK554)),"",AVERAGE(Q554,Z554,AI554,AR554,BA554,BJ554,BS554,CB554,CK554))</f>
        <v>461.11111111111109</v>
      </c>
      <c r="J555" s="806"/>
      <c r="K555" s="806"/>
      <c r="L555" s="295"/>
      <c r="M555" s="372"/>
      <c r="N555" s="245"/>
      <c r="O555" s="215"/>
      <c r="P555" s="215"/>
      <c r="Q555" s="710">
        <f>IF(Q554="","",Q554/Data!$X$1)</f>
        <v>0.375</v>
      </c>
      <c r="R555" s="710"/>
      <c r="S555" s="711">
        <f>IF(SUM(X558:X569)=0,"",SUM(X558:X569))</f>
        <v>5</v>
      </c>
      <c r="T555" s="216"/>
      <c r="U555" s="217"/>
      <c r="V555" s="217"/>
      <c r="W555" s="217"/>
      <c r="X555" s="217"/>
      <c r="Y555" s="215"/>
      <c r="Z555" s="710">
        <f>IF(Z554="","",Z554/Data!$X$1)</f>
        <v>0.39166666666666666</v>
      </c>
      <c r="AA555" s="710"/>
      <c r="AB555" s="711">
        <f>IF(SUM(AG558:AG569)=0,"",SUM(AG558:AG569))</f>
        <v>5</v>
      </c>
      <c r="AC555" s="216"/>
      <c r="AD555" s="217"/>
      <c r="AE555" s="217"/>
      <c r="AF555" s="217"/>
      <c r="AG555" s="217"/>
      <c r="AH555" s="215"/>
      <c r="AI555" s="710">
        <f>IF(AI554="","",AI554/Data!$X$1)</f>
        <v>0.31666666666666665</v>
      </c>
      <c r="AJ555" s="710"/>
      <c r="AK555" s="711">
        <f>IF(SUM(AP558:AP569)=0,"",SUM(AP558:AP569))</f>
        <v>3</v>
      </c>
      <c r="AL555" s="216"/>
      <c r="AM555" s="217"/>
      <c r="AN555" s="217"/>
      <c r="AO555" s="217"/>
      <c r="AP555" s="217"/>
      <c r="AQ555" s="215"/>
      <c r="AR555" s="710">
        <f>IF(AR554="","",AR554/Data!$X$1)</f>
        <v>0.42499999999999999</v>
      </c>
      <c r="AS555" s="710"/>
      <c r="AT555" s="711">
        <f>IF(SUM(AY558:AY569)=0,"",SUM(AY558:AY569))</f>
        <v>6</v>
      </c>
      <c r="AU555" s="218"/>
      <c r="AV555" s="217"/>
      <c r="AW555" s="217"/>
      <c r="AX555" s="217"/>
      <c r="AY555" s="217"/>
      <c r="AZ555" s="219"/>
      <c r="BA555" s="710">
        <f>IF(BA554="","",BA554/Data!$X$1)</f>
        <v>0.39166666666666666</v>
      </c>
      <c r="BB555" s="710"/>
      <c r="BC555" s="711">
        <f>IF(SUM(BH558:BH569)=0,"",SUM(BH558:BH569))</f>
        <v>5</v>
      </c>
      <c r="BD555" s="218"/>
      <c r="BE555" s="217"/>
      <c r="BF555" s="217"/>
      <c r="BG555" s="217"/>
      <c r="BH555" s="217"/>
      <c r="BI555" s="219"/>
      <c r="BJ555" s="710">
        <f>IF(BJ554="","",BJ554/Data!$X$1)</f>
        <v>0.44166666666666665</v>
      </c>
      <c r="BK555" s="710"/>
      <c r="BL555" s="711">
        <f>IF(SUM(BQ558:BQ569)=0,"",SUM(BQ558:BQ569))</f>
        <v>7</v>
      </c>
      <c r="BM555" s="218"/>
      <c r="BN555" s="217"/>
      <c r="BO555" s="217"/>
      <c r="BP555" s="217"/>
      <c r="BQ555" s="217"/>
      <c r="BR555" s="220"/>
      <c r="BS555" s="710">
        <f>IF(BS554="","",BS554/Data!$X$1)</f>
        <v>0.41666666666666669</v>
      </c>
      <c r="BT555" s="710"/>
      <c r="BU555" s="711">
        <f>IF(SUM(BZ558:BZ569)=0,"",SUM(BZ558:BZ569))</f>
        <v>6</v>
      </c>
      <c r="BV555" s="219"/>
      <c r="BW555" s="217"/>
      <c r="BX555" s="217"/>
      <c r="BY555" s="217"/>
      <c r="BZ555" s="217"/>
      <c r="CA555" s="220"/>
      <c r="CB555" s="710">
        <f>IF(CB554="","",CB554/Data!$X$1)</f>
        <v>0.4</v>
      </c>
      <c r="CC555" s="710"/>
      <c r="CD555" s="711">
        <f>IF(SUM(CI558:CI569)=0,"",SUM(CI558:CI569))</f>
        <v>7</v>
      </c>
      <c r="CE555" s="219"/>
      <c r="CF555" s="217"/>
      <c r="CG555" s="217"/>
      <c r="CH555" s="217"/>
      <c r="CI555" s="217"/>
      <c r="CJ555" s="217"/>
      <c r="CK555" s="710">
        <f>IF(CK554="","",CK554/Data!$X$1)</f>
        <v>0.3</v>
      </c>
      <c r="CL555" s="710"/>
      <c r="CM555" s="711">
        <f>IF(SUM(CR558:CR569)=0,"",SUM(CR558:CR569))</f>
        <v>4</v>
      </c>
      <c r="CN555" s="219"/>
      <c r="CO555" s="217"/>
      <c r="CP555" s="217"/>
      <c r="CQ555" s="217"/>
      <c r="CR555" s="217"/>
      <c r="CS555" s="217"/>
      <c r="CT555" s="217"/>
      <c r="CU555" s="296"/>
      <c r="CV555" s="246"/>
      <c r="CW555" s="255"/>
    </row>
    <row r="556" spans="1:101" ht="13.5" thickBot="1" x14ac:dyDescent="0.25">
      <c r="A556" s="256"/>
      <c r="B556" s="256"/>
      <c r="C556" s="209"/>
      <c r="D556" s="269">
        <f>D534+1</f>
        <v>26</v>
      </c>
      <c r="E556" s="402" t="str">
        <f>IF(E555="","Sett inn dato over her",TEXT(E555,"dddd"))</f>
        <v>lørdag</v>
      </c>
      <c r="F556" s="221"/>
      <c r="G556" s="222"/>
      <c r="H556" s="222"/>
      <c r="I556" s="802"/>
      <c r="J556" s="807"/>
      <c r="K556" s="807"/>
      <c r="L556" s="297"/>
      <c r="M556" s="373"/>
      <c r="N556" s="377"/>
      <c r="O556" s="222"/>
      <c r="P556" s="222"/>
      <c r="Q556" s="385" t="str">
        <f>Data!$E$11</f>
        <v>AHH</v>
      </c>
      <c r="R556" s="386">
        <f>IF($F569="","",RANK(Q554,$Q554:$CL554))</f>
        <v>7</v>
      </c>
      <c r="S556" s="510"/>
      <c r="T556" s="216">
        <v>0</v>
      </c>
      <c r="U556" s="217"/>
      <c r="V556" s="217"/>
      <c r="W556" s="217"/>
      <c r="X556" s="217"/>
      <c r="Y556" s="215"/>
      <c r="Z556" s="385" t="str">
        <f>Data!$E$12</f>
        <v>RB</v>
      </c>
      <c r="AA556" s="386">
        <f>IF($F569="","",RANK(Z554,$Q554:$CL554))</f>
        <v>5</v>
      </c>
      <c r="AB556" s="510"/>
      <c r="AC556" s="216"/>
      <c r="AD556" s="217"/>
      <c r="AE556" s="217"/>
      <c r="AF556" s="217"/>
      <c r="AG556" s="217"/>
      <c r="AH556" s="215"/>
      <c r="AI556" s="385" t="str">
        <f>Data!$E$13</f>
        <v>EB</v>
      </c>
      <c r="AJ556" s="386">
        <f>IF($F569="","",RANK(AI554,$Q554:$CL554))</f>
        <v>8</v>
      </c>
      <c r="AK556" s="510"/>
      <c r="AL556" s="216"/>
      <c r="AM556" s="217"/>
      <c r="AN556" s="217"/>
      <c r="AO556" s="217"/>
      <c r="AP556" s="217"/>
      <c r="AQ556" s="215"/>
      <c r="AR556" s="346" t="str">
        <f>Data!$E$14</f>
        <v>KAF</v>
      </c>
      <c r="AS556" s="386">
        <f>IF($F569="","",RANK(AR554,$Q554:$CL554))</f>
        <v>2</v>
      </c>
      <c r="AT556" s="510"/>
      <c r="AU556" s="216"/>
      <c r="AV556" s="217"/>
      <c r="AW556" s="217"/>
      <c r="AX556" s="217"/>
      <c r="AY556" s="217"/>
      <c r="AZ556" s="215"/>
      <c r="BA556" s="346" t="str">
        <f>Data!$E$15</f>
        <v>ØG</v>
      </c>
      <c r="BB556" s="386">
        <f>IF($F569="","",RANK(BA554,$Q554:$CL554))</f>
        <v>5</v>
      </c>
      <c r="BC556" s="510"/>
      <c r="BD556" s="216"/>
      <c r="BE556" s="217"/>
      <c r="BF556" s="217"/>
      <c r="BG556" s="217"/>
      <c r="BH556" s="217"/>
      <c r="BI556" s="215"/>
      <c r="BJ556" s="346" t="str">
        <f>Data!$E$16</f>
        <v>JH</v>
      </c>
      <c r="BK556" s="386">
        <f>IF($F569="","",RANK(BJ554,$Q554:$CL554))</f>
        <v>1</v>
      </c>
      <c r="BL556" s="510"/>
      <c r="BM556" s="216"/>
      <c r="BN556" s="217"/>
      <c r="BO556" s="217"/>
      <c r="BP556" s="217"/>
      <c r="BQ556" s="217"/>
      <c r="BR556" s="223"/>
      <c r="BS556" s="346" t="str">
        <f>Data!$E$17</f>
        <v>TOH</v>
      </c>
      <c r="BT556" s="386">
        <f>IF($F569="","",RANK(BS554,$Q554:$CL554))</f>
        <v>3</v>
      </c>
      <c r="BU556" s="510">
        <v>50</v>
      </c>
      <c r="BV556" s="215"/>
      <c r="BW556" s="217"/>
      <c r="BX556" s="217"/>
      <c r="BY556" s="217"/>
      <c r="BZ556" s="217"/>
      <c r="CA556" s="223"/>
      <c r="CB556" s="346" t="s">
        <v>26</v>
      </c>
      <c r="CC556" s="386">
        <f>IF($F569="","",RANK(CB554,$Q554:$CM554))</f>
        <v>4</v>
      </c>
      <c r="CD556" s="511"/>
      <c r="CE556" s="215"/>
      <c r="CF556" s="217"/>
      <c r="CG556" s="217"/>
      <c r="CH556" s="217"/>
      <c r="CI556" s="217"/>
      <c r="CJ556" s="217"/>
      <c r="CK556" s="346" t="s">
        <v>27</v>
      </c>
      <c r="CL556" s="386">
        <f>IF($F569="","",RANK(CK554,$Q554:$CM554))</f>
        <v>9</v>
      </c>
      <c r="CM556" s="798"/>
      <c r="CN556" s="215"/>
      <c r="CO556" s="217"/>
      <c r="CP556" s="217"/>
      <c r="CQ556" s="217"/>
      <c r="CR556" s="217"/>
      <c r="CS556" s="217"/>
      <c r="CT556" s="217"/>
      <c r="CU556" s="296"/>
      <c r="CV556" s="246"/>
      <c r="CW556" s="255"/>
    </row>
    <row r="557" spans="1:101" ht="13.5" thickBot="1" x14ac:dyDescent="0.25">
      <c r="A557" s="264"/>
      <c r="B557" s="264"/>
      <c r="C557" s="202"/>
      <c r="D557" s="270"/>
      <c r="E557" s="224"/>
      <c r="F557" s="225"/>
      <c r="G557" s="226"/>
      <c r="H557" s="226"/>
      <c r="I557" s="227" t="s">
        <v>45</v>
      </c>
      <c r="J557" s="228" t="s">
        <v>46</v>
      </c>
      <c r="K557" s="229" t="s">
        <v>47</v>
      </c>
      <c r="L557" s="298"/>
      <c r="M557" s="374"/>
      <c r="N557" s="378"/>
      <c r="O557" s="230"/>
      <c r="P557" s="230"/>
      <c r="Q557" s="227" t="s">
        <v>45</v>
      </c>
      <c r="R557" s="228" t="s">
        <v>46</v>
      </c>
      <c r="S557" s="229" t="s">
        <v>47</v>
      </c>
      <c r="T557" s="231"/>
      <c r="U557" s="232"/>
      <c r="V557" s="232"/>
      <c r="W557" s="232"/>
      <c r="X557" s="232"/>
      <c r="Y557" s="230"/>
      <c r="Z557" s="227" t="s">
        <v>45</v>
      </c>
      <c r="AA557" s="228" t="s">
        <v>46</v>
      </c>
      <c r="AB557" s="229" t="s">
        <v>47</v>
      </c>
      <c r="AC557" s="231"/>
      <c r="AD557" s="232"/>
      <c r="AE557" s="232"/>
      <c r="AF557" s="232"/>
      <c r="AG557" s="232"/>
      <c r="AH557" s="230"/>
      <c r="AI557" s="227" t="s">
        <v>45</v>
      </c>
      <c r="AJ557" s="228" t="s">
        <v>46</v>
      </c>
      <c r="AK557" s="229" t="s">
        <v>47</v>
      </c>
      <c r="AL557" s="231"/>
      <c r="AM557" s="232"/>
      <c r="AN557" s="232"/>
      <c r="AO557" s="232"/>
      <c r="AP557" s="232"/>
      <c r="AQ557" s="230"/>
      <c r="AR557" s="227" t="s">
        <v>45</v>
      </c>
      <c r="AS557" s="228" t="s">
        <v>46</v>
      </c>
      <c r="AT557" s="229" t="s">
        <v>47</v>
      </c>
      <c r="AU557" s="231"/>
      <c r="AV557" s="232"/>
      <c r="AW557" s="232"/>
      <c r="AX557" s="232"/>
      <c r="AY557" s="232"/>
      <c r="AZ557" s="230"/>
      <c r="BA557" s="227" t="s">
        <v>45</v>
      </c>
      <c r="BB557" s="228" t="s">
        <v>46</v>
      </c>
      <c r="BC557" s="229" t="s">
        <v>47</v>
      </c>
      <c r="BD557" s="231"/>
      <c r="BE557" s="232"/>
      <c r="BF557" s="232"/>
      <c r="BG557" s="232"/>
      <c r="BH557" s="232"/>
      <c r="BI557" s="230"/>
      <c r="BJ557" s="227" t="s">
        <v>45</v>
      </c>
      <c r="BK557" s="228" t="s">
        <v>46</v>
      </c>
      <c r="BL557" s="229" t="s">
        <v>47</v>
      </c>
      <c r="BM557" s="231"/>
      <c r="BN557" s="232"/>
      <c r="BO557" s="232"/>
      <c r="BP557" s="232"/>
      <c r="BQ557" s="232"/>
      <c r="BR557" s="230"/>
      <c r="BS557" s="227" t="s">
        <v>45</v>
      </c>
      <c r="BT557" s="228" t="s">
        <v>46</v>
      </c>
      <c r="BU557" s="229" t="s">
        <v>47</v>
      </c>
      <c r="BV557" s="231"/>
      <c r="BW557" s="232"/>
      <c r="BX557" s="232"/>
      <c r="BY557" s="232"/>
      <c r="BZ557" s="233"/>
      <c r="CA557" s="230"/>
      <c r="CB557" s="227" t="s">
        <v>45</v>
      </c>
      <c r="CC557" s="228" t="s">
        <v>46</v>
      </c>
      <c r="CD557" s="229" t="s">
        <v>47</v>
      </c>
      <c r="CE557" s="231"/>
      <c r="CF557" s="232"/>
      <c r="CG557" s="232"/>
      <c r="CH557" s="232"/>
      <c r="CI557" s="232"/>
      <c r="CJ557" s="232"/>
      <c r="CK557" s="227" t="s">
        <v>45</v>
      </c>
      <c r="CL557" s="228" t="s">
        <v>46</v>
      </c>
      <c r="CM557" s="229" t="s">
        <v>47</v>
      </c>
      <c r="CN557" s="231"/>
      <c r="CO557" s="232"/>
      <c r="CP557" s="232"/>
      <c r="CQ557" s="232"/>
      <c r="CR557" s="232"/>
      <c r="CS557" s="232"/>
      <c r="CT557" s="234"/>
      <c r="CU557" s="296"/>
      <c r="CV557" s="246"/>
      <c r="CW557" s="265"/>
    </row>
    <row r="558" spans="1:101" x14ac:dyDescent="0.2">
      <c r="A558" s="264"/>
      <c r="B558" s="264"/>
      <c r="C558" s="202"/>
      <c r="D558" s="271">
        <v>1</v>
      </c>
      <c r="E558" s="166" t="s">
        <v>351</v>
      </c>
      <c r="F558" s="468">
        <v>4</v>
      </c>
      <c r="G558" s="472"/>
      <c r="H558" s="473">
        <v>1</v>
      </c>
      <c r="I558" s="170" t="str">
        <f t="shared" ref="I558:I569" si="1250">IF($F558&gt;$H558,"x","")</f>
        <v>x</v>
      </c>
      <c r="J558" s="387" t="str">
        <f t="shared" ref="J558:J569" si="1251">IF(F558&lt;&gt;"",IF(H558&lt;&gt;"",IF(F558=H558,"x",""),""),"")</f>
        <v/>
      </c>
      <c r="K558" s="388" t="str">
        <f t="shared" ref="K558:K569" si="1252">IF($F558&lt;$H558,"x","")</f>
        <v/>
      </c>
      <c r="L558" s="299"/>
      <c r="M558" s="375"/>
      <c r="N558" s="379"/>
      <c r="O558" s="236"/>
      <c r="P558" s="236"/>
      <c r="Q558" s="480">
        <v>60</v>
      </c>
      <c r="R558" s="481">
        <v>20</v>
      </c>
      <c r="S558" s="482">
        <f>IF(Q558="","",100-SUM(Q558:R558))</f>
        <v>20</v>
      </c>
      <c r="T558" s="371"/>
      <c r="U558" s="232">
        <f t="shared" ref="U558:U569" si="1253">IF($I558="x",Q558,"")</f>
        <v>60</v>
      </c>
      <c r="V558" s="232" t="str">
        <f t="shared" ref="V558:V569" si="1254">IF($J558="x",R558,"")</f>
        <v/>
      </c>
      <c r="W558" s="232" t="str">
        <f t="shared" ref="W558:W569" si="1255">IF($K558="x",S558,"")</f>
        <v/>
      </c>
      <c r="X558" s="232">
        <f>IF((MAX(U558,V558,W558))=0,"",IF((MAX(U558,V558,W558))=(MAX(Q558,R558,S558)),1,""))</f>
        <v>1</v>
      </c>
      <c r="Y558" s="371"/>
      <c r="Z558" s="495">
        <v>80</v>
      </c>
      <c r="AA558" s="496">
        <v>10</v>
      </c>
      <c r="AB558" s="482">
        <f t="shared" ref="AB558:AB569" si="1256">IF(Z558="","",100-SUM(Z558:AA558))</f>
        <v>10</v>
      </c>
      <c r="AC558" s="371"/>
      <c r="AD558" s="232">
        <f t="shared" ref="AD558:AD569" si="1257">IF($I558="x",Z558,"")</f>
        <v>80</v>
      </c>
      <c r="AE558" s="232" t="str">
        <f t="shared" ref="AE558:AE569" si="1258">IF($J558="x",AA558,"")</f>
        <v/>
      </c>
      <c r="AF558" s="232" t="str">
        <f t="shared" ref="AF558:AF569" si="1259">IF($K558="x",AB558,"")</f>
        <v/>
      </c>
      <c r="AG558" s="232">
        <f>IF((MAX(AD558,AE558,AF558))=0,"",IF((MAX(AD558,AE558,AF558))=(MAX(Z558,AA558,AB558)),1,""))</f>
        <v>1</v>
      </c>
      <c r="AH558" s="371"/>
      <c r="AI558" s="495">
        <v>20</v>
      </c>
      <c r="AJ558" s="496">
        <v>40</v>
      </c>
      <c r="AK558" s="482">
        <f t="shared" ref="AK558:AK569" si="1260">IF(AI558="","",100-SUM(AI558:AJ558))</f>
        <v>40</v>
      </c>
      <c r="AL558" s="371"/>
      <c r="AM558" s="232">
        <f t="shared" ref="AM558:AM569" si="1261">IF($I558="x",AI558,"")</f>
        <v>20</v>
      </c>
      <c r="AN558" s="232" t="str">
        <f t="shared" ref="AN558:AN569" si="1262">IF($J558="x",AJ558,"")</f>
        <v/>
      </c>
      <c r="AO558" s="232" t="str">
        <f t="shared" ref="AO558:AO569" si="1263">IF($K558="x",AK558,"")</f>
        <v/>
      </c>
      <c r="AP558" s="232" t="str">
        <f>IF((MAX(AM558,AN558,AO558))=0,"",IF((MAX(AM558,AN558,AO558))=(MAX(AI558,AJ558,AK558)),1,""))</f>
        <v/>
      </c>
      <c r="AQ558" s="371"/>
      <c r="AR558" s="495">
        <v>60</v>
      </c>
      <c r="AS558" s="496">
        <v>30</v>
      </c>
      <c r="AT558" s="482">
        <f t="shared" ref="AT558:AT569" si="1264">IF(AR558="","",100-SUM(AR558:AS558))</f>
        <v>10</v>
      </c>
      <c r="AU558" s="371"/>
      <c r="AV558" s="232">
        <f t="shared" ref="AV558:AV569" si="1265">IF($I558="x",AR558,"")</f>
        <v>60</v>
      </c>
      <c r="AW558" s="232" t="str">
        <f t="shared" ref="AW558:AW569" si="1266">IF($J558="x",AS558,"")</f>
        <v/>
      </c>
      <c r="AX558" s="232" t="str">
        <f t="shared" ref="AX558:AX569" si="1267">IF($K558="x",AT558,"")</f>
        <v/>
      </c>
      <c r="AY558" s="232">
        <f>IF((MAX(AV558,AW558,AX558))=0,"",IF((MAX(AV558,AW558,AX558))=(MAX(AR558,AS558,AT558)),1,""))</f>
        <v>1</v>
      </c>
      <c r="AZ558" s="371"/>
      <c r="BA558" s="495">
        <v>80</v>
      </c>
      <c r="BB558" s="496">
        <v>10</v>
      </c>
      <c r="BC558" s="482">
        <f t="shared" ref="BC558:BC569" si="1268">IF(BA558="","",100-SUM(BA558:BB558))</f>
        <v>10</v>
      </c>
      <c r="BD558" s="371"/>
      <c r="BE558" s="232">
        <f t="shared" ref="BE558:BE569" si="1269">IF($I558="x",BA558,"")</f>
        <v>80</v>
      </c>
      <c r="BF558" s="232" t="str">
        <f t="shared" ref="BF558:BF569" si="1270">IF($J558="x",BB558,"")</f>
        <v/>
      </c>
      <c r="BG558" s="232" t="str">
        <f t="shared" ref="BG558:BG569" si="1271">IF($K558="x",BC558,"")</f>
        <v/>
      </c>
      <c r="BH558" s="232">
        <f t="shared" ref="BH558:BH569" si="1272">IF((MAX(BE558,BF558,BG558))=0,"",IF((MAX(BE558,BF558,BG558))=(MAX(BA558,BB558,BC558)),1,""))</f>
        <v>1</v>
      </c>
      <c r="BI558" s="371"/>
      <c r="BJ558" s="495">
        <v>10</v>
      </c>
      <c r="BK558" s="496">
        <v>10</v>
      </c>
      <c r="BL558" s="482">
        <f t="shared" ref="BL558:BL569" si="1273">IF(BJ558="","",100-SUM(BJ558:BK558))</f>
        <v>80</v>
      </c>
      <c r="BM558" s="371"/>
      <c r="BN558" s="232">
        <f t="shared" ref="BN558:BN569" si="1274">IF($I558="x",BJ558,"")</f>
        <v>10</v>
      </c>
      <c r="BO558" s="232" t="str">
        <f t="shared" ref="BO558:BO569" si="1275">IF($J558="x",BK558,"")</f>
        <v/>
      </c>
      <c r="BP558" s="232" t="str">
        <f t="shared" ref="BP558:BP569" si="1276">IF($K558="x",BL558,"")</f>
        <v/>
      </c>
      <c r="BQ558" s="232" t="str">
        <f>IF((MAX(BN558,BO558,BP558))=0,"",IF((MAX(BN558,BO558,BP558))=(MAX(BJ558,BK558,BL558)),1,""))</f>
        <v/>
      </c>
      <c r="BR558" s="371"/>
      <c r="BS558" s="495">
        <v>60</v>
      </c>
      <c r="BT558" s="496">
        <v>20</v>
      </c>
      <c r="BU558" s="482">
        <f t="shared" ref="BU558:BU569" si="1277">IF(BS558="","",100-SUM(BS558:BT558))</f>
        <v>20</v>
      </c>
      <c r="BV558" s="371"/>
      <c r="BW558" s="232">
        <f t="shared" ref="BW558:BW569" si="1278">IF($I558="x",BS558,"")</f>
        <v>60</v>
      </c>
      <c r="BX558" s="232" t="str">
        <f t="shared" ref="BX558:BX569" si="1279">IF($J558="x",BT558,"")</f>
        <v/>
      </c>
      <c r="BY558" s="232" t="str">
        <f t="shared" ref="BY558:BY569" si="1280">IF($K558="x",BU558,"")</f>
        <v/>
      </c>
      <c r="BZ558" s="232">
        <f>IF((MAX(BW558,BX558,BY558))=0,"",IF((MAX(BW558,BX558,BY558))=(MAX(BS558,BT558,BU558)),1,""))</f>
        <v>1</v>
      </c>
      <c r="CA558" s="371"/>
      <c r="CB558" s="501">
        <f t="shared" ref="CB558:CB569" si="1281">IFERROR(ROUNDUP((SUM(Q558,Z558,AI558,AR558,BA558,BJ558,BS558)/SUM($Q558:$S558,$Z558:$AB558,$AI558:$AK558,$AR558:$AT558,$BA558:$BC558,$BJ558:$BL558,$BS558:$BU558))*100,-1),"")</f>
        <v>60</v>
      </c>
      <c r="CC558" s="502">
        <f t="shared" ref="CC558:CC569" si="1282">IFERROR(ROUNDDOWN((SUM(R558,AA558,AJ558,AS558,BB558,BK558,BT558)/SUM($Q558:$S558,$Z558:$AB558,$AI558:$AK558,$AR558:$AT558,$BA558:$BC558,$BJ558:$BL558,$BS558:$BU558))*100,-1),"")</f>
        <v>20</v>
      </c>
      <c r="CD558" s="503">
        <f t="shared" ref="CD558:CD569" si="1283">IF(CB558="","",100-SUM(CB558:CC558))</f>
        <v>20</v>
      </c>
      <c r="CE558" s="371"/>
      <c r="CF558" s="232">
        <f t="shared" ref="CF558:CF569" si="1284">IF($I558="x",CB558,"")</f>
        <v>60</v>
      </c>
      <c r="CG558" s="232" t="str">
        <f t="shared" ref="CG558:CG569" si="1285">IF($J558="x",CC558,"")</f>
        <v/>
      </c>
      <c r="CH558" s="232" t="str">
        <f t="shared" ref="CH558:CH569" si="1286">IF($K558="x",CD558,"")</f>
        <v/>
      </c>
      <c r="CI558" s="232">
        <f>IF((MAX(CF558,CG558,CH558))=0,"",IF((MAX(CF558,CG558,CH558))=(MAX(CB558,CC558,CD558)),1,""))</f>
        <v>1</v>
      </c>
      <c r="CJ558" s="232"/>
      <c r="CK558" s="495">
        <v>60</v>
      </c>
      <c r="CL558" s="496">
        <v>10</v>
      </c>
      <c r="CM558" s="482">
        <f t="shared" ref="CM558:CM569" si="1287">IF(CK558="","",100-SUM(CK558:CL558))</f>
        <v>30</v>
      </c>
      <c r="CN558" s="371"/>
      <c r="CO558" s="232">
        <f t="shared" ref="CO558:CO569" si="1288">IF($I558="x",CK558,"")</f>
        <v>60</v>
      </c>
      <c r="CP558" s="232" t="str">
        <f t="shared" ref="CP558:CP569" si="1289">IF($J558="x",CL558,"")</f>
        <v/>
      </c>
      <c r="CQ558" s="232" t="str">
        <f t="shared" ref="CQ558:CQ569" si="1290">IF($K558="x",CM558,"")</f>
        <v/>
      </c>
      <c r="CR558" s="232">
        <f>IF((MAX(CO558,CP558,CQ558))=0,"",IF((MAX(CO558,CP558,CQ558))=(MAX(CK558,CL558,CM558)),1,""))</f>
        <v>1</v>
      </c>
      <c r="CS558" s="232"/>
      <c r="CT558" s="371"/>
      <c r="CU558" s="296"/>
      <c r="CV558" s="246"/>
      <c r="CW558" s="264"/>
    </row>
    <row r="559" spans="1:101" x14ac:dyDescent="0.2">
      <c r="A559" s="264"/>
      <c r="B559" s="264"/>
      <c r="C559" s="202"/>
      <c r="D559" s="271">
        <v>2</v>
      </c>
      <c r="E559" s="167" t="s">
        <v>66</v>
      </c>
      <c r="F559" s="469">
        <v>1</v>
      </c>
      <c r="G559" s="474"/>
      <c r="H559" s="475">
        <v>1</v>
      </c>
      <c r="I559" s="389" t="str">
        <f t="shared" si="1250"/>
        <v/>
      </c>
      <c r="J559" s="390" t="str">
        <f t="shared" si="1251"/>
        <v>x</v>
      </c>
      <c r="K559" s="391" t="str">
        <f t="shared" si="1252"/>
        <v/>
      </c>
      <c r="L559" s="299"/>
      <c r="M559" s="375"/>
      <c r="N559" s="379"/>
      <c r="O559" s="236"/>
      <c r="P559" s="236"/>
      <c r="Q559" s="483">
        <v>40</v>
      </c>
      <c r="R559" s="484">
        <v>30</v>
      </c>
      <c r="S559" s="485">
        <f t="shared" ref="S559:S569" si="1291">IF(Q559="","",100-SUM(Q559:R559))</f>
        <v>30</v>
      </c>
      <c r="T559" s="371"/>
      <c r="U559" s="232" t="str">
        <f t="shared" si="1253"/>
        <v/>
      </c>
      <c r="V559" s="232">
        <f t="shared" si="1254"/>
        <v>30</v>
      </c>
      <c r="W559" s="232" t="str">
        <f t="shared" si="1255"/>
        <v/>
      </c>
      <c r="X559" s="232" t="str">
        <f t="shared" ref="X559:X569" si="1292">IF((MAX(U559,V559,W559))=0,"",IF((MAX(U559,V559,W559))=(MAX(Q559,R559,S559)),1,""))</f>
        <v/>
      </c>
      <c r="Y559" s="371"/>
      <c r="Z559" s="497">
        <v>80</v>
      </c>
      <c r="AA559" s="498">
        <v>10</v>
      </c>
      <c r="AB559" s="485">
        <f t="shared" si="1256"/>
        <v>10</v>
      </c>
      <c r="AC559" s="371"/>
      <c r="AD559" s="232" t="str">
        <f t="shared" si="1257"/>
        <v/>
      </c>
      <c r="AE559" s="232">
        <f t="shared" si="1258"/>
        <v>10</v>
      </c>
      <c r="AF559" s="232" t="str">
        <f t="shared" si="1259"/>
        <v/>
      </c>
      <c r="AG559" s="232" t="str">
        <f t="shared" ref="AG559:AG569" si="1293">IF((MAX(AD559,AE559,AF559))=0,"",IF((MAX(AD559,AE559,AF559))=(MAX(Z559,AA559,AB559)),1,""))</f>
        <v/>
      </c>
      <c r="AH559" s="371"/>
      <c r="AI559" s="497">
        <v>20</v>
      </c>
      <c r="AJ559" s="498">
        <v>20</v>
      </c>
      <c r="AK559" s="485">
        <f t="shared" si="1260"/>
        <v>60</v>
      </c>
      <c r="AL559" s="371"/>
      <c r="AM559" s="232" t="str">
        <f t="shared" si="1261"/>
        <v/>
      </c>
      <c r="AN559" s="232">
        <f t="shared" si="1262"/>
        <v>20</v>
      </c>
      <c r="AO559" s="232" t="str">
        <f t="shared" si="1263"/>
        <v/>
      </c>
      <c r="AP559" s="232" t="str">
        <f t="shared" ref="AP559:AP569" si="1294">IF((MAX(AM559,AN559,AO559))=0,"",IF((MAX(AM559,AN559,AO559))=(MAX(AI559,AJ559,AK559)),1,""))</f>
        <v/>
      </c>
      <c r="AQ559" s="371"/>
      <c r="AR559" s="497">
        <v>10</v>
      </c>
      <c r="AS559" s="498">
        <v>10</v>
      </c>
      <c r="AT559" s="485">
        <f t="shared" si="1264"/>
        <v>80</v>
      </c>
      <c r="AU559" s="371"/>
      <c r="AV559" s="232" t="str">
        <f t="shared" si="1265"/>
        <v/>
      </c>
      <c r="AW559" s="232">
        <f t="shared" si="1266"/>
        <v>10</v>
      </c>
      <c r="AX559" s="232" t="str">
        <f t="shared" si="1267"/>
        <v/>
      </c>
      <c r="AY559" s="232" t="str">
        <f t="shared" ref="AY559:AY569" si="1295">IF((MAX(AV559,AW559,AX559))=0,"",IF((MAX(AV559,AW559,AX559))=(MAX(AR559,AS559,AT559)),1,""))</f>
        <v/>
      </c>
      <c r="AZ559" s="371"/>
      <c r="BA559" s="497">
        <v>80</v>
      </c>
      <c r="BB559" s="498">
        <v>10</v>
      </c>
      <c r="BC559" s="485">
        <f t="shared" si="1268"/>
        <v>10</v>
      </c>
      <c r="BD559" s="371"/>
      <c r="BE559" s="232" t="str">
        <f t="shared" si="1269"/>
        <v/>
      </c>
      <c r="BF559" s="232">
        <f t="shared" si="1270"/>
        <v>10</v>
      </c>
      <c r="BG559" s="232" t="str">
        <f t="shared" si="1271"/>
        <v/>
      </c>
      <c r="BH559" s="232" t="str">
        <f t="shared" si="1272"/>
        <v/>
      </c>
      <c r="BI559" s="371"/>
      <c r="BJ559" s="497">
        <v>80</v>
      </c>
      <c r="BK559" s="498">
        <v>10</v>
      </c>
      <c r="BL559" s="485">
        <f t="shared" si="1273"/>
        <v>10</v>
      </c>
      <c r="BM559" s="371"/>
      <c r="BN559" s="232" t="str">
        <f t="shared" si="1274"/>
        <v/>
      </c>
      <c r="BO559" s="232">
        <f t="shared" si="1275"/>
        <v>10</v>
      </c>
      <c r="BP559" s="232" t="str">
        <f t="shared" si="1276"/>
        <v/>
      </c>
      <c r="BQ559" s="232" t="str">
        <f t="shared" ref="BQ559:BQ569" si="1296">IF((MAX(BN559,BO559,BP559))=0,"",IF((MAX(BN559,BO559,BP559))=(MAX(BJ559,BK559,BL559)),1,""))</f>
        <v/>
      </c>
      <c r="BR559" s="371"/>
      <c r="BS559" s="497">
        <v>20</v>
      </c>
      <c r="BT559" s="498">
        <v>30</v>
      </c>
      <c r="BU559" s="485">
        <f t="shared" si="1277"/>
        <v>50</v>
      </c>
      <c r="BV559" s="371"/>
      <c r="BW559" s="232" t="str">
        <f t="shared" si="1278"/>
        <v/>
      </c>
      <c r="BX559" s="232">
        <f t="shared" si="1279"/>
        <v>30</v>
      </c>
      <c r="BY559" s="232" t="str">
        <f t="shared" si="1280"/>
        <v/>
      </c>
      <c r="BZ559" s="232" t="str">
        <f t="shared" ref="BZ559:BZ569" si="1297">IF((MAX(BW559,BX559,BY559))=0,"",IF((MAX(BW559,BX559,BY559))=(MAX(BS559,BT559,BU559)),1,""))</f>
        <v/>
      </c>
      <c r="CA559" s="371"/>
      <c r="CB559" s="504">
        <f t="shared" si="1281"/>
        <v>50</v>
      </c>
      <c r="CC559" s="505">
        <f t="shared" si="1282"/>
        <v>10</v>
      </c>
      <c r="CD559" s="506">
        <f t="shared" si="1283"/>
        <v>40</v>
      </c>
      <c r="CE559" s="371"/>
      <c r="CF559" s="232" t="str">
        <f t="shared" si="1284"/>
        <v/>
      </c>
      <c r="CG559" s="232">
        <f t="shared" si="1285"/>
        <v>10</v>
      </c>
      <c r="CH559" s="232" t="str">
        <f t="shared" si="1286"/>
        <v/>
      </c>
      <c r="CI559" s="232" t="str">
        <f t="shared" ref="CI559:CI569" si="1298">IF((MAX(CF559,CG559,CH559))=0,"",IF((MAX(CF559,CG559,CH559))=(MAX(CB559,CC559,CD559)),1,""))</f>
        <v/>
      </c>
      <c r="CJ559" s="232"/>
      <c r="CK559" s="497">
        <v>60</v>
      </c>
      <c r="CL559" s="498">
        <v>10</v>
      </c>
      <c r="CM559" s="485">
        <f t="shared" si="1287"/>
        <v>30</v>
      </c>
      <c r="CN559" s="371"/>
      <c r="CO559" s="232" t="str">
        <f t="shared" si="1288"/>
        <v/>
      </c>
      <c r="CP559" s="232">
        <f t="shared" si="1289"/>
        <v>10</v>
      </c>
      <c r="CQ559" s="232" t="str">
        <f t="shared" si="1290"/>
        <v/>
      </c>
      <c r="CR559" s="232" t="str">
        <f t="shared" ref="CR559:CR569" si="1299">IF((MAX(CO559,CP559,CQ559))=0,"",IF((MAX(CO559,CP559,CQ559))=(MAX(CK559,CL559,CM559)),1,""))</f>
        <v/>
      </c>
      <c r="CS559" s="232"/>
      <c r="CT559" s="371"/>
      <c r="CU559" s="296"/>
      <c r="CV559" s="246"/>
      <c r="CW559" s="264"/>
    </row>
    <row r="560" spans="1:101" ht="13.5" thickBot="1" x14ac:dyDescent="0.25">
      <c r="A560" s="264"/>
      <c r="B560" s="264"/>
      <c r="C560" s="202"/>
      <c r="D560" s="271">
        <v>3</v>
      </c>
      <c r="E560" s="168" t="s">
        <v>352</v>
      </c>
      <c r="F560" s="470">
        <v>0</v>
      </c>
      <c r="G560" s="476"/>
      <c r="H560" s="477">
        <v>0</v>
      </c>
      <c r="I560" s="392" t="str">
        <f t="shared" si="1250"/>
        <v/>
      </c>
      <c r="J560" s="393" t="str">
        <f t="shared" si="1251"/>
        <v>x</v>
      </c>
      <c r="K560" s="394" t="str">
        <f t="shared" si="1252"/>
        <v/>
      </c>
      <c r="L560" s="299"/>
      <c r="M560" s="375"/>
      <c r="N560" s="379"/>
      <c r="O560" s="236"/>
      <c r="P560" s="236"/>
      <c r="Q560" s="486">
        <v>80</v>
      </c>
      <c r="R560" s="487">
        <v>10</v>
      </c>
      <c r="S560" s="488">
        <f t="shared" si="1291"/>
        <v>10</v>
      </c>
      <c r="T560" s="371"/>
      <c r="U560" s="232" t="str">
        <f t="shared" si="1253"/>
        <v/>
      </c>
      <c r="V560" s="232">
        <f t="shared" si="1254"/>
        <v>10</v>
      </c>
      <c r="W560" s="232" t="str">
        <f t="shared" si="1255"/>
        <v/>
      </c>
      <c r="X560" s="232" t="str">
        <f t="shared" si="1292"/>
        <v/>
      </c>
      <c r="Y560" s="371"/>
      <c r="Z560" s="499">
        <v>40</v>
      </c>
      <c r="AA560" s="500">
        <v>10</v>
      </c>
      <c r="AB560" s="488">
        <f t="shared" si="1256"/>
        <v>50</v>
      </c>
      <c r="AC560" s="371"/>
      <c r="AD560" s="232" t="str">
        <f t="shared" si="1257"/>
        <v/>
      </c>
      <c r="AE560" s="232">
        <f t="shared" si="1258"/>
        <v>10</v>
      </c>
      <c r="AF560" s="232" t="str">
        <f t="shared" si="1259"/>
        <v/>
      </c>
      <c r="AG560" s="232" t="str">
        <f t="shared" si="1293"/>
        <v/>
      </c>
      <c r="AH560" s="371"/>
      <c r="AI560" s="499">
        <v>60</v>
      </c>
      <c r="AJ560" s="500">
        <v>20</v>
      </c>
      <c r="AK560" s="488">
        <f t="shared" si="1260"/>
        <v>20</v>
      </c>
      <c r="AL560" s="371"/>
      <c r="AM560" s="232" t="str">
        <f t="shared" si="1261"/>
        <v/>
      </c>
      <c r="AN560" s="232">
        <f t="shared" si="1262"/>
        <v>20</v>
      </c>
      <c r="AO560" s="232" t="str">
        <f t="shared" si="1263"/>
        <v/>
      </c>
      <c r="AP560" s="232" t="str">
        <f t="shared" si="1294"/>
        <v/>
      </c>
      <c r="AQ560" s="371"/>
      <c r="AR560" s="499">
        <v>20</v>
      </c>
      <c r="AS560" s="500">
        <v>30</v>
      </c>
      <c r="AT560" s="488">
        <f t="shared" si="1264"/>
        <v>50</v>
      </c>
      <c r="AU560" s="371"/>
      <c r="AV560" s="232" t="str">
        <f t="shared" si="1265"/>
        <v/>
      </c>
      <c r="AW560" s="232">
        <f t="shared" si="1266"/>
        <v>30</v>
      </c>
      <c r="AX560" s="232" t="str">
        <f t="shared" si="1267"/>
        <v/>
      </c>
      <c r="AY560" s="232" t="str">
        <f t="shared" si="1295"/>
        <v/>
      </c>
      <c r="AZ560" s="371"/>
      <c r="BA560" s="499">
        <v>80</v>
      </c>
      <c r="BB560" s="500">
        <v>10</v>
      </c>
      <c r="BC560" s="488">
        <f t="shared" si="1268"/>
        <v>10</v>
      </c>
      <c r="BD560" s="371"/>
      <c r="BE560" s="232" t="str">
        <f t="shared" si="1269"/>
        <v/>
      </c>
      <c r="BF560" s="232">
        <f t="shared" si="1270"/>
        <v>10</v>
      </c>
      <c r="BG560" s="232" t="str">
        <f t="shared" si="1271"/>
        <v/>
      </c>
      <c r="BH560" s="232" t="str">
        <f t="shared" si="1272"/>
        <v/>
      </c>
      <c r="BI560" s="371"/>
      <c r="BJ560" s="499">
        <v>20</v>
      </c>
      <c r="BK560" s="500">
        <v>40</v>
      </c>
      <c r="BL560" s="488">
        <f t="shared" si="1273"/>
        <v>40</v>
      </c>
      <c r="BM560" s="371"/>
      <c r="BN560" s="232" t="str">
        <f t="shared" si="1274"/>
        <v/>
      </c>
      <c r="BO560" s="232">
        <f t="shared" si="1275"/>
        <v>40</v>
      </c>
      <c r="BP560" s="232" t="str">
        <f t="shared" si="1276"/>
        <v/>
      </c>
      <c r="BQ560" s="232">
        <f t="shared" si="1296"/>
        <v>1</v>
      </c>
      <c r="BR560" s="371"/>
      <c r="BS560" s="499">
        <v>20</v>
      </c>
      <c r="BT560" s="500">
        <v>60</v>
      </c>
      <c r="BU560" s="488">
        <f t="shared" si="1277"/>
        <v>20</v>
      </c>
      <c r="BV560" s="371"/>
      <c r="BW560" s="232" t="str">
        <f t="shared" si="1278"/>
        <v/>
      </c>
      <c r="BX560" s="232">
        <f t="shared" si="1279"/>
        <v>60</v>
      </c>
      <c r="BY560" s="232" t="str">
        <f t="shared" si="1280"/>
        <v/>
      </c>
      <c r="BZ560" s="232">
        <f t="shared" si="1297"/>
        <v>1</v>
      </c>
      <c r="CA560" s="371"/>
      <c r="CB560" s="507">
        <f t="shared" si="1281"/>
        <v>50</v>
      </c>
      <c r="CC560" s="508">
        <f t="shared" si="1282"/>
        <v>20</v>
      </c>
      <c r="CD560" s="509">
        <f t="shared" si="1283"/>
        <v>30</v>
      </c>
      <c r="CE560" s="371"/>
      <c r="CF560" s="232" t="str">
        <f t="shared" si="1284"/>
        <v/>
      </c>
      <c r="CG560" s="232">
        <f t="shared" si="1285"/>
        <v>20</v>
      </c>
      <c r="CH560" s="232" t="str">
        <f t="shared" si="1286"/>
        <v/>
      </c>
      <c r="CI560" s="232" t="str">
        <f t="shared" si="1298"/>
        <v/>
      </c>
      <c r="CJ560" s="232"/>
      <c r="CK560" s="499">
        <v>80</v>
      </c>
      <c r="CL560" s="500">
        <v>10</v>
      </c>
      <c r="CM560" s="488">
        <f t="shared" si="1287"/>
        <v>10</v>
      </c>
      <c r="CN560" s="371"/>
      <c r="CO560" s="232" t="str">
        <f t="shared" si="1288"/>
        <v/>
      </c>
      <c r="CP560" s="232">
        <f t="shared" si="1289"/>
        <v>10</v>
      </c>
      <c r="CQ560" s="232" t="str">
        <f t="shared" si="1290"/>
        <v/>
      </c>
      <c r="CR560" s="232" t="str">
        <f t="shared" si="1299"/>
        <v/>
      </c>
      <c r="CS560" s="232"/>
      <c r="CT560" s="371"/>
      <c r="CU560" s="296"/>
      <c r="CV560" s="246"/>
      <c r="CW560" s="264"/>
    </row>
    <row r="561" spans="1:101" x14ac:dyDescent="0.2">
      <c r="A561" s="264"/>
      <c r="B561" s="264"/>
      <c r="C561" s="202"/>
      <c r="D561" s="271">
        <v>4</v>
      </c>
      <c r="E561" s="166" t="s">
        <v>353</v>
      </c>
      <c r="F561" s="468">
        <v>3</v>
      </c>
      <c r="G561" s="472"/>
      <c r="H561" s="473">
        <v>0</v>
      </c>
      <c r="I561" s="170" t="str">
        <f t="shared" si="1250"/>
        <v>x</v>
      </c>
      <c r="J561" s="387" t="str">
        <f t="shared" si="1251"/>
        <v/>
      </c>
      <c r="K561" s="388" t="str">
        <f t="shared" si="1252"/>
        <v/>
      </c>
      <c r="L561" s="299"/>
      <c r="M561" s="375"/>
      <c r="N561" s="379"/>
      <c r="O561" s="236"/>
      <c r="P561" s="236"/>
      <c r="Q561" s="480">
        <v>20</v>
      </c>
      <c r="R561" s="481">
        <v>60</v>
      </c>
      <c r="S561" s="482">
        <f t="shared" si="1291"/>
        <v>20</v>
      </c>
      <c r="T561" s="371"/>
      <c r="U561" s="232">
        <f t="shared" si="1253"/>
        <v>20</v>
      </c>
      <c r="V561" s="232" t="str">
        <f t="shared" si="1254"/>
        <v/>
      </c>
      <c r="W561" s="232" t="str">
        <f t="shared" si="1255"/>
        <v/>
      </c>
      <c r="X561" s="232" t="str">
        <f t="shared" si="1292"/>
        <v/>
      </c>
      <c r="Y561" s="371"/>
      <c r="Z561" s="495">
        <v>10</v>
      </c>
      <c r="AA561" s="496">
        <v>10</v>
      </c>
      <c r="AB561" s="482">
        <f t="shared" si="1256"/>
        <v>80</v>
      </c>
      <c r="AC561" s="371"/>
      <c r="AD561" s="232">
        <f t="shared" si="1257"/>
        <v>10</v>
      </c>
      <c r="AE561" s="232" t="str">
        <f t="shared" si="1258"/>
        <v/>
      </c>
      <c r="AF561" s="232" t="str">
        <f t="shared" si="1259"/>
        <v/>
      </c>
      <c r="AG561" s="232" t="str">
        <f t="shared" si="1293"/>
        <v/>
      </c>
      <c r="AH561" s="371"/>
      <c r="AI561" s="495">
        <v>30</v>
      </c>
      <c r="AJ561" s="496">
        <v>30</v>
      </c>
      <c r="AK561" s="482">
        <f t="shared" si="1260"/>
        <v>40</v>
      </c>
      <c r="AL561" s="371"/>
      <c r="AM561" s="232">
        <f t="shared" si="1261"/>
        <v>30</v>
      </c>
      <c r="AN561" s="232" t="str">
        <f t="shared" si="1262"/>
        <v/>
      </c>
      <c r="AO561" s="232" t="str">
        <f t="shared" si="1263"/>
        <v/>
      </c>
      <c r="AP561" s="232" t="str">
        <f t="shared" si="1294"/>
        <v/>
      </c>
      <c r="AQ561" s="371"/>
      <c r="AR561" s="495">
        <v>20</v>
      </c>
      <c r="AS561" s="496">
        <v>30</v>
      </c>
      <c r="AT561" s="482">
        <f t="shared" si="1264"/>
        <v>50</v>
      </c>
      <c r="AU561" s="371"/>
      <c r="AV561" s="232">
        <f t="shared" si="1265"/>
        <v>20</v>
      </c>
      <c r="AW561" s="232" t="str">
        <f t="shared" si="1266"/>
        <v/>
      </c>
      <c r="AX561" s="232" t="str">
        <f t="shared" si="1267"/>
        <v/>
      </c>
      <c r="AY561" s="232" t="str">
        <f t="shared" si="1295"/>
        <v/>
      </c>
      <c r="AZ561" s="371"/>
      <c r="BA561" s="495">
        <v>10</v>
      </c>
      <c r="BB561" s="496">
        <v>10</v>
      </c>
      <c r="BC561" s="482">
        <f t="shared" si="1268"/>
        <v>80</v>
      </c>
      <c r="BD561" s="371"/>
      <c r="BE561" s="232">
        <f t="shared" si="1269"/>
        <v>10</v>
      </c>
      <c r="BF561" s="232" t="str">
        <f t="shared" si="1270"/>
        <v/>
      </c>
      <c r="BG561" s="232" t="str">
        <f t="shared" si="1271"/>
        <v/>
      </c>
      <c r="BH561" s="232" t="str">
        <f t="shared" si="1272"/>
        <v/>
      </c>
      <c r="BI561" s="371"/>
      <c r="BJ561" s="495">
        <v>70</v>
      </c>
      <c r="BK561" s="496">
        <v>20</v>
      </c>
      <c r="BL561" s="482">
        <f t="shared" si="1273"/>
        <v>10</v>
      </c>
      <c r="BM561" s="371"/>
      <c r="BN561" s="232">
        <f t="shared" si="1274"/>
        <v>70</v>
      </c>
      <c r="BO561" s="232" t="str">
        <f t="shared" si="1275"/>
        <v/>
      </c>
      <c r="BP561" s="232" t="str">
        <f t="shared" si="1276"/>
        <v/>
      </c>
      <c r="BQ561" s="232">
        <f t="shared" si="1296"/>
        <v>1</v>
      </c>
      <c r="BR561" s="371"/>
      <c r="BS561" s="495">
        <v>30</v>
      </c>
      <c r="BT561" s="496">
        <v>20</v>
      </c>
      <c r="BU561" s="482">
        <f t="shared" si="1277"/>
        <v>50</v>
      </c>
      <c r="BV561" s="371"/>
      <c r="BW561" s="232">
        <f t="shared" si="1278"/>
        <v>30</v>
      </c>
      <c r="BX561" s="232" t="str">
        <f t="shared" si="1279"/>
        <v/>
      </c>
      <c r="BY561" s="232" t="str">
        <f t="shared" si="1280"/>
        <v/>
      </c>
      <c r="BZ561" s="232" t="str">
        <f t="shared" si="1297"/>
        <v/>
      </c>
      <c r="CA561" s="371"/>
      <c r="CB561" s="501">
        <f t="shared" si="1281"/>
        <v>30</v>
      </c>
      <c r="CC561" s="502">
        <f t="shared" si="1282"/>
        <v>20</v>
      </c>
      <c r="CD561" s="503">
        <f t="shared" si="1283"/>
        <v>50</v>
      </c>
      <c r="CE561" s="371"/>
      <c r="CF561" s="232">
        <f t="shared" si="1284"/>
        <v>30</v>
      </c>
      <c r="CG561" s="232" t="str">
        <f t="shared" si="1285"/>
        <v/>
      </c>
      <c r="CH561" s="232" t="str">
        <f t="shared" si="1286"/>
        <v/>
      </c>
      <c r="CI561" s="232" t="str">
        <f t="shared" si="1298"/>
        <v/>
      </c>
      <c r="CJ561" s="232"/>
      <c r="CK561" s="495">
        <v>20</v>
      </c>
      <c r="CL561" s="496">
        <v>10</v>
      </c>
      <c r="CM561" s="482">
        <f t="shared" si="1287"/>
        <v>70</v>
      </c>
      <c r="CN561" s="371"/>
      <c r="CO561" s="232">
        <f t="shared" si="1288"/>
        <v>20</v>
      </c>
      <c r="CP561" s="232" t="str">
        <f t="shared" si="1289"/>
        <v/>
      </c>
      <c r="CQ561" s="232" t="str">
        <f t="shared" si="1290"/>
        <v/>
      </c>
      <c r="CR561" s="232" t="str">
        <f t="shared" si="1299"/>
        <v/>
      </c>
      <c r="CS561" s="232"/>
      <c r="CT561" s="371"/>
      <c r="CU561" s="296"/>
      <c r="CV561" s="246"/>
      <c r="CW561" s="264"/>
    </row>
    <row r="562" spans="1:101" x14ac:dyDescent="0.2">
      <c r="A562" s="264"/>
      <c r="B562" s="264"/>
      <c r="C562" s="202"/>
      <c r="D562" s="271">
        <v>5</v>
      </c>
      <c r="E562" s="167" t="s">
        <v>354</v>
      </c>
      <c r="F562" s="469">
        <v>3</v>
      </c>
      <c r="G562" s="474"/>
      <c r="H562" s="475">
        <v>1</v>
      </c>
      <c r="I562" s="389" t="str">
        <f t="shared" si="1250"/>
        <v>x</v>
      </c>
      <c r="J562" s="390" t="str">
        <f t="shared" si="1251"/>
        <v/>
      </c>
      <c r="K562" s="391" t="str">
        <f t="shared" si="1252"/>
        <v/>
      </c>
      <c r="L562" s="299"/>
      <c r="M562" s="375"/>
      <c r="N562" s="379"/>
      <c r="O562" s="236"/>
      <c r="P562" s="236"/>
      <c r="Q562" s="483">
        <v>70</v>
      </c>
      <c r="R562" s="484">
        <v>20</v>
      </c>
      <c r="S562" s="485">
        <f t="shared" si="1291"/>
        <v>10</v>
      </c>
      <c r="T562" s="371"/>
      <c r="U562" s="232">
        <f t="shared" si="1253"/>
        <v>70</v>
      </c>
      <c r="V562" s="232" t="str">
        <f t="shared" si="1254"/>
        <v/>
      </c>
      <c r="W562" s="232" t="str">
        <f t="shared" si="1255"/>
        <v/>
      </c>
      <c r="X562" s="232">
        <f t="shared" si="1292"/>
        <v>1</v>
      </c>
      <c r="Y562" s="371"/>
      <c r="Z562" s="497">
        <v>80</v>
      </c>
      <c r="AA562" s="498">
        <v>10</v>
      </c>
      <c r="AB562" s="485">
        <f t="shared" si="1256"/>
        <v>10</v>
      </c>
      <c r="AC562" s="371"/>
      <c r="AD562" s="232">
        <f t="shared" si="1257"/>
        <v>80</v>
      </c>
      <c r="AE562" s="232" t="str">
        <f t="shared" si="1258"/>
        <v/>
      </c>
      <c r="AF562" s="232" t="str">
        <f t="shared" si="1259"/>
        <v/>
      </c>
      <c r="AG562" s="232">
        <f t="shared" si="1293"/>
        <v>1</v>
      </c>
      <c r="AH562" s="371"/>
      <c r="AI562" s="497">
        <v>80</v>
      </c>
      <c r="AJ562" s="498">
        <v>10</v>
      </c>
      <c r="AK562" s="485">
        <f t="shared" si="1260"/>
        <v>10</v>
      </c>
      <c r="AL562" s="371"/>
      <c r="AM562" s="232">
        <f t="shared" si="1261"/>
        <v>80</v>
      </c>
      <c r="AN562" s="232" t="str">
        <f t="shared" si="1262"/>
        <v/>
      </c>
      <c r="AO562" s="232" t="str">
        <f t="shared" si="1263"/>
        <v/>
      </c>
      <c r="AP562" s="232">
        <f t="shared" si="1294"/>
        <v>1</v>
      </c>
      <c r="AQ562" s="371"/>
      <c r="AR562" s="497">
        <v>80</v>
      </c>
      <c r="AS562" s="498">
        <v>10</v>
      </c>
      <c r="AT562" s="485">
        <f t="shared" si="1264"/>
        <v>10</v>
      </c>
      <c r="AU562" s="371"/>
      <c r="AV562" s="232">
        <f t="shared" si="1265"/>
        <v>80</v>
      </c>
      <c r="AW562" s="232" t="str">
        <f t="shared" si="1266"/>
        <v/>
      </c>
      <c r="AX562" s="232" t="str">
        <f t="shared" si="1267"/>
        <v/>
      </c>
      <c r="AY562" s="232">
        <f t="shared" si="1295"/>
        <v>1</v>
      </c>
      <c r="AZ562" s="371"/>
      <c r="BA562" s="497">
        <v>80</v>
      </c>
      <c r="BB562" s="498">
        <v>10</v>
      </c>
      <c r="BC562" s="485">
        <f t="shared" si="1268"/>
        <v>10</v>
      </c>
      <c r="BD562" s="371"/>
      <c r="BE562" s="232">
        <f t="shared" si="1269"/>
        <v>80</v>
      </c>
      <c r="BF562" s="232" t="str">
        <f t="shared" si="1270"/>
        <v/>
      </c>
      <c r="BG562" s="232" t="str">
        <f t="shared" si="1271"/>
        <v/>
      </c>
      <c r="BH562" s="232">
        <f t="shared" si="1272"/>
        <v>1</v>
      </c>
      <c r="BI562" s="371"/>
      <c r="BJ562" s="497">
        <v>20</v>
      </c>
      <c r="BK562" s="498">
        <v>60</v>
      </c>
      <c r="BL562" s="485">
        <f t="shared" si="1273"/>
        <v>20</v>
      </c>
      <c r="BM562" s="371"/>
      <c r="BN562" s="232">
        <f t="shared" si="1274"/>
        <v>20</v>
      </c>
      <c r="BO562" s="232" t="str">
        <f t="shared" si="1275"/>
        <v/>
      </c>
      <c r="BP562" s="232" t="str">
        <f t="shared" si="1276"/>
        <v/>
      </c>
      <c r="BQ562" s="232" t="str">
        <f t="shared" si="1296"/>
        <v/>
      </c>
      <c r="BR562" s="371"/>
      <c r="BS562" s="497">
        <v>70</v>
      </c>
      <c r="BT562" s="498">
        <v>10</v>
      </c>
      <c r="BU562" s="485">
        <f t="shared" si="1277"/>
        <v>20</v>
      </c>
      <c r="BV562" s="371"/>
      <c r="BW562" s="232">
        <f t="shared" si="1278"/>
        <v>70</v>
      </c>
      <c r="BX562" s="232" t="str">
        <f t="shared" si="1279"/>
        <v/>
      </c>
      <c r="BY562" s="232" t="str">
        <f t="shared" si="1280"/>
        <v/>
      </c>
      <c r="BZ562" s="232">
        <f t="shared" si="1297"/>
        <v>1</v>
      </c>
      <c r="CA562" s="371"/>
      <c r="CB562" s="504">
        <f t="shared" si="1281"/>
        <v>70</v>
      </c>
      <c r="CC562" s="505">
        <f t="shared" si="1282"/>
        <v>10</v>
      </c>
      <c r="CD562" s="506">
        <f t="shared" si="1283"/>
        <v>20</v>
      </c>
      <c r="CE562" s="371"/>
      <c r="CF562" s="232">
        <f t="shared" si="1284"/>
        <v>70</v>
      </c>
      <c r="CG562" s="232" t="str">
        <f t="shared" si="1285"/>
        <v/>
      </c>
      <c r="CH562" s="232" t="str">
        <f t="shared" si="1286"/>
        <v/>
      </c>
      <c r="CI562" s="232">
        <f t="shared" si="1298"/>
        <v>1</v>
      </c>
      <c r="CJ562" s="232"/>
      <c r="CK562" s="497">
        <v>80</v>
      </c>
      <c r="CL562" s="498">
        <v>10</v>
      </c>
      <c r="CM562" s="485">
        <f t="shared" si="1287"/>
        <v>10</v>
      </c>
      <c r="CN562" s="371"/>
      <c r="CO562" s="232">
        <f t="shared" si="1288"/>
        <v>80</v>
      </c>
      <c r="CP562" s="232" t="str">
        <f t="shared" si="1289"/>
        <v/>
      </c>
      <c r="CQ562" s="232" t="str">
        <f t="shared" si="1290"/>
        <v/>
      </c>
      <c r="CR562" s="232">
        <f t="shared" si="1299"/>
        <v>1</v>
      </c>
      <c r="CS562" s="232"/>
      <c r="CT562" s="371"/>
      <c r="CU562" s="296"/>
      <c r="CV562" s="246"/>
      <c r="CW562" s="264"/>
    </row>
    <row r="563" spans="1:101" ht="13.5" thickBot="1" x14ac:dyDescent="0.25">
      <c r="A563" s="264"/>
      <c r="B563" s="264"/>
      <c r="C563" s="202"/>
      <c r="D563" s="271">
        <v>6</v>
      </c>
      <c r="E563" s="168" t="s">
        <v>355</v>
      </c>
      <c r="F563" s="470">
        <v>0</v>
      </c>
      <c r="G563" s="476"/>
      <c r="H563" s="477">
        <v>1</v>
      </c>
      <c r="I563" s="392" t="str">
        <f t="shared" si="1250"/>
        <v/>
      </c>
      <c r="J563" s="393" t="str">
        <f t="shared" si="1251"/>
        <v/>
      </c>
      <c r="K563" s="394" t="str">
        <f t="shared" si="1252"/>
        <v>x</v>
      </c>
      <c r="L563" s="299"/>
      <c r="M563" s="375"/>
      <c r="N563" s="379"/>
      <c r="O563" s="236"/>
      <c r="P563" s="236"/>
      <c r="Q563" s="489">
        <v>80</v>
      </c>
      <c r="R563" s="490">
        <v>10</v>
      </c>
      <c r="S563" s="491">
        <f t="shared" si="1291"/>
        <v>10</v>
      </c>
      <c r="T563" s="371"/>
      <c r="U563" s="232" t="str">
        <f t="shared" si="1253"/>
        <v/>
      </c>
      <c r="V563" s="232" t="str">
        <f t="shared" si="1254"/>
        <v/>
      </c>
      <c r="W563" s="232">
        <f t="shared" si="1255"/>
        <v>10</v>
      </c>
      <c r="X563" s="232" t="str">
        <f t="shared" si="1292"/>
        <v/>
      </c>
      <c r="Y563" s="371"/>
      <c r="Z563" s="499">
        <v>80</v>
      </c>
      <c r="AA563" s="500">
        <v>10</v>
      </c>
      <c r="AB563" s="491">
        <f t="shared" si="1256"/>
        <v>10</v>
      </c>
      <c r="AC563" s="371"/>
      <c r="AD563" s="232" t="str">
        <f t="shared" si="1257"/>
        <v/>
      </c>
      <c r="AE563" s="232" t="str">
        <f t="shared" si="1258"/>
        <v/>
      </c>
      <c r="AF563" s="232">
        <f t="shared" si="1259"/>
        <v>10</v>
      </c>
      <c r="AG563" s="232" t="str">
        <f t="shared" si="1293"/>
        <v/>
      </c>
      <c r="AH563" s="371"/>
      <c r="AI563" s="499">
        <v>70</v>
      </c>
      <c r="AJ563" s="500">
        <v>20</v>
      </c>
      <c r="AK563" s="491">
        <f t="shared" si="1260"/>
        <v>10</v>
      </c>
      <c r="AL563" s="371"/>
      <c r="AM563" s="232" t="str">
        <f t="shared" si="1261"/>
        <v/>
      </c>
      <c r="AN563" s="232" t="str">
        <f t="shared" si="1262"/>
        <v/>
      </c>
      <c r="AO563" s="232">
        <f t="shared" si="1263"/>
        <v>10</v>
      </c>
      <c r="AP563" s="232" t="str">
        <f t="shared" si="1294"/>
        <v/>
      </c>
      <c r="AQ563" s="371"/>
      <c r="AR563" s="499">
        <v>60</v>
      </c>
      <c r="AS563" s="500">
        <v>30</v>
      </c>
      <c r="AT563" s="491">
        <f t="shared" si="1264"/>
        <v>10</v>
      </c>
      <c r="AU563" s="371"/>
      <c r="AV563" s="232" t="str">
        <f t="shared" si="1265"/>
        <v/>
      </c>
      <c r="AW563" s="232" t="str">
        <f t="shared" si="1266"/>
        <v/>
      </c>
      <c r="AX563" s="232">
        <f t="shared" si="1267"/>
        <v>10</v>
      </c>
      <c r="AY563" s="232" t="str">
        <f t="shared" si="1295"/>
        <v/>
      </c>
      <c r="AZ563" s="371"/>
      <c r="BA563" s="499">
        <v>80</v>
      </c>
      <c r="BB563" s="500">
        <v>10</v>
      </c>
      <c r="BC563" s="491">
        <f t="shared" si="1268"/>
        <v>10</v>
      </c>
      <c r="BD563" s="371"/>
      <c r="BE563" s="232" t="str">
        <f t="shared" si="1269"/>
        <v/>
      </c>
      <c r="BF563" s="232" t="str">
        <f t="shared" si="1270"/>
        <v/>
      </c>
      <c r="BG563" s="232">
        <f t="shared" si="1271"/>
        <v>10</v>
      </c>
      <c r="BH563" s="232" t="str">
        <f t="shared" si="1272"/>
        <v/>
      </c>
      <c r="BI563" s="371"/>
      <c r="BJ563" s="499">
        <v>80</v>
      </c>
      <c r="BK563" s="500">
        <v>10</v>
      </c>
      <c r="BL563" s="491">
        <f t="shared" si="1273"/>
        <v>10</v>
      </c>
      <c r="BM563" s="371"/>
      <c r="BN563" s="232" t="str">
        <f t="shared" si="1274"/>
        <v/>
      </c>
      <c r="BO563" s="232" t="str">
        <f t="shared" si="1275"/>
        <v/>
      </c>
      <c r="BP563" s="232">
        <f t="shared" si="1276"/>
        <v>10</v>
      </c>
      <c r="BQ563" s="232" t="str">
        <f t="shared" si="1296"/>
        <v/>
      </c>
      <c r="BR563" s="371"/>
      <c r="BS563" s="499">
        <v>50</v>
      </c>
      <c r="BT563" s="500">
        <v>10</v>
      </c>
      <c r="BU563" s="491">
        <f t="shared" si="1277"/>
        <v>40</v>
      </c>
      <c r="BV563" s="371"/>
      <c r="BW563" s="232" t="str">
        <f t="shared" si="1278"/>
        <v/>
      </c>
      <c r="BX563" s="232" t="str">
        <f t="shared" si="1279"/>
        <v/>
      </c>
      <c r="BY563" s="232">
        <f t="shared" si="1280"/>
        <v>40</v>
      </c>
      <c r="BZ563" s="232" t="str">
        <f t="shared" si="1297"/>
        <v/>
      </c>
      <c r="CA563" s="371"/>
      <c r="CB563" s="507">
        <f t="shared" si="1281"/>
        <v>80</v>
      </c>
      <c r="CC563" s="508">
        <f t="shared" si="1282"/>
        <v>10</v>
      </c>
      <c r="CD563" s="509">
        <f t="shared" si="1283"/>
        <v>10</v>
      </c>
      <c r="CE563" s="371"/>
      <c r="CF563" s="232" t="str">
        <f t="shared" si="1284"/>
        <v/>
      </c>
      <c r="CG563" s="232" t="str">
        <f t="shared" si="1285"/>
        <v/>
      </c>
      <c r="CH563" s="232">
        <f t="shared" si="1286"/>
        <v>10</v>
      </c>
      <c r="CI563" s="232" t="str">
        <f t="shared" si="1298"/>
        <v/>
      </c>
      <c r="CJ563" s="232"/>
      <c r="CK563" s="499">
        <v>80</v>
      </c>
      <c r="CL563" s="500">
        <v>10</v>
      </c>
      <c r="CM563" s="491">
        <f t="shared" si="1287"/>
        <v>10</v>
      </c>
      <c r="CN563" s="371"/>
      <c r="CO563" s="232" t="str">
        <f t="shared" si="1288"/>
        <v/>
      </c>
      <c r="CP563" s="232" t="str">
        <f t="shared" si="1289"/>
        <v/>
      </c>
      <c r="CQ563" s="232">
        <f t="shared" si="1290"/>
        <v>10</v>
      </c>
      <c r="CR563" s="232" t="str">
        <f t="shared" si="1299"/>
        <v/>
      </c>
      <c r="CS563" s="232"/>
      <c r="CT563" s="371"/>
      <c r="CU563" s="296"/>
      <c r="CV563" s="246"/>
      <c r="CW563" s="264"/>
    </row>
    <row r="564" spans="1:101" x14ac:dyDescent="0.2">
      <c r="A564" s="264"/>
      <c r="B564" s="264"/>
      <c r="C564" s="202"/>
      <c r="D564" s="271">
        <v>7</v>
      </c>
      <c r="E564" s="166" t="s">
        <v>356</v>
      </c>
      <c r="F564" s="468">
        <v>0</v>
      </c>
      <c r="G564" s="472"/>
      <c r="H564" s="473">
        <v>1</v>
      </c>
      <c r="I564" s="170" t="str">
        <f t="shared" si="1250"/>
        <v/>
      </c>
      <c r="J564" s="387" t="str">
        <f t="shared" si="1251"/>
        <v/>
      </c>
      <c r="K564" s="388" t="str">
        <f t="shared" si="1252"/>
        <v>x</v>
      </c>
      <c r="L564" s="299"/>
      <c r="M564" s="375"/>
      <c r="N564" s="379"/>
      <c r="O564" s="236"/>
      <c r="P564" s="236"/>
      <c r="Q564" s="480">
        <v>20</v>
      </c>
      <c r="R564" s="481">
        <v>70</v>
      </c>
      <c r="S564" s="482">
        <f t="shared" si="1291"/>
        <v>10</v>
      </c>
      <c r="T564" s="371"/>
      <c r="U564" s="232" t="str">
        <f t="shared" si="1253"/>
        <v/>
      </c>
      <c r="V564" s="232" t="str">
        <f t="shared" si="1254"/>
        <v/>
      </c>
      <c r="W564" s="232">
        <f t="shared" si="1255"/>
        <v>10</v>
      </c>
      <c r="X564" s="232" t="str">
        <f t="shared" si="1292"/>
        <v/>
      </c>
      <c r="Y564" s="371"/>
      <c r="Z564" s="495">
        <v>40</v>
      </c>
      <c r="AA564" s="496">
        <v>50</v>
      </c>
      <c r="AB564" s="482">
        <f t="shared" si="1256"/>
        <v>10</v>
      </c>
      <c r="AC564" s="371"/>
      <c r="AD564" s="232" t="str">
        <f t="shared" si="1257"/>
        <v/>
      </c>
      <c r="AE564" s="232" t="str">
        <f t="shared" si="1258"/>
        <v/>
      </c>
      <c r="AF564" s="232">
        <f t="shared" si="1259"/>
        <v>10</v>
      </c>
      <c r="AG564" s="232" t="str">
        <f t="shared" si="1293"/>
        <v/>
      </c>
      <c r="AH564" s="371"/>
      <c r="AI564" s="495">
        <v>40</v>
      </c>
      <c r="AJ564" s="496">
        <v>30</v>
      </c>
      <c r="AK564" s="482">
        <f t="shared" si="1260"/>
        <v>30</v>
      </c>
      <c r="AL564" s="371"/>
      <c r="AM564" s="232" t="str">
        <f t="shared" si="1261"/>
        <v/>
      </c>
      <c r="AN564" s="232" t="str">
        <f t="shared" si="1262"/>
        <v/>
      </c>
      <c r="AO564" s="232">
        <f t="shared" si="1263"/>
        <v>30</v>
      </c>
      <c r="AP564" s="232" t="str">
        <f t="shared" si="1294"/>
        <v/>
      </c>
      <c r="AQ564" s="371"/>
      <c r="AR564" s="495">
        <v>20</v>
      </c>
      <c r="AS564" s="496">
        <v>30</v>
      </c>
      <c r="AT564" s="482">
        <f t="shared" si="1264"/>
        <v>50</v>
      </c>
      <c r="AU564" s="371"/>
      <c r="AV564" s="232" t="str">
        <f t="shared" si="1265"/>
        <v/>
      </c>
      <c r="AW564" s="232" t="str">
        <f t="shared" si="1266"/>
        <v/>
      </c>
      <c r="AX564" s="232">
        <f t="shared" si="1267"/>
        <v>50</v>
      </c>
      <c r="AY564" s="232">
        <f t="shared" si="1295"/>
        <v>1</v>
      </c>
      <c r="AZ564" s="371"/>
      <c r="BA564" s="495">
        <v>10</v>
      </c>
      <c r="BB564" s="496">
        <v>10</v>
      </c>
      <c r="BC564" s="482">
        <f t="shared" si="1268"/>
        <v>80</v>
      </c>
      <c r="BD564" s="371"/>
      <c r="BE564" s="232" t="str">
        <f t="shared" si="1269"/>
        <v/>
      </c>
      <c r="BF564" s="232" t="str">
        <f t="shared" si="1270"/>
        <v/>
      </c>
      <c r="BG564" s="232">
        <f t="shared" si="1271"/>
        <v>80</v>
      </c>
      <c r="BH564" s="232">
        <f t="shared" si="1272"/>
        <v>1</v>
      </c>
      <c r="BI564" s="371"/>
      <c r="BJ564" s="495">
        <v>30</v>
      </c>
      <c r="BK564" s="496">
        <v>10</v>
      </c>
      <c r="BL564" s="482">
        <f t="shared" si="1273"/>
        <v>60</v>
      </c>
      <c r="BM564" s="371"/>
      <c r="BN564" s="232" t="str">
        <f t="shared" si="1274"/>
        <v/>
      </c>
      <c r="BO564" s="232" t="str">
        <f t="shared" si="1275"/>
        <v/>
      </c>
      <c r="BP564" s="232">
        <f t="shared" si="1276"/>
        <v>60</v>
      </c>
      <c r="BQ564" s="232">
        <f t="shared" si="1296"/>
        <v>1</v>
      </c>
      <c r="BR564" s="371"/>
      <c r="BS564" s="495">
        <v>40</v>
      </c>
      <c r="BT564" s="496">
        <v>30</v>
      </c>
      <c r="BU564" s="482">
        <f t="shared" si="1277"/>
        <v>30</v>
      </c>
      <c r="BV564" s="371"/>
      <c r="BW564" s="232" t="str">
        <f t="shared" si="1278"/>
        <v/>
      </c>
      <c r="BX564" s="232" t="str">
        <f t="shared" si="1279"/>
        <v/>
      </c>
      <c r="BY564" s="232">
        <f t="shared" si="1280"/>
        <v>30</v>
      </c>
      <c r="BZ564" s="232" t="str">
        <f t="shared" si="1297"/>
        <v/>
      </c>
      <c r="CA564" s="371"/>
      <c r="CB564" s="501">
        <f t="shared" si="1281"/>
        <v>30</v>
      </c>
      <c r="CC564" s="502">
        <f t="shared" si="1282"/>
        <v>30</v>
      </c>
      <c r="CD564" s="503">
        <f t="shared" si="1283"/>
        <v>40</v>
      </c>
      <c r="CE564" s="371"/>
      <c r="CF564" s="232" t="str">
        <f t="shared" si="1284"/>
        <v/>
      </c>
      <c r="CG564" s="232" t="str">
        <f t="shared" si="1285"/>
        <v/>
      </c>
      <c r="CH564" s="232">
        <f t="shared" si="1286"/>
        <v>40</v>
      </c>
      <c r="CI564" s="232">
        <f t="shared" si="1298"/>
        <v>1</v>
      </c>
      <c r="CJ564" s="232"/>
      <c r="CK564" s="495">
        <v>20</v>
      </c>
      <c r="CL564" s="496">
        <v>70</v>
      </c>
      <c r="CM564" s="482">
        <f t="shared" si="1287"/>
        <v>10</v>
      </c>
      <c r="CN564" s="371"/>
      <c r="CO564" s="232" t="str">
        <f t="shared" si="1288"/>
        <v/>
      </c>
      <c r="CP564" s="232" t="str">
        <f t="shared" si="1289"/>
        <v/>
      </c>
      <c r="CQ564" s="232">
        <f t="shared" si="1290"/>
        <v>10</v>
      </c>
      <c r="CR564" s="232" t="str">
        <f t="shared" si="1299"/>
        <v/>
      </c>
      <c r="CS564" s="232"/>
      <c r="CT564" s="371"/>
      <c r="CU564" s="300"/>
      <c r="CV564" s="246"/>
      <c r="CW564" s="264"/>
    </row>
    <row r="565" spans="1:101" x14ac:dyDescent="0.2">
      <c r="A565" s="264"/>
      <c r="B565" s="264"/>
      <c r="C565" s="202"/>
      <c r="D565" s="271">
        <v>8</v>
      </c>
      <c r="E565" s="167" t="s">
        <v>357</v>
      </c>
      <c r="F565" s="469">
        <v>6</v>
      </c>
      <c r="G565" s="474"/>
      <c r="H565" s="475">
        <v>1</v>
      </c>
      <c r="I565" s="389" t="str">
        <f t="shared" si="1250"/>
        <v>x</v>
      </c>
      <c r="J565" s="390" t="str">
        <f t="shared" si="1251"/>
        <v/>
      </c>
      <c r="K565" s="391" t="str">
        <f t="shared" si="1252"/>
        <v/>
      </c>
      <c r="L565" s="299"/>
      <c r="M565" s="375"/>
      <c r="N565" s="379"/>
      <c r="O565" s="236"/>
      <c r="P565" s="236"/>
      <c r="Q565" s="483">
        <v>80</v>
      </c>
      <c r="R565" s="484">
        <v>10</v>
      </c>
      <c r="S565" s="485">
        <f t="shared" si="1291"/>
        <v>10</v>
      </c>
      <c r="T565" s="371"/>
      <c r="U565" s="232">
        <f t="shared" si="1253"/>
        <v>80</v>
      </c>
      <c r="V565" s="232" t="str">
        <f t="shared" si="1254"/>
        <v/>
      </c>
      <c r="W565" s="232" t="str">
        <f t="shared" si="1255"/>
        <v/>
      </c>
      <c r="X565" s="232">
        <f t="shared" si="1292"/>
        <v>1</v>
      </c>
      <c r="Y565" s="371"/>
      <c r="Z565" s="497">
        <v>80</v>
      </c>
      <c r="AA565" s="498">
        <v>10</v>
      </c>
      <c r="AB565" s="485">
        <f t="shared" si="1256"/>
        <v>10</v>
      </c>
      <c r="AC565" s="371"/>
      <c r="AD565" s="232">
        <f t="shared" si="1257"/>
        <v>80</v>
      </c>
      <c r="AE565" s="232" t="str">
        <f t="shared" si="1258"/>
        <v/>
      </c>
      <c r="AF565" s="232" t="str">
        <f t="shared" si="1259"/>
        <v/>
      </c>
      <c r="AG565" s="232">
        <f t="shared" si="1293"/>
        <v>1</v>
      </c>
      <c r="AH565" s="371"/>
      <c r="AI565" s="497">
        <v>50</v>
      </c>
      <c r="AJ565" s="498">
        <v>20</v>
      </c>
      <c r="AK565" s="485">
        <f t="shared" si="1260"/>
        <v>30</v>
      </c>
      <c r="AL565" s="371"/>
      <c r="AM565" s="232">
        <f t="shared" si="1261"/>
        <v>50</v>
      </c>
      <c r="AN565" s="232" t="str">
        <f t="shared" si="1262"/>
        <v/>
      </c>
      <c r="AO565" s="232" t="str">
        <f t="shared" si="1263"/>
        <v/>
      </c>
      <c r="AP565" s="232">
        <f t="shared" si="1294"/>
        <v>1</v>
      </c>
      <c r="AQ565" s="371"/>
      <c r="AR565" s="497">
        <v>50</v>
      </c>
      <c r="AS565" s="498">
        <v>30</v>
      </c>
      <c r="AT565" s="485">
        <f t="shared" si="1264"/>
        <v>20</v>
      </c>
      <c r="AU565" s="371"/>
      <c r="AV565" s="232">
        <f t="shared" si="1265"/>
        <v>50</v>
      </c>
      <c r="AW565" s="232" t="str">
        <f t="shared" si="1266"/>
        <v/>
      </c>
      <c r="AX565" s="232" t="str">
        <f t="shared" si="1267"/>
        <v/>
      </c>
      <c r="AY565" s="232">
        <f t="shared" si="1295"/>
        <v>1</v>
      </c>
      <c r="AZ565" s="371"/>
      <c r="BA565" s="497">
        <v>10</v>
      </c>
      <c r="BB565" s="498">
        <v>10</v>
      </c>
      <c r="BC565" s="485">
        <f t="shared" si="1268"/>
        <v>80</v>
      </c>
      <c r="BD565" s="371"/>
      <c r="BE565" s="232">
        <f t="shared" si="1269"/>
        <v>10</v>
      </c>
      <c r="BF565" s="232" t="str">
        <f t="shared" si="1270"/>
        <v/>
      </c>
      <c r="BG565" s="232" t="str">
        <f t="shared" si="1271"/>
        <v/>
      </c>
      <c r="BH565" s="232" t="str">
        <f t="shared" si="1272"/>
        <v/>
      </c>
      <c r="BI565" s="371"/>
      <c r="BJ565" s="497">
        <v>60</v>
      </c>
      <c r="BK565" s="498">
        <v>20</v>
      </c>
      <c r="BL565" s="485">
        <f t="shared" si="1273"/>
        <v>20</v>
      </c>
      <c r="BM565" s="371"/>
      <c r="BN565" s="232">
        <f t="shared" si="1274"/>
        <v>60</v>
      </c>
      <c r="BO565" s="232" t="str">
        <f t="shared" si="1275"/>
        <v/>
      </c>
      <c r="BP565" s="232" t="str">
        <f t="shared" si="1276"/>
        <v/>
      </c>
      <c r="BQ565" s="232">
        <f t="shared" si="1296"/>
        <v>1</v>
      </c>
      <c r="BR565" s="371"/>
      <c r="BS565" s="497">
        <v>50</v>
      </c>
      <c r="BT565" s="498">
        <v>10</v>
      </c>
      <c r="BU565" s="485">
        <f t="shared" si="1277"/>
        <v>40</v>
      </c>
      <c r="BV565" s="371"/>
      <c r="BW565" s="232">
        <f t="shared" si="1278"/>
        <v>50</v>
      </c>
      <c r="BX565" s="232" t="str">
        <f t="shared" si="1279"/>
        <v/>
      </c>
      <c r="BY565" s="232" t="str">
        <f t="shared" si="1280"/>
        <v/>
      </c>
      <c r="BZ565" s="232">
        <f t="shared" si="1297"/>
        <v>1</v>
      </c>
      <c r="CA565" s="371"/>
      <c r="CB565" s="504">
        <f t="shared" si="1281"/>
        <v>60</v>
      </c>
      <c r="CC565" s="505">
        <f t="shared" si="1282"/>
        <v>10</v>
      </c>
      <c r="CD565" s="506">
        <f t="shared" si="1283"/>
        <v>30</v>
      </c>
      <c r="CE565" s="371"/>
      <c r="CF565" s="232">
        <f t="shared" si="1284"/>
        <v>60</v>
      </c>
      <c r="CG565" s="232" t="str">
        <f t="shared" si="1285"/>
        <v/>
      </c>
      <c r="CH565" s="232" t="str">
        <f t="shared" si="1286"/>
        <v/>
      </c>
      <c r="CI565" s="232">
        <f t="shared" si="1298"/>
        <v>1</v>
      </c>
      <c r="CJ565" s="232"/>
      <c r="CK565" s="497">
        <v>10</v>
      </c>
      <c r="CL565" s="498">
        <v>80</v>
      </c>
      <c r="CM565" s="485">
        <f t="shared" si="1287"/>
        <v>10</v>
      </c>
      <c r="CN565" s="371"/>
      <c r="CO565" s="232">
        <f t="shared" si="1288"/>
        <v>10</v>
      </c>
      <c r="CP565" s="232" t="str">
        <f t="shared" si="1289"/>
        <v/>
      </c>
      <c r="CQ565" s="232" t="str">
        <f t="shared" si="1290"/>
        <v/>
      </c>
      <c r="CR565" s="232" t="str">
        <f t="shared" si="1299"/>
        <v/>
      </c>
      <c r="CS565" s="232"/>
      <c r="CT565" s="371"/>
      <c r="CU565" s="300"/>
      <c r="CV565" s="246"/>
      <c r="CW565" s="264"/>
    </row>
    <row r="566" spans="1:101" ht="13.5" thickBot="1" x14ac:dyDescent="0.25">
      <c r="A566" s="264"/>
      <c r="B566" s="264"/>
      <c r="C566" s="202"/>
      <c r="D566" s="271">
        <v>9</v>
      </c>
      <c r="E566" s="168" t="s">
        <v>358</v>
      </c>
      <c r="F566" s="470">
        <v>1</v>
      </c>
      <c r="G566" s="476"/>
      <c r="H566" s="477">
        <v>2</v>
      </c>
      <c r="I566" s="392" t="str">
        <f t="shared" si="1250"/>
        <v/>
      </c>
      <c r="J566" s="393" t="str">
        <f t="shared" si="1251"/>
        <v/>
      </c>
      <c r="K566" s="394" t="str">
        <f t="shared" si="1252"/>
        <v>x</v>
      </c>
      <c r="L566" s="299"/>
      <c r="M566" s="375"/>
      <c r="N566" s="379"/>
      <c r="O566" s="236"/>
      <c r="P566" s="236"/>
      <c r="Q566" s="489">
        <v>40</v>
      </c>
      <c r="R566" s="490">
        <v>30</v>
      </c>
      <c r="S566" s="491">
        <f t="shared" si="1291"/>
        <v>30</v>
      </c>
      <c r="T566" s="371"/>
      <c r="U566" s="232" t="str">
        <f t="shared" si="1253"/>
        <v/>
      </c>
      <c r="V566" s="232" t="str">
        <f t="shared" si="1254"/>
        <v/>
      </c>
      <c r="W566" s="232">
        <f t="shared" si="1255"/>
        <v>30</v>
      </c>
      <c r="X566" s="232" t="str">
        <f t="shared" si="1292"/>
        <v/>
      </c>
      <c r="Y566" s="371"/>
      <c r="Z566" s="499">
        <v>80</v>
      </c>
      <c r="AA566" s="500">
        <v>10</v>
      </c>
      <c r="AB566" s="491">
        <f t="shared" si="1256"/>
        <v>10</v>
      </c>
      <c r="AC566" s="371"/>
      <c r="AD566" s="232" t="str">
        <f t="shared" si="1257"/>
        <v/>
      </c>
      <c r="AE566" s="232" t="str">
        <f t="shared" si="1258"/>
        <v/>
      </c>
      <c r="AF566" s="232">
        <f t="shared" si="1259"/>
        <v>10</v>
      </c>
      <c r="AG566" s="232" t="str">
        <f t="shared" si="1293"/>
        <v/>
      </c>
      <c r="AH566" s="371"/>
      <c r="AI566" s="499">
        <v>50</v>
      </c>
      <c r="AJ566" s="500">
        <v>30</v>
      </c>
      <c r="AK566" s="491">
        <f t="shared" si="1260"/>
        <v>20</v>
      </c>
      <c r="AL566" s="371"/>
      <c r="AM566" s="232" t="str">
        <f t="shared" si="1261"/>
        <v/>
      </c>
      <c r="AN566" s="232" t="str">
        <f t="shared" si="1262"/>
        <v/>
      </c>
      <c r="AO566" s="232">
        <f t="shared" si="1263"/>
        <v>20</v>
      </c>
      <c r="AP566" s="232" t="str">
        <f t="shared" si="1294"/>
        <v/>
      </c>
      <c r="AQ566" s="371"/>
      <c r="AR566" s="499">
        <v>60</v>
      </c>
      <c r="AS566" s="500">
        <v>30</v>
      </c>
      <c r="AT566" s="491">
        <f t="shared" si="1264"/>
        <v>10</v>
      </c>
      <c r="AU566" s="371"/>
      <c r="AV566" s="232" t="str">
        <f t="shared" si="1265"/>
        <v/>
      </c>
      <c r="AW566" s="232" t="str">
        <f t="shared" si="1266"/>
        <v/>
      </c>
      <c r="AX566" s="232">
        <f t="shared" si="1267"/>
        <v>10</v>
      </c>
      <c r="AY566" s="232" t="str">
        <f t="shared" si="1295"/>
        <v/>
      </c>
      <c r="AZ566" s="371"/>
      <c r="BA566" s="499">
        <v>10</v>
      </c>
      <c r="BB566" s="500">
        <v>10</v>
      </c>
      <c r="BC566" s="491">
        <f t="shared" si="1268"/>
        <v>80</v>
      </c>
      <c r="BD566" s="371"/>
      <c r="BE566" s="232" t="str">
        <f t="shared" si="1269"/>
        <v/>
      </c>
      <c r="BF566" s="232" t="str">
        <f t="shared" si="1270"/>
        <v/>
      </c>
      <c r="BG566" s="232">
        <f t="shared" si="1271"/>
        <v>80</v>
      </c>
      <c r="BH566" s="232">
        <f t="shared" si="1272"/>
        <v>1</v>
      </c>
      <c r="BI566" s="371"/>
      <c r="BJ566" s="499">
        <v>10</v>
      </c>
      <c r="BK566" s="500">
        <v>10</v>
      </c>
      <c r="BL566" s="491">
        <f t="shared" si="1273"/>
        <v>80</v>
      </c>
      <c r="BM566" s="371"/>
      <c r="BN566" s="232" t="str">
        <f t="shared" si="1274"/>
        <v/>
      </c>
      <c r="BO566" s="232" t="str">
        <f t="shared" si="1275"/>
        <v/>
      </c>
      <c r="BP566" s="232">
        <f t="shared" si="1276"/>
        <v>80</v>
      </c>
      <c r="BQ566" s="232">
        <f t="shared" si="1296"/>
        <v>1</v>
      </c>
      <c r="BR566" s="371"/>
      <c r="BS566" s="499">
        <v>30</v>
      </c>
      <c r="BT566" s="500">
        <v>20</v>
      </c>
      <c r="BU566" s="491">
        <f t="shared" si="1277"/>
        <v>50</v>
      </c>
      <c r="BV566" s="371"/>
      <c r="BW566" s="232" t="str">
        <f t="shared" si="1278"/>
        <v/>
      </c>
      <c r="BX566" s="232" t="str">
        <f t="shared" si="1279"/>
        <v/>
      </c>
      <c r="BY566" s="232">
        <f t="shared" si="1280"/>
        <v>50</v>
      </c>
      <c r="BZ566" s="232">
        <f t="shared" si="1297"/>
        <v>1</v>
      </c>
      <c r="CA566" s="371"/>
      <c r="CB566" s="507">
        <f t="shared" si="1281"/>
        <v>40</v>
      </c>
      <c r="CC566" s="508">
        <f t="shared" si="1282"/>
        <v>20</v>
      </c>
      <c r="CD566" s="509">
        <f t="shared" si="1283"/>
        <v>40</v>
      </c>
      <c r="CE566" s="371"/>
      <c r="CF566" s="232" t="str">
        <f t="shared" si="1284"/>
        <v/>
      </c>
      <c r="CG566" s="232" t="str">
        <f t="shared" si="1285"/>
        <v/>
      </c>
      <c r="CH566" s="232">
        <f t="shared" si="1286"/>
        <v>40</v>
      </c>
      <c r="CI566" s="232">
        <f t="shared" si="1298"/>
        <v>1</v>
      </c>
      <c r="CJ566" s="232"/>
      <c r="CK566" s="499">
        <v>30</v>
      </c>
      <c r="CL566" s="500">
        <v>20</v>
      </c>
      <c r="CM566" s="491">
        <f t="shared" si="1287"/>
        <v>50</v>
      </c>
      <c r="CN566" s="371"/>
      <c r="CO566" s="232" t="str">
        <f t="shared" si="1288"/>
        <v/>
      </c>
      <c r="CP566" s="232" t="str">
        <f t="shared" si="1289"/>
        <v/>
      </c>
      <c r="CQ566" s="232">
        <f t="shared" si="1290"/>
        <v>50</v>
      </c>
      <c r="CR566" s="232">
        <f t="shared" si="1299"/>
        <v>1</v>
      </c>
      <c r="CS566" s="232"/>
      <c r="CT566" s="371"/>
      <c r="CU566" s="300"/>
      <c r="CV566" s="246"/>
      <c r="CW566" s="264"/>
    </row>
    <row r="567" spans="1:101" x14ac:dyDescent="0.2">
      <c r="A567" s="264"/>
      <c r="B567" s="264"/>
      <c r="C567" s="202"/>
      <c r="D567" s="271">
        <v>10</v>
      </c>
      <c r="E567" s="169" t="s">
        <v>359</v>
      </c>
      <c r="F567" s="471">
        <v>2</v>
      </c>
      <c r="G567" s="478"/>
      <c r="H567" s="479">
        <v>0</v>
      </c>
      <c r="I567" s="170" t="str">
        <f t="shared" si="1250"/>
        <v>x</v>
      </c>
      <c r="J567" s="387" t="str">
        <f t="shared" si="1251"/>
        <v/>
      </c>
      <c r="K567" s="388" t="str">
        <f t="shared" si="1252"/>
        <v/>
      </c>
      <c r="L567" s="299"/>
      <c r="M567" s="375"/>
      <c r="N567" s="379"/>
      <c r="O567" s="236"/>
      <c r="P567" s="236"/>
      <c r="Q567" s="492">
        <v>70</v>
      </c>
      <c r="R567" s="493">
        <v>20</v>
      </c>
      <c r="S567" s="494">
        <f t="shared" si="1291"/>
        <v>10</v>
      </c>
      <c r="T567" s="371"/>
      <c r="U567" s="232">
        <f t="shared" si="1253"/>
        <v>70</v>
      </c>
      <c r="V567" s="232" t="str">
        <f t="shared" si="1254"/>
        <v/>
      </c>
      <c r="W567" s="232" t="str">
        <f t="shared" si="1255"/>
        <v/>
      </c>
      <c r="X567" s="232">
        <f t="shared" si="1292"/>
        <v>1</v>
      </c>
      <c r="Y567" s="371"/>
      <c r="Z567" s="495">
        <v>80</v>
      </c>
      <c r="AA567" s="496">
        <v>10</v>
      </c>
      <c r="AB567" s="494">
        <f t="shared" si="1256"/>
        <v>10</v>
      </c>
      <c r="AC567" s="371"/>
      <c r="AD567" s="232">
        <f t="shared" si="1257"/>
        <v>80</v>
      </c>
      <c r="AE567" s="232" t="str">
        <f t="shared" si="1258"/>
        <v/>
      </c>
      <c r="AF567" s="232" t="str">
        <f t="shared" si="1259"/>
        <v/>
      </c>
      <c r="AG567" s="232">
        <f t="shared" si="1293"/>
        <v>1</v>
      </c>
      <c r="AH567" s="371"/>
      <c r="AI567" s="495">
        <v>60</v>
      </c>
      <c r="AJ567" s="496">
        <v>20</v>
      </c>
      <c r="AK567" s="494">
        <f t="shared" si="1260"/>
        <v>20</v>
      </c>
      <c r="AL567" s="371"/>
      <c r="AM567" s="232">
        <f t="shared" si="1261"/>
        <v>60</v>
      </c>
      <c r="AN567" s="232" t="str">
        <f t="shared" si="1262"/>
        <v/>
      </c>
      <c r="AO567" s="232" t="str">
        <f t="shared" si="1263"/>
        <v/>
      </c>
      <c r="AP567" s="232">
        <f t="shared" si="1294"/>
        <v>1</v>
      </c>
      <c r="AQ567" s="371"/>
      <c r="AR567" s="495">
        <v>80</v>
      </c>
      <c r="AS567" s="496">
        <v>10</v>
      </c>
      <c r="AT567" s="494">
        <f t="shared" si="1264"/>
        <v>10</v>
      </c>
      <c r="AU567" s="371"/>
      <c r="AV567" s="232">
        <f t="shared" si="1265"/>
        <v>80</v>
      </c>
      <c r="AW567" s="232" t="str">
        <f t="shared" si="1266"/>
        <v/>
      </c>
      <c r="AX567" s="232" t="str">
        <f t="shared" si="1267"/>
        <v/>
      </c>
      <c r="AY567" s="232">
        <f t="shared" si="1295"/>
        <v>1</v>
      </c>
      <c r="AZ567" s="371"/>
      <c r="BA567" s="495">
        <v>80</v>
      </c>
      <c r="BB567" s="496">
        <v>10</v>
      </c>
      <c r="BC567" s="494">
        <f t="shared" si="1268"/>
        <v>10</v>
      </c>
      <c r="BD567" s="371"/>
      <c r="BE567" s="232">
        <f t="shared" si="1269"/>
        <v>80</v>
      </c>
      <c r="BF567" s="232" t="str">
        <f t="shared" si="1270"/>
        <v/>
      </c>
      <c r="BG567" s="232" t="str">
        <f t="shared" si="1271"/>
        <v/>
      </c>
      <c r="BH567" s="232">
        <f t="shared" si="1272"/>
        <v>1</v>
      </c>
      <c r="BI567" s="371"/>
      <c r="BJ567" s="495">
        <v>80</v>
      </c>
      <c r="BK567" s="496">
        <v>10</v>
      </c>
      <c r="BL567" s="494">
        <f t="shared" si="1273"/>
        <v>10</v>
      </c>
      <c r="BM567" s="371"/>
      <c r="BN567" s="232">
        <f t="shared" si="1274"/>
        <v>80</v>
      </c>
      <c r="BO567" s="232" t="str">
        <f t="shared" si="1275"/>
        <v/>
      </c>
      <c r="BP567" s="232" t="str">
        <f t="shared" si="1276"/>
        <v/>
      </c>
      <c r="BQ567" s="232">
        <f t="shared" si="1296"/>
        <v>1</v>
      </c>
      <c r="BR567" s="371"/>
      <c r="BS567" s="495">
        <v>70</v>
      </c>
      <c r="BT567" s="496">
        <v>20</v>
      </c>
      <c r="BU567" s="494">
        <f t="shared" si="1277"/>
        <v>10</v>
      </c>
      <c r="BV567" s="371"/>
      <c r="BW567" s="232">
        <f t="shared" si="1278"/>
        <v>70</v>
      </c>
      <c r="BX567" s="232" t="str">
        <f t="shared" si="1279"/>
        <v/>
      </c>
      <c r="BY567" s="232" t="str">
        <f t="shared" si="1280"/>
        <v/>
      </c>
      <c r="BZ567" s="232">
        <f t="shared" si="1297"/>
        <v>1</v>
      </c>
      <c r="CA567" s="371"/>
      <c r="CB567" s="501">
        <f t="shared" si="1281"/>
        <v>80</v>
      </c>
      <c r="CC567" s="502">
        <f t="shared" si="1282"/>
        <v>10</v>
      </c>
      <c r="CD567" s="503">
        <f t="shared" si="1283"/>
        <v>10</v>
      </c>
      <c r="CE567" s="371"/>
      <c r="CF567" s="232">
        <f t="shared" si="1284"/>
        <v>80</v>
      </c>
      <c r="CG567" s="232" t="str">
        <f t="shared" si="1285"/>
        <v/>
      </c>
      <c r="CH567" s="232" t="str">
        <f t="shared" si="1286"/>
        <v/>
      </c>
      <c r="CI567" s="232">
        <f t="shared" si="1298"/>
        <v>1</v>
      </c>
      <c r="CJ567" s="232"/>
      <c r="CK567" s="495">
        <v>80</v>
      </c>
      <c r="CL567" s="496">
        <v>10</v>
      </c>
      <c r="CM567" s="494">
        <f t="shared" si="1287"/>
        <v>10</v>
      </c>
      <c r="CN567" s="371"/>
      <c r="CO567" s="232">
        <f t="shared" si="1288"/>
        <v>80</v>
      </c>
      <c r="CP567" s="232" t="str">
        <f t="shared" si="1289"/>
        <v/>
      </c>
      <c r="CQ567" s="232" t="str">
        <f t="shared" si="1290"/>
        <v/>
      </c>
      <c r="CR567" s="232">
        <f t="shared" si="1299"/>
        <v>1</v>
      </c>
      <c r="CS567" s="232"/>
      <c r="CT567" s="371"/>
      <c r="CU567" s="300"/>
      <c r="CV567" s="246"/>
      <c r="CW567" s="264"/>
    </row>
    <row r="568" spans="1:101" x14ac:dyDescent="0.2">
      <c r="A568" s="264"/>
      <c r="B568" s="264"/>
      <c r="C568" s="202"/>
      <c r="D568" s="271">
        <v>11</v>
      </c>
      <c r="E568" s="167" t="s">
        <v>360</v>
      </c>
      <c r="F568" s="469">
        <v>0</v>
      </c>
      <c r="G568" s="474"/>
      <c r="H568" s="475">
        <v>0</v>
      </c>
      <c r="I568" s="389" t="str">
        <f t="shared" si="1250"/>
        <v/>
      </c>
      <c r="J568" s="390" t="str">
        <f t="shared" si="1251"/>
        <v>x</v>
      </c>
      <c r="K568" s="391" t="str">
        <f t="shared" si="1252"/>
        <v/>
      </c>
      <c r="L568" s="299"/>
      <c r="M568" s="375"/>
      <c r="N568" s="379"/>
      <c r="O568" s="236"/>
      <c r="P568" s="236"/>
      <c r="Q568" s="483">
        <v>30</v>
      </c>
      <c r="R568" s="484">
        <v>50</v>
      </c>
      <c r="S568" s="485">
        <f t="shared" si="1291"/>
        <v>20</v>
      </c>
      <c r="T568" s="371"/>
      <c r="U568" s="232" t="str">
        <f t="shared" si="1253"/>
        <v/>
      </c>
      <c r="V568" s="232">
        <f t="shared" si="1254"/>
        <v>50</v>
      </c>
      <c r="W568" s="232" t="str">
        <f t="shared" si="1255"/>
        <v/>
      </c>
      <c r="X568" s="232">
        <f t="shared" si="1292"/>
        <v>1</v>
      </c>
      <c r="Y568" s="371"/>
      <c r="Z568" s="497">
        <v>80</v>
      </c>
      <c r="AA568" s="498">
        <v>10</v>
      </c>
      <c r="AB568" s="485">
        <f t="shared" si="1256"/>
        <v>10</v>
      </c>
      <c r="AC568" s="371"/>
      <c r="AD568" s="232" t="str">
        <f t="shared" si="1257"/>
        <v/>
      </c>
      <c r="AE568" s="232">
        <f t="shared" si="1258"/>
        <v>10</v>
      </c>
      <c r="AF568" s="232" t="str">
        <f t="shared" si="1259"/>
        <v/>
      </c>
      <c r="AG568" s="232" t="str">
        <f t="shared" si="1293"/>
        <v/>
      </c>
      <c r="AH568" s="371"/>
      <c r="AI568" s="497">
        <v>80</v>
      </c>
      <c r="AJ568" s="498">
        <v>10</v>
      </c>
      <c r="AK568" s="485">
        <f t="shared" si="1260"/>
        <v>10</v>
      </c>
      <c r="AL568" s="371"/>
      <c r="AM568" s="232" t="str">
        <f t="shared" si="1261"/>
        <v/>
      </c>
      <c r="AN568" s="232">
        <f t="shared" si="1262"/>
        <v>10</v>
      </c>
      <c r="AO568" s="232" t="str">
        <f t="shared" si="1263"/>
        <v/>
      </c>
      <c r="AP568" s="232" t="str">
        <f t="shared" si="1294"/>
        <v/>
      </c>
      <c r="AQ568" s="371"/>
      <c r="AR568" s="497">
        <v>60</v>
      </c>
      <c r="AS568" s="498">
        <v>30</v>
      </c>
      <c r="AT568" s="485">
        <f t="shared" si="1264"/>
        <v>10</v>
      </c>
      <c r="AU568" s="371"/>
      <c r="AV568" s="232" t="str">
        <f t="shared" si="1265"/>
        <v/>
      </c>
      <c r="AW568" s="232">
        <f t="shared" si="1266"/>
        <v>30</v>
      </c>
      <c r="AX568" s="232" t="str">
        <f t="shared" si="1267"/>
        <v/>
      </c>
      <c r="AY568" s="232" t="str">
        <f t="shared" si="1295"/>
        <v/>
      </c>
      <c r="AZ568" s="371"/>
      <c r="BA568" s="497">
        <v>80</v>
      </c>
      <c r="BB568" s="498">
        <v>10</v>
      </c>
      <c r="BC568" s="485">
        <f t="shared" si="1268"/>
        <v>10</v>
      </c>
      <c r="BD568" s="371"/>
      <c r="BE568" s="232" t="str">
        <f t="shared" si="1269"/>
        <v/>
      </c>
      <c r="BF568" s="232">
        <f t="shared" si="1270"/>
        <v>10</v>
      </c>
      <c r="BG568" s="232" t="str">
        <f t="shared" si="1271"/>
        <v/>
      </c>
      <c r="BH568" s="232" t="str">
        <f t="shared" si="1272"/>
        <v/>
      </c>
      <c r="BI568" s="371"/>
      <c r="BJ568" s="497">
        <v>80</v>
      </c>
      <c r="BK568" s="498">
        <v>10</v>
      </c>
      <c r="BL568" s="485">
        <f t="shared" si="1273"/>
        <v>10</v>
      </c>
      <c r="BM568" s="371"/>
      <c r="BN568" s="232" t="str">
        <f t="shared" si="1274"/>
        <v/>
      </c>
      <c r="BO568" s="232">
        <f t="shared" si="1275"/>
        <v>10</v>
      </c>
      <c r="BP568" s="232" t="str">
        <f t="shared" si="1276"/>
        <v/>
      </c>
      <c r="BQ568" s="232" t="str">
        <f t="shared" si="1296"/>
        <v/>
      </c>
      <c r="BR568" s="371"/>
      <c r="BS568" s="497">
        <v>50</v>
      </c>
      <c r="BT568" s="498">
        <v>40</v>
      </c>
      <c r="BU568" s="485">
        <f t="shared" si="1277"/>
        <v>10</v>
      </c>
      <c r="BV568" s="371"/>
      <c r="BW568" s="232" t="str">
        <f t="shared" si="1278"/>
        <v/>
      </c>
      <c r="BX568" s="232">
        <f t="shared" si="1279"/>
        <v>40</v>
      </c>
      <c r="BY568" s="232" t="str">
        <f t="shared" si="1280"/>
        <v/>
      </c>
      <c r="BZ568" s="232" t="str">
        <f t="shared" si="1297"/>
        <v/>
      </c>
      <c r="CA568" s="371"/>
      <c r="CB568" s="504">
        <f t="shared" si="1281"/>
        <v>70</v>
      </c>
      <c r="CC568" s="505">
        <f t="shared" si="1282"/>
        <v>20</v>
      </c>
      <c r="CD568" s="506">
        <f t="shared" si="1283"/>
        <v>10</v>
      </c>
      <c r="CE568" s="371"/>
      <c r="CF568" s="232" t="str">
        <f t="shared" si="1284"/>
        <v/>
      </c>
      <c r="CG568" s="232">
        <f t="shared" si="1285"/>
        <v>20</v>
      </c>
      <c r="CH568" s="232" t="str">
        <f t="shared" si="1286"/>
        <v/>
      </c>
      <c r="CI568" s="232" t="str">
        <f t="shared" si="1298"/>
        <v/>
      </c>
      <c r="CJ568" s="232"/>
      <c r="CK568" s="497">
        <v>80</v>
      </c>
      <c r="CL568" s="498">
        <v>10</v>
      </c>
      <c r="CM568" s="485">
        <f t="shared" si="1287"/>
        <v>10</v>
      </c>
      <c r="CN568" s="371"/>
      <c r="CO568" s="232" t="str">
        <f t="shared" si="1288"/>
        <v/>
      </c>
      <c r="CP568" s="232">
        <f t="shared" si="1289"/>
        <v>10</v>
      </c>
      <c r="CQ568" s="232" t="str">
        <f t="shared" si="1290"/>
        <v/>
      </c>
      <c r="CR568" s="232" t="str">
        <f t="shared" si="1299"/>
        <v/>
      </c>
      <c r="CS568" s="232"/>
      <c r="CT568" s="371"/>
      <c r="CU568" s="300"/>
      <c r="CV568" s="246"/>
      <c r="CW568" s="264"/>
    </row>
    <row r="569" spans="1:101" ht="13.5" thickBot="1" x14ac:dyDescent="0.25">
      <c r="A569" s="264"/>
      <c r="B569" s="264"/>
      <c r="C569" s="202"/>
      <c r="D569" s="271">
        <v>12</v>
      </c>
      <c r="E569" s="168" t="s">
        <v>361</v>
      </c>
      <c r="F569" s="470">
        <v>0</v>
      </c>
      <c r="G569" s="476"/>
      <c r="H569" s="477">
        <v>3</v>
      </c>
      <c r="I569" s="392" t="str">
        <f t="shared" si="1250"/>
        <v/>
      </c>
      <c r="J569" s="393" t="str">
        <f t="shared" si="1251"/>
        <v/>
      </c>
      <c r="K569" s="394" t="str">
        <f t="shared" si="1252"/>
        <v>x</v>
      </c>
      <c r="L569" s="299"/>
      <c r="M569" s="375"/>
      <c r="N569" s="379"/>
      <c r="O569" s="236"/>
      <c r="P569" s="236"/>
      <c r="Q569" s="489">
        <v>80</v>
      </c>
      <c r="R569" s="490">
        <v>10</v>
      </c>
      <c r="S569" s="491">
        <f t="shared" si="1291"/>
        <v>10</v>
      </c>
      <c r="T569" s="371"/>
      <c r="U569" s="232" t="str">
        <f t="shared" si="1253"/>
        <v/>
      </c>
      <c r="V569" s="232" t="str">
        <f t="shared" si="1254"/>
        <v/>
      </c>
      <c r="W569" s="232">
        <f t="shared" si="1255"/>
        <v>10</v>
      </c>
      <c r="X569" s="232" t="str">
        <f t="shared" si="1292"/>
        <v/>
      </c>
      <c r="Y569" s="371"/>
      <c r="Z569" s="499">
        <v>10</v>
      </c>
      <c r="AA569" s="500">
        <v>10</v>
      </c>
      <c r="AB569" s="491">
        <f t="shared" si="1256"/>
        <v>80</v>
      </c>
      <c r="AC569" s="371"/>
      <c r="AD569" s="232" t="str">
        <f t="shared" si="1257"/>
        <v/>
      </c>
      <c r="AE569" s="232" t="str">
        <f t="shared" si="1258"/>
        <v/>
      </c>
      <c r="AF569" s="232">
        <f t="shared" si="1259"/>
        <v>80</v>
      </c>
      <c r="AG569" s="232">
        <f t="shared" si="1293"/>
        <v>1</v>
      </c>
      <c r="AH569" s="371"/>
      <c r="AI569" s="499">
        <v>30</v>
      </c>
      <c r="AJ569" s="500">
        <v>40</v>
      </c>
      <c r="AK569" s="491">
        <f t="shared" si="1260"/>
        <v>30</v>
      </c>
      <c r="AL569" s="371"/>
      <c r="AM569" s="232" t="str">
        <f t="shared" si="1261"/>
        <v/>
      </c>
      <c r="AN569" s="232" t="str">
        <f t="shared" si="1262"/>
        <v/>
      </c>
      <c r="AO569" s="232">
        <f t="shared" si="1263"/>
        <v>30</v>
      </c>
      <c r="AP569" s="232" t="str">
        <f t="shared" si="1294"/>
        <v/>
      </c>
      <c r="AQ569" s="371"/>
      <c r="AR569" s="499">
        <v>10</v>
      </c>
      <c r="AS569" s="500">
        <v>10</v>
      </c>
      <c r="AT569" s="491">
        <f t="shared" si="1264"/>
        <v>80</v>
      </c>
      <c r="AU569" s="371"/>
      <c r="AV569" s="232" t="str">
        <f t="shared" si="1265"/>
        <v/>
      </c>
      <c r="AW569" s="232" t="str">
        <f t="shared" si="1266"/>
        <v/>
      </c>
      <c r="AX569" s="232">
        <f t="shared" si="1267"/>
        <v>80</v>
      </c>
      <c r="AY569" s="232">
        <f t="shared" si="1295"/>
        <v>1</v>
      </c>
      <c r="AZ569" s="371"/>
      <c r="BA569" s="499">
        <v>10</v>
      </c>
      <c r="BB569" s="500">
        <v>80</v>
      </c>
      <c r="BC569" s="491">
        <f t="shared" si="1268"/>
        <v>10</v>
      </c>
      <c r="BD569" s="371"/>
      <c r="BE569" s="232" t="str">
        <f t="shared" si="1269"/>
        <v/>
      </c>
      <c r="BF569" s="232" t="str">
        <f t="shared" si="1270"/>
        <v/>
      </c>
      <c r="BG569" s="232">
        <f t="shared" si="1271"/>
        <v>10</v>
      </c>
      <c r="BH569" s="232" t="str">
        <f t="shared" si="1272"/>
        <v/>
      </c>
      <c r="BI569" s="371"/>
      <c r="BJ569" s="499">
        <v>10</v>
      </c>
      <c r="BK569" s="500">
        <v>10</v>
      </c>
      <c r="BL569" s="491">
        <f t="shared" si="1273"/>
        <v>80</v>
      </c>
      <c r="BM569" s="371"/>
      <c r="BN569" s="232" t="str">
        <f t="shared" si="1274"/>
        <v/>
      </c>
      <c r="BO569" s="232" t="str">
        <f t="shared" si="1275"/>
        <v/>
      </c>
      <c r="BP569" s="232">
        <f t="shared" si="1276"/>
        <v>80</v>
      </c>
      <c r="BQ569" s="232">
        <f t="shared" si="1296"/>
        <v>1</v>
      </c>
      <c r="BR569" s="371"/>
      <c r="BS569" s="499">
        <v>20</v>
      </c>
      <c r="BT569" s="500">
        <v>60</v>
      </c>
      <c r="BU569" s="491">
        <f t="shared" si="1277"/>
        <v>20</v>
      </c>
      <c r="BV569" s="371"/>
      <c r="BW569" s="232" t="str">
        <f t="shared" si="1278"/>
        <v/>
      </c>
      <c r="BX569" s="232" t="str">
        <f t="shared" si="1279"/>
        <v/>
      </c>
      <c r="BY569" s="232">
        <f t="shared" si="1280"/>
        <v>20</v>
      </c>
      <c r="BZ569" s="232" t="str">
        <f t="shared" si="1297"/>
        <v/>
      </c>
      <c r="CA569" s="371"/>
      <c r="CB569" s="507">
        <f t="shared" si="1281"/>
        <v>30</v>
      </c>
      <c r="CC569" s="508">
        <f t="shared" si="1282"/>
        <v>30</v>
      </c>
      <c r="CD569" s="509">
        <f t="shared" si="1283"/>
        <v>40</v>
      </c>
      <c r="CE569" s="371"/>
      <c r="CF569" s="232" t="str">
        <f t="shared" si="1284"/>
        <v/>
      </c>
      <c r="CG569" s="232" t="str">
        <f t="shared" si="1285"/>
        <v/>
      </c>
      <c r="CH569" s="232">
        <f t="shared" si="1286"/>
        <v>40</v>
      </c>
      <c r="CI569" s="232">
        <f t="shared" si="1298"/>
        <v>1</v>
      </c>
      <c r="CJ569" s="232"/>
      <c r="CK569" s="499">
        <v>10</v>
      </c>
      <c r="CL569" s="500">
        <v>80</v>
      </c>
      <c r="CM569" s="491">
        <f t="shared" si="1287"/>
        <v>10</v>
      </c>
      <c r="CN569" s="371"/>
      <c r="CO569" s="232" t="str">
        <f t="shared" si="1288"/>
        <v/>
      </c>
      <c r="CP569" s="232" t="str">
        <f t="shared" si="1289"/>
        <v/>
      </c>
      <c r="CQ569" s="232">
        <f t="shared" si="1290"/>
        <v>10</v>
      </c>
      <c r="CR569" s="232" t="str">
        <f t="shared" si="1299"/>
        <v/>
      </c>
      <c r="CS569" s="232"/>
      <c r="CT569" s="371"/>
      <c r="CU569" s="300"/>
      <c r="CV569" s="246"/>
      <c r="CW569" s="264"/>
    </row>
    <row r="570" spans="1:101" x14ac:dyDescent="0.2">
      <c r="A570" s="264"/>
      <c r="B570" s="264"/>
      <c r="C570" s="202"/>
      <c r="D570" s="272"/>
      <c r="E570" s="235"/>
      <c r="F570" s="395">
        <f>IF(SUM(F558:F569)=0,"",SUM(F558:F569))</f>
        <v>20</v>
      </c>
      <c r="G570" s="370" t="s">
        <v>49</v>
      </c>
      <c r="H570" s="396">
        <f>IF(SUM(H558:H569)=0,"",SUM(H558:H569))</f>
        <v>11</v>
      </c>
      <c r="I570" s="397">
        <f>IF(COUNTIF(I558:I569,"=x")=0,"",COUNTIF(I558:I569,"=x"))</f>
        <v>5</v>
      </c>
      <c r="J570" s="398">
        <f>IF(COUNTIF(J558:J569,"=x")=0,"",COUNTIF(J558:J569,"=x"))</f>
        <v>3</v>
      </c>
      <c r="K570" s="399">
        <f>IF(COUNTIF(K558:K569,"=x")=0,"",COUNTIF(K558:K569,"=x"))</f>
        <v>4</v>
      </c>
      <c r="L570" s="299"/>
      <c r="M570" s="375"/>
      <c r="N570" s="379"/>
      <c r="O570" s="236"/>
      <c r="P570" s="369"/>
      <c r="Q570" s="466">
        <f>SUM(U558:U569)</f>
        <v>300</v>
      </c>
      <c r="R570" s="466">
        <f>SUM(V558:V569)</f>
        <v>90</v>
      </c>
      <c r="S570" s="466">
        <f>SUM(W558:W569)</f>
        <v>60</v>
      </c>
      <c r="T570" s="368"/>
      <c r="U570" s="232"/>
      <c r="V570" s="232"/>
      <c r="W570" s="232"/>
      <c r="X570" s="232"/>
      <c r="Y570" s="367"/>
      <c r="Z570" s="466">
        <f>SUM(AD558:AD569)</f>
        <v>330</v>
      </c>
      <c r="AA570" s="466">
        <f>SUM(AE558:AE569)</f>
        <v>30</v>
      </c>
      <c r="AB570" s="466">
        <f>SUM(AF558:AF569)</f>
        <v>110</v>
      </c>
      <c r="AC570" s="368"/>
      <c r="AD570" s="232"/>
      <c r="AE570" s="232"/>
      <c r="AF570" s="232"/>
      <c r="AG570" s="232"/>
      <c r="AH570" s="367"/>
      <c r="AI570" s="466">
        <f>SUM(AM558:AM569)</f>
        <v>240</v>
      </c>
      <c r="AJ570" s="466">
        <f>SUM(AN558:AN569)</f>
        <v>50</v>
      </c>
      <c r="AK570" s="466">
        <f>SUM(AO558:AO569)</f>
        <v>90</v>
      </c>
      <c r="AL570" s="368"/>
      <c r="AM570" s="232"/>
      <c r="AN570" s="232"/>
      <c r="AO570" s="232"/>
      <c r="AP570" s="232"/>
      <c r="AQ570" s="367"/>
      <c r="AR570" s="466">
        <f>SUM(AV558:AV569)</f>
        <v>290</v>
      </c>
      <c r="AS570" s="466">
        <f>SUM(AW558:AW569)</f>
        <v>70</v>
      </c>
      <c r="AT570" s="466">
        <f>SUM(AX558:AX569)</f>
        <v>150</v>
      </c>
      <c r="AU570" s="368"/>
      <c r="AV570" s="232"/>
      <c r="AW570" s="232"/>
      <c r="AX570" s="232"/>
      <c r="AY570" s="232"/>
      <c r="AZ570" s="367"/>
      <c r="BA570" s="466">
        <f>SUM(BE558:BE569)</f>
        <v>260</v>
      </c>
      <c r="BB570" s="466">
        <f>SUM(BF558:BF569)</f>
        <v>30</v>
      </c>
      <c r="BC570" s="466">
        <f>SUM(BG558:BG569)</f>
        <v>180</v>
      </c>
      <c r="BD570" s="368"/>
      <c r="BE570" s="232"/>
      <c r="BF570" s="232"/>
      <c r="BG570" s="232"/>
      <c r="BH570" s="232"/>
      <c r="BI570" s="367"/>
      <c r="BJ570" s="466">
        <f>SUM(BN558:BN569)</f>
        <v>240</v>
      </c>
      <c r="BK570" s="466">
        <f>SUM(BO558:BO569)</f>
        <v>60</v>
      </c>
      <c r="BL570" s="466">
        <f>SUM(BP558:BP569)</f>
        <v>230</v>
      </c>
      <c r="BM570" s="368"/>
      <c r="BN570" s="232"/>
      <c r="BO570" s="232"/>
      <c r="BP570" s="232"/>
      <c r="BQ570" s="232"/>
      <c r="BR570" s="367"/>
      <c r="BS570" s="466">
        <f>SUM(BW558:BW569)</f>
        <v>280</v>
      </c>
      <c r="BT570" s="466">
        <f>SUM(BX558:BX569)</f>
        <v>130</v>
      </c>
      <c r="BU570" s="466">
        <f>SUM(BY558:BY569)</f>
        <v>140</v>
      </c>
      <c r="BV570" s="368"/>
      <c r="BW570" s="232"/>
      <c r="BX570" s="232"/>
      <c r="BY570" s="232"/>
      <c r="BZ570" s="232"/>
      <c r="CA570" s="369"/>
      <c r="CB570" s="466">
        <f>SUM(CF558:CF569)</f>
        <v>300</v>
      </c>
      <c r="CC570" s="466">
        <f>SUM(CG558:CG569)</f>
        <v>50</v>
      </c>
      <c r="CD570" s="466">
        <f>SUM(CH558:CH569)</f>
        <v>130</v>
      </c>
      <c r="CE570" s="368"/>
      <c r="CF570" s="232"/>
      <c r="CG570" s="232"/>
      <c r="CH570" s="232"/>
      <c r="CI570" s="232"/>
      <c r="CJ570" s="232"/>
      <c r="CK570" s="466">
        <f>SUM(CO558:CO569)</f>
        <v>250</v>
      </c>
      <c r="CL570" s="466">
        <f>SUM(CP558:CP569)</f>
        <v>30</v>
      </c>
      <c r="CM570" s="466">
        <f>SUM(CQ558:CQ569)</f>
        <v>80</v>
      </c>
      <c r="CN570" s="368"/>
      <c r="CO570" s="232"/>
      <c r="CP570" s="232"/>
      <c r="CQ570" s="232"/>
      <c r="CR570" s="232"/>
      <c r="CS570" s="232"/>
      <c r="CT570" s="232"/>
      <c r="CU570" s="300"/>
      <c r="CV570" s="246"/>
      <c r="CW570" s="265"/>
    </row>
    <row r="571" spans="1:101" ht="13.5" thickBot="1" x14ac:dyDescent="0.25">
      <c r="A571" s="264"/>
      <c r="B571" s="264"/>
      <c r="C571" s="202"/>
      <c r="D571" s="289"/>
      <c r="E571" s="282"/>
      <c r="F571" s="283"/>
      <c r="G571" s="282"/>
      <c r="H571" s="282"/>
      <c r="I571" s="282"/>
      <c r="J571" s="282"/>
      <c r="K571" s="282"/>
      <c r="L571" s="293"/>
      <c r="M571" s="301"/>
      <c r="N571" s="380"/>
      <c r="O571" s="376"/>
      <c r="P571" s="284"/>
      <c r="Q571" s="285"/>
      <c r="R571" s="285"/>
      <c r="S571" s="285"/>
      <c r="T571" s="286"/>
      <c r="U571" s="287"/>
      <c r="V571" s="287"/>
      <c r="W571" s="287"/>
      <c r="X571" s="287"/>
      <c r="Y571" s="284"/>
      <c r="Z571" s="285"/>
      <c r="AA571" s="285"/>
      <c r="AB571" s="285"/>
      <c r="AC571" s="286"/>
      <c r="AD571" s="287"/>
      <c r="AE571" s="287"/>
      <c r="AF571" s="287"/>
      <c r="AG571" s="288"/>
      <c r="AH571" s="284"/>
      <c r="AI571" s="285"/>
      <c r="AJ571" s="285"/>
      <c r="AK571" s="285"/>
      <c r="AL571" s="286"/>
      <c r="AM571" s="287"/>
      <c r="AN571" s="287"/>
      <c r="AO571" s="287"/>
      <c r="AP571" s="288"/>
      <c r="AQ571" s="284"/>
      <c r="AR571" s="285"/>
      <c r="AS571" s="285"/>
      <c r="AT571" s="285"/>
      <c r="AU571" s="286"/>
      <c r="AV571" s="287"/>
      <c r="AW571" s="287"/>
      <c r="AX571" s="287"/>
      <c r="AY571" s="288"/>
      <c r="AZ571" s="284"/>
      <c r="BA571" s="285"/>
      <c r="BB571" s="285"/>
      <c r="BC571" s="285"/>
      <c r="BD571" s="286"/>
      <c r="BE571" s="287"/>
      <c r="BF571" s="287"/>
      <c r="BG571" s="287"/>
      <c r="BH571" s="288"/>
      <c r="BI571" s="284"/>
      <c r="BJ571" s="284"/>
      <c r="BK571" s="284"/>
      <c r="BL571" s="284"/>
      <c r="BM571" s="284"/>
      <c r="BN571" s="284"/>
      <c r="BO571" s="284"/>
      <c r="BP571" s="284"/>
      <c r="BQ571" s="284"/>
      <c r="BR571" s="284"/>
      <c r="BS571" s="284"/>
      <c r="BT571" s="284"/>
      <c r="BU571" s="284"/>
      <c r="BV571" s="284"/>
      <c r="BW571" s="284"/>
      <c r="BX571" s="284"/>
      <c r="BY571" s="284"/>
      <c r="BZ571" s="284"/>
      <c r="CA571" s="284"/>
      <c r="CB571" s="284"/>
      <c r="CC571" s="284"/>
      <c r="CD571" s="284"/>
      <c r="CE571" s="284"/>
      <c r="CF571" s="284"/>
      <c r="CG571" s="284"/>
      <c r="CH571" s="284"/>
      <c r="CI571" s="284"/>
      <c r="CJ571" s="288"/>
      <c r="CK571" s="288"/>
      <c r="CL571" s="288"/>
      <c r="CM571" s="288"/>
      <c r="CN571" s="288"/>
      <c r="CO571" s="288"/>
      <c r="CP571" s="288"/>
      <c r="CQ571" s="288"/>
      <c r="CR571" s="288"/>
      <c r="CS571" s="288"/>
      <c r="CT571" s="282"/>
      <c r="CU571" s="294"/>
      <c r="CV571" s="246"/>
      <c r="CW571" s="265"/>
    </row>
    <row r="572" spans="1:101" ht="14.25" thickTop="1" thickBot="1" x14ac:dyDescent="0.25">
      <c r="A572" s="256"/>
      <c r="B572" s="256"/>
      <c r="C572" s="210"/>
      <c r="D572" s="211"/>
      <c r="E572" s="247"/>
      <c r="F572" s="248"/>
      <c r="G572" s="247"/>
      <c r="H572" s="247"/>
      <c r="I572" s="247"/>
      <c r="J572" s="247"/>
      <c r="K572" s="247"/>
      <c r="L572" s="249"/>
      <c r="M572" s="250"/>
      <c r="N572" s="250"/>
      <c r="O572" s="250"/>
      <c r="P572" s="250"/>
      <c r="Q572" s="247"/>
      <c r="R572" s="247"/>
      <c r="S572" s="247"/>
      <c r="T572" s="251"/>
      <c r="U572" s="252"/>
      <c r="V572" s="252"/>
      <c r="W572" s="252"/>
      <c r="X572" s="252"/>
      <c r="Y572" s="250"/>
      <c r="Z572" s="247"/>
      <c r="AA572" s="247"/>
      <c r="AB572" s="247"/>
      <c r="AC572" s="251"/>
      <c r="AD572" s="252"/>
      <c r="AE572" s="252"/>
      <c r="AF572" s="252"/>
      <c r="AG572" s="247"/>
      <c r="AH572" s="250"/>
      <c r="AI572" s="247"/>
      <c r="AJ572" s="247"/>
      <c r="AK572" s="247"/>
      <c r="AL572" s="251"/>
      <c r="AM572" s="252"/>
      <c r="AN572" s="252"/>
      <c r="AO572" s="252"/>
      <c r="AP572" s="253"/>
      <c r="AQ572" s="250"/>
      <c r="AR572" s="247"/>
      <c r="AS572" s="247"/>
      <c r="AT572" s="247"/>
      <c r="AU572" s="251"/>
      <c r="AV572" s="252"/>
      <c r="AW572" s="252"/>
      <c r="AX572" s="252"/>
      <c r="AY572" s="247"/>
      <c r="AZ572" s="250"/>
      <c r="BA572" s="247"/>
      <c r="BB572" s="247"/>
      <c r="BC572" s="247"/>
      <c r="BD572" s="251"/>
      <c r="BE572" s="252"/>
      <c r="BF572" s="252"/>
      <c r="BG572" s="252"/>
      <c r="BH572" s="247"/>
      <c r="BI572" s="250"/>
      <c r="BJ572" s="247"/>
      <c r="BK572" s="247"/>
      <c r="BL572" s="247"/>
      <c r="BM572" s="251"/>
      <c r="BN572" s="252"/>
      <c r="BO572" s="252"/>
      <c r="BP572" s="252"/>
      <c r="BQ572" s="247"/>
      <c r="BR572" s="212"/>
      <c r="BS572" s="247"/>
      <c r="BT572" s="247"/>
      <c r="BU572" s="247"/>
      <c r="BV572" s="250"/>
      <c r="BW572" s="252"/>
      <c r="BX572" s="252"/>
      <c r="BY572" s="252"/>
      <c r="BZ572" s="247"/>
      <c r="CA572" s="247"/>
      <c r="CB572" s="253"/>
      <c r="CC572" s="253"/>
      <c r="CD572" s="253"/>
      <c r="CE572" s="253"/>
      <c r="CF572" s="247"/>
      <c r="CG572" s="247"/>
      <c r="CH572" s="247"/>
      <c r="CI572" s="247"/>
      <c r="CJ572" s="247"/>
      <c r="CK572" s="247"/>
      <c r="CL572" s="247"/>
      <c r="CM572" s="247"/>
      <c r="CN572" s="247"/>
      <c r="CO572" s="247"/>
      <c r="CP572" s="247"/>
      <c r="CQ572" s="247"/>
      <c r="CR572" s="247"/>
      <c r="CS572" s="247"/>
      <c r="CT572" s="247"/>
      <c r="CU572" s="247"/>
      <c r="CV572" s="254"/>
      <c r="CW572" s="255"/>
    </row>
    <row r="573" spans="1:101" ht="14.25" thickTop="1" thickBot="1" x14ac:dyDescent="0.25">
      <c r="A573" s="255"/>
      <c r="B573" s="255"/>
      <c r="C573" s="255"/>
      <c r="D573" s="255"/>
      <c r="E573" s="255"/>
      <c r="F573" s="255"/>
      <c r="G573" s="255"/>
      <c r="H573" s="255"/>
      <c r="I573" s="255"/>
      <c r="J573" s="255"/>
      <c r="K573" s="255"/>
      <c r="L573" s="255"/>
      <c r="M573" s="255"/>
      <c r="N573" s="255"/>
      <c r="O573" s="255"/>
      <c r="P573" s="255"/>
      <c r="Q573" s="255"/>
      <c r="R573" s="255"/>
      <c r="S573" s="255"/>
      <c r="T573" s="255"/>
      <c r="U573" s="255"/>
      <c r="V573" s="255"/>
      <c r="W573" s="255"/>
      <c r="X573" s="255"/>
      <c r="Y573" s="255"/>
      <c r="Z573" s="255"/>
      <c r="AA573" s="255"/>
      <c r="AB573" s="255"/>
      <c r="AC573" s="255"/>
      <c r="AD573" s="255"/>
      <c r="AE573" s="255"/>
      <c r="AF573" s="255"/>
      <c r="AG573" s="255"/>
      <c r="AH573" s="255"/>
      <c r="AI573" s="255"/>
      <c r="AJ573" s="255"/>
      <c r="AK573" s="255"/>
      <c r="AL573" s="255"/>
      <c r="AM573" s="255"/>
      <c r="AN573" s="255"/>
      <c r="AO573" s="255"/>
      <c r="AP573" s="255"/>
      <c r="AQ573" s="255"/>
      <c r="AR573" s="255"/>
      <c r="AS573" s="255"/>
      <c r="AT573" s="255"/>
      <c r="AU573" s="255"/>
      <c r="AV573" s="255"/>
      <c r="AW573" s="255"/>
      <c r="AX573" s="255"/>
      <c r="AY573" s="255"/>
      <c r="AZ573" s="255"/>
      <c r="BA573" s="255"/>
      <c r="BB573" s="255"/>
      <c r="BC573" s="255"/>
      <c r="BD573" s="255"/>
      <c r="BE573" s="255"/>
      <c r="BF573" s="255"/>
      <c r="BG573" s="255"/>
      <c r="BH573" s="255"/>
      <c r="BI573" s="255"/>
      <c r="BJ573" s="255"/>
      <c r="BK573" s="255"/>
      <c r="BL573" s="255"/>
      <c r="BM573" s="255"/>
      <c r="BN573" s="255"/>
      <c r="BO573" s="255"/>
      <c r="BP573" s="255"/>
      <c r="BQ573" s="255"/>
      <c r="BR573" s="255"/>
      <c r="BS573" s="255"/>
      <c r="BT573" s="255"/>
      <c r="BU573" s="255"/>
      <c r="BV573" s="255"/>
      <c r="BW573" s="255"/>
      <c r="BX573" s="255"/>
      <c r="BY573" s="255"/>
      <c r="BZ573" s="255"/>
      <c r="CA573" s="255"/>
      <c r="CB573" s="436"/>
      <c r="CC573" s="436"/>
      <c r="CD573" s="436"/>
      <c r="CE573" s="436"/>
      <c r="CF573" s="255"/>
      <c r="CG573" s="255"/>
      <c r="CH573" s="255"/>
      <c r="CI573" s="255"/>
      <c r="CJ573" s="255"/>
      <c r="CK573" s="255"/>
      <c r="CL573" s="255"/>
      <c r="CM573" s="255"/>
      <c r="CN573" s="255"/>
      <c r="CO573" s="255"/>
      <c r="CP573" s="255"/>
      <c r="CQ573" s="255"/>
      <c r="CR573" s="255"/>
      <c r="CS573" s="255"/>
      <c r="CT573" s="255"/>
      <c r="CU573" s="255"/>
      <c r="CV573" s="255"/>
      <c r="CW573" s="255"/>
    </row>
    <row r="574" spans="1:101" ht="21" thickTop="1" x14ac:dyDescent="0.3">
      <c r="A574" s="256"/>
      <c r="B574" s="256"/>
      <c r="C574" s="190"/>
      <c r="D574" s="191"/>
      <c r="E574" s="866" t="str">
        <f>E2</f>
        <v>STPS 2026</v>
      </c>
      <c r="F574" s="267"/>
      <c r="G574" s="267"/>
      <c r="H574" s="267"/>
      <c r="I574" s="192"/>
      <c r="J574" s="192"/>
      <c r="K574" s="192"/>
      <c r="L574" s="193"/>
      <c r="M574" s="192"/>
      <c r="N574" s="192"/>
      <c r="O574" s="192"/>
      <c r="P574" s="194"/>
      <c r="Q574" s="192"/>
      <c r="R574" s="192"/>
      <c r="S574" s="192"/>
      <c r="T574" s="195"/>
      <c r="U574" s="196"/>
      <c r="V574" s="196"/>
      <c r="W574" s="196"/>
      <c r="X574" s="196"/>
      <c r="Y574" s="194"/>
      <c r="Z574" s="192"/>
      <c r="AA574" s="192"/>
      <c r="AB574" s="192"/>
      <c r="AC574" s="195"/>
      <c r="AD574" s="196"/>
      <c r="AE574" s="196"/>
      <c r="AF574" s="196"/>
      <c r="AG574" s="197"/>
      <c r="AH574" s="194"/>
      <c r="AI574" s="192"/>
      <c r="AJ574" s="237"/>
      <c r="AK574" s="237"/>
      <c r="AL574" s="198"/>
      <c r="AM574" s="238"/>
      <c r="AN574" s="238"/>
      <c r="AO574" s="238"/>
      <c r="AP574" s="197"/>
      <c r="AQ574" s="239"/>
      <c r="AR574" s="240"/>
      <c r="AS574" s="199"/>
      <c r="AT574" s="200"/>
      <c r="AU574" s="198"/>
      <c r="AV574" s="196"/>
      <c r="AW574" s="196"/>
      <c r="AX574" s="196"/>
      <c r="AY574" s="197"/>
      <c r="AZ574" s="239"/>
      <c r="BA574" s="240"/>
      <c r="BB574" s="200"/>
      <c r="BC574" s="237"/>
      <c r="BD574" s="241"/>
      <c r="BE574" s="196"/>
      <c r="BF574" s="196"/>
      <c r="BG574" s="196"/>
      <c r="BH574" s="197"/>
      <c r="BI574" s="242"/>
      <c r="BJ574" s="237"/>
      <c r="BK574" s="237"/>
      <c r="BL574" s="237"/>
      <c r="BM574" s="241"/>
      <c r="BN574" s="196"/>
      <c r="BO574" s="196"/>
      <c r="BP574" s="196"/>
      <c r="BQ574" s="197"/>
      <c r="BR574" s="201"/>
      <c r="BS574" s="237"/>
      <c r="BT574" s="237"/>
      <c r="BU574" s="237"/>
      <c r="BV574" s="242"/>
      <c r="BW574" s="237"/>
      <c r="BX574" s="237"/>
      <c r="BY574" s="237"/>
      <c r="BZ574" s="237"/>
      <c r="CA574" s="237"/>
      <c r="CB574" s="437"/>
      <c r="CC574" s="437"/>
      <c r="CD574" s="437"/>
      <c r="CE574" s="437"/>
      <c r="CF574" s="237"/>
      <c r="CG574" s="237"/>
      <c r="CH574" s="237"/>
      <c r="CI574" s="237"/>
      <c r="CJ574" s="197"/>
      <c r="CK574" s="197"/>
      <c r="CL574" s="197"/>
      <c r="CM574" s="197"/>
      <c r="CN574" s="197"/>
      <c r="CO574" s="197"/>
      <c r="CP574" s="197"/>
      <c r="CQ574" s="197"/>
      <c r="CR574" s="197"/>
      <c r="CS574" s="197"/>
      <c r="CT574" s="401"/>
      <c r="CU574" s="237"/>
      <c r="CV574" s="243"/>
      <c r="CW574" s="255"/>
    </row>
    <row r="575" spans="1:101" ht="13.5" thickBot="1" x14ac:dyDescent="0.25">
      <c r="A575" s="256"/>
      <c r="B575" s="256"/>
      <c r="C575" s="202"/>
      <c r="D575" s="188"/>
      <c r="E575" s="266" t="str">
        <f>E3</f>
        <v>Skorgen Tippelag</v>
      </c>
      <c r="F575" s="406"/>
      <c r="G575" s="406"/>
      <c r="H575" s="406"/>
      <c r="I575" s="406"/>
      <c r="J575" s="406"/>
      <c r="K575" s="406"/>
      <c r="L575" s="406"/>
      <c r="M575" s="406"/>
      <c r="N575" s="406"/>
      <c r="O575" s="406"/>
      <c r="P575" s="406"/>
      <c r="Q575" s="406"/>
      <c r="R575" s="406"/>
      <c r="S575" s="406"/>
      <c r="T575" s="406"/>
      <c r="U575" s="406"/>
      <c r="V575" s="406"/>
      <c r="W575" s="406"/>
      <c r="X575" s="406"/>
      <c r="Y575" s="406"/>
      <c r="Z575" s="406"/>
      <c r="AA575" s="406"/>
      <c r="AB575" s="406"/>
      <c r="AC575" s="406"/>
      <c r="AD575" s="406"/>
      <c r="AE575" s="406"/>
      <c r="AF575" s="406"/>
      <c r="AG575" s="406"/>
      <c r="AH575" s="406"/>
      <c r="AI575" s="406"/>
      <c r="AJ575" s="406"/>
      <c r="AK575" s="406"/>
      <c r="AL575" s="406"/>
      <c r="AM575" s="406"/>
      <c r="AN575" s="406"/>
      <c r="AO575" s="406"/>
      <c r="AP575" s="406"/>
      <c r="AQ575" s="406"/>
      <c r="AR575" s="406"/>
      <c r="AS575" s="406"/>
      <c r="AT575" s="406"/>
      <c r="AU575" s="406"/>
      <c r="AV575" s="406"/>
      <c r="AW575" s="406"/>
      <c r="AX575" s="406"/>
      <c r="AY575" s="406"/>
      <c r="AZ575" s="406"/>
      <c r="BA575" s="406"/>
      <c r="BB575" s="406"/>
      <c r="BC575" s="406"/>
      <c r="BD575" s="406"/>
      <c r="BE575" s="406"/>
      <c r="BF575" s="406"/>
      <c r="BG575" s="406"/>
      <c r="BH575" s="406"/>
      <c r="BI575" s="406"/>
      <c r="BJ575" s="406"/>
      <c r="BK575" s="406"/>
      <c r="BL575" s="406"/>
      <c r="BM575" s="406"/>
      <c r="BN575" s="406"/>
      <c r="BO575" s="406"/>
      <c r="BP575" s="406"/>
      <c r="BQ575" s="406"/>
      <c r="BR575" s="406"/>
      <c r="BS575" s="406"/>
      <c r="BT575" s="406"/>
      <c r="BU575" s="406"/>
      <c r="BV575" s="406"/>
      <c r="BW575" s="406"/>
      <c r="BX575" s="406"/>
      <c r="BY575" s="406"/>
      <c r="BZ575" s="406"/>
      <c r="CA575" s="406"/>
      <c r="CB575" s="438"/>
      <c r="CC575" s="438"/>
      <c r="CD575" s="438"/>
      <c r="CE575" s="438"/>
      <c r="CF575" s="406"/>
      <c r="CG575" s="406"/>
      <c r="CH575" s="406"/>
      <c r="CI575" s="406"/>
      <c r="CJ575" s="406"/>
      <c r="CK575" s="406"/>
      <c r="CL575" s="406"/>
      <c r="CM575" s="406"/>
      <c r="CN575" s="366"/>
      <c r="CO575" s="366"/>
      <c r="CP575" s="366"/>
      <c r="CQ575" s="366"/>
      <c r="CR575" s="366"/>
      <c r="CS575" s="366"/>
      <c r="CT575" s="187"/>
      <c r="CU575" s="310"/>
      <c r="CV575" s="246"/>
      <c r="CW575" s="255"/>
    </row>
    <row r="576" spans="1:101" ht="18.75" thickTop="1" x14ac:dyDescent="0.2">
      <c r="A576" s="256"/>
      <c r="B576" s="256"/>
      <c r="C576" s="209"/>
      <c r="D576" s="290"/>
      <c r="E576" s="273"/>
      <c r="F576" s="274"/>
      <c r="G576" s="273"/>
      <c r="H576" s="273"/>
      <c r="I576" s="803" t="s">
        <v>39</v>
      </c>
      <c r="J576" s="805"/>
      <c r="K576" s="805"/>
      <c r="L576" s="291"/>
      <c r="M576" s="302"/>
      <c r="N576" s="242"/>
      <c r="O576" s="275"/>
      <c r="P576" s="275"/>
      <c r="Q576" s="808">
        <f>IF($F580="","",SUM(Q592:S592)-S578)</f>
        <v>500</v>
      </c>
      <c r="R576" s="808"/>
      <c r="S576" s="808"/>
      <c r="T576" s="276"/>
      <c r="U576" s="277"/>
      <c r="V576" s="277"/>
      <c r="W576" s="277"/>
      <c r="X576" s="277"/>
      <c r="Y576" s="275"/>
      <c r="Z576" s="808">
        <f>IF($F580="","",SUM(Z592:AB592)-AB578)</f>
        <v>510</v>
      </c>
      <c r="AA576" s="808"/>
      <c r="AB576" s="808"/>
      <c r="AC576" s="276"/>
      <c r="AD576" s="277"/>
      <c r="AE576" s="277"/>
      <c r="AF576" s="277"/>
      <c r="AG576" s="273"/>
      <c r="AH576" s="275"/>
      <c r="AI576" s="808">
        <f>IF($F580="","",SUM(AI592:AK592)-AK578)</f>
        <v>480</v>
      </c>
      <c r="AJ576" s="808"/>
      <c r="AK576" s="808"/>
      <c r="AL576" s="276"/>
      <c r="AM576" s="277"/>
      <c r="AN576" s="277"/>
      <c r="AO576" s="277"/>
      <c r="AP576" s="273"/>
      <c r="AQ576" s="275"/>
      <c r="AR576" s="808">
        <f>IF($F580="","",SUM(AR592:AT592)-AT578)</f>
        <v>440</v>
      </c>
      <c r="AS576" s="808"/>
      <c r="AT576" s="808"/>
      <c r="AU576" s="278"/>
      <c r="AV576" s="277"/>
      <c r="AW576" s="277"/>
      <c r="AX576" s="277"/>
      <c r="AY576" s="279"/>
      <c r="AZ576" s="280"/>
      <c r="BA576" s="808">
        <f>IF($F580="","",SUM(BA592:BC592)-BC578)</f>
        <v>470</v>
      </c>
      <c r="BB576" s="808"/>
      <c r="BC576" s="808"/>
      <c r="BD576" s="278"/>
      <c r="BE576" s="277"/>
      <c r="BF576" s="277"/>
      <c r="BG576" s="277"/>
      <c r="BH576" s="279"/>
      <c r="BI576" s="280"/>
      <c r="BJ576" s="808">
        <f>IF($F580="","",SUM(BJ592:BL592)-BL578)</f>
        <v>320</v>
      </c>
      <c r="BK576" s="808"/>
      <c r="BL576" s="808"/>
      <c r="BM576" s="278"/>
      <c r="BN576" s="277"/>
      <c r="BO576" s="277"/>
      <c r="BP576" s="277"/>
      <c r="BQ576" s="279"/>
      <c r="BR576" s="281"/>
      <c r="BS576" s="808">
        <f>IF($F580="","",SUM(BS592:BU592)-BU578)</f>
        <v>520</v>
      </c>
      <c r="BT576" s="808"/>
      <c r="BU576" s="808"/>
      <c r="BV576" s="280"/>
      <c r="BW576" s="279"/>
      <c r="BX576" s="279"/>
      <c r="BY576" s="279"/>
      <c r="BZ576" s="279"/>
      <c r="CA576" s="281"/>
      <c r="CB576" s="808">
        <f>IF($F580="","",SUM(CB592:CD592)-CD578)</f>
        <v>480</v>
      </c>
      <c r="CC576" s="808"/>
      <c r="CD576" s="808"/>
      <c r="CE576" s="280"/>
      <c r="CF576" s="279"/>
      <c r="CG576" s="279"/>
      <c r="CH576" s="279"/>
      <c r="CI576" s="279"/>
      <c r="CJ576" s="273"/>
      <c r="CK576" s="808">
        <f>IF($F580="","",SUM(CK592:CM592))</f>
        <v>490</v>
      </c>
      <c r="CL576" s="808"/>
      <c r="CM576" s="808"/>
      <c r="CN576" s="280"/>
      <c r="CO576" s="279"/>
      <c r="CP576" s="279"/>
      <c r="CQ576" s="279"/>
      <c r="CR576" s="273"/>
      <c r="CS576" s="273"/>
      <c r="CT576" s="273"/>
      <c r="CU576" s="292"/>
      <c r="CV576" s="246"/>
      <c r="CW576" s="255"/>
    </row>
    <row r="577" spans="1:101" x14ac:dyDescent="0.2">
      <c r="A577" s="256"/>
      <c r="B577" s="256"/>
      <c r="C577" s="209"/>
      <c r="D577" s="916">
        <v>13</v>
      </c>
      <c r="E577" s="588">
        <v>46109</v>
      </c>
      <c r="F577" s="213"/>
      <c r="G577" s="214"/>
      <c r="H577" s="214"/>
      <c r="I577" s="804">
        <f>IF(ISERROR(AVERAGE(Q576,Z576,AI576,AR576,BA576,BJ576,BS576,CB576,CK576)),"",AVERAGE(Q576,Z576,AI576,AR576,BA576,BJ576,BS576,CB576,CK576))</f>
        <v>467.77777777777777</v>
      </c>
      <c r="J577" s="806"/>
      <c r="K577" s="806"/>
      <c r="L577" s="295"/>
      <c r="M577" s="372"/>
      <c r="N577" s="245"/>
      <c r="O577" s="215"/>
      <c r="P577" s="215"/>
      <c r="Q577" s="710">
        <f>IF(Q576="","",Q576/Data!$X$1)</f>
        <v>0.41666666666666669</v>
      </c>
      <c r="R577" s="710"/>
      <c r="S577" s="711">
        <f>IF(SUM(X580:X591)=0,"",SUM(X580:X591))</f>
        <v>7</v>
      </c>
      <c r="T577" s="216"/>
      <c r="U577" s="217"/>
      <c r="V577" s="217"/>
      <c r="W577" s="217"/>
      <c r="X577" s="217"/>
      <c r="Y577" s="215"/>
      <c r="Z577" s="710">
        <f>IF(Z576="","",Z576/Data!$X$1)</f>
        <v>0.42499999999999999</v>
      </c>
      <c r="AA577" s="710"/>
      <c r="AB577" s="711">
        <f>IF(SUM(AG580:AG591)=0,"",SUM(AG580:AG591))</f>
        <v>6</v>
      </c>
      <c r="AC577" s="216"/>
      <c r="AD577" s="217"/>
      <c r="AE577" s="217"/>
      <c r="AF577" s="217"/>
      <c r="AG577" s="217"/>
      <c r="AH577" s="215"/>
      <c r="AI577" s="710">
        <f>IF(AI576="","",AI576/Data!$X$1)</f>
        <v>0.4</v>
      </c>
      <c r="AJ577" s="710"/>
      <c r="AK577" s="711">
        <f>IF(SUM(AP580:AP591)=0,"",SUM(AP580:AP591))</f>
        <v>7</v>
      </c>
      <c r="AL577" s="216"/>
      <c r="AM577" s="217"/>
      <c r="AN577" s="217"/>
      <c r="AO577" s="217"/>
      <c r="AP577" s="217"/>
      <c r="AQ577" s="215"/>
      <c r="AR577" s="710">
        <f>IF(AR576="","",AR576/Data!$X$1)</f>
        <v>0.36666666666666664</v>
      </c>
      <c r="AS577" s="710"/>
      <c r="AT577" s="711">
        <f>IF(SUM(AY580:AY591)=0,"",SUM(AY580:AY591))</f>
        <v>4</v>
      </c>
      <c r="AU577" s="218"/>
      <c r="AV577" s="217"/>
      <c r="AW577" s="217"/>
      <c r="AX577" s="217"/>
      <c r="AY577" s="217"/>
      <c r="AZ577" s="219"/>
      <c r="BA577" s="710">
        <f>IF(BA576="","",BA576/Data!$X$1)</f>
        <v>0.39166666666666666</v>
      </c>
      <c r="BB577" s="710"/>
      <c r="BC577" s="711">
        <f>IF(SUM(BH580:BH591)=0,"",SUM(BH580:BH591))</f>
        <v>5</v>
      </c>
      <c r="BD577" s="218"/>
      <c r="BE577" s="217"/>
      <c r="BF577" s="217"/>
      <c r="BG577" s="217"/>
      <c r="BH577" s="217"/>
      <c r="BI577" s="219"/>
      <c r="BJ577" s="710">
        <f>IF(BJ576="","",BJ576/Data!$X$1)</f>
        <v>0.26666666666666666</v>
      </c>
      <c r="BK577" s="710"/>
      <c r="BL577" s="711">
        <f>IF(SUM(BQ580:BQ591)=0,"",SUM(BQ580:BQ591))</f>
        <v>3</v>
      </c>
      <c r="BM577" s="218"/>
      <c r="BN577" s="217"/>
      <c r="BO577" s="217"/>
      <c r="BP577" s="217"/>
      <c r="BQ577" s="217"/>
      <c r="BR577" s="220"/>
      <c r="BS577" s="710">
        <f>IF(BS576="","",BS576/Data!$X$1)</f>
        <v>0.43333333333333335</v>
      </c>
      <c r="BT577" s="710"/>
      <c r="BU577" s="711">
        <f>IF(SUM(BZ580:BZ591)=0,"",SUM(BZ580:BZ591))</f>
        <v>8</v>
      </c>
      <c r="BV577" s="219"/>
      <c r="BW577" s="217"/>
      <c r="BX577" s="217"/>
      <c r="BY577" s="217"/>
      <c r="BZ577" s="217"/>
      <c r="CA577" s="220"/>
      <c r="CB577" s="710">
        <f>IF(CB576="","",CB576/Data!$X$1)</f>
        <v>0.4</v>
      </c>
      <c r="CC577" s="710"/>
      <c r="CD577" s="711">
        <f>IF(SUM(CI580:CI591)=0,"",SUM(CI580:CI591))</f>
        <v>6</v>
      </c>
      <c r="CE577" s="219"/>
      <c r="CF577" s="217"/>
      <c r="CG577" s="217"/>
      <c r="CH577" s="217"/>
      <c r="CI577" s="217"/>
      <c r="CJ577" s="217"/>
      <c r="CK577" s="710">
        <f>IF(CK576="","",CK576/Data!$X$1)</f>
        <v>0.40833333333333333</v>
      </c>
      <c r="CL577" s="710"/>
      <c r="CM577" s="711">
        <f>IF(SUM(CR580:CR591)=0,"",SUM(CR580:CR591))</f>
        <v>5</v>
      </c>
      <c r="CN577" s="219"/>
      <c r="CO577" s="217"/>
      <c r="CP577" s="217"/>
      <c r="CQ577" s="217"/>
      <c r="CR577" s="217"/>
      <c r="CS577" s="217"/>
      <c r="CT577" s="217"/>
      <c r="CU577" s="296"/>
      <c r="CV577" s="246"/>
      <c r="CW577" s="255"/>
    </row>
    <row r="578" spans="1:101" ht="13.5" thickBot="1" x14ac:dyDescent="0.25">
      <c r="A578" s="256"/>
      <c r="B578" s="256"/>
      <c r="C578" s="209"/>
      <c r="D578" s="269">
        <f>D556+1</f>
        <v>27</v>
      </c>
      <c r="E578" s="402" t="str">
        <f>IF(E577="","Sett inn dato over her",TEXT(E577,"dddd"))</f>
        <v>lørdag</v>
      </c>
      <c r="F578" s="221"/>
      <c r="G578" s="222"/>
      <c r="H578" s="222"/>
      <c r="I578" s="802"/>
      <c r="J578" s="807"/>
      <c r="K578" s="807"/>
      <c r="L578" s="297"/>
      <c r="M578" s="373"/>
      <c r="N578" s="377"/>
      <c r="O578" s="222"/>
      <c r="P578" s="222"/>
      <c r="Q578" s="385" t="str">
        <f>Data!$E$11</f>
        <v>AHH</v>
      </c>
      <c r="R578" s="386">
        <f>IF($F591="","",RANK(Q576,$Q576:$CL576))</f>
        <v>3</v>
      </c>
      <c r="S578" s="510"/>
      <c r="T578" s="216">
        <v>0</v>
      </c>
      <c r="U578" s="217"/>
      <c r="V578" s="217"/>
      <c r="W578" s="217"/>
      <c r="X578" s="217"/>
      <c r="Y578" s="215"/>
      <c r="Z578" s="385" t="str">
        <f>Data!$E$12</f>
        <v>RB</v>
      </c>
      <c r="AA578" s="386">
        <f>IF($F591="","",RANK(Z576,$Q576:$CL576))</f>
        <v>2</v>
      </c>
      <c r="AB578" s="510"/>
      <c r="AC578" s="216"/>
      <c r="AD578" s="217"/>
      <c r="AE578" s="217"/>
      <c r="AF578" s="217"/>
      <c r="AG578" s="217"/>
      <c r="AH578" s="215"/>
      <c r="AI578" s="385" t="str">
        <f>Data!$E$13</f>
        <v>EB</v>
      </c>
      <c r="AJ578" s="386">
        <f>IF($F591="","",RANK(AI576,$Q576:$CL576))</f>
        <v>5</v>
      </c>
      <c r="AK578" s="510"/>
      <c r="AL578" s="216"/>
      <c r="AM578" s="217"/>
      <c r="AN578" s="217"/>
      <c r="AO578" s="217"/>
      <c r="AP578" s="217"/>
      <c r="AQ578" s="215"/>
      <c r="AR578" s="346" t="str">
        <f>Data!$E$14</f>
        <v>KAF</v>
      </c>
      <c r="AS578" s="386">
        <f>IF($F591="","",RANK(AR576,$Q576:$CL576))</f>
        <v>8</v>
      </c>
      <c r="AT578" s="510"/>
      <c r="AU578" s="216"/>
      <c r="AV578" s="217"/>
      <c r="AW578" s="217"/>
      <c r="AX578" s="217"/>
      <c r="AY578" s="217"/>
      <c r="AZ578" s="215"/>
      <c r="BA578" s="346" t="str">
        <f>Data!$E$15</f>
        <v>ØG</v>
      </c>
      <c r="BB578" s="386">
        <f>IF($F591="","",RANK(BA576,$Q576:$CL576))</f>
        <v>7</v>
      </c>
      <c r="BC578" s="510"/>
      <c r="BD578" s="216"/>
      <c r="BE578" s="217"/>
      <c r="BF578" s="217"/>
      <c r="BG578" s="217"/>
      <c r="BH578" s="217"/>
      <c r="BI578" s="215"/>
      <c r="BJ578" s="346" t="str">
        <f>Data!$E$16</f>
        <v>JH</v>
      </c>
      <c r="BK578" s="386">
        <f>IF($F591="","",RANK(BJ576,$Q576:$CL576))</f>
        <v>9</v>
      </c>
      <c r="BL578" s="510"/>
      <c r="BM578" s="216"/>
      <c r="BN578" s="217"/>
      <c r="BO578" s="217"/>
      <c r="BP578" s="217"/>
      <c r="BQ578" s="217"/>
      <c r="BR578" s="223"/>
      <c r="BS578" s="346" t="str">
        <f>Data!$E$17</f>
        <v>TOH</v>
      </c>
      <c r="BT578" s="386">
        <f>IF($F591="","",RANK(BS576,$Q576:$CL576))</f>
        <v>1</v>
      </c>
      <c r="BU578" s="510"/>
      <c r="BV578" s="215"/>
      <c r="BW578" s="217"/>
      <c r="BX578" s="217"/>
      <c r="BY578" s="217"/>
      <c r="BZ578" s="217"/>
      <c r="CA578" s="223"/>
      <c r="CB578" s="346" t="s">
        <v>26</v>
      </c>
      <c r="CC578" s="386">
        <f>IF($F591="","",RANK(CB576,$Q576:$CM576))</f>
        <v>5</v>
      </c>
      <c r="CD578" s="511"/>
      <c r="CE578" s="215"/>
      <c r="CF578" s="217"/>
      <c r="CG578" s="217"/>
      <c r="CH578" s="217"/>
      <c r="CI578" s="217"/>
      <c r="CJ578" s="217"/>
      <c r="CK578" s="346" t="s">
        <v>27</v>
      </c>
      <c r="CL578" s="386">
        <f>IF($F591="","",RANK(CK576,$Q576:$CM576))</f>
        <v>4</v>
      </c>
      <c r="CM578" s="798"/>
      <c r="CN578" s="215"/>
      <c r="CO578" s="217"/>
      <c r="CP578" s="217"/>
      <c r="CQ578" s="217"/>
      <c r="CR578" s="217"/>
      <c r="CS578" s="217"/>
      <c r="CT578" s="217"/>
      <c r="CU578" s="296"/>
      <c r="CV578" s="246"/>
      <c r="CW578" s="255"/>
    </row>
    <row r="579" spans="1:101" ht="13.5" thickBot="1" x14ac:dyDescent="0.25">
      <c r="A579" s="264"/>
      <c r="B579" s="264"/>
      <c r="C579" s="202"/>
      <c r="D579" s="270"/>
      <c r="E579" s="224"/>
      <c r="F579" s="225"/>
      <c r="G579" s="226"/>
      <c r="H579" s="226"/>
      <c r="I579" s="227" t="s">
        <v>45</v>
      </c>
      <c r="J579" s="228" t="s">
        <v>46</v>
      </c>
      <c r="K579" s="229" t="s">
        <v>47</v>
      </c>
      <c r="L579" s="298"/>
      <c r="M579" s="374"/>
      <c r="N579" s="378"/>
      <c r="O579" s="230"/>
      <c r="P579" s="230"/>
      <c r="Q579" s="227" t="s">
        <v>45</v>
      </c>
      <c r="R579" s="228" t="s">
        <v>46</v>
      </c>
      <c r="S579" s="229" t="s">
        <v>47</v>
      </c>
      <c r="T579" s="231"/>
      <c r="U579" s="232"/>
      <c r="V579" s="232"/>
      <c r="W579" s="232"/>
      <c r="X579" s="232"/>
      <c r="Y579" s="230"/>
      <c r="Z579" s="227" t="s">
        <v>45</v>
      </c>
      <c r="AA579" s="228" t="s">
        <v>46</v>
      </c>
      <c r="AB579" s="229" t="s">
        <v>47</v>
      </c>
      <c r="AC579" s="231"/>
      <c r="AD579" s="232"/>
      <c r="AE579" s="232"/>
      <c r="AF579" s="232"/>
      <c r="AG579" s="232"/>
      <c r="AH579" s="230"/>
      <c r="AI579" s="227" t="s">
        <v>45</v>
      </c>
      <c r="AJ579" s="228" t="s">
        <v>46</v>
      </c>
      <c r="AK579" s="229" t="s">
        <v>47</v>
      </c>
      <c r="AL579" s="231"/>
      <c r="AM579" s="232"/>
      <c r="AN579" s="232"/>
      <c r="AO579" s="232"/>
      <c r="AP579" s="232"/>
      <c r="AQ579" s="230"/>
      <c r="AR579" s="227" t="s">
        <v>45</v>
      </c>
      <c r="AS579" s="228" t="s">
        <v>46</v>
      </c>
      <c r="AT579" s="229" t="s">
        <v>47</v>
      </c>
      <c r="AU579" s="231"/>
      <c r="AV579" s="232"/>
      <c r="AW579" s="232"/>
      <c r="AX579" s="232"/>
      <c r="AY579" s="232"/>
      <c r="AZ579" s="230"/>
      <c r="BA579" s="227" t="s">
        <v>45</v>
      </c>
      <c r="BB579" s="228" t="s">
        <v>46</v>
      </c>
      <c r="BC579" s="229" t="s">
        <v>47</v>
      </c>
      <c r="BD579" s="231"/>
      <c r="BE579" s="232"/>
      <c r="BF579" s="232"/>
      <c r="BG579" s="232"/>
      <c r="BH579" s="232"/>
      <c r="BI579" s="230"/>
      <c r="BJ579" s="227" t="s">
        <v>45</v>
      </c>
      <c r="BK579" s="228" t="s">
        <v>46</v>
      </c>
      <c r="BL579" s="229" t="s">
        <v>47</v>
      </c>
      <c r="BM579" s="231"/>
      <c r="BN579" s="232"/>
      <c r="BO579" s="232"/>
      <c r="BP579" s="232"/>
      <c r="BQ579" s="232"/>
      <c r="BR579" s="230"/>
      <c r="BS579" s="227" t="s">
        <v>45</v>
      </c>
      <c r="BT579" s="228" t="s">
        <v>46</v>
      </c>
      <c r="BU579" s="229" t="s">
        <v>47</v>
      </c>
      <c r="BV579" s="231"/>
      <c r="BW579" s="232"/>
      <c r="BX579" s="232"/>
      <c r="BY579" s="232"/>
      <c r="BZ579" s="233"/>
      <c r="CA579" s="230"/>
      <c r="CB579" s="227" t="s">
        <v>45</v>
      </c>
      <c r="CC579" s="228" t="s">
        <v>46</v>
      </c>
      <c r="CD579" s="229" t="s">
        <v>47</v>
      </c>
      <c r="CE579" s="231"/>
      <c r="CF579" s="232"/>
      <c r="CG579" s="232"/>
      <c r="CH579" s="232"/>
      <c r="CI579" s="232"/>
      <c r="CJ579" s="232"/>
      <c r="CK579" s="227" t="s">
        <v>45</v>
      </c>
      <c r="CL579" s="228" t="s">
        <v>46</v>
      </c>
      <c r="CM579" s="229" t="s">
        <v>47</v>
      </c>
      <c r="CN579" s="231"/>
      <c r="CO579" s="232"/>
      <c r="CP579" s="232"/>
      <c r="CQ579" s="232"/>
      <c r="CR579" s="232"/>
      <c r="CS579" s="232"/>
      <c r="CT579" s="234"/>
      <c r="CU579" s="296"/>
      <c r="CV579" s="246"/>
      <c r="CW579" s="265"/>
    </row>
    <row r="580" spans="1:101" x14ac:dyDescent="0.2">
      <c r="A580" s="264"/>
      <c r="B580" s="264"/>
      <c r="C580" s="202"/>
      <c r="D580" s="271">
        <v>1</v>
      </c>
      <c r="E580" s="166" t="s">
        <v>362</v>
      </c>
      <c r="F580" s="468">
        <v>1</v>
      </c>
      <c r="G580" s="472" t="s">
        <v>49</v>
      </c>
      <c r="H580" s="473">
        <v>1</v>
      </c>
      <c r="I580" s="170" t="str">
        <f t="shared" ref="I580:I591" si="1300">IF($F580&gt;$H580,"x","")</f>
        <v/>
      </c>
      <c r="J580" s="387" t="str">
        <f t="shared" ref="J580:J591" si="1301">IF(F580&lt;&gt;"",IF(H580&lt;&gt;"",IF(F580=H580,"x",""),""),"")</f>
        <v>x</v>
      </c>
      <c r="K580" s="388" t="str">
        <f t="shared" ref="K580:K591" si="1302">IF($F580&lt;$H580,"x","")</f>
        <v/>
      </c>
      <c r="L580" s="299"/>
      <c r="M580" s="375"/>
      <c r="N580" s="379"/>
      <c r="O580" s="236"/>
      <c r="P580" s="236"/>
      <c r="Q580" s="480">
        <v>40</v>
      </c>
      <c r="R580" s="481">
        <v>30</v>
      </c>
      <c r="S580" s="482">
        <f>IF(Q580="","",100-SUM(Q580:R580))</f>
        <v>30</v>
      </c>
      <c r="T580" s="371"/>
      <c r="U580" s="232" t="str">
        <f t="shared" ref="U580:U591" si="1303">IF($I580="x",Q580,"")</f>
        <v/>
      </c>
      <c r="V580" s="232">
        <f t="shared" ref="V580:V591" si="1304">IF($J580="x",R580,"")</f>
        <v>30</v>
      </c>
      <c r="W580" s="232" t="str">
        <f t="shared" ref="W580:W591" si="1305">IF($K580="x",S580,"")</f>
        <v/>
      </c>
      <c r="X580" s="232" t="str">
        <f>IF((MAX(U580,V580,W580))=0,"",IF((MAX(U580,V580,W580))=(MAX(Q580,R580,S580)),1,""))</f>
        <v/>
      </c>
      <c r="Y580" s="371"/>
      <c r="Z580" s="495">
        <v>80</v>
      </c>
      <c r="AA580" s="496">
        <v>10</v>
      </c>
      <c r="AB580" s="482">
        <f t="shared" ref="AB580:AB591" si="1306">IF(Z580="","",100-SUM(Z580:AA580))</f>
        <v>10</v>
      </c>
      <c r="AC580" s="371"/>
      <c r="AD580" s="232" t="str">
        <f t="shared" ref="AD580:AD591" si="1307">IF($I580="x",Z580,"")</f>
        <v/>
      </c>
      <c r="AE580" s="232">
        <f t="shared" ref="AE580:AE591" si="1308">IF($J580="x",AA580,"")</f>
        <v>10</v>
      </c>
      <c r="AF580" s="232" t="str">
        <f t="shared" ref="AF580:AF591" si="1309">IF($K580="x",AB580,"")</f>
        <v/>
      </c>
      <c r="AG580" s="232" t="str">
        <f>IF((MAX(AD580,AE580,AF580))=0,"",IF((MAX(AD580,AE580,AF580))=(MAX(Z580,AA580,AB580)),1,""))</f>
        <v/>
      </c>
      <c r="AH580" s="371"/>
      <c r="AI580" s="495">
        <v>80</v>
      </c>
      <c r="AJ580" s="496">
        <v>10</v>
      </c>
      <c r="AK580" s="482">
        <f t="shared" ref="AK580:AK591" si="1310">IF(AI580="","",100-SUM(AI580:AJ580))</f>
        <v>10</v>
      </c>
      <c r="AL580" s="371"/>
      <c r="AM580" s="232" t="str">
        <f t="shared" ref="AM580:AM591" si="1311">IF($I580="x",AI580,"")</f>
        <v/>
      </c>
      <c r="AN580" s="232">
        <f t="shared" ref="AN580:AN591" si="1312">IF($J580="x",AJ580,"")</f>
        <v>10</v>
      </c>
      <c r="AO580" s="232" t="str">
        <f t="shared" ref="AO580:AO591" si="1313">IF($K580="x",AK580,"")</f>
        <v/>
      </c>
      <c r="AP580" s="232" t="str">
        <f>IF((MAX(AM580,AN580,AO580))=0,"",IF((MAX(AM580,AN580,AO580))=(MAX(AI580,AJ580,AK580)),1,""))</f>
        <v/>
      </c>
      <c r="AQ580" s="371"/>
      <c r="AR580" s="495">
        <v>60</v>
      </c>
      <c r="AS580" s="496">
        <v>30</v>
      </c>
      <c r="AT580" s="482">
        <f t="shared" ref="AT580:AT591" si="1314">IF(AR580="","",100-SUM(AR580:AS580))</f>
        <v>10</v>
      </c>
      <c r="AU580" s="371"/>
      <c r="AV580" s="232" t="str">
        <f t="shared" ref="AV580:AV591" si="1315">IF($I580="x",AR580,"")</f>
        <v/>
      </c>
      <c r="AW580" s="232">
        <f t="shared" ref="AW580:AW591" si="1316">IF($J580="x",AS580,"")</f>
        <v>30</v>
      </c>
      <c r="AX580" s="232" t="str">
        <f t="shared" ref="AX580:AX591" si="1317">IF($K580="x",AT580,"")</f>
        <v/>
      </c>
      <c r="AY580" s="232" t="str">
        <f>IF((MAX(AV580,AW580,AX580))=0,"",IF((MAX(AV580,AW580,AX580))=(MAX(AR580,AS580,AT580)),1,""))</f>
        <v/>
      </c>
      <c r="AZ580" s="371"/>
      <c r="BA580" s="495">
        <v>10</v>
      </c>
      <c r="BB580" s="496">
        <v>10</v>
      </c>
      <c r="BC580" s="482">
        <f t="shared" ref="BC580:BC591" si="1318">IF(BA580="","",100-SUM(BA580:BB580))</f>
        <v>80</v>
      </c>
      <c r="BD580" s="371"/>
      <c r="BE580" s="232" t="str">
        <f t="shared" ref="BE580:BE591" si="1319">IF($I580="x",BA580,"")</f>
        <v/>
      </c>
      <c r="BF580" s="232">
        <f t="shared" ref="BF580:BF591" si="1320">IF($J580="x",BB580,"")</f>
        <v>10</v>
      </c>
      <c r="BG580" s="232" t="str">
        <f t="shared" ref="BG580:BG591" si="1321">IF($K580="x",BC580,"")</f>
        <v/>
      </c>
      <c r="BH580" s="232" t="str">
        <f>IF((MAX(BE580,BF580,BG580))=0,"",IF((MAX(BE580,BF580,BG580))=(MAX(BA580,BB580,BC580)),1,""))</f>
        <v/>
      </c>
      <c r="BI580" s="371"/>
      <c r="BJ580" s="495">
        <v>80</v>
      </c>
      <c r="BK580" s="496">
        <v>10</v>
      </c>
      <c r="BL580" s="482">
        <f t="shared" ref="BL580:BL591" si="1322">IF(BJ580="","",100-SUM(BJ580:BK580))</f>
        <v>10</v>
      </c>
      <c r="BM580" s="371"/>
      <c r="BN580" s="232" t="str">
        <f t="shared" ref="BN580:BN591" si="1323">IF($I580="x",BJ580,"")</f>
        <v/>
      </c>
      <c r="BO580" s="232">
        <f t="shared" ref="BO580:BO591" si="1324">IF($J580="x",BK580,"")</f>
        <v>10</v>
      </c>
      <c r="BP580" s="232" t="str">
        <f t="shared" ref="BP580:BP591" si="1325">IF($K580="x",BL580,"")</f>
        <v/>
      </c>
      <c r="BQ580" s="232" t="str">
        <f>IF((MAX(BN580,BO580,BP580))=0,"",IF((MAX(BN580,BO580,BP580))=(MAX(BJ580,BK580,BL580)),1,""))</f>
        <v/>
      </c>
      <c r="BR580" s="371"/>
      <c r="BS580" s="495">
        <v>70</v>
      </c>
      <c r="BT580" s="496">
        <v>20</v>
      </c>
      <c r="BU580" s="482">
        <f t="shared" ref="BU580:BU591" si="1326">IF(BS580="","",100-SUM(BS580:BT580))</f>
        <v>10</v>
      </c>
      <c r="BV580" s="371"/>
      <c r="BW580" s="232" t="str">
        <f t="shared" ref="BW580:BW591" si="1327">IF($I580="x",BS580,"")</f>
        <v/>
      </c>
      <c r="BX580" s="232">
        <f t="shared" ref="BX580:BX591" si="1328">IF($J580="x",BT580,"")</f>
        <v>20</v>
      </c>
      <c r="BY580" s="232" t="str">
        <f t="shared" ref="BY580:BY591" si="1329">IF($K580="x",BU580,"")</f>
        <v/>
      </c>
      <c r="BZ580" s="232" t="str">
        <f t="shared" ref="BZ580:BZ591" si="1330">IF((MAX(BW580,BX580,BY580))=0,"",IF((MAX(BW580,BX580,BY580))=(MAX(BS580,BT580,BU580)),1,""))</f>
        <v/>
      </c>
      <c r="CA580" s="371"/>
      <c r="CB580" s="501">
        <f t="shared" ref="CB580:CB591" si="1331">IFERROR(ROUNDUP((SUM(Q580,Z580,AI580,AR580,BA580,BJ580,BS580)/SUM($Q580:$S580,$Z580:$AB580,$AI580:$AK580,$AR580:$AT580,$BA580:$BC580,$BJ580:$BL580,$BS580:$BU580))*100,-1),"")</f>
        <v>60</v>
      </c>
      <c r="CC580" s="502">
        <f t="shared" ref="CC580:CC591" si="1332">IFERROR(ROUNDDOWN((SUM(R580,AA580,AJ580,AS580,BB580,BK580,BT580)/SUM($Q580:$S580,$Z580:$AB580,$AI580:$AK580,$AR580:$AT580,$BA580:$BC580,$BJ580:$BL580,$BS580:$BU580))*100,-1),"")</f>
        <v>10</v>
      </c>
      <c r="CD580" s="503">
        <f t="shared" ref="CD580:CD591" si="1333">IF(CB580="","",100-SUM(CB580:CC580))</f>
        <v>30</v>
      </c>
      <c r="CE580" s="371"/>
      <c r="CF580" s="232" t="str">
        <f t="shared" ref="CF580:CF591" si="1334">IF($I580="x",CB580,"")</f>
        <v/>
      </c>
      <c r="CG580" s="232">
        <f t="shared" ref="CG580:CG591" si="1335">IF($J580="x",CC580,"")</f>
        <v>10</v>
      </c>
      <c r="CH580" s="232" t="str">
        <f t="shared" ref="CH580:CH591" si="1336">IF($K580="x",CD580,"")</f>
        <v/>
      </c>
      <c r="CI580" s="232" t="str">
        <f>IF((MAX(CF580,CG580,CH580))=0,"",IF((MAX(CF580,CG580,CH580))=(MAX(CB580,CC580,CD580)),1,""))</f>
        <v/>
      </c>
      <c r="CJ580" s="232"/>
      <c r="CK580" s="495">
        <v>60</v>
      </c>
      <c r="CL580" s="496">
        <v>20</v>
      </c>
      <c r="CM580" s="482">
        <f t="shared" ref="CM580:CM591" si="1337">IF(CK580="","",100-SUM(CK580:CL580))</f>
        <v>20</v>
      </c>
      <c r="CN580" s="371"/>
      <c r="CO580" s="232" t="str">
        <f t="shared" ref="CO580:CO591" si="1338">IF($I580="x",CK580,"")</f>
        <v/>
      </c>
      <c r="CP580" s="232">
        <f t="shared" ref="CP580:CP591" si="1339">IF($J580="x",CL580,"")</f>
        <v>20</v>
      </c>
      <c r="CQ580" s="232" t="str">
        <f t="shared" ref="CQ580:CQ591" si="1340">IF($K580="x",CM580,"")</f>
        <v/>
      </c>
      <c r="CR580" s="232" t="str">
        <f>IF((MAX(CO580,CP580,CQ580))=0,"",IF((MAX(CO580,CP580,CQ580))=(MAX(CK580,CL580,CM580)),1,""))</f>
        <v/>
      </c>
      <c r="CS580" s="232"/>
      <c r="CT580" s="371"/>
      <c r="CU580" s="296"/>
      <c r="CV580" s="246"/>
      <c r="CW580" s="264"/>
    </row>
    <row r="581" spans="1:101" x14ac:dyDescent="0.2">
      <c r="A581" s="264"/>
      <c r="B581" s="264"/>
      <c r="C581" s="202"/>
      <c r="D581" s="271">
        <v>2</v>
      </c>
      <c r="E581" s="167" t="s">
        <v>363</v>
      </c>
      <c r="F581" s="469">
        <v>1</v>
      </c>
      <c r="G581" s="474" t="s">
        <v>49</v>
      </c>
      <c r="H581" s="475">
        <v>0</v>
      </c>
      <c r="I581" s="389" t="str">
        <f t="shared" si="1300"/>
        <v>x</v>
      </c>
      <c r="J581" s="390" t="str">
        <f t="shared" si="1301"/>
        <v/>
      </c>
      <c r="K581" s="391" t="str">
        <f t="shared" si="1302"/>
        <v/>
      </c>
      <c r="L581" s="299"/>
      <c r="M581" s="375"/>
      <c r="N581" s="379"/>
      <c r="O581" s="236"/>
      <c r="P581" s="236"/>
      <c r="Q581" s="483">
        <v>40</v>
      </c>
      <c r="R581" s="484">
        <v>30</v>
      </c>
      <c r="S581" s="485">
        <f t="shared" ref="S581:S591" si="1341">IF(Q581="","",100-SUM(Q581:R581))</f>
        <v>30</v>
      </c>
      <c r="T581" s="371"/>
      <c r="U581" s="232">
        <f t="shared" si="1303"/>
        <v>40</v>
      </c>
      <c r="V581" s="232" t="str">
        <f t="shared" si="1304"/>
        <v/>
      </c>
      <c r="W581" s="232" t="str">
        <f t="shared" si="1305"/>
        <v/>
      </c>
      <c r="X581" s="232">
        <f t="shared" ref="X581:X591" si="1342">IF((MAX(U581,V581,W581))=0,"",IF((MAX(U581,V581,W581))=(MAX(Q581,R581,S581)),1,""))</f>
        <v>1</v>
      </c>
      <c r="Y581" s="371"/>
      <c r="Z581" s="497">
        <v>80</v>
      </c>
      <c r="AA581" s="498">
        <v>10</v>
      </c>
      <c r="AB581" s="485">
        <f t="shared" si="1306"/>
        <v>10</v>
      </c>
      <c r="AC581" s="371"/>
      <c r="AD581" s="232">
        <f t="shared" si="1307"/>
        <v>80</v>
      </c>
      <c r="AE581" s="232" t="str">
        <f t="shared" si="1308"/>
        <v/>
      </c>
      <c r="AF581" s="232" t="str">
        <f t="shared" si="1309"/>
        <v/>
      </c>
      <c r="AG581" s="232">
        <f t="shared" ref="AG581:AG591" si="1343">IF((MAX(AD581,AE581,AF581))=0,"",IF((MAX(AD581,AE581,AF581))=(MAX(Z581,AA581,AB581)),1,""))</f>
        <v>1</v>
      </c>
      <c r="AH581" s="371"/>
      <c r="AI581" s="497">
        <v>40</v>
      </c>
      <c r="AJ581" s="498">
        <v>30</v>
      </c>
      <c r="AK581" s="485">
        <f t="shared" si="1310"/>
        <v>30</v>
      </c>
      <c r="AL581" s="371"/>
      <c r="AM581" s="232">
        <f t="shared" si="1311"/>
        <v>40</v>
      </c>
      <c r="AN581" s="232" t="str">
        <f t="shared" si="1312"/>
        <v/>
      </c>
      <c r="AO581" s="232" t="str">
        <f t="shared" si="1313"/>
        <v/>
      </c>
      <c r="AP581" s="232">
        <f t="shared" ref="AP581:AP591" si="1344">IF((MAX(AM581,AN581,AO581))=0,"",IF((MAX(AM581,AN581,AO581))=(MAX(AI581,AJ581,AK581)),1,""))</f>
        <v>1</v>
      </c>
      <c r="AQ581" s="371"/>
      <c r="AR581" s="497">
        <v>40</v>
      </c>
      <c r="AS581" s="498">
        <v>30</v>
      </c>
      <c r="AT581" s="485">
        <f t="shared" si="1314"/>
        <v>30</v>
      </c>
      <c r="AU581" s="371"/>
      <c r="AV581" s="232">
        <f t="shared" si="1315"/>
        <v>40</v>
      </c>
      <c r="AW581" s="232" t="str">
        <f t="shared" si="1316"/>
        <v/>
      </c>
      <c r="AX581" s="232" t="str">
        <f t="shared" si="1317"/>
        <v/>
      </c>
      <c r="AY581" s="232">
        <f t="shared" ref="AY581:AY591" si="1345">IF((MAX(AV581,AW581,AX581))=0,"",IF((MAX(AV581,AW581,AX581))=(MAX(AR581,AS581,AT581)),1,""))</f>
        <v>1</v>
      </c>
      <c r="AZ581" s="371"/>
      <c r="BA581" s="497">
        <v>80</v>
      </c>
      <c r="BB581" s="498">
        <v>10</v>
      </c>
      <c r="BC581" s="485">
        <f t="shared" si="1318"/>
        <v>10</v>
      </c>
      <c r="BD581" s="371"/>
      <c r="BE581" s="232">
        <f t="shared" si="1319"/>
        <v>80</v>
      </c>
      <c r="BF581" s="232" t="str">
        <f t="shared" si="1320"/>
        <v/>
      </c>
      <c r="BG581" s="232" t="str">
        <f t="shared" si="1321"/>
        <v/>
      </c>
      <c r="BH581" s="232">
        <f t="shared" ref="BH581:BH591" si="1346">IF((MAX(BE581,BF581,BG581))=0,"",IF((MAX(BE581,BF581,BG581))=(MAX(BA581,BB581,BC581)),1,""))</f>
        <v>1</v>
      </c>
      <c r="BI581" s="371"/>
      <c r="BJ581" s="497">
        <v>50</v>
      </c>
      <c r="BK581" s="498">
        <v>30</v>
      </c>
      <c r="BL581" s="485">
        <f t="shared" si="1322"/>
        <v>20</v>
      </c>
      <c r="BM581" s="371"/>
      <c r="BN581" s="232">
        <f t="shared" si="1323"/>
        <v>50</v>
      </c>
      <c r="BO581" s="232" t="str">
        <f t="shared" si="1324"/>
        <v/>
      </c>
      <c r="BP581" s="232" t="str">
        <f t="shared" si="1325"/>
        <v/>
      </c>
      <c r="BQ581" s="232">
        <f t="shared" ref="BQ581:BQ591" si="1347">IF((MAX(BN581,BO581,BP581))=0,"",IF((MAX(BN581,BO581,BP581))=(MAX(BJ581,BK581,BL581)),1,""))</f>
        <v>1</v>
      </c>
      <c r="BR581" s="371"/>
      <c r="BS581" s="497">
        <v>60</v>
      </c>
      <c r="BT581" s="498">
        <v>30</v>
      </c>
      <c r="BU581" s="485">
        <f t="shared" si="1326"/>
        <v>10</v>
      </c>
      <c r="BV581" s="371"/>
      <c r="BW581" s="232">
        <f t="shared" si="1327"/>
        <v>60</v>
      </c>
      <c r="BX581" s="232" t="str">
        <f t="shared" si="1328"/>
        <v/>
      </c>
      <c r="BY581" s="232" t="str">
        <f t="shared" si="1329"/>
        <v/>
      </c>
      <c r="BZ581" s="232">
        <f t="shared" si="1330"/>
        <v>1</v>
      </c>
      <c r="CA581" s="371"/>
      <c r="CB581" s="504">
        <f t="shared" si="1331"/>
        <v>60</v>
      </c>
      <c r="CC581" s="505">
        <f t="shared" si="1332"/>
        <v>20</v>
      </c>
      <c r="CD581" s="506">
        <f t="shared" si="1333"/>
        <v>20</v>
      </c>
      <c r="CE581" s="371"/>
      <c r="CF581" s="232">
        <f t="shared" si="1334"/>
        <v>60</v>
      </c>
      <c r="CG581" s="232" t="str">
        <f t="shared" si="1335"/>
        <v/>
      </c>
      <c r="CH581" s="232" t="str">
        <f t="shared" si="1336"/>
        <v/>
      </c>
      <c r="CI581" s="232">
        <f t="shared" ref="CI581:CI591" si="1348">IF((MAX(CF581,CG581,CH581))=0,"",IF((MAX(CF581,CG581,CH581))=(MAX(CB581,CC581,CD581)),1,""))</f>
        <v>1</v>
      </c>
      <c r="CJ581" s="232"/>
      <c r="CK581" s="497">
        <v>40</v>
      </c>
      <c r="CL581" s="498">
        <v>30</v>
      </c>
      <c r="CM581" s="485">
        <f t="shared" si="1337"/>
        <v>30</v>
      </c>
      <c r="CN581" s="371"/>
      <c r="CO581" s="232">
        <f t="shared" si="1338"/>
        <v>40</v>
      </c>
      <c r="CP581" s="232" t="str">
        <f t="shared" si="1339"/>
        <v/>
      </c>
      <c r="CQ581" s="232" t="str">
        <f t="shared" si="1340"/>
        <v/>
      </c>
      <c r="CR581" s="232">
        <f t="shared" ref="CR581:CR591" si="1349">IF((MAX(CO581,CP581,CQ581))=0,"",IF((MAX(CO581,CP581,CQ581))=(MAX(CK581,CL581,CM581)),1,""))</f>
        <v>1</v>
      </c>
      <c r="CS581" s="232"/>
      <c r="CT581" s="371"/>
      <c r="CU581" s="296"/>
      <c r="CV581" s="246"/>
      <c r="CW581" s="264"/>
    </row>
    <row r="582" spans="1:101" ht="13.5" thickBot="1" x14ac:dyDescent="0.25">
      <c r="A582" s="264"/>
      <c r="B582" s="264"/>
      <c r="C582" s="202"/>
      <c r="D582" s="271">
        <v>3</v>
      </c>
      <c r="E582" s="168" t="s">
        <v>364</v>
      </c>
      <c r="F582" s="470">
        <v>4</v>
      </c>
      <c r="G582" s="476" t="s">
        <v>49</v>
      </c>
      <c r="H582" s="477">
        <v>0</v>
      </c>
      <c r="I582" s="392" t="str">
        <f t="shared" si="1300"/>
        <v>x</v>
      </c>
      <c r="J582" s="393" t="str">
        <f t="shared" si="1301"/>
        <v/>
      </c>
      <c r="K582" s="394" t="str">
        <f t="shared" si="1302"/>
        <v/>
      </c>
      <c r="L582" s="299"/>
      <c r="M582" s="375"/>
      <c r="N582" s="379"/>
      <c r="O582" s="236"/>
      <c r="P582" s="236"/>
      <c r="Q582" s="486">
        <v>60</v>
      </c>
      <c r="R582" s="487">
        <v>20</v>
      </c>
      <c r="S582" s="488">
        <f t="shared" si="1341"/>
        <v>20</v>
      </c>
      <c r="T582" s="371"/>
      <c r="U582" s="232">
        <f t="shared" si="1303"/>
        <v>60</v>
      </c>
      <c r="V582" s="232" t="str">
        <f t="shared" si="1304"/>
        <v/>
      </c>
      <c r="W582" s="232" t="str">
        <f t="shared" si="1305"/>
        <v/>
      </c>
      <c r="X582" s="232">
        <f t="shared" si="1342"/>
        <v>1</v>
      </c>
      <c r="Y582" s="371"/>
      <c r="Z582" s="499">
        <v>80</v>
      </c>
      <c r="AA582" s="500">
        <v>10</v>
      </c>
      <c r="AB582" s="488">
        <f t="shared" si="1306"/>
        <v>10</v>
      </c>
      <c r="AC582" s="371"/>
      <c r="AD582" s="232">
        <f t="shared" si="1307"/>
        <v>80</v>
      </c>
      <c r="AE582" s="232" t="str">
        <f t="shared" si="1308"/>
        <v/>
      </c>
      <c r="AF582" s="232" t="str">
        <f t="shared" si="1309"/>
        <v/>
      </c>
      <c r="AG582" s="232">
        <f t="shared" si="1343"/>
        <v>1</v>
      </c>
      <c r="AH582" s="371"/>
      <c r="AI582" s="499">
        <v>80</v>
      </c>
      <c r="AJ582" s="500">
        <v>10</v>
      </c>
      <c r="AK582" s="488">
        <f t="shared" si="1310"/>
        <v>10</v>
      </c>
      <c r="AL582" s="371"/>
      <c r="AM582" s="232">
        <f t="shared" si="1311"/>
        <v>80</v>
      </c>
      <c r="AN582" s="232" t="str">
        <f t="shared" si="1312"/>
        <v/>
      </c>
      <c r="AO582" s="232" t="str">
        <f t="shared" si="1313"/>
        <v/>
      </c>
      <c r="AP582" s="232">
        <f t="shared" si="1344"/>
        <v>1</v>
      </c>
      <c r="AQ582" s="371"/>
      <c r="AR582" s="499">
        <v>80</v>
      </c>
      <c r="AS582" s="500">
        <v>10</v>
      </c>
      <c r="AT582" s="488">
        <f t="shared" si="1314"/>
        <v>10</v>
      </c>
      <c r="AU582" s="371"/>
      <c r="AV582" s="232">
        <f t="shared" si="1315"/>
        <v>80</v>
      </c>
      <c r="AW582" s="232" t="str">
        <f t="shared" si="1316"/>
        <v/>
      </c>
      <c r="AX582" s="232" t="str">
        <f t="shared" si="1317"/>
        <v/>
      </c>
      <c r="AY582" s="232">
        <f t="shared" si="1345"/>
        <v>1</v>
      </c>
      <c r="AZ582" s="371"/>
      <c r="BA582" s="499">
        <v>80</v>
      </c>
      <c r="BB582" s="500">
        <v>10</v>
      </c>
      <c r="BC582" s="488">
        <f t="shared" si="1318"/>
        <v>10</v>
      </c>
      <c r="BD582" s="371"/>
      <c r="BE582" s="232">
        <f t="shared" si="1319"/>
        <v>80</v>
      </c>
      <c r="BF582" s="232" t="str">
        <f t="shared" si="1320"/>
        <v/>
      </c>
      <c r="BG582" s="232" t="str">
        <f t="shared" si="1321"/>
        <v/>
      </c>
      <c r="BH582" s="232">
        <f t="shared" si="1346"/>
        <v>1</v>
      </c>
      <c r="BI582" s="371"/>
      <c r="BJ582" s="499">
        <v>80</v>
      </c>
      <c r="BK582" s="500">
        <v>10</v>
      </c>
      <c r="BL582" s="488">
        <f t="shared" si="1322"/>
        <v>10</v>
      </c>
      <c r="BM582" s="371"/>
      <c r="BN582" s="232">
        <f t="shared" si="1323"/>
        <v>80</v>
      </c>
      <c r="BO582" s="232" t="str">
        <f t="shared" si="1324"/>
        <v/>
      </c>
      <c r="BP582" s="232" t="str">
        <f t="shared" si="1325"/>
        <v/>
      </c>
      <c r="BQ582" s="232">
        <f t="shared" si="1347"/>
        <v>1</v>
      </c>
      <c r="BR582" s="371"/>
      <c r="BS582" s="499">
        <v>40</v>
      </c>
      <c r="BT582" s="500">
        <v>30</v>
      </c>
      <c r="BU582" s="488">
        <f t="shared" si="1326"/>
        <v>30</v>
      </c>
      <c r="BV582" s="371"/>
      <c r="BW582" s="232">
        <f t="shared" si="1327"/>
        <v>40</v>
      </c>
      <c r="BX582" s="232" t="str">
        <f t="shared" si="1328"/>
        <v/>
      </c>
      <c r="BY582" s="232" t="str">
        <f t="shared" si="1329"/>
        <v/>
      </c>
      <c r="BZ582" s="232">
        <f t="shared" si="1330"/>
        <v>1</v>
      </c>
      <c r="CA582" s="371"/>
      <c r="CB582" s="507">
        <f t="shared" si="1331"/>
        <v>80</v>
      </c>
      <c r="CC582" s="508">
        <f t="shared" si="1332"/>
        <v>10</v>
      </c>
      <c r="CD582" s="509">
        <f t="shared" si="1333"/>
        <v>10</v>
      </c>
      <c r="CE582" s="371"/>
      <c r="CF582" s="232">
        <f t="shared" si="1334"/>
        <v>80</v>
      </c>
      <c r="CG582" s="232" t="str">
        <f t="shared" si="1335"/>
        <v/>
      </c>
      <c r="CH582" s="232" t="str">
        <f t="shared" si="1336"/>
        <v/>
      </c>
      <c r="CI582" s="232">
        <f t="shared" si="1348"/>
        <v>1</v>
      </c>
      <c r="CJ582" s="232"/>
      <c r="CK582" s="499">
        <v>80</v>
      </c>
      <c r="CL582" s="500">
        <v>10</v>
      </c>
      <c r="CM582" s="488">
        <f t="shared" si="1337"/>
        <v>10</v>
      </c>
      <c r="CN582" s="371"/>
      <c r="CO582" s="232">
        <f t="shared" si="1338"/>
        <v>80</v>
      </c>
      <c r="CP582" s="232" t="str">
        <f t="shared" si="1339"/>
        <v/>
      </c>
      <c r="CQ582" s="232" t="str">
        <f t="shared" si="1340"/>
        <v/>
      </c>
      <c r="CR582" s="232">
        <f t="shared" si="1349"/>
        <v>1</v>
      </c>
      <c r="CS582" s="232"/>
      <c r="CT582" s="371"/>
      <c r="CU582" s="296"/>
      <c r="CV582" s="246"/>
      <c r="CW582" s="264"/>
    </row>
    <row r="583" spans="1:101" x14ac:dyDescent="0.2">
      <c r="A583" s="264"/>
      <c r="B583" s="264"/>
      <c r="C583" s="202"/>
      <c r="D583" s="271">
        <v>4</v>
      </c>
      <c r="E583" s="166" t="s">
        <v>365</v>
      </c>
      <c r="F583" s="468">
        <v>1</v>
      </c>
      <c r="G583" s="472" t="s">
        <v>49</v>
      </c>
      <c r="H583" s="473">
        <v>0</v>
      </c>
      <c r="I583" s="170" t="str">
        <f t="shared" si="1300"/>
        <v>x</v>
      </c>
      <c r="J583" s="387" t="str">
        <f t="shared" si="1301"/>
        <v/>
      </c>
      <c r="K583" s="388" t="str">
        <f t="shared" si="1302"/>
        <v/>
      </c>
      <c r="L583" s="299"/>
      <c r="M583" s="375"/>
      <c r="N583" s="379"/>
      <c r="O583" s="236"/>
      <c r="P583" s="236"/>
      <c r="Q583" s="480">
        <v>40</v>
      </c>
      <c r="R583" s="481">
        <v>30</v>
      </c>
      <c r="S583" s="482">
        <f t="shared" si="1341"/>
        <v>30</v>
      </c>
      <c r="T583" s="371"/>
      <c r="U583" s="232">
        <f t="shared" si="1303"/>
        <v>40</v>
      </c>
      <c r="V583" s="232" t="str">
        <f t="shared" si="1304"/>
        <v/>
      </c>
      <c r="W583" s="232" t="str">
        <f t="shared" si="1305"/>
        <v/>
      </c>
      <c r="X583" s="232">
        <f t="shared" si="1342"/>
        <v>1</v>
      </c>
      <c r="Y583" s="371"/>
      <c r="Z583" s="495">
        <v>10</v>
      </c>
      <c r="AA583" s="496">
        <v>80</v>
      </c>
      <c r="AB583" s="482">
        <f t="shared" si="1306"/>
        <v>10</v>
      </c>
      <c r="AC583" s="371"/>
      <c r="AD583" s="232">
        <f t="shared" si="1307"/>
        <v>10</v>
      </c>
      <c r="AE583" s="232" t="str">
        <f t="shared" si="1308"/>
        <v/>
      </c>
      <c r="AF583" s="232" t="str">
        <f t="shared" si="1309"/>
        <v/>
      </c>
      <c r="AG583" s="232" t="str">
        <f t="shared" si="1343"/>
        <v/>
      </c>
      <c r="AH583" s="371"/>
      <c r="AI583" s="495">
        <v>20</v>
      </c>
      <c r="AJ583" s="496">
        <v>30</v>
      </c>
      <c r="AK583" s="482">
        <f t="shared" si="1310"/>
        <v>50</v>
      </c>
      <c r="AL583" s="371"/>
      <c r="AM583" s="232">
        <f t="shared" si="1311"/>
        <v>20</v>
      </c>
      <c r="AN583" s="232" t="str">
        <f t="shared" si="1312"/>
        <v/>
      </c>
      <c r="AO583" s="232" t="str">
        <f t="shared" si="1313"/>
        <v/>
      </c>
      <c r="AP583" s="232" t="str">
        <f t="shared" si="1344"/>
        <v/>
      </c>
      <c r="AQ583" s="371"/>
      <c r="AR583" s="495">
        <v>30</v>
      </c>
      <c r="AS583" s="496">
        <v>40</v>
      </c>
      <c r="AT583" s="482">
        <f t="shared" si="1314"/>
        <v>30</v>
      </c>
      <c r="AU583" s="371"/>
      <c r="AV583" s="232">
        <f t="shared" si="1315"/>
        <v>30</v>
      </c>
      <c r="AW583" s="232" t="str">
        <f t="shared" si="1316"/>
        <v/>
      </c>
      <c r="AX583" s="232" t="str">
        <f t="shared" si="1317"/>
        <v/>
      </c>
      <c r="AY583" s="232" t="str">
        <f t="shared" si="1345"/>
        <v/>
      </c>
      <c r="AZ583" s="371"/>
      <c r="BA583" s="495">
        <v>10</v>
      </c>
      <c r="BB583" s="496">
        <v>10</v>
      </c>
      <c r="BC583" s="482">
        <f t="shared" si="1318"/>
        <v>80</v>
      </c>
      <c r="BD583" s="371"/>
      <c r="BE583" s="232">
        <f t="shared" si="1319"/>
        <v>10</v>
      </c>
      <c r="BF583" s="232" t="str">
        <f t="shared" si="1320"/>
        <v/>
      </c>
      <c r="BG583" s="232" t="str">
        <f t="shared" si="1321"/>
        <v/>
      </c>
      <c r="BH583" s="232" t="str">
        <f t="shared" si="1346"/>
        <v/>
      </c>
      <c r="BI583" s="371"/>
      <c r="BJ583" s="495">
        <v>20</v>
      </c>
      <c r="BK583" s="496">
        <v>30</v>
      </c>
      <c r="BL583" s="482">
        <f t="shared" si="1322"/>
        <v>50</v>
      </c>
      <c r="BM583" s="371"/>
      <c r="BN583" s="232">
        <f t="shared" si="1323"/>
        <v>20</v>
      </c>
      <c r="BO583" s="232" t="str">
        <f t="shared" si="1324"/>
        <v/>
      </c>
      <c r="BP583" s="232" t="str">
        <f t="shared" si="1325"/>
        <v/>
      </c>
      <c r="BQ583" s="232" t="str">
        <f t="shared" si="1347"/>
        <v/>
      </c>
      <c r="BR583" s="371"/>
      <c r="BS583" s="495">
        <v>70</v>
      </c>
      <c r="BT583" s="496">
        <v>10</v>
      </c>
      <c r="BU583" s="482">
        <f t="shared" si="1326"/>
        <v>20</v>
      </c>
      <c r="BV583" s="371"/>
      <c r="BW583" s="232">
        <f t="shared" si="1327"/>
        <v>70</v>
      </c>
      <c r="BX583" s="232" t="str">
        <f t="shared" si="1328"/>
        <v/>
      </c>
      <c r="BY583" s="232" t="str">
        <f t="shared" si="1329"/>
        <v/>
      </c>
      <c r="BZ583" s="232">
        <f t="shared" si="1330"/>
        <v>1</v>
      </c>
      <c r="CA583" s="371"/>
      <c r="CB583" s="501">
        <f t="shared" si="1331"/>
        <v>30</v>
      </c>
      <c r="CC583" s="502">
        <f t="shared" si="1332"/>
        <v>30</v>
      </c>
      <c r="CD583" s="503">
        <f t="shared" si="1333"/>
        <v>40</v>
      </c>
      <c r="CE583" s="371"/>
      <c r="CF583" s="232">
        <f t="shared" si="1334"/>
        <v>30</v>
      </c>
      <c r="CG583" s="232" t="str">
        <f t="shared" si="1335"/>
        <v/>
      </c>
      <c r="CH583" s="232" t="str">
        <f t="shared" si="1336"/>
        <v/>
      </c>
      <c r="CI583" s="232" t="str">
        <f t="shared" si="1348"/>
        <v/>
      </c>
      <c r="CJ583" s="232"/>
      <c r="CK583" s="495">
        <v>30</v>
      </c>
      <c r="CL583" s="496">
        <v>40</v>
      </c>
      <c r="CM583" s="482">
        <f t="shared" si="1337"/>
        <v>30</v>
      </c>
      <c r="CN583" s="371"/>
      <c r="CO583" s="232">
        <f t="shared" si="1338"/>
        <v>30</v>
      </c>
      <c r="CP583" s="232" t="str">
        <f t="shared" si="1339"/>
        <v/>
      </c>
      <c r="CQ583" s="232" t="str">
        <f t="shared" si="1340"/>
        <v/>
      </c>
      <c r="CR583" s="232" t="str">
        <f t="shared" si="1349"/>
        <v/>
      </c>
      <c r="CS583" s="232"/>
      <c r="CT583" s="371"/>
      <c r="CU583" s="296"/>
      <c r="CV583" s="246"/>
      <c r="CW583" s="264"/>
    </row>
    <row r="584" spans="1:101" x14ac:dyDescent="0.2">
      <c r="A584" s="264"/>
      <c r="B584" s="264"/>
      <c r="C584" s="202"/>
      <c r="D584" s="271">
        <v>5</v>
      </c>
      <c r="E584" s="167" t="s">
        <v>366</v>
      </c>
      <c r="F584" s="469">
        <v>2</v>
      </c>
      <c r="G584" s="474" t="s">
        <v>49</v>
      </c>
      <c r="H584" s="475">
        <v>1</v>
      </c>
      <c r="I584" s="389" t="str">
        <f t="shared" si="1300"/>
        <v>x</v>
      </c>
      <c r="J584" s="390" t="str">
        <f t="shared" si="1301"/>
        <v/>
      </c>
      <c r="K584" s="391" t="str">
        <f t="shared" si="1302"/>
        <v/>
      </c>
      <c r="L584" s="299"/>
      <c r="M584" s="375"/>
      <c r="N584" s="379"/>
      <c r="O584" s="236"/>
      <c r="P584" s="236"/>
      <c r="Q584" s="483">
        <v>20</v>
      </c>
      <c r="R584" s="484">
        <v>20</v>
      </c>
      <c r="S584" s="485">
        <f t="shared" si="1341"/>
        <v>60</v>
      </c>
      <c r="T584" s="371"/>
      <c r="U584" s="232">
        <f t="shared" si="1303"/>
        <v>20</v>
      </c>
      <c r="V584" s="232" t="str">
        <f t="shared" si="1304"/>
        <v/>
      </c>
      <c r="W584" s="232" t="str">
        <f t="shared" si="1305"/>
        <v/>
      </c>
      <c r="X584" s="232" t="str">
        <f t="shared" si="1342"/>
        <v/>
      </c>
      <c r="Y584" s="371"/>
      <c r="Z584" s="497">
        <v>10</v>
      </c>
      <c r="AA584" s="498">
        <v>10</v>
      </c>
      <c r="AB584" s="485">
        <f t="shared" si="1306"/>
        <v>80</v>
      </c>
      <c r="AC584" s="371"/>
      <c r="AD584" s="232">
        <f t="shared" si="1307"/>
        <v>10</v>
      </c>
      <c r="AE584" s="232" t="str">
        <f t="shared" si="1308"/>
        <v/>
      </c>
      <c r="AF584" s="232" t="str">
        <f t="shared" si="1309"/>
        <v/>
      </c>
      <c r="AG584" s="232" t="str">
        <f t="shared" si="1343"/>
        <v/>
      </c>
      <c r="AH584" s="371"/>
      <c r="AI584" s="497">
        <v>10</v>
      </c>
      <c r="AJ584" s="498">
        <v>10</v>
      </c>
      <c r="AK584" s="485">
        <f t="shared" si="1310"/>
        <v>80</v>
      </c>
      <c r="AL584" s="371"/>
      <c r="AM584" s="232">
        <f t="shared" si="1311"/>
        <v>10</v>
      </c>
      <c r="AN584" s="232" t="str">
        <f t="shared" si="1312"/>
        <v/>
      </c>
      <c r="AO584" s="232" t="str">
        <f t="shared" si="1313"/>
        <v/>
      </c>
      <c r="AP584" s="232" t="str">
        <f t="shared" si="1344"/>
        <v/>
      </c>
      <c r="AQ584" s="371"/>
      <c r="AR584" s="497">
        <v>10</v>
      </c>
      <c r="AS584" s="498">
        <v>30</v>
      </c>
      <c r="AT584" s="485">
        <f t="shared" si="1314"/>
        <v>60</v>
      </c>
      <c r="AU584" s="371"/>
      <c r="AV584" s="232">
        <f t="shared" si="1315"/>
        <v>10</v>
      </c>
      <c r="AW584" s="232" t="str">
        <f t="shared" si="1316"/>
        <v/>
      </c>
      <c r="AX584" s="232" t="str">
        <f t="shared" si="1317"/>
        <v/>
      </c>
      <c r="AY584" s="232" t="str">
        <f t="shared" si="1345"/>
        <v/>
      </c>
      <c r="AZ584" s="371"/>
      <c r="BA584" s="497">
        <v>10</v>
      </c>
      <c r="BB584" s="498">
        <v>10</v>
      </c>
      <c r="BC584" s="485">
        <f t="shared" si="1318"/>
        <v>80</v>
      </c>
      <c r="BD584" s="371"/>
      <c r="BE584" s="232">
        <f t="shared" si="1319"/>
        <v>10</v>
      </c>
      <c r="BF584" s="232" t="str">
        <f t="shared" si="1320"/>
        <v/>
      </c>
      <c r="BG584" s="232" t="str">
        <f t="shared" si="1321"/>
        <v/>
      </c>
      <c r="BH584" s="232" t="str">
        <f t="shared" si="1346"/>
        <v/>
      </c>
      <c r="BI584" s="371"/>
      <c r="BJ584" s="497">
        <v>10</v>
      </c>
      <c r="BK584" s="498">
        <v>10</v>
      </c>
      <c r="BL584" s="485">
        <f t="shared" si="1322"/>
        <v>80</v>
      </c>
      <c r="BM584" s="371"/>
      <c r="BN584" s="232">
        <f t="shared" si="1323"/>
        <v>10</v>
      </c>
      <c r="BO584" s="232" t="str">
        <f t="shared" si="1324"/>
        <v/>
      </c>
      <c r="BP584" s="232" t="str">
        <f t="shared" si="1325"/>
        <v/>
      </c>
      <c r="BQ584" s="232" t="str">
        <f t="shared" si="1347"/>
        <v/>
      </c>
      <c r="BR584" s="371"/>
      <c r="BS584" s="497">
        <v>50</v>
      </c>
      <c r="BT584" s="498">
        <v>20</v>
      </c>
      <c r="BU584" s="485">
        <f t="shared" si="1326"/>
        <v>30</v>
      </c>
      <c r="BV584" s="371"/>
      <c r="BW584" s="232">
        <f t="shared" si="1327"/>
        <v>50</v>
      </c>
      <c r="BX584" s="232" t="str">
        <f t="shared" si="1328"/>
        <v/>
      </c>
      <c r="BY584" s="232" t="str">
        <f t="shared" si="1329"/>
        <v/>
      </c>
      <c r="BZ584" s="232">
        <f t="shared" si="1330"/>
        <v>1</v>
      </c>
      <c r="CA584" s="371"/>
      <c r="CB584" s="504">
        <f t="shared" si="1331"/>
        <v>20</v>
      </c>
      <c r="CC584" s="505">
        <f t="shared" si="1332"/>
        <v>10</v>
      </c>
      <c r="CD584" s="506">
        <f t="shared" si="1333"/>
        <v>70</v>
      </c>
      <c r="CE584" s="371"/>
      <c r="CF584" s="232">
        <f t="shared" si="1334"/>
        <v>20</v>
      </c>
      <c r="CG584" s="232" t="str">
        <f t="shared" si="1335"/>
        <v/>
      </c>
      <c r="CH584" s="232" t="str">
        <f t="shared" si="1336"/>
        <v/>
      </c>
      <c r="CI584" s="232" t="str">
        <f t="shared" si="1348"/>
        <v/>
      </c>
      <c r="CJ584" s="232"/>
      <c r="CK584" s="497">
        <v>10</v>
      </c>
      <c r="CL584" s="498">
        <v>30</v>
      </c>
      <c r="CM584" s="485">
        <f t="shared" si="1337"/>
        <v>60</v>
      </c>
      <c r="CN584" s="371"/>
      <c r="CO584" s="232">
        <f t="shared" si="1338"/>
        <v>10</v>
      </c>
      <c r="CP584" s="232" t="str">
        <f t="shared" si="1339"/>
        <v/>
      </c>
      <c r="CQ584" s="232" t="str">
        <f t="shared" si="1340"/>
        <v/>
      </c>
      <c r="CR584" s="232" t="str">
        <f t="shared" si="1349"/>
        <v/>
      </c>
      <c r="CS584" s="232"/>
      <c r="CT584" s="371"/>
      <c r="CU584" s="296"/>
      <c r="CV584" s="246"/>
      <c r="CW584" s="264"/>
    </row>
    <row r="585" spans="1:101" ht="13.5" thickBot="1" x14ac:dyDescent="0.25">
      <c r="A585" s="264"/>
      <c r="B585" s="264"/>
      <c r="C585" s="202"/>
      <c r="D585" s="271">
        <v>6</v>
      </c>
      <c r="E585" s="168" t="s">
        <v>367</v>
      </c>
      <c r="F585" s="470">
        <v>2</v>
      </c>
      <c r="G585" s="476" t="s">
        <v>49</v>
      </c>
      <c r="H585" s="477">
        <v>0</v>
      </c>
      <c r="I585" s="392" t="str">
        <f t="shared" si="1300"/>
        <v>x</v>
      </c>
      <c r="J585" s="393" t="str">
        <f t="shared" si="1301"/>
        <v/>
      </c>
      <c r="K585" s="394" t="str">
        <f t="shared" si="1302"/>
        <v/>
      </c>
      <c r="L585" s="299"/>
      <c r="M585" s="375"/>
      <c r="N585" s="379"/>
      <c r="O585" s="236"/>
      <c r="P585" s="236"/>
      <c r="Q585" s="489">
        <v>40</v>
      </c>
      <c r="R585" s="490">
        <v>30</v>
      </c>
      <c r="S585" s="491">
        <f t="shared" si="1341"/>
        <v>30</v>
      </c>
      <c r="T585" s="371"/>
      <c r="U585" s="232">
        <f t="shared" si="1303"/>
        <v>40</v>
      </c>
      <c r="V585" s="232" t="str">
        <f t="shared" si="1304"/>
        <v/>
      </c>
      <c r="W585" s="232" t="str">
        <f t="shared" si="1305"/>
        <v/>
      </c>
      <c r="X585" s="232">
        <f t="shared" si="1342"/>
        <v>1</v>
      </c>
      <c r="Y585" s="371"/>
      <c r="Z585" s="499">
        <v>10</v>
      </c>
      <c r="AA585" s="500">
        <v>80</v>
      </c>
      <c r="AB585" s="491">
        <f t="shared" si="1306"/>
        <v>10</v>
      </c>
      <c r="AC585" s="371"/>
      <c r="AD585" s="232">
        <f t="shared" si="1307"/>
        <v>10</v>
      </c>
      <c r="AE585" s="232" t="str">
        <f t="shared" si="1308"/>
        <v/>
      </c>
      <c r="AF585" s="232" t="str">
        <f t="shared" si="1309"/>
        <v/>
      </c>
      <c r="AG585" s="232" t="str">
        <f t="shared" si="1343"/>
        <v/>
      </c>
      <c r="AH585" s="371"/>
      <c r="AI585" s="499">
        <v>80</v>
      </c>
      <c r="AJ585" s="500">
        <v>10</v>
      </c>
      <c r="AK585" s="491">
        <f t="shared" si="1310"/>
        <v>10</v>
      </c>
      <c r="AL585" s="371"/>
      <c r="AM585" s="232">
        <f t="shared" si="1311"/>
        <v>80</v>
      </c>
      <c r="AN585" s="232" t="str">
        <f t="shared" si="1312"/>
        <v/>
      </c>
      <c r="AO585" s="232" t="str">
        <f t="shared" si="1313"/>
        <v/>
      </c>
      <c r="AP585" s="232">
        <f t="shared" si="1344"/>
        <v>1</v>
      </c>
      <c r="AQ585" s="371"/>
      <c r="AR585" s="499">
        <v>60</v>
      </c>
      <c r="AS585" s="500">
        <v>30</v>
      </c>
      <c r="AT585" s="491">
        <f t="shared" si="1314"/>
        <v>10</v>
      </c>
      <c r="AU585" s="371"/>
      <c r="AV585" s="232">
        <f t="shared" si="1315"/>
        <v>60</v>
      </c>
      <c r="AW585" s="232" t="str">
        <f t="shared" si="1316"/>
        <v/>
      </c>
      <c r="AX585" s="232" t="str">
        <f t="shared" si="1317"/>
        <v/>
      </c>
      <c r="AY585" s="232">
        <f t="shared" si="1345"/>
        <v>1</v>
      </c>
      <c r="AZ585" s="371"/>
      <c r="BA585" s="499">
        <v>10</v>
      </c>
      <c r="BB585" s="500">
        <v>30</v>
      </c>
      <c r="BC585" s="491">
        <f t="shared" si="1318"/>
        <v>60</v>
      </c>
      <c r="BD585" s="371"/>
      <c r="BE585" s="232">
        <f t="shared" si="1319"/>
        <v>10</v>
      </c>
      <c r="BF585" s="232" t="str">
        <f t="shared" si="1320"/>
        <v/>
      </c>
      <c r="BG585" s="232" t="str">
        <f t="shared" si="1321"/>
        <v/>
      </c>
      <c r="BH585" s="232" t="str">
        <f t="shared" si="1346"/>
        <v/>
      </c>
      <c r="BI585" s="371"/>
      <c r="BJ585" s="499">
        <v>80</v>
      </c>
      <c r="BK585" s="500">
        <v>10</v>
      </c>
      <c r="BL585" s="491">
        <f t="shared" si="1322"/>
        <v>10</v>
      </c>
      <c r="BM585" s="371"/>
      <c r="BN585" s="232">
        <f t="shared" si="1323"/>
        <v>80</v>
      </c>
      <c r="BO585" s="232" t="str">
        <f t="shared" si="1324"/>
        <v/>
      </c>
      <c r="BP585" s="232" t="str">
        <f t="shared" si="1325"/>
        <v/>
      </c>
      <c r="BQ585" s="232">
        <f t="shared" si="1347"/>
        <v>1</v>
      </c>
      <c r="BR585" s="371"/>
      <c r="BS585" s="499">
        <v>40</v>
      </c>
      <c r="BT585" s="500">
        <v>30</v>
      </c>
      <c r="BU585" s="491">
        <f t="shared" si="1326"/>
        <v>30</v>
      </c>
      <c r="BV585" s="371"/>
      <c r="BW585" s="232">
        <f t="shared" si="1327"/>
        <v>40</v>
      </c>
      <c r="BX585" s="232" t="str">
        <f t="shared" si="1328"/>
        <v/>
      </c>
      <c r="BY585" s="232" t="str">
        <f t="shared" si="1329"/>
        <v/>
      </c>
      <c r="BZ585" s="232">
        <f t="shared" si="1330"/>
        <v>1</v>
      </c>
      <c r="CA585" s="371"/>
      <c r="CB585" s="507">
        <f t="shared" si="1331"/>
        <v>50</v>
      </c>
      <c r="CC585" s="508">
        <f t="shared" si="1332"/>
        <v>30</v>
      </c>
      <c r="CD585" s="509">
        <f t="shared" si="1333"/>
        <v>20</v>
      </c>
      <c r="CE585" s="371"/>
      <c r="CF585" s="232">
        <f t="shared" si="1334"/>
        <v>50</v>
      </c>
      <c r="CG585" s="232" t="str">
        <f t="shared" si="1335"/>
        <v/>
      </c>
      <c r="CH585" s="232" t="str">
        <f t="shared" si="1336"/>
        <v/>
      </c>
      <c r="CI585" s="232">
        <f t="shared" si="1348"/>
        <v>1</v>
      </c>
      <c r="CJ585" s="232"/>
      <c r="CK585" s="499">
        <v>60</v>
      </c>
      <c r="CL585" s="500">
        <v>30</v>
      </c>
      <c r="CM585" s="491">
        <f t="shared" si="1337"/>
        <v>10</v>
      </c>
      <c r="CN585" s="371"/>
      <c r="CO585" s="232">
        <f t="shared" si="1338"/>
        <v>60</v>
      </c>
      <c r="CP585" s="232" t="str">
        <f t="shared" si="1339"/>
        <v/>
      </c>
      <c r="CQ585" s="232" t="str">
        <f t="shared" si="1340"/>
        <v/>
      </c>
      <c r="CR585" s="232">
        <f t="shared" si="1349"/>
        <v>1</v>
      </c>
      <c r="CS585" s="232"/>
      <c r="CT585" s="371"/>
      <c r="CU585" s="296"/>
      <c r="CV585" s="246"/>
      <c r="CW585" s="264"/>
    </row>
    <row r="586" spans="1:101" x14ac:dyDescent="0.2">
      <c r="A586" s="264"/>
      <c r="B586" s="264"/>
      <c r="C586" s="202"/>
      <c r="D586" s="271">
        <v>7</v>
      </c>
      <c r="E586" s="166" t="s">
        <v>368</v>
      </c>
      <c r="F586" s="468">
        <v>1</v>
      </c>
      <c r="G586" s="472" t="s">
        <v>49</v>
      </c>
      <c r="H586" s="473">
        <v>1</v>
      </c>
      <c r="I586" s="170" t="str">
        <f t="shared" si="1300"/>
        <v/>
      </c>
      <c r="J586" s="387" t="str">
        <f t="shared" si="1301"/>
        <v>x</v>
      </c>
      <c r="K586" s="388" t="str">
        <f t="shared" si="1302"/>
        <v/>
      </c>
      <c r="L586" s="299"/>
      <c r="M586" s="375"/>
      <c r="N586" s="379"/>
      <c r="O586" s="236"/>
      <c r="P586" s="236"/>
      <c r="Q586" s="480">
        <v>40</v>
      </c>
      <c r="R586" s="481">
        <v>30</v>
      </c>
      <c r="S586" s="482">
        <f t="shared" si="1341"/>
        <v>30</v>
      </c>
      <c r="T586" s="371"/>
      <c r="U586" s="232" t="str">
        <f t="shared" si="1303"/>
        <v/>
      </c>
      <c r="V586" s="232">
        <f t="shared" si="1304"/>
        <v>30</v>
      </c>
      <c r="W586" s="232" t="str">
        <f t="shared" si="1305"/>
        <v/>
      </c>
      <c r="X586" s="232" t="str">
        <f t="shared" si="1342"/>
        <v/>
      </c>
      <c r="Y586" s="371"/>
      <c r="Z586" s="495">
        <v>80</v>
      </c>
      <c r="AA586" s="496">
        <v>10</v>
      </c>
      <c r="AB586" s="482">
        <f t="shared" si="1306"/>
        <v>10</v>
      </c>
      <c r="AC586" s="371"/>
      <c r="AD586" s="232" t="str">
        <f t="shared" si="1307"/>
        <v/>
      </c>
      <c r="AE586" s="232">
        <f t="shared" si="1308"/>
        <v>10</v>
      </c>
      <c r="AF586" s="232" t="str">
        <f t="shared" si="1309"/>
        <v/>
      </c>
      <c r="AG586" s="232" t="str">
        <f t="shared" si="1343"/>
        <v/>
      </c>
      <c r="AH586" s="371"/>
      <c r="AI586" s="495">
        <v>40</v>
      </c>
      <c r="AJ586" s="496">
        <v>40</v>
      </c>
      <c r="AK586" s="482">
        <f t="shared" si="1310"/>
        <v>20</v>
      </c>
      <c r="AL586" s="371"/>
      <c r="AM586" s="232" t="str">
        <f t="shared" si="1311"/>
        <v/>
      </c>
      <c r="AN586" s="232">
        <f t="shared" si="1312"/>
        <v>40</v>
      </c>
      <c r="AO586" s="232" t="str">
        <f t="shared" si="1313"/>
        <v/>
      </c>
      <c r="AP586" s="232">
        <f t="shared" si="1344"/>
        <v>1</v>
      </c>
      <c r="AQ586" s="371"/>
      <c r="AR586" s="495">
        <v>10</v>
      </c>
      <c r="AS586" s="496">
        <v>30</v>
      </c>
      <c r="AT586" s="482">
        <f t="shared" si="1314"/>
        <v>60</v>
      </c>
      <c r="AU586" s="371"/>
      <c r="AV586" s="232" t="str">
        <f t="shared" si="1315"/>
        <v/>
      </c>
      <c r="AW586" s="232">
        <f t="shared" si="1316"/>
        <v>30</v>
      </c>
      <c r="AX586" s="232" t="str">
        <f t="shared" si="1317"/>
        <v/>
      </c>
      <c r="AY586" s="232" t="str">
        <f t="shared" si="1345"/>
        <v/>
      </c>
      <c r="AZ586" s="371"/>
      <c r="BA586" s="495">
        <v>10</v>
      </c>
      <c r="BB586" s="496">
        <v>10</v>
      </c>
      <c r="BC586" s="482">
        <f t="shared" si="1318"/>
        <v>80</v>
      </c>
      <c r="BD586" s="371"/>
      <c r="BE586" s="232" t="str">
        <f t="shared" si="1319"/>
        <v/>
      </c>
      <c r="BF586" s="232">
        <f t="shared" si="1320"/>
        <v>10</v>
      </c>
      <c r="BG586" s="232" t="str">
        <f t="shared" si="1321"/>
        <v/>
      </c>
      <c r="BH586" s="232" t="str">
        <f t="shared" si="1346"/>
        <v/>
      </c>
      <c r="BI586" s="371"/>
      <c r="BJ586" s="495">
        <v>10</v>
      </c>
      <c r="BK586" s="496">
        <v>10</v>
      </c>
      <c r="BL586" s="482">
        <f t="shared" si="1322"/>
        <v>80</v>
      </c>
      <c r="BM586" s="371"/>
      <c r="BN586" s="232" t="str">
        <f t="shared" si="1323"/>
        <v/>
      </c>
      <c r="BO586" s="232">
        <f t="shared" si="1324"/>
        <v>10</v>
      </c>
      <c r="BP586" s="232" t="str">
        <f t="shared" si="1325"/>
        <v/>
      </c>
      <c r="BQ586" s="232" t="str">
        <f t="shared" si="1347"/>
        <v/>
      </c>
      <c r="BR586" s="371"/>
      <c r="BS586" s="495">
        <v>60</v>
      </c>
      <c r="BT586" s="496">
        <v>20</v>
      </c>
      <c r="BU586" s="482">
        <f t="shared" si="1326"/>
        <v>20</v>
      </c>
      <c r="BV586" s="371"/>
      <c r="BW586" s="232" t="str">
        <f t="shared" si="1327"/>
        <v/>
      </c>
      <c r="BX586" s="232">
        <f t="shared" si="1328"/>
        <v>20</v>
      </c>
      <c r="BY586" s="232" t="str">
        <f t="shared" si="1329"/>
        <v/>
      </c>
      <c r="BZ586" s="232" t="str">
        <f t="shared" si="1330"/>
        <v/>
      </c>
      <c r="CA586" s="371"/>
      <c r="CB586" s="501">
        <f t="shared" si="1331"/>
        <v>40</v>
      </c>
      <c r="CC586" s="502">
        <f t="shared" si="1332"/>
        <v>20</v>
      </c>
      <c r="CD586" s="503">
        <f t="shared" si="1333"/>
        <v>40</v>
      </c>
      <c r="CE586" s="371"/>
      <c r="CF586" s="232" t="str">
        <f t="shared" si="1334"/>
        <v/>
      </c>
      <c r="CG586" s="232">
        <f t="shared" si="1335"/>
        <v>20</v>
      </c>
      <c r="CH586" s="232" t="str">
        <f t="shared" si="1336"/>
        <v/>
      </c>
      <c r="CI586" s="232" t="str">
        <f t="shared" si="1348"/>
        <v/>
      </c>
      <c r="CJ586" s="232"/>
      <c r="CK586" s="495">
        <v>10</v>
      </c>
      <c r="CL586" s="496">
        <v>30</v>
      </c>
      <c r="CM586" s="482">
        <f t="shared" si="1337"/>
        <v>60</v>
      </c>
      <c r="CN586" s="371"/>
      <c r="CO586" s="232" t="str">
        <f t="shared" si="1338"/>
        <v/>
      </c>
      <c r="CP586" s="232">
        <f t="shared" si="1339"/>
        <v>30</v>
      </c>
      <c r="CQ586" s="232" t="str">
        <f t="shared" si="1340"/>
        <v/>
      </c>
      <c r="CR586" s="232" t="str">
        <f t="shared" si="1349"/>
        <v/>
      </c>
      <c r="CS586" s="232"/>
      <c r="CT586" s="371"/>
      <c r="CU586" s="300"/>
      <c r="CV586" s="246"/>
      <c r="CW586" s="264"/>
    </row>
    <row r="587" spans="1:101" x14ac:dyDescent="0.2">
      <c r="A587" s="264"/>
      <c r="B587" s="264"/>
      <c r="C587" s="202"/>
      <c r="D587" s="271">
        <v>8</v>
      </c>
      <c r="E587" s="167" t="s">
        <v>369</v>
      </c>
      <c r="F587" s="469">
        <v>2</v>
      </c>
      <c r="G587" s="474" t="s">
        <v>49</v>
      </c>
      <c r="H587" s="475">
        <v>0</v>
      </c>
      <c r="I587" s="389" t="str">
        <f t="shared" si="1300"/>
        <v>x</v>
      </c>
      <c r="J587" s="390" t="str">
        <f t="shared" si="1301"/>
        <v/>
      </c>
      <c r="K587" s="391" t="str">
        <f t="shared" si="1302"/>
        <v/>
      </c>
      <c r="L587" s="299"/>
      <c r="M587" s="375"/>
      <c r="N587" s="379"/>
      <c r="O587" s="236"/>
      <c r="P587" s="236"/>
      <c r="Q587" s="483">
        <v>40</v>
      </c>
      <c r="R587" s="484">
        <v>30</v>
      </c>
      <c r="S587" s="485">
        <f t="shared" si="1341"/>
        <v>30</v>
      </c>
      <c r="T587" s="371"/>
      <c r="U587" s="232">
        <f t="shared" si="1303"/>
        <v>40</v>
      </c>
      <c r="V587" s="232" t="str">
        <f t="shared" si="1304"/>
        <v/>
      </c>
      <c r="W587" s="232" t="str">
        <f t="shared" si="1305"/>
        <v/>
      </c>
      <c r="X587" s="232">
        <f t="shared" si="1342"/>
        <v>1</v>
      </c>
      <c r="Y587" s="371"/>
      <c r="Z587" s="497">
        <v>80</v>
      </c>
      <c r="AA587" s="498">
        <v>10</v>
      </c>
      <c r="AB587" s="485">
        <f t="shared" si="1306"/>
        <v>10</v>
      </c>
      <c r="AC587" s="371"/>
      <c r="AD587" s="232">
        <f t="shared" si="1307"/>
        <v>80</v>
      </c>
      <c r="AE587" s="232" t="str">
        <f t="shared" si="1308"/>
        <v/>
      </c>
      <c r="AF587" s="232" t="str">
        <f t="shared" si="1309"/>
        <v/>
      </c>
      <c r="AG587" s="232">
        <f t="shared" si="1343"/>
        <v>1</v>
      </c>
      <c r="AH587" s="371"/>
      <c r="AI587" s="497">
        <v>40</v>
      </c>
      <c r="AJ587" s="498">
        <v>40</v>
      </c>
      <c r="AK587" s="485">
        <f t="shared" si="1310"/>
        <v>20</v>
      </c>
      <c r="AL587" s="371"/>
      <c r="AM587" s="232">
        <f t="shared" si="1311"/>
        <v>40</v>
      </c>
      <c r="AN587" s="232" t="str">
        <f t="shared" si="1312"/>
        <v/>
      </c>
      <c r="AO587" s="232" t="str">
        <f t="shared" si="1313"/>
        <v/>
      </c>
      <c r="AP587" s="232">
        <f t="shared" si="1344"/>
        <v>1</v>
      </c>
      <c r="AQ587" s="371"/>
      <c r="AR587" s="497">
        <v>40</v>
      </c>
      <c r="AS587" s="498">
        <v>50</v>
      </c>
      <c r="AT587" s="485">
        <f t="shared" si="1314"/>
        <v>10</v>
      </c>
      <c r="AU587" s="371"/>
      <c r="AV587" s="232">
        <f t="shared" si="1315"/>
        <v>40</v>
      </c>
      <c r="AW587" s="232" t="str">
        <f t="shared" si="1316"/>
        <v/>
      </c>
      <c r="AX587" s="232" t="str">
        <f t="shared" si="1317"/>
        <v/>
      </c>
      <c r="AY587" s="232" t="str">
        <f t="shared" si="1345"/>
        <v/>
      </c>
      <c r="AZ587" s="371"/>
      <c r="BA587" s="497">
        <v>80</v>
      </c>
      <c r="BB587" s="498">
        <v>10</v>
      </c>
      <c r="BC587" s="485">
        <f t="shared" si="1318"/>
        <v>10</v>
      </c>
      <c r="BD587" s="371"/>
      <c r="BE587" s="232">
        <f t="shared" si="1319"/>
        <v>80</v>
      </c>
      <c r="BF587" s="232" t="str">
        <f t="shared" si="1320"/>
        <v/>
      </c>
      <c r="BG587" s="232" t="str">
        <f t="shared" si="1321"/>
        <v/>
      </c>
      <c r="BH587" s="232">
        <f t="shared" si="1346"/>
        <v>1</v>
      </c>
      <c r="BI587" s="371"/>
      <c r="BJ587" s="497">
        <v>10</v>
      </c>
      <c r="BK587" s="498">
        <v>80</v>
      </c>
      <c r="BL587" s="485">
        <f t="shared" si="1322"/>
        <v>10</v>
      </c>
      <c r="BM587" s="371"/>
      <c r="BN587" s="232">
        <f t="shared" si="1323"/>
        <v>10</v>
      </c>
      <c r="BO587" s="232" t="str">
        <f t="shared" si="1324"/>
        <v/>
      </c>
      <c r="BP587" s="232" t="str">
        <f t="shared" si="1325"/>
        <v/>
      </c>
      <c r="BQ587" s="232" t="str">
        <f t="shared" si="1347"/>
        <v/>
      </c>
      <c r="BR587" s="371"/>
      <c r="BS587" s="497">
        <v>50</v>
      </c>
      <c r="BT587" s="498">
        <v>30</v>
      </c>
      <c r="BU587" s="485">
        <f t="shared" si="1326"/>
        <v>20</v>
      </c>
      <c r="BV587" s="371"/>
      <c r="BW587" s="232">
        <f t="shared" si="1327"/>
        <v>50</v>
      </c>
      <c r="BX587" s="232" t="str">
        <f t="shared" si="1328"/>
        <v/>
      </c>
      <c r="BY587" s="232" t="str">
        <f t="shared" si="1329"/>
        <v/>
      </c>
      <c r="BZ587" s="232">
        <f t="shared" si="1330"/>
        <v>1</v>
      </c>
      <c r="CA587" s="371"/>
      <c r="CB587" s="504">
        <f t="shared" si="1331"/>
        <v>50</v>
      </c>
      <c r="CC587" s="505">
        <f t="shared" si="1332"/>
        <v>30</v>
      </c>
      <c r="CD587" s="506">
        <f t="shared" si="1333"/>
        <v>20</v>
      </c>
      <c r="CE587" s="371"/>
      <c r="CF587" s="232">
        <f t="shared" si="1334"/>
        <v>50</v>
      </c>
      <c r="CG587" s="232" t="str">
        <f t="shared" si="1335"/>
        <v/>
      </c>
      <c r="CH587" s="232" t="str">
        <f t="shared" si="1336"/>
        <v/>
      </c>
      <c r="CI587" s="232">
        <f t="shared" si="1348"/>
        <v>1</v>
      </c>
      <c r="CJ587" s="232"/>
      <c r="CK587" s="497">
        <v>40</v>
      </c>
      <c r="CL587" s="498">
        <v>50</v>
      </c>
      <c r="CM587" s="485">
        <f t="shared" si="1337"/>
        <v>10</v>
      </c>
      <c r="CN587" s="371"/>
      <c r="CO587" s="232">
        <f t="shared" si="1338"/>
        <v>40</v>
      </c>
      <c r="CP587" s="232" t="str">
        <f t="shared" si="1339"/>
        <v/>
      </c>
      <c r="CQ587" s="232" t="str">
        <f t="shared" si="1340"/>
        <v/>
      </c>
      <c r="CR587" s="232" t="str">
        <f t="shared" si="1349"/>
        <v/>
      </c>
      <c r="CS587" s="232"/>
      <c r="CT587" s="371"/>
      <c r="CU587" s="300"/>
      <c r="CV587" s="246"/>
      <c r="CW587" s="264"/>
    </row>
    <row r="588" spans="1:101" ht="13.5" thickBot="1" x14ac:dyDescent="0.25">
      <c r="A588" s="264"/>
      <c r="B588" s="264"/>
      <c r="C588" s="202"/>
      <c r="D588" s="271">
        <v>9</v>
      </c>
      <c r="E588" s="168" t="s">
        <v>370</v>
      </c>
      <c r="F588" s="470">
        <v>2</v>
      </c>
      <c r="G588" s="476" t="s">
        <v>49</v>
      </c>
      <c r="H588" s="477">
        <v>1</v>
      </c>
      <c r="I588" s="392" t="str">
        <f t="shared" si="1300"/>
        <v>x</v>
      </c>
      <c r="J588" s="393" t="str">
        <f t="shared" si="1301"/>
        <v/>
      </c>
      <c r="K588" s="394" t="str">
        <f t="shared" si="1302"/>
        <v/>
      </c>
      <c r="L588" s="299"/>
      <c r="M588" s="375"/>
      <c r="N588" s="379"/>
      <c r="O588" s="236"/>
      <c r="P588" s="236"/>
      <c r="Q588" s="489">
        <v>10</v>
      </c>
      <c r="R588" s="490">
        <v>80</v>
      </c>
      <c r="S588" s="491">
        <f t="shared" si="1341"/>
        <v>10</v>
      </c>
      <c r="T588" s="371"/>
      <c r="U588" s="232">
        <f t="shared" si="1303"/>
        <v>10</v>
      </c>
      <c r="V588" s="232" t="str">
        <f t="shared" si="1304"/>
        <v/>
      </c>
      <c r="W588" s="232" t="str">
        <f t="shared" si="1305"/>
        <v/>
      </c>
      <c r="X588" s="232" t="str">
        <f t="shared" si="1342"/>
        <v/>
      </c>
      <c r="Y588" s="371"/>
      <c r="Z588" s="499">
        <v>80</v>
      </c>
      <c r="AA588" s="500">
        <v>10</v>
      </c>
      <c r="AB588" s="491">
        <f t="shared" si="1306"/>
        <v>10</v>
      </c>
      <c r="AC588" s="371"/>
      <c r="AD588" s="232">
        <f t="shared" si="1307"/>
        <v>80</v>
      </c>
      <c r="AE588" s="232" t="str">
        <f t="shared" si="1308"/>
        <v/>
      </c>
      <c r="AF588" s="232" t="str">
        <f t="shared" si="1309"/>
        <v/>
      </c>
      <c r="AG588" s="232">
        <f t="shared" si="1343"/>
        <v>1</v>
      </c>
      <c r="AH588" s="371"/>
      <c r="AI588" s="499">
        <v>70</v>
      </c>
      <c r="AJ588" s="500">
        <v>10</v>
      </c>
      <c r="AK588" s="491">
        <f t="shared" si="1310"/>
        <v>20</v>
      </c>
      <c r="AL588" s="371"/>
      <c r="AM588" s="232">
        <f t="shared" si="1311"/>
        <v>70</v>
      </c>
      <c r="AN588" s="232" t="str">
        <f t="shared" si="1312"/>
        <v/>
      </c>
      <c r="AO588" s="232" t="str">
        <f t="shared" si="1313"/>
        <v/>
      </c>
      <c r="AP588" s="232">
        <f t="shared" si="1344"/>
        <v>1</v>
      </c>
      <c r="AQ588" s="371"/>
      <c r="AR588" s="499">
        <v>20</v>
      </c>
      <c r="AS588" s="500">
        <v>30</v>
      </c>
      <c r="AT588" s="491">
        <f t="shared" si="1314"/>
        <v>50</v>
      </c>
      <c r="AU588" s="371"/>
      <c r="AV588" s="232">
        <f t="shared" si="1315"/>
        <v>20</v>
      </c>
      <c r="AW588" s="232" t="str">
        <f t="shared" si="1316"/>
        <v/>
      </c>
      <c r="AX588" s="232" t="str">
        <f t="shared" si="1317"/>
        <v/>
      </c>
      <c r="AY588" s="232" t="str">
        <f t="shared" si="1345"/>
        <v/>
      </c>
      <c r="AZ588" s="371"/>
      <c r="BA588" s="499">
        <v>80</v>
      </c>
      <c r="BB588" s="500">
        <v>10</v>
      </c>
      <c r="BC588" s="491">
        <f t="shared" si="1318"/>
        <v>10</v>
      </c>
      <c r="BD588" s="371"/>
      <c r="BE588" s="232">
        <f t="shared" si="1319"/>
        <v>80</v>
      </c>
      <c r="BF588" s="232" t="str">
        <f t="shared" si="1320"/>
        <v/>
      </c>
      <c r="BG588" s="232" t="str">
        <f t="shared" si="1321"/>
        <v/>
      </c>
      <c r="BH588" s="232">
        <f t="shared" si="1346"/>
        <v>1</v>
      </c>
      <c r="BI588" s="371"/>
      <c r="BJ588" s="499">
        <v>10</v>
      </c>
      <c r="BK588" s="500">
        <v>10</v>
      </c>
      <c r="BL588" s="491">
        <f t="shared" si="1322"/>
        <v>80</v>
      </c>
      <c r="BM588" s="371"/>
      <c r="BN588" s="232">
        <f t="shared" si="1323"/>
        <v>10</v>
      </c>
      <c r="BO588" s="232" t="str">
        <f t="shared" si="1324"/>
        <v/>
      </c>
      <c r="BP588" s="232" t="str">
        <f t="shared" si="1325"/>
        <v/>
      </c>
      <c r="BQ588" s="232" t="str">
        <f t="shared" si="1347"/>
        <v/>
      </c>
      <c r="BR588" s="371"/>
      <c r="BS588" s="499">
        <v>70</v>
      </c>
      <c r="BT588" s="500">
        <v>10</v>
      </c>
      <c r="BU588" s="491">
        <f t="shared" si="1326"/>
        <v>20</v>
      </c>
      <c r="BV588" s="371"/>
      <c r="BW588" s="232">
        <f t="shared" si="1327"/>
        <v>70</v>
      </c>
      <c r="BX588" s="232" t="str">
        <f t="shared" si="1328"/>
        <v/>
      </c>
      <c r="BY588" s="232" t="str">
        <f t="shared" si="1329"/>
        <v/>
      </c>
      <c r="BZ588" s="232">
        <f t="shared" si="1330"/>
        <v>1</v>
      </c>
      <c r="CA588" s="371"/>
      <c r="CB588" s="507">
        <f t="shared" si="1331"/>
        <v>50</v>
      </c>
      <c r="CC588" s="508">
        <f t="shared" si="1332"/>
        <v>20</v>
      </c>
      <c r="CD588" s="509">
        <f t="shared" si="1333"/>
        <v>30</v>
      </c>
      <c r="CE588" s="371"/>
      <c r="CF588" s="232">
        <f t="shared" si="1334"/>
        <v>50</v>
      </c>
      <c r="CG588" s="232" t="str">
        <f t="shared" si="1335"/>
        <v/>
      </c>
      <c r="CH588" s="232" t="str">
        <f t="shared" si="1336"/>
        <v/>
      </c>
      <c r="CI588" s="232">
        <f t="shared" si="1348"/>
        <v>1</v>
      </c>
      <c r="CJ588" s="232"/>
      <c r="CK588" s="499">
        <v>60</v>
      </c>
      <c r="CL588" s="500">
        <v>30</v>
      </c>
      <c r="CM588" s="491">
        <f t="shared" si="1337"/>
        <v>10</v>
      </c>
      <c r="CN588" s="371"/>
      <c r="CO588" s="232">
        <f t="shared" si="1338"/>
        <v>60</v>
      </c>
      <c r="CP588" s="232" t="str">
        <f t="shared" si="1339"/>
        <v/>
      </c>
      <c r="CQ588" s="232" t="str">
        <f t="shared" si="1340"/>
        <v/>
      </c>
      <c r="CR588" s="232">
        <f t="shared" si="1349"/>
        <v>1</v>
      </c>
      <c r="CS588" s="232"/>
      <c r="CT588" s="371"/>
      <c r="CU588" s="300"/>
      <c r="CV588" s="246"/>
      <c r="CW588" s="264"/>
    </row>
    <row r="589" spans="1:101" x14ac:dyDescent="0.2">
      <c r="A589" s="264"/>
      <c r="B589" s="264"/>
      <c r="C589" s="202"/>
      <c r="D589" s="271">
        <v>10</v>
      </c>
      <c r="E589" s="169" t="s">
        <v>371</v>
      </c>
      <c r="F589" s="471">
        <v>1</v>
      </c>
      <c r="G589" s="478" t="s">
        <v>49</v>
      </c>
      <c r="H589" s="479">
        <v>0</v>
      </c>
      <c r="I589" s="170" t="str">
        <f t="shared" si="1300"/>
        <v>x</v>
      </c>
      <c r="J589" s="387" t="str">
        <f t="shared" si="1301"/>
        <v/>
      </c>
      <c r="K589" s="388" t="str">
        <f t="shared" si="1302"/>
        <v/>
      </c>
      <c r="L589" s="299"/>
      <c r="M589" s="375"/>
      <c r="N589" s="379"/>
      <c r="O589" s="236"/>
      <c r="P589" s="236"/>
      <c r="Q589" s="492">
        <v>80</v>
      </c>
      <c r="R589" s="493">
        <v>10</v>
      </c>
      <c r="S589" s="494">
        <f t="shared" si="1341"/>
        <v>10</v>
      </c>
      <c r="T589" s="371"/>
      <c r="U589" s="232">
        <f t="shared" si="1303"/>
        <v>80</v>
      </c>
      <c r="V589" s="232" t="str">
        <f t="shared" si="1304"/>
        <v/>
      </c>
      <c r="W589" s="232" t="str">
        <f t="shared" si="1305"/>
        <v/>
      </c>
      <c r="X589" s="232">
        <f t="shared" si="1342"/>
        <v>1</v>
      </c>
      <c r="Y589" s="371"/>
      <c r="Z589" s="495">
        <v>80</v>
      </c>
      <c r="AA589" s="496">
        <v>10</v>
      </c>
      <c r="AB589" s="494">
        <f t="shared" si="1306"/>
        <v>10</v>
      </c>
      <c r="AC589" s="371"/>
      <c r="AD589" s="232">
        <f t="shared" si="1307"/>
        <v>80</v>
      </c>
      <c r="AE589" s="232" t="str">
        <f t="shared" si="1308"/>
        <v/>
      </c>
      <c r="AF589" s="232" t="str">
        <f t="shared" si="1309"/>
        <v/>
      </c>
      <c r="AG589" s="232">
        <f t="shared" si="1343"/>
        <v>1</v>
      </c>
      <c r="AH589" s="371"/>
      <c r="AI589" s="495">
        <v>40</v>
      </c>
      <c r="AJ589" s="496">
        <v>30</v>
      </c>
      <c r="AK589" s="494">
        <f t="shared" si="1310"/>
        <v>30</v>
      </c>
      <c r="AL589" s="371"/>
      <c r="AM589" s="232">
        <f t="shared" si="1311"/>
        <v>40</v>
      </c>
      <c r="AN589" s="232" t="str">
        <f t="shared" si="1312"/>
        <v/>
      </c>
      <c r="AO589" s="232" t="str">
        <f t="shared" si="1313"/>
        <v/>
      </c>
      <c r="AP589" s="232">
        <f t="shared" si="1344"/>
        <v>1</v>
      </c>
      <c r="AQ589" s="371"/>
      <c r="AR589" s="495">
        <v>40</v>
      </c>
      <c r="AS589" s="496">
        <v>30</v>
      </c>
      <c r="AT589" s="494">
        <f t="shared" si="1314"/>
        <v>30</v>
      </c>
      <c r="AU589" s="371"/>
      <c r="AV589" s="232">
        <f t="shared" si="1315"/>
        <v>40</v>
      </c>
      <c r="AW589" s="232" t="str">
        <f t="shared" si="1316"/>
        <v/>
      </c>
      <c r="AX589" s="232" t="str">
        <f t="shared" si="1317"/>
        <v/>
      </c>
      <c r="AY589" s="232">
        <f t="shared" si="1345"/>
        <v>1</v>
      </c>
      <c r="AZ589" s="371"/>
      <c r="BA589" s="495">
        <v>80</v>
      </c>
      <c r="BB589" s="496">
        <v>10</v>
      </c>
      <c r="BC589" s="494">
        <f t="shared" si="1318"/>
        <v>10</v>
      </c>
      <c r="BD589" s="371"/>
      <c r="BE589" s="232">
        <f t="shared" si="1319"/>
        <v>80</v>
      </c>
      <c r="BF589" s="232" t="str">
        <f t="shared" si="1320"/>
        <v/>
      </c>
      <c r="BG589" s="232" t="str">
        <f t="shared" si="1321"/>
        <v/>
      </c>
      <c r="BH589" s="232">
        <f t="shared" si="1346"/>
        <v>1</v>
      </c>
      <c r="BI589" s="371"/>
      <c r="BJ589" s="495">
        <v>10</v>
      </c>
      <c r="BK589" s="496">
        <v>10</v>
      </c>
      <c r="BL589" s="494">
        <f t="shared" si="1322"/>
        <v>80</v>
      </c>
      <c r="BM589" s="371"/>
      <c r="BN589" s="232">
        <f t="shared" si="1323"/>
        <v>10</v>
      </c>
      <c r="BO589" s="232" t="str">
        <f t="shared" si="1324"/>
        <v/>
      </c>
      <c r="BP589" s="232" t="str">
        <f t="shared" si="1325"/>
        <v/>
      </c>
      <c r="BQ589" s="232" t="str">
        <f t="shared" si="1347"/>
        <v/>
      </c>
      <c r="BR589" s="371"/>
      <c r="BS589" s="495">
        <v>10</v>
      </c>
      <c r="BT589" s="496">
        <v>80</v>
      </c>
      <c r="BU589" s="494">
        <f t="shared" si="1326"/>
        <v>10</v>
      </c>
      <c r="BV589" s="371"/>
      <c r="BW589" s="232">
        <f t="shared" si="1327"/>
        <v>10</v>
      </c>
      <c r="BX589" s="232" t="str">
        <f t="shared" si="1328"/>
        <v/>
      </c>
      <c r="BY589" s="232" t="str">
        <f t="shared" si="1329"/>
        <v/>
      </c>
      <c r="BZ589" s="232" t="str">
        <f t="shared" si="1330"/>
        <v/>
      </c>
      <c r="CA589" s="371"/>
      <c r="CB589" s="501">
        <f t="shared" si="1331"/>
        <v>50</v>
      </c>
      <c r="CC589" s="502">
        <f t="shared" si="1332"/>
        <v>20</v>
      </c>
      <c r="CD589" s="503">
        <f t="shared" si="1333"/>
        <v>30</v>
      </c>
      <c r="CE589" s="371"/>
      <c r="CF589" s="232">
        <f t="shared" si="1334"/>
        <v>50</v>
      </c>
      <c r="CG589" s="232" t="str">
        <f t="shared" si="1335"/>
        <v/>
      </c>
      <c r="CH589" s="232" t="str">
        <f t="shared" si="1336"/>
        <v/>
      </c>
      <c r="CI589" s="232">
        <f t="shared" si="1348"/>
        <v>1</v>
      </c>
      <c r="CJ589" s="232"/>
      <c r="CK589" s="495">
        <v>60</v>
      </c>
      <c r="CL589" s="496">
        <v>30</v>
      </c>
      <c r="CM589" s="494">
        <f t="shared" si="1337"/>
        <v>10</v>
      </c>
      <c r="CN589" s="371"/>
      <c r="CO589" s="232">
        <f t="shared" si="1338"/>
        <v>60</v>
      </c>
      <c r="CP589" s="232" t="str">
        <f t="shared" si="1339"/>
        <v/>
      </c>
      <c r="CQ589" s="232" t="str">
        <f t="shared" si="1340"/>
        <v/>
      </c>
      <c r="CR589" s="232">
        <f t="shared" si="1349"/>
        <v>1</v>
      </c>
      <c r="CS589" s="232"/>
      <c r="CT589" s="371"/>
      <c r="CU589" s="300"/>
      <c r="CV589" s="246"/>
      <c r="CW589" s="264"/>
    </row>
    <row r="590" spans="1:101" x14ac:dyDescent="0.2">
      <c r="A590" s="264"/>
      <c r="B590" s="264"/>
      <c r="C590" s="202"/>
      <c r="D590" s="271">
        <v>11</v>
      </c>
      <c r="E590" s="167" t="s">
        <v>372</v>
      </c>
      <c r="F590" s="469">
        <v>1</v>
      </c>
      <c r="G590" s="474" t="s">
        <v>49</v>
      </c>
      <c r="H590" s="475">
        <v>0</v>
      </c>
      <c r="I590" s="389" t="str">
        <f t="shared" si="1300"/>
        <v>x</v>
      </c>
      <c r="J590" s="390" t="str">
        <f t="shared" si="1301"/>
        <v/>
      </c>
      <c r="K590" s="391" t="str">
        <f t="shared" si="1302"/>
        <v/>
      </c>
      <c r="L590" s="299"/>
      <c r="M590" s="375"/>
      <c r="N590" s="379"/>
      <c r="O590" s="236"/>
      <c r="P590" s="236"/>
      <c r="Q590" s="483">
        <v>80</v>
      </c>
      <c r="R590" s="484">
        <v>10</v>
      </c>
      <c r="S590" s="485">
        <f t="shared" si="1341"/>
        <v>10</v>
      </c>
      <c r="T590" s="371"/>
      <c r="U590" s="232">
        <f t="shared" si="1303"/>
        <v>80</v>
      </c>
      <c r="V590" s="232" t="str">
        <f t="shared" si="1304"/>
        <v/>
      </c>
      <c r="W590" s="232" t="str">
        <f t="shared" si="1305"/>
        <v/>
      </c>
      <c r="X590" s="232">
        <f t="shared" si="1342"/>
        <v>1</v>
      </c>
      <c r="Y590" s="371"/>
      <c r="Z590" s="497">
        <v>50</v>
      </c>
      <c r="AA590" s="498">
        <v>10</v>
      </c>
      <c r="AB590" s="485">
        <f t="shared" si="1306"/>
        <v>40</v>
      </c>
      <c r="AC590" s="371"/>
      <c r="AD590" s="232">
        <f t="shared" si="1307"/>
        <v>50</v>
      </c>
      <c r="AE590" s="232" t="str">
        <f t="shared" si="1308"/>
        <v/>
      </c>
      <c r="AF590" s="232" t="str">
        <f t="shared" si="1309"/>
        <v/>
      </c>
      <c r="AG590" s="232">
        <f t="shared" si="1343"/>
        <v>1</v>
      </c>
      <c r="AH590" s="371"/>
      <c r="AI590" s="497">
        <v>20</v>
      </c>
      <c r="AJ590" s="498">
        <v>30</v>
      </c>
      <c r="AK590" s="485">
        <f t="shared" si="1310"/>
        <v>50</v>
      </c>
      <c r="AL590" s="371"/>
      <c r="AM590" s="232">
        <f t="shared" si="1311"/>
        <v>20</v>
      </c>
      <c r="AN590" s="232" t="str">
        <f t="shared" si="1312"/>
        <v/>
      </c>
      <c r="AO590" s="232" t="str">
        <f t="shared" si="1313"/>
        <v/>
      </c>
      <c r="AP590" s="232" t="str">
        <f t="shared" si="1344"/>
        <v/>
      </c>
      <c r="AQ590" s="371"/>
      <c r="AR590" s="497">
        <v>30</v>
      </c>
      <c r="AS590" s="498">
        <v>10</v>
      </c>
      <c r="AT590" s="485">
        <f t="shared" si="1314"/>
        <v>60</v>
      </c>
      <c r="AU590" s="371"/>
      <c r="AV590" s="232">
        <f t="shared" si="1315"/>
        <v>30</v>
      </c>
      <c r="AW590" s="232" t="str">
        <f t="shared" si="1316"/>
        <v/>
      </c>
      <c r="AX590" s="232" t="str">
        <f t="shared" si="1317"/>
        <v/>
      </c>
      <c r="AY590" s="232" t="str">
        <f t="shared" si="1345"/>
        <v/>
      </c>
      <c r="AZ590" s="371"/>
      <c r="BA590" s="497">
        <v>10</v>
      </c>
      <c r="BB590" s="498">
        <v>10</v>
      </c>
      <c r="BC590" s="485">
        <f t="shared" si="1318"/>
        <v>80</v>
      </c>
      <c r="BD590" s="371"/>
      <c r="BE590" s="232">
        <f t="shared" si="1319"/>
        <v>10</v>
      </c>
      <c r="BF590" s="232" t="str">
        <f t="shared" si="1320"/>
        <v/>
      </c>
      <c r="BG590" s="232" t="str">
        <f t="shared" si="1321"/>
        <v/>
      </c>
      <c r="BH590" s="232" t="str">
        <f t="shared" si="1346"/>
        <v/>
      </c>
      <c r="BI590" s="371"/>
      <c r="BJ590" s="497">
        <v>10</v>
      </c>
      <c r="BK590" s="498">
        <v>10</v>
      </c>
      <c r="BL590" s="485">
        <f t="shared" si="1322"/>
        <v>80</v>
      </c>
      <c r="BM590" s="371"/>
      <c r="BN590" s="232">
        <f t="shared" si="1323"/>
        <v>10</v>
      </c>
      <c r="BO590" s="232" t="str">
        <f t="shared" si="1324"/>
        <v/>
      </c>
      <c r="BP590" s="232" t="str">
        <f t="shared" si="1325"/>
        <v/>
      </c>
      <c r="BQ590" s="232" t="str">
        <f t="shared" si="1347"/>
        <v/>
      </c>
      <c r="BR590" s="371"/>
      <c r="BS590" s="497">
        <v>50</v>
      </c>
      <c r="BT590" s="498">
        <v>40</v>
      </c>
      <c r="BU590" s="485">
        <f t="shared" si="1326"/>
        <v>10</v>
      </c>
      <c r="BV590" s="371"/>
      <c r="BW590" s="232">
        <f t="shared" si="1327"/>
        <v>50</v>
      </c>
      <c r="BX590" s="232" t="str">
        <f t="shared" si="1328"/>
        <v/>
      </c>
      <c r="BY590" s="232" t="str">
        <f t="shared" si="1329"/>
        <v/>
      </c>
      <c r="BZ590" s="232">
        <f t="shared" si="1330"/>
        <v>1</v>
      </c>
      <c r="CA590" s="371"/>
      <c r="CB590" s="504">
        <f t="shared" si="1331"/>
        <v>40</v>
      </c>
      <c r="CC590" s="505">
        <f t="shared" si="1332"/>
        <v>10</v>
      </c>
      <c r="CD590" s="506">
        <f t="shared" si="1333"/>
        <v>50</v>
      </c>
      <c r="CE590" s="371"/>
      <c r="CF590" s="232">
        <f t="shared" si="1334"/>
        <v>40</v>
      </c>
      <c r="CG590" s="232" t="str">
        <f t="shared" si="1335"/>
        <v/>
      </c>
      <c r="CH590" s="232" t="str">
        <f t="shared" si="1336"/>
        <v/>
      </c>
      <c r="CI590" s="232" t="str">
        <f t="shared" si="1348"/>
        <v/>
      </c>
      <c r="CJ590" s="232"/>
      <c r="CK590" s="497">
        <v>30</v>
      </c>
      <c r="CL590" s="498">
        <v>10</v>
      </c>
      <c r="CM590" s="485">
        <f t="shared" si="1337"/>
        <v>60</v>
      </c>
      <c r="CN590" s="371"/>
      <c r="CO590" s="232">
        <f t="shared" si="1338"/>
        <v>30</v>
      </c>
      <c r="CP590" s="232" t="str">
        <f t="shared" si="1339"/>
        <v/>
      </c>
      <c r="CQ590" s="232" t="str">
        <f t="shared" si="1340"/>
        <v/>
      </c>
      <c r="CR590" s="232" t="str">
        <f t="shared" si="1349"/>
        <v/>
      </c>
      <c r="CS590" s="232"/>
      <c r="CT590" s="371"/>
      <c r="CU590" s="300"/>
      <c r="CV590" s="246"/>
      <c r="CW590" s="264"/>
    </row>
    <row r="591" spans="1:101" ht="13.5" thickBot="1" x14ac:dyDescent="0.25">
      <c r="A591" s="264"/>
      <c r="B591" s="264"/>
      <c r="C591" s="202"/>
      <c r="D591" s="271">
        <v>12</v>
      </c>
      <c r="E591" s="168" t="s">
        <v>373</v>
      </c>
      <c r="F591" s="470">
        <v>1</v>
      </c>
      <c r="G591" s="476" t="s">
        <v>49</v>
      </c>
      <c r="H591" s="477">
        <v>1</v>
      </c>
      <c r="I591" s="392" t="str">
        <f t="shared" si="1300"/>
        <v/>
      </c>
      <c r="J591" s="393" t="str">
        <f t="shared" si="1301"/>
        <v>x</v>
      </c>
      <c r="K591" s="394" t="str">
        <f t="shared" si="1302"/>
        <v/>
      </c>
      <c r="L591" s="299"/>
      <c r="M591" s="375"/>
      <c r="N591" s="379"/>
      <c r="O591" s="236"/>
      <c r="P591" s="236"/>
      <c r="Q591" s="489">
        <v>50</v>
      </c>
      <c r="R591" s="490">
        <v>30</v>
      </c>
      <c r="S591" s="491">
        <f t="shared" si="1341"/>
        <v>20</v>
      </c>
      <c r="T591" s="371"/>
      <c r="U591" s="232" t="str">
        <f t="shared" si="1303"/>
        <v/>
      </c>
      <c r="V591" s="232">
        <f t="shared" si="1304"/>
        <v>30</v>
      </c>
      <c r="W591" s="232" t="str">
        <f t="shared" si="1305"/>
        <v/>
      </c>
      <c r="X591" s="232" t="str">
        <f t="shared" si="1342"/>
        <v/>
      </c>
      <c r="Y591" s="371"/>
      <c r="Z591" s="499">
        <v>80</v>
      </c>
      <c r="AA591" s="500">
        <v>10</v>
      </c>
      <c r="AB591" s="491">
        <f t="shared" si="1306"/>
        <v>10</v>
      </c>
      <c r="AC591" s="371"/>
      <c r="AD591" s="232" t="str">
        <f t="shared" si="1307"/>
        <v/>
      </c>
      <c r="AE591" s="232">
        <f t="shared" si="1308"/>
        <v>10</v>
      </c>
      <c r="AF591" s="232" t="str">
        <f t="shared" si="1309"/>
        <v/>
      </c>
      <c r="AG591" s="232" t="str">
        <f t="shared" si="1343"/>
        <v/>
      </c>
      <c r="AH591" s="371"/>
      <c r="AI591" s="499">
        <v>50</v>
      </c>
      <c r="AJ591" s="500">
        <v>30</v>
      </c>
      <c r="AK591" s="491">
        <f t="shared" si="1310"/>
        <v>20</v>
      </c>
      <c r="AL591" s="371"/>
      <c r="AM591" s="232" t="str">
        <f t="shared" si="1311"/>
        <v/>
      </c>
      <c r="AN591" s="232">
        <f t="shared" si="1312"/>
        <v>30</v>
      </c>
      <c r="AO591" s="232" t="str">
        <f t="shared" si="1313"/>
        <v/>
      </c>
      <c r="AP591" s="232" t="str">
        <f t="shared" si="1344"/>
        <v/>
      </c>
      <c r="AQ591" s="371"/>
      <c r="AR591" s="499">
        <v>60</v>
      </c>
      <c r="AS591" s="500">
        <v>30</v>
      </c>
      <c r="AT591" s="491">
        <f t="shared" si="1314"/>
        <v>10</v>
      </c>
      <c r="AU591" s="371"/>
      <c r="AV591" s="232" t="str">
        <f t="shared" si="1315"/>
        <v/>
      </c>
      <c r="AW591" s="232">
        <f t="shared" si="1316"/>
        <v>30</v>
      </c>
      <c r="AX591" s="232" t="str">
        <f t="shared" si="1317"/>
        <v/>
      </c>
      <c r="AY591" s="232" t="str">
        <f t="shared" si="1345"/>
        <v/>
      </c>
      <c r="AZ591" s="371"/>
      <c r="BA591" s="499">
        <v>80</v>
      </c>
      <c r="BB591" s="500">
        <v>10</v>
      </c>
      <c r="BC591" s="491">
        <f t="shared" si="1318"/>
        <v>10</v>
      </c>
      <c r="BD591" s="371"/>
      <c r="BE591" s="232" t="str">
        <f t="shared" si="1319"/>
        <v/>
      </c>
      <c r="BF591" s="232">
        <f t="shared" si="1320"/>
        <v>10</v>
      </c>
      <c r="BG591" s="232" t="str">
        <f t="shared" si="1321"/>
        <v/>
      </c>
      <c r="BH591" s="232" t="str">
        <f t="shared" si="1346"/>
        <v/>
      </c>
      <c r="BI591" s="371"/>
      <c r="BJ591" s="499">
        <v>70</v>
      </c>
      <c r="BK591" s="500">
        <v>20</v>
      </c>
      <c r="BL591" s="491">
        <f t="shared" si="1322"/>
        <v>10</v>
      </c>
      <c r="BM591" s="371"/>
      <c r="BN591" s="232" t="str">
        <f t="shared" si="1323"/>
        <v/>
      </c>
      <c r="BO591" s="232">
        <f t="shared" si="1324"/>
        <v>20</v>
      </c>
      <c r="BP591" s="232" t="str">
        <f t="shared" si="1325"/>
        <v/>
      </c>
      <c r="BQ591" s="232" t="str">
        <f t="shared" si="1347"/>
        <v/>
      </c>
      <c r="BR591" s="371"/>
      <c r="BS591" s="499">
        <v>50</v>
      </c>
      <c r="BT591" s="500">
        <v>40</v>
      </c>
      <c r="BU591" s="491">
        <f t="shared" si="1326"/>
        <v>10</v>
      </c>
      <c r="BV591" s="371"/>
      <c r="BW591" s="232" t="str">
        <f t="shared" si="1327"/>
        <v/>
      </c>
      <c r="BX591" s="232">
        <f t="shared" si="1328"/>
        <v>40</v>
      </c>
      <c r="BY591" s="232" t="str">
        <f t="shared" si="1329"/>
        <v/>
      </c>
      <c r="BZ591" s="232" t="str">
        <f t="shared" si="1330"/>
        <v/>
      </c>
      <c r="CA591" s="371"/>
      <c r="CB591" s="507">
        <f t="shared" si="1331"/>
        <v>70</v>
      </c>
      <c r="CC591" s="508">
        <f t="shared" si="1332"/>
        <v>20</v>
      </c>
      <c r="CD591" s="509">
        <f t="shared" si="1333"/>
        <v>10</v>
      </c>
      <c r="CE591" s="371"/>
      <c r="CF591" s="232" t="str">
        <f t="shared" si="1334"/>
        <v/>
      </c>
      <c r="CG591" s="232">
        <f t="shared" si="1335"/>
        <v>20</v>
      </c>
      <c r="CH591" s="232" t="str">
        <f t="shared" si="1336"/>
        <v/>
      </c>
      <c r="CI591" s="232" t="str">
        <f t="shared" si="1348"/>
        <v/>
      </c>
      <c r="CJ591" s="232"/>
      <c r="CK591" s="499">
        <v>60</v>
      </c>
      <c r="CL591" s="500">
        <v>30</v>
      </c>
      <c r="CM591" s="491">
        <f t="shared" si="1337"/>
        <v>10</v>
      </c>
      <c r="CN591" s="371"/>
      <c r="CO591" s="232" t="str">
        <f t="shared" si="1338"/>
        <v/>
      </c>
      <c r="CP591" s="232">
        <f t="shared" si="1339"/>
        <v>30</v>
      </c>
      <c r="CQ591" s="232" t="str">
        <f t="shared" si="1340"/>
        <v/>
      </c>
      <c r="CR591" s="232" t="str">
        <f t="shared" si="1349"/>
        <v/>
      </c>
      <c r="CS591" s="232"/>
      <c r="CT591" s="371"/>
      <c r="CU591" s="300"/>
      <c r="CV591" s="246"/>
      <c r="CW591" s="264"/>
    </row>
    <row r="592" spans="1:101" x14ac:dyDescent="0.2">
      <c r="A592" s="264"/>
      <c r="B592" s="264"/>
      <c r="C592" s="202"/>
      <c r="D592" s="272"/>
      <c r="E592" s="235"/>
      <c r="F592" s="395">
        <f>IF(SUM(F580:F591)=0,"",SUM(F580:F591))</f>
        <v>19</v>
      </c>
      <c r="G592" s="370" t="s">
        <v>49</v>
      </c>
      <c r="H592" s="396">
        <f>IF(SUM(H580:H591)=0,"",SUM(H580:H591))</f>
        <v>5</v>
      </c>
      <c r="I592" s="397">
        <f>IF(COUNTIF(I580:I591,"=x")=0,"",COUNTIF(I580:I591,"=x"))</f>
        <v>9</v>
      </c>
      <c r="J592" s="398">
        <f>IF(COUNTIF(J580:J591,"=x")=0,"",COUNTIF(J580:J591,"=x"))</f>
        <v>3</v>
      </c>
      <c r="K592" s="399" t="str">
        <f>IF(COUNTIF(K580:K591,"=x")=0,"",COUNTIF(K580:K591,"=x"))</f>
        <v/>
      </c>
      <c r="L592" s="299"/>
      <c r="M592" s="375"/>
      <c r="N592" s="379"/>
      <c r="O592" s="236"/>
      <c r="P592" s="369"/>
      <c r="Q592" s="466">
        <f>SUM(U580:U591)</f>
        <v>410</v>
      </c>
      <c r="R592" s="466">
        <f>SUM(V580:V591)</f>
        <v>90</v>
      </c>
      <c r="S592" s="466">
        <f>SUM(W580:W591)</f>
        <v>0</v>
      </c>
      <c r="T592" s="368"/>
      <c r="U592" s="232"/>
      <c r="V592" s="232"/>
      <c r="W592" s="232"/>
      <c r="X592" s="232"/>
      <c r="Y592" s="367"/>
      <c r="Z592" s="466">
        <f>SUM(AD580:AD591)</f>
        <v>480</v>
      </c>
      <c r="AA592" s="466">
        <f>SUM(AE580:AE591)</f>
        <v>30</v>
      </c>
      <c r="AB592" s="466">
        <f>SUM(AF580:AF591)</f>
        <v>0</v>
      </c>
      <c r="AC592" s="368"/>
      <c r="AD592" s="232"/>
      <c r="AE592" s="232"/>
      <c r="AF592" s="232"/>
      <c r="AG592" s="232"/>
      <c r="AH592" s="367"/>
      <c r="AI592" s="466">
        <f>SUM(AM580:AM591)</f>
        <v>400</v>
      </c>
      <c r="AJ592" s="466">
        <f>SUM(AN580:AN591)</f>
        <v>80</v>
      </c>
      <c r="AK592" s="466">
        <f>SUM(AO580:AO591)</f>
        <v>0</v>
      </c>
      <c r="AL592" s="368"/>
      <c r="AM592" s="232"/>
      <c r="AN592" s="232"/>
      <c r="AO592" s="232"/>
      <c r="AP592" s="232"/>
      <c r="AQ592" s="367"/>
      <c r="AR592" s="466">
        <f>SUM(AV580:AV591)</f>
        <v>350</v>
      </c>
      <c r="AS592" s="466">
        <f>SUM(AW580:AW591)</f>
        <v>90</v>
      </c>
      <c r="AT592" s="466">
        <f>SUM(AX580:AX591)</f>
        <v>0</v>
      </c>
      <c r="AU592" s="368"/>
      <c r="AV592" s="232"/>
      <c r="AW592" s="232"/>
      <c r="AX592" s="232"/>
      <c r="AY592" s="232"/>
      <c r="AZ592" s="367"/>
      <c r="BA592" s="466">
        <f>SUM(BE580:BE591)</f>
        <v>440</v>
      </c>
      <c r="BB592" s="466">
        <f>SUM(BF580:BF591)</f>
        <v>30</v>
      </c>
      <c r="BC592" s="466">
        <f>SUM(BG580:BG591)</f>
        <v>0</v>
      </c>
      <c r="BD592" s="368"/>
      <c r="BE592" s="232"/>
      <c r="BF592" s="232"/>
      <c r="BG592" s="232"/>
      <c r="BH592" s="232"/>
      <c r="BI592" s="367"/>
      <c r="BJ592" s="466">
        <f>SUM(BN580:BN591)</f>
        <v>280</v>
      </c>
      <c r="BK592" s="466">
        <f>SUM(BO580:BO591)</f>
        <v>40</v>
      </c>
      <c r="BL592" s="466">
        <f>SUM(BP580:BP591)</f>
        <v>0</v>
      </c>
      <c r="BM592" s="368"/>
      <c r="BN592" s="232"/>
      <c r="BO592" s="232"/>
      <c r="BP592" s="232"/>
      <c r="BQ592" s="232"/>
      <c r="BR592" s="367"/>
      <c r="BS592" s="466">
        <f>SUM(BW580:BW591)</f>
        <v>440</v>
      </c>
      <c r="BT592" s="466">
        <f>SUM(BX580:BX591)</f>
        <v>80</v>
      </c>
      <c r="BU592" s="466">
        <f>SUM(BY580:BY591)</f>
        <v>0</v>
      </c>
      <c r="BV592" s="368"/>
      <c r="BW592" s="232"/>
      <c r="BX592" s="232"/>
      <c r="BY592" s="232"/>
      <c r="BZ592" s="232"/>
      <c r="CA592" s="369"/>
      <c r="CB592" s="466">
        <f>SUM(CF580:CF591)</f>
        <v>430</v>
      </c>
      <c r="CC592" s="466">
        <f>SUM(CG580:CG591)</f>
        <v>50</v>
      </c>
      <c r="CD592" s="466">
        <f>SUM(CH580:CH591)</f>
        <v>0</v>
      </c>
      <c r="CE592" s="368"/>
      <c r="CF592" s="232"/>
      <c r="CG592" s="232"/>
      <c r="CH592" s="232"/>
      <c r="CI592" s="232"/>
      <c r="CJ592" s="232"/>
      <c r="CK592" s="466">
        <f>SUM(CO580:CO591)</f>
        <v>410</v>
      </c>
      <c r="CL592" s="466">
        <f>SUM(CP580:CP591)</f>
        <v>80</v>
      </c>
      <c r="CM592" s="466">
        <f>SUM(CQ580:CQ591)</f>
        <v>0</v>
      </c>
      <c r="CN592" s="368"/>
      <c r="CO592" s="232"/>
      <c r="CP592" s="232"/>
      <c r="CQ592" s="232"/>
      <c r="CR592" s="232"/>
      <c r="CS592" s="232"/>
      <c r="CT592" s="232"/>
      <c r="CU592" s="300"/>
      <c r="CV592" s="246"/>
      <c r="CW592" s="265"/>
    </row>
    <row r="593" spans="1:101" ht="13.5" thickBot="1" x14ac:dyDescent="0.25">
      <c r="A593" s="264"/>
      <c r="B593" s="264"/>
      <c r="C593" s="202"/>
      <c r="D593" s="289"/>
      <c r="E593" s="282"/>
      <c r="F593" s="283"/>
      <c r="G593" s="282"/>
      <c r="H593" s="282"/>
      <c r="I593" s="282"/>
      <c r="J593" s="282"/>
      <c r="K593" s="282"/>
      <c r="L593" s="293"/>
      <c r="M593" s="301"/>
      <c r="N593" s="380"/>
      <c r="O593" s="376"/>
      <c r="P593" s="284"/>
      <c r="Q593" s="285"/>
      <c r="R593" s="285"/>
      <c r="S593" s="285"/>
      <c r="T593" s="286"/>
      <c r="U593" s="287"/>
      <c r="V593" s="287"/>
      <c r="W593" s="287"/>
      <c r="X593" s="287"/>
      <c r="Y593" s="284"/>
      <c r="Z593" s="285"/>
      <c r="AA593" s="285"/>
      <c r="AB593" s="285"/>
      <c r="AC593" s="286"/>
      <c r="AD593" s="287"/>
      <c r="AE593" s="287"/>
      <c r="AF593" s="287"/>
      <c r="AG593" s="288"/>
      <c r="AH593" s="284"/>
      <c r="AI593" s="285"/>
      <c r="AJ593" s="285"/>
      <c r="AK593" s="285"/>
      <c r="AL593" s="286"/>
      <c r="AM593" s="287"/>
      <c r="AN593" s="287"/>
      <c r="AO593" s="287"/>
      <c r="AP593" s="288"/>
      <c r="AQ593" s="284"/>
      <c r="AR593" s="285"/>
      <c r="AS593" s="285"/>
      <c r="AT593" s="285"/>
      <c r="AU593" s="286"/>
      <c r="AV593" s="287"/>
      <c r="AW593" s="287"/>
      <c r="AX593" s="287"/>
      <c r="AY593" s="288"/>
      <c r="AZ593" s="284"/>
      <c r="BA593" s="285"/>
      <c r="BB593" s="285"/>
      <c r="BC593" s="285"/>
      <c r="BD593" s="286"/>
      <c r="BE593" s="287"/>
      <c r="BF593" s="287"/>
      <c r="BG593" s="287"/>
      <c r="BH593" s="288"/>
      <c r="BI593" s="284"/>
      <c r="BJ593" s="284"/>
      <c r="BK593" s="284"/>
      <c r="BL593" s="284"/>
      <c r="BM593" s="284"/>
      <c r="BN593" s="284"/>
      <c r="BO593" s="284"/>
      <c r="BP593" s="284"/>
      <c r="BQ593" s="284"/>
      <c r="BR593" s="284"/>
      <c r="BS593" s="284"/>
      <c r="BT593" s="284"/>
      <c r="BU593" s="284"/>
      <c r="BV593" s="284"/>
      <c r="BW593" s="284"/>
      <c r="BX593" s="284"/>
      <c r="BY593" s="284"/>
      <c r="BZ593" s="284"/>
      <c r="CA593" s="284"/>
      <c r="CB593" s="284"/>
      <c r="CC593" s="284"/>
      <c r="CD593" s="284"/>
      <c r="CE593" s="284"/>
      <c r="CF593" s="284"/>
      <c r="CG593" s="284"/>
      <c r="CH593" s="284"/>
      <c r="CI593" s="284"/>
      <c r="CJ593" s="288"/>
      <c r="CK593" s="288"/>
      <c r="CL593" s="288"/>
      <c r="CM593" s="288"/>
      <c r="CN593" s="288"/>
      <c r="CO593" s="288"/>
      <c r="CP593" s="288"/>
      <c r="CQ593" s="288"/>
      <c r="CR593" s="288"/>
      <c r="CS593" s="288"/>
      <c r="CT593" s="282"/>
      <c r="CU593" s="294"/>
      <c r="CV593" s="246"/>
      <c r="CW593" s="265"/>
    </row>
    <row r="594" spans="1:101" ht="14.25" thickTop="1" thickBot="1" x14ac:dyDescent="0.25">
      <c r="A594" s="256"/>
      <c r="B594" s="256"/>
      <c r="C594" s="210"/>
      <c r="D594" s="211"/>
      <c r="E594" s="247"/>
      <c r="F594" s="248"/>
      <c r="G594" s="247"/>
      <c r="H594" s="247"/>
      <c r="I594" s="247"/>
      <c r="J594" s="247"/>
      <c r="K594" s="247"/>
      <c r="L594" s="249"/>
      <c r="M594" s="250"/>
      <c r="N594" s="250"/>
      <c r="O594" s="250"/>
      <c r="P594" s="250"/>
      <c r="Q594" s="247"/>
      <c r="R594" s="247"/>
      <c r="S594" s="247"/>
      <c r="T594" s="251"/>
      <c r="U594" s="252"/>
      <c r="V594" s="252"/>
      <c r="W594" s="252"/>
      <c r="X594" s="252"/>
      <c r="Y594" s="250"/>
      <c r="Z594" s="247"/>
      <c r="AA594" s="247"/>
      <c r="AB594" s="247"/>
      <c r="AC594" s="251"/>
      <c r="AD594" s="252"/>
      <c r="AE594" s="252"/>
      <c r="AF594" s="252"/>
      <c r="AG594" s="247"/>
      <c r="AH594" s="250"/>
      <c r="AI594" s="247"/>
      <c r="AJ594" s="247"/>
      <c r="AK594" s="247"/>
      <c r="AL594" s="251"/>
      <c r="AM594" s="252"/>
      <c r="AN594" s="252"/>
      <c r="AO594" s="252"/>
      <c r="AP594" s="253"/>
      <c r="AQ594" s="250"/>
      <c r="AR594" s="247"/>
      <c r="AS594" s="247"/>
      <c r="AT594" s="247"/>
      <c r="AU594" s="251"/>
      <c r="AV594" s="252"/>
      <c r="AW594" s="252"/>
      <c r="AX594" s="252"/>
      <c r="AY594" s="247"/>
      <c r="AZ594" s="250"/>
      <c r="BA594" s="247"/>
      <c r="BB594" s="247"/>
      <c r="BC594" s="247"/>
      <c r="BD594" s="251"/>
      <c r="BE594" s="252"/>
      <c r="BF594" s="252"/>
      <c r="BG594" s="252"/>
      <c r="BH594" s="247"/>
      <c r="BI594" s="250"/>
      <c r="BJ594" s="247"/>
      <c r="BK594" s="247"/>
      <c r="BL594" s="247"/>
      <c r="BM594" s="251"/>
      <c r="BN594" s="252"/>
      <c r="BO594" s="252"/>
      <c r="BP594" s="252"/>
      <c r="BQ594" s="247"/>
      <c r="BR594" s="212"/>
      <c r="BS594" s="247"/>
      <c r="BT594" s="247"/>
      <c r="BU594" s="247"/>
      <c r="BV594" s="250"/>
      <c r="BW594" s="252"/>
      <c r="BX594" s="252"/>
      <c r="BY594" s="252"/>
      <c r="BZ594" s="247"/>
      <c r="CA594" s="247"/>
      <c r="CB594" s="253"/>
      <c r="CC594" s="253"/>
      <c r="CD594" s="253"/>
      <c r="CE594" s="253"/>
      <c r="CF594" s="247"/>
      <c r="CG594" s="247"/>
      <c r="CH594" s="247"/>
      <c r="CI594" s="247"/>
      <c r="CJ594" s="247"/>
      <c r="CK594" s="247"/>
      <c r="CL594" s="247"/>
      <c r="CM594" s="247"/>
      <c r="CN594" s="247"/>
      <c r="CO594" s="247"/>
      <c r="CP594" s="247"/>
      <c r="CQ594" s="247"/>
      <c r="CR594" s="247"/>
      <c r="CS594" s="247"/>
      <c r="CT594" s="247"/>
      <c r="CU594" s="247"/>
      <c r="CV594" s="254"/>
      <c r="CW594" s="255"/>
    </row>
    <row r="595" spans="1:101" ht="14.25" thickTop="1" thickBot="1" x14ac:dyDescent="0.25">
      <c r="A595" s="255"/>
      <c r="B595" s="255"/>
      <c r="C595" s="255"/>
      <c r="D595" s="255"/>
      <c r="E595" s="255"/>
      <c r="F595" s="255"/>
      <c r="G595" s="255"/>
      <c r="H595" s="255"/>
      <c r="I595" s="255"/>
      <c r="J595" s="255"/>
      <c r="K595" s="255"/>
      <c r="L595" s="255"/>
      <c r="M595" s="255"/>
      <c r="N595" s="255"/>
      <c r="O595" s="255"/>
      <c r="P595" s="255"/>
      <c r="Q595" s="255"/>
      <c r="R595" s="255"/>
      <c r="S595" s="255"/>
      <c r="T595" s="255"/>
      <c r="U595" s="255"/>
      <c r="V595" s="255"/>
      <c r="W595" s="255"/>
      <c r="X595" s="255"/>
      <c r="Y595" s="255"/>
      <c r="Z595" s="255"/>
      <c r="AA595" s="255"/>
      <c r="AB595" s="255"/>
      <c r="AC595" s="255"/>
      <c r="AD595" s="255"/>
      <c r="AE595" s="255"/>
      <c r="AF595" s="255"/>
      <c r="AG595" s="255"/>
      <c r="AH595" s="255"/>
      <c r="AI595" s="255"/>
      <c r="AJ595" s="255"/>
      <c r="AK595" s="255"/>
      <c r="AL595" s="255"/>
      <c r="AM595" s="255"/>
      <c r="AN595" s="255"/>
      <c r="AO595" s="255"/>
      <c r="AP595" s="255"/>
      <c r="AQ595" s="255"/>
      <c r="AR595" s="255"/>
      <c r="AS595" s="255"/>
      <c r="AT595" s="255"/>
      <c r="AU595" s="255"/>
      <c r="AV595" s="255"/>
      <c r="AW595" s="255"/>
      <c r="AX595" s="255"/>
      <c r="AY595" s="255"/>
      <c r="AZ595" s="255"/>
      <c r="BA595" s="255"/>
      <c r="BB595" s="255"/>
      <c r="BC595" s="255"/>
      <c r="BD595" s="255"/>
      <c r="BE595" s="255"/>
      <c r="BF595" s="255"/>
      <c r="BG595" s="255"/>
      <c r="BH595" s="255"/>
      <c r="BI595" s="255"/>
      <c r="BJ595" s="255"/>
      <c r="BK595" s="255"/>
      <c r="BL595" s="255"/>
      <c r="BM595" s="255"/>
      <c r="BN595" s="255"/>
      <c r="BO595" s="255"/>
      <c r="BP595" s="255"/>
      <c r="BQ595" s="255"/>
      <c r="BR595" s="255"/>
      <c r="BS595" s="255"/>
      <c r="BT595" s="255"/>
      <c r="BU595" s="255"/>
      <c r="BV595" s="255"/>
      <c r="BW595" s="255"/>
      <c r="BX595" s="255"/>
      <c r="BY595" s="255"/>
      <c r="BZ595" s="255"/>
      <c r="CA595" s="255"/>
      <c r="CB595" s="436"/>
      <c r="CC595" s="436"/>
      <c r="CD595" s="436"/>
      <c r="CE595" s="436"/>
      <c r="CF595" s="255"/>
      <c r="CG595" s="255"/>
      <c r="CH595" s="255"/>
      <c r="CI595" s="255"/>
      <c r="CJ595" s="255"/>
      <c r="CK595" s="255"/>
      <c r="CL595" s="255"/>
      <c r="CM595" s="255"/>
      <c r="CN595" s="255"/>
      <c r="CO595" s="255"/>
      <c r="CP595" s="255"/>
      <c r="CQ595" s="255"/>
      <c r="CR595" s="255"/>
      <c r="CS595" s="255"/>
      <c r="CT595" s="255"/>
      <c r="CU595" s="255"/>
      <c r="CV595" s="255"/>
      <c r="CW595" s="255"/>
    </row>
    <row r="596" spans="1:101" ht="21" thickTop="1" x14ac:dyDescent="0.3">
      <c r="A596" s="256"/>
      <c r="B596" s="256"/>
      <c r="C596" s="190"/>
      <c r="D596" s="191"/>
      <c r="E596" s="866" t="str">
        <f>E2</f>
        <v>STPS 2026</v>
      </c>
      <c r="F596" s="267"/>
      <c r="G596" s="267"/>
      <c r="H596" s="267"/>
      <c r="I596" s="192"/>
      <c r="J596" s="192"/>
      <c r="K596" s="192"/>
      <c r="L596" s="193"/>
      <c r="M596" s="192"/>
      <c r="N596" s="192"/>
      <c r="O596" s="192"/>
      <c r="P596" s="194"/>
      <c r="Q596" s="192"/>
      <c r="R596" s="192"/>
      <c r="S596" s="192"/>
      <c r="T596" s="195"/>
      <c r="U596" s="196"/>
      <c r="V596" s="196"/>
      <c r="W596" s="196"/>
      <c r="X596" s="196"/>
      <c r="Y596" s="194"/>
      <c r="Z596" s="192"/>
      <c r="AA596" s="192"/>
      <c r="AB596" s="192"/>
      <c r="AC596" s="195"/>
      <c r="AD596" s="196"/>
      <c r="AE596" s="196"/>
      <c r="AF596" s="196"/>
      <c r="AG596" s="197"/>
      <c r="AH596" s="194"/>
      <c r="AI596" s="192"/>
      <c r="AJ596" s="237"/>
      <c r="AK596" s="237"/>
      <c r="AL596" s="198"/>
      <c r="AM596" s="238"/>
      <c r="AN596" s="238"/>
      <c r="AO596" s="238"/>
      <c r="AP596" s="197"/>
      <c r="AQ596" s="239"/>
      <c r="AR596" s="240"/>
      <c r="AS596" s="199"/>
      <c r="AT596" s="200"/>
      <c r="AU596" s="198"/>
      <c r="AV596" s="196"/>
      <c r="AW596" s="196"/>
      <c r="AX596" s="196"/>
      <c r="AY596" s="197"/>
      <c r="AZ596" s="239"/>
      <c r="BA596" s="240"/>
      <c r="BB596" s="200"/>
      <c r="BC596" s="237"/>
      <c r="BD596" s="241"/>
      <c r="BE596" s="196"/>
      <c r="BF596" s="196"/>
      <c r="BG596" s="196"/>
      <c r="BH596" s="197"/>
      <c r="BI596" s="242"/>
      <c r="BJ596" s="237"/>
      <c r="BK596" s="237"/>
      <c r="BL596" s="237"/>
      <c r="BM596" s="241"/>
      <c r="BN596" s="196"/>
      <c r="BO596" s="196"/>
      <c r="BP596" s="196"/>
      <c r="BQ596" s="197"/>
      <c r="BR596" s="201"/>
      <c r="BS596" s="237"/>
      <c r="BT596" s="237"/>
      <c r="BU596" s="237"/>
      <c r="BV596" s="242"/>
      <c r="BW596" s="237"/>
      <c r="BX596" s="237"/>
      <c r="BY596" s="237"/>
      <c r="BZ596" s="237"/>
      <c r="CA596" s="237"/>
      <c r="CB596" s="437"/>
      <c r="CC596" s="437"/>
      <c r="CD596" s="437"/>
      <c r="CE596" s="437"/>
      <c r="CF596" s="237"/>
      <c r="CG596" s="237"/>
      <c r="CH596" s="237"/>
      <c r="CI596" s="237"/>
      <c r="CJ596" s="197"/>
      <c r="CK596" s="197"/>
      <c r="CL596" s="197"/>
      <c r="CM596" s="197"/>
      <c r="CN596" s="197"/>
      <c r="CO596" s="197"/>
      <c r="CP596" s="197"/>
      <c r="CQ596" s="197"/>
      <c r="CR596" s="197"/>
      <c r="CS596" s="197"/>
      <c r="CT596" s="401"/>
      <c r="CU596" s="237"/>
      <c r="CV596" s="243"/>
      <c r="CW596" s="255"/>
    </row>
    <row r="597" spans="1:101" ht="13.5" thickBot="1" x14ac:dyDescent="0.25">
      <c r="A597" s="256"/>
      <c r="B597" s="256"/>
      <c r="C597" s="202"/>
      <c r="D597" s="188"/>
      <c r="E597" s="266" t="str">
        <f>E3</f>
        <v>Skorgen Tippelag</v>
      </c>
      <c r="F597" s="406"/>
      <c r="G597" s="406"/>
      <c r="H597" s="406"/>
      <c r="I597" s="406"/>
      <c r="J597" s="406"/>
      <c r="K597" s="406"/>
      <c r="L597" s="406"/>
      <c r="M597" s="406"/>
      <c r="N597" s="406"/>
      <c r="O597" s="406"/>
      <c r="P597" s="406"/>
      <c r="Q597" s="406"/>
      <c r="R597" s="406"/>
      <c r="S597" s="406"/>
      <c r="T597" s="406"/>
      <c r="U597" s="406"/>
      <c r="V597" s="406"/>
      <c r="W597" s="406"/>
      <c r="X597" s="406"/>
      <c r="Y597" s="406"/>
      <c r="Z597" s="406"/>
      <c r="AA597" s="406"/>
      <c r="AB597" s="406"/>
      <c r="AC597" s="406"/>
      <c r="AD597" s="406"/>
      <c r="AE597" s="406"/>
      <c r="AF597" s="406"/>
      <c r="AG597" s="406"/>
      <c r="AH597" s="406"/>
      <c r="AI597" s="406"/>
      <c r="AJ597" s="406"/>
      <c r="AK597" s="406"/>
      <c r="AL597" s="406"/>
      <c r="AM597" s="406"/>
      <c r="AN597" s="406"/>
      <c r="AO597" s="406"/>
      <c r="AP597" s="406"/>
      <c r="AQ597" s="406"/>
      <c r="AR597" s="406"/>
      <c r="AS597" s="406"/>
      <c r="AT597" s="406"/>
      <c r="AU597" s="406"/>
      <c r="AV597" s="406"/>
      <c r="AW597" s="406"/>
      <c r="AX597" s="406"/>
      <c r="AY597" s="406"/>
      <c r="AZ597" s="406"/>
      <c r="BA597" s="406"/>
      <c r="BB597" s="406"/>
      <c r="BC597" s="406"/>
      <c r="BD597" s="406"/>
      <c r="BE597" s="406"/>
      <c r="BF597" s="406"/>
      <c r="BG597" s="406"/>
      <c r="BH597" s="406"/>
      <c r="BI597" s="406"/>
      <c r="BJ597" s="406"/>
      <c r="BK597" s="406"/>
      <c r="BL597" s="406"/>
      <c r="BM597" s="406"/>
      <c r="BN597" s="406"/>
      <c r="BO597" s="406"/>
      <c r="BP597" s="406"/>
      <c r="BQ597" s="406"/>
      <c r="BR597" s="406"/>
      <c r="BS597" s="406"/>
      <c r="BT597" s="406"/>
      <c r="BU597" s="406"/>
      <c r="BV597" s="406"/>
      <c r="BW597" s="406"/>
      <c r="BX597" s="406"/>
      <c r="BY597" s="406"/>
      <c r="BZ597" s="406"/>
      <c r="CA597" s="406"/>
      <c r="CB597" s="438"/>
      <c r="CC597" s="438"/>
      <c r="CD597" s="438"/>
      <c r="CE597" s="438"/>
      <c r="CF597" s="406"/>
      <c r="CG597" s="406"/>
      <c r="CH597" s="406"/>
      <c r="CI597" s="406"/>
      <c r="CJ597" s="406"/>
      <c r="CK597" s="406"/>
      <c r="CL597" s="406"/>
      <c r="CM597" s="406"/>
      <c r="CN597" s="366"/>
      <c r="CO597" s="366"/>
      <c r="CP597" s="366"/>
      <c r="CQ597" s="366"/>
      <c r="CR597" s="366"/>
      <c r="CS597" s="366"/>
      <c r="CT597" s="187"/>
      <c r="CU597" s="310"/>
      <c r="CV597" s="246"/>
      <c r="CW597" s="255"/>
    </row>
    <row r="598" spans="1:101" ht="18.75" thickTop="1" x14ac:dyDescent="0.2">
      <c r="A598" s="256"/>
      <c r="B598" s="256"/>
      <c r="C598" s="209"/>
      <c r="D598" s="290"/>
      <c r="E598" s="273"/>
      <c r="F598" s="274"/>
      <c r="G598" s="273"/>
      <c r="H598" s="273"/>
      <c r="I598" s="803" t="s">
        <v>39</v>
      </c>
      <c r="J598" s="805"/>
      <c r="K598" s="805"/>
      <c r="L598" s="291"/>
      <c r="M598" s="302"/>
      <c r="N598" s="242"/>
      <c r="O598" s="275"/>
      <c r="P598" s="275"/>
      <c r="Q598" s="808">
        <f>IF($F602="","",SUM(Q614:S614)-S600)</f>
        <v>450</v>
      </c>
      <c r="R598" s="808"/>
      <c r="S598" s="808"/>
      <c r="T598" s="276"/>
      <c r="U598" s="277"/>
      <c r="V598" s="277"/>
      <c r="W598" s="277"/>
      <c r="X598" s="277"/>
      <c r="Y598" s="275"/>
      <c r="Z598" s="808">
        <f>IF($F602="","",SUM(Z614:AB614)-AB600)</f>
        <v>580</v>
      </c>
      <c r="AA598" s="808"/>
      <c r="AB598" s="808"/>
      <c r="AC598" s="276"/>
      <c r="AD598" s="277"/>
      <c r="AE598" s="277"/>
      <c r="AF598" s="277"/>
      <c r="AG598" s="273"/>
      <c r="AH598" s="275"/>
      <c r="AI598" s="808">
        <f>IF($F602="","",SUM(AI614:AK614)-AK600)</f>
        <v>450</v>
      </c>
      <c r="AJ598" s="808"/>
      <c r="AK598" s="808"/>
      <c r="AL598" s="276"/>
      <c r="AM598" s="277"/>
      <c r="AN598" s="277"/>
      <c r="AO598" s="277"/>
      <c r="AP598" s="273"/>
      <c r="AQ598" s="275"/>
      <c r="AR598" s="808">
        <f>IF($F602="","",SUM(AR614:AT614)-AT600)</f>
        <v>490</v>
      </c>
      <c r="AS598" s="808"/>
      <c r="AT598" s="808"/>
      <c r="AU598" s="278"/>
      <c r="AV598" s="277"/>
      <c r="AW598" s="277"/>
      <c r="AX598" s="277"/>
      <c r="AY598" s="279"/>
      <c r="AZ598" s="280"/>
      <c r="BA598" s="808">
        <f>IF($F602="","",SUM(BA614:BC614)-BC600)</f>
        <v>580</v>
      </c>
      <c r="BB598" s="808"/>
      <c r="BC598" s="808"/>
      <c r="BD598" s="278"/>
      <c r="BE598" s="277"/>
      <c r="BF598" s="277"/>
      <c r="BG598" s="277"/>
      <c r="BH598" s="279"/>
      <c r="BI598" s="280"/>
      <c r="BJ598" s="808">
        <f>IF($F602="","",SUM(BJ614:BL614)-BL600)</f>
        <v>460</v>
      </c>
      <c r="BK598" s="808"/>
      <c r="BL598" s="808"/>
      <c r="BM598" s="278"/>
      <c r="BN598" s="277"/>
      <c r="BO598" s="277"/>
      <c r="BP598" s="277"/>
      <c r="BQ598" s="279"/>
      <c r="BR598" s="281"/>
      <c r="BS598" s="808">
        <f>IF($F602="","",SUM(BS614:BU614)-BU600)</f>
        <v>530</v>
      </c>
      <c r="BT598" s="808"/>
      <c r="BU598" s="808"/>
      <c r="BV598" s="280"/>
      <c r="BW598" s="279"/>
      <c r="BX598" s="279"/>
      <c r="BY598" s="279"/>
      <c r="BZ598" s="279"/>
      <c r="CA598" s="281"/>
      <c r="CB598" s="808">
        <f>IF($F602="","",SUM(CB614:CD614)-CD600)</f>
        <v>530</v>
      </c>
      <c r="CC598" s="808"/>
      <c r="CD598" s="808"/>
      <c r="CE598" s="280"/>
      <c r="CF598" s="279"/>
      <c r="CG598" s="279"/>
      <c r="CH598" s="279"/>
      <c r="CI598" s="279"/>
      <c r="CJ598" s="273"/>
      <c r="CK598" s="808">
        <f>IF($F602="","",SUM(CK614:CM614))</f>
        <v>460</v>
      </c>
      <c r="CL598" s="808"/>
      <c r="CM598" s="808"/>
      <c r="CN598" s="280"/>
      <c r="CO598" s="279"/>
      <c r="CP598" s="279"/>
      <c r="CQ598" s="279"/>
      <c r="CR598" s="273"/>
      <c r="CS598" s="273"/>
      <c r="CT598" s="273"/>
      <c r="CU598" s="292"/>
      <c r="CV598" s="246"/>
      <c r="CW598" s="255"/>
    </row>
    <row r="599" spans="1:101" x14ac:dyDescent="0.2">
      <c r="A599" s="256"/>
      <c r="B599" s="256"/>
      <c r="C599" s="209"/>
      <c r="D599" s="916">
        <v>15</v>
      </c>
      <c r="E599" s="588">
        <f>IF(D599="","",DATE($D$3,1,1)+(D599-1)*7+(6-WEEKDAY(DATE($D$3,1,1),2)))</f>
        <v>46123</v>
      </c>
      <c r="F599" s="213"/>
      <c r="G599" s="214"/>
      <c r="H599" s="214"/>
      <c r="I599" s="804">
        <f>IF(ISERROR(AVERAGE(Q598,Z598,AI598,AR598,BA598,BJ598,BS598,CB598,CK598)),"",AVERAGE(Q598,Z598,AI598,AR598,BA598,BJ598,BS598,CB598,CK598))</f>
        <v>503.33333333333331</v>
      </c>
      <c r="J599" s="806"/>
      <c r="K599" s="806"/>
      <c r="L599" s="295"/>
      <c r="M599" s="372"/>
      <c r="N599" s="245"/>
      <c r="O599" s="215"/>
      <c r="P599" s="215"/>
      <c r="Q599" s="710">
        <f>IF(Q598="","",Q598/Data!$X$1)</f>
        <v>0.375</v>
      </c>
      <c r="R599" s="710"/>
      <c r="S599" s="711">
        <f>IF(SUM(X602:X613)=0,"",SUM(X602:X613))</f>
        <v>5</v>
      </c>
      <c r="T599" s="216"/>
      <c r="U599" s="217"/>
      <c r="V599" s="217"/>
      <c r="W599" s="217"/>
      <c r="X599" s="217"/>
      <c r="Y599" s="215"/>
      <c r="Z599" s="710">
        <f>IF(Z598="","",Z598/Data!$X$1)</f>
        <v>0.48333333333333334</v>
      </c>
      <c r="AA599" s="710"/>
      <c r="AB599" s="711">
        <f>IF(SUM(AG602:AG613)=0,"",SUM(AG602:AG613))</f>
        <v>7</v>
      </c>
      <c r="AC599" s="216"/>
      <c r="AD599" s="217"/>
      <c r="AE599" s="217"/>
      <c r="AF599" s="217"/>
      <c r="AG599" s="217"/>
      <c r="AH599" s="215"/>
      <c r="AI599" s="710">
        <f>IF(AI598="","",AI598/Data!$X$1)</f>
        <v>0.375</v>
      </c>
      <c r="AJ599" s="710"/>
      <c r="AK599" s="711">
        <f>IF(SUM(AP602:AP613)=0,"",SUM(AP602:AP613))</f>
        <v>4</v>
      </c>
      <c r="AL599" s="216"/>
      <c r="AM599" s="217"/>
      <c r="AN599" s="217"/>
      <c r="AO599" s="217"/>
      <c r="AP599" s="217"/>
      <c r="AQ599" s="215"/>
      <c r="AR599" s="710">
        <f>IF(AR598="","",AR598/Data!$X$1)</f>
        <v>0.40833333333333333</v>
      </c>
      <c r="AS599" s="710"/>
      <c r="AT599" s="711">
        <f>IF(SUM(AY602:AY613)=0,"",SUM(AY602:AY613))</f>
        <v>7</v>
      </c>
      <c r="AU599" s="218"/>
      <c r="AV599" s="217"/>
      <c r="AW599" s="217"/>
      <c r="AX599" s="217"/>
      <c r="AY599" s="217"/>
      <c r="AZ599" s="219"/>
      <c r="BA599" s="710">
        <f>IF(BA598="","",BA598/Data!$X$1)</f>
        <v>0.48333333333333334</v>
      </c>
      <c r="BB599" s="710"/>
      <c r="BC599" s="711">
        <f>IF(SUM(BH602:BH613)=0,"",SUM(BH602:BH613))</f>
        <v>7</v>
      </c>
      <c r="BD599" s="218"/>
      <c r="BE599" s="217"/>
      <c r="BF599" s="217"/>
      <c r="BG599" s="217"/>
      <c r="BH599" s="217"/>
      <c r="BI599" s="219"/>
      <c r="BJ599" s="710">
        <f>IF(BJ598="","",BJ598/Data!$X$1)</f>
        <v>0.38333333333333336</v>
      </c>
      <c r="BK599" s="710"/>
      <c r="BL599" s="711">
        <f>IF(SUM(BQ602:BQ613)=0,"",SUM(BQ602:BQ613))</f>
        <v>5</v>
      </c>
      <c r="BM599" s="218"/>
      <c r="BN599" s="217"/>
      <c r="BO599" s="217"/>
      <c r="BP599" s="217"/>
      <c r="BQ599" s="217"/>
      <c r="BR599" s="220"/>
      <c r="BS599" s="710">
        <f>IF(BS598="","",BS598/Data!$X$1)</f>
        <v>0.44166666666666665</v>
      </c>
      <c r="BT599" s="710"/>
      <c r="BU599" s="711">
        <f>IF(SUM(BZ602:BZ613)=0,"",SUM(BZ602:BZ613))</f>
        <v>6</v>
      </c>
      <c r="BV599" s="219"/>
      <c r="BW599" s="217"/>
      <c r="BX599" s="217"/>
      <c r="BY599" s="217"/>
      <c r="BZ599" s="217"/>
      <c r="CA599" s="220"/>
      <c r="CB599" s="710">
        <f>IF(CB598="","",CB598/Data!$X$1)</f>
        <v>0.44166666666666665</v>
      </c>
      <c r="CC599" s="710"/>
      <c r="CD599" s="711">
        <f>IF(SUM(CI602:CI613)=0,"",SUM(CI602:CI613))</f>
        <v>7</v>
      </c>
      <c r="CE599" s="219"/>
      <c r="CF599" s="217"/>
      <c r="CG599" s="217"/>
      <c r="CH599" s="217"/>
      <c r="CI599" s="217"/>
      <c r="CJ599" s="217"/>
      <c r="CK599" s="710">
        <f>IF(CK598="","",CK598/Data!$X$1)</f>
        <v>0.38333333333333336</v>
      </c>
      <c r="CL599" s="710"/>
      <c r="CM599" s="711">
        <f>IF(SUM(CR602:CR613)=0,"",SUM(CR602:CR613))</f>
        <v>4</v>
      </c>
      <c r="CN599" s="219"/>
      <c r="CO599" s="217"/>
      <c r="CP599" s="217"/>
      <c r="CQ599" s="217"/>
      <c r="CR599" s="217"/>
      <c r="CS599" s="217"/>
      <c r="CT599" s="217"/>
      <c r="CU599" s="296"/>
      <c r="CV599" s="246"/>
      <c r="CW599" s="255"/>
    </row>
    <row r="600" spans="1:101" ht="13.5" thickBot="1" x14ac:dyDescent="0.25">
      <c r="A600" s="256"/>
      <c r="B600" s="256"/>
      <c r="C600" s="209"/>
      <c r="D600" s="269">
        <f>D578+1</f>
        <v>28</v>
      </c>
      <c r="E600" s="402" t="str">
        <f>IF(E599="","Sett inn dato over her",TEXT(E599,"dddd"))</f>
        <v>lørdag</v>
      </c>
      <c r="F600" s="221"/>
      <c r="G600" s="222"/>
      <c r="H600" s="222"/>
      <c r="I600" s="802"/>
      <c r="J600" s="807"/>
      <c r="K600" s="807"/>
      <c r="L600" s="297"/>
      <c r="M600" s="373"/>
      <c r="N600" s="377"/>
      <c r="O600" s="222"/>
      <c r="P600" s="222"/>
      <c r="Q600" s="385" t="str">
        <f>Data!$E$11</f>
        <v>AHH</v>
      </c>
      <c r="R600" s="386">
        <f>IF($F613="","",RANK(Q598,$Q598:$CL598))</f>
        <v>8</v>
      </c>
      <c r="S600" s="510"/>
      <c r="T600" s="216">
        <v>0</v>
      </c>
      <c r="U600" s="217"/>
      <c r="V600" s="217"/>
      <c r="W600" s="217"/>
      <c r="X600" s="217"/>
      <c r="Y600" s="215"/>
      <c r="Z600" s="385" t="str">
        <f>Data!$E$12</f>
        <v>RB</v>
      </c>
      <c r="AA600" s="386">
        <f>IF($F613="","",RANK(Z598,$Q598:$CL598))</f>
        <v>1</v>
      </c>
      <c r="AB600" s="510"/>
      <c r="AC600" s="216"/>
      <c r="AD600" s="217"/>
      <c r="AE600" s="217"/>
      <c r="AF600" s="217"/>
      <c r="AG600" s="217"/>
      <c r="AH600" s="215"/>
      <c r="AI600" s="385" t="str">
        <f>Data!$E$13</f>
        <v>EB</v>
      </c>
      <c r="AJ600" s="386">
        <f>IF($F613="","",RANK(AI598,$Q598:$CL598))</f>
        <v>8</v>
      </c>
      <c r="AK600" s="510"/>
      <c r="AL600" s="216"/>
      <c r="AM600" s="217"/>
      <c r="AN600" s="217"/>
      <c r="AO600" s="217"/>
      <c r="AP600" s="217"/>
      <c r="AQ600" s="215"/>
      <c r="AR600" s="346" t="str">
        <f>Data!$E$14</f>
        <v>KAF</v>
      </c>
      <c r="AS600" s="386">
        <f>IF($F613="","",RANK(AR598,$Q598:$CL598))</f>
        <v>5</v>
      </c>
      <c r="AT600" s="510"/>
      <c r="AU600" s="216"/>
      <c r="AV600" s="217"/>
      <c r="AW600" s="217"/>
      <c r="AX600" s="217"/>
      <c r="AY600" s="217"/>
      <c r="AZ600" s="215"/>
      <c r="BA600" s="346" t="str">
        <f>Data!$E$15</f>
        <v>ØG</v>
      </c>
      <c r="BB600" s="386">
        <f>IF($F613="","",RANK(BA598,$Q598:$CL598))</f>
        <v>1</v>
      </c>
      <c r="BC600" s="510"/>
      <c r="BD600" s="216"/>
      <c r="BE600" s="217"/>
      <c r="BF600" s="217"/>
      <c r="BG600" s="217"/>
      <c r="BH600" s="217"/>
      <c r="BI600" s="215"/>
      <c r="BJ600" s="346" t="str">
        <f>Data!$E$16</f>
        <v>JH</v>
      </c>
      <c r="BK600" s="386">
        <f>IF($F613="","",RANK(BJ598,$Q598:$CL598))</f>
        <v>6</v>
      </c>
      <c r="BL600" s="510"/>
      <c r="BM600" s="216"/>
      <c r="BN600" s="217"/>
      <c r="BO600" s="217"/>
      <c r="BP600" s="217"/>
      <c r="BQ600" s="217"/>
      <c r="BR600" s="223"/>
      <c r="BS600" s="346" t="str">
        <f>Data!$E$17</f>
        <v>TOH</v>
      </c>
      <c r="BT600" s="386">
        <f>IF($F613="","",RANK(BS598,$Q598:$CL598))</f>
        <v>3</v>
      </c>
      <c r="BU600" s="510"/>
      <c r="BV600" s="215"/>
      <c r="BW600" s="217"/>
      <c r="BX600" s="217"/>
      <c r="BY600" s="217"/>
      <c r="BZ600" s="217"/>
      <c r="CA600" s="223"/>
      <c r="CB600" s="346" t="s">
        <v>26</v>
      </c>
      <c r="CC600" s="386">
        <f>IF($F613="","",RANK(CB598,$Q598:$CM598))</f>
        <v>3</v>
      </c>
      <c r="CD600" s="511"/>
      <c r="CE600" s="215"/>
      <c r="CF600" s="217"/>
      <c r="CG600" s="217"/>
      <c r="CH600" s="217"/>
      <c r="CI600" s="217"/>
      <c r="CJ600" s="217"/>
      <c r="CK600" s="346" t="s">
        <v>27</v>
      </c>
      <c r="CL600" s="386">
        <f>IF($F613="","",RANK(CK598,$Q598:$CM598))</f>
        <v>6</v>
      </c>
      <c r="CM600" s="798"/>
      <c r="CN600" s="215"/>
      <c r="CO600" s="217"/>
      <c r="CP600" s="217"/>
      <c r="CQ600" s="217"/>
      <c r="CR600" s="217"/>
      <c r="CS600" s="217"/>
      <c r="CT600" s="217"/>
      <c r="CU600" s="296"/>
      <c r="CV600" s="246"/>
      <c r="CW600" s="255"/>
    </row>
    <row r="601" spans="1:101" ht="13.5" thickBot="1" x14ac:dyDescent="0.25">
      <c r="A601" s="264"/>
      <c r="B601" s="264"/>
      <c r="C601" s="202"/>
      <c r="D601" s="270"/>
      <c r="E601" s="224"/>
      <c r="F601" s="225"/>
      <c r="G601" s="226"/>
      <c r="H601" s="226"/>
      <c r="I601" s="227" t="s">
        <v>45</v>
      </c>
      <c r="J601" s="228" t="s">
        <v>46</v>
      </c>
      <c r="K601" s="229" t="s">
        <v>47</v>
      </c>
      <c r="L601" s="298"/>
      <c r="M601" s="374"/>
      <c r="N601" s="378"/>
      <c r="O601" s="230"/>
      <c r="P601" s="230"/>
      <c r="Q601" s="227" t="s">
        <v>45</v>
      </c>
      <c r="R601" s="228" t="s">
        <v>46</v>
      </c>
      <c r="S601" s="229" t="s">
        <v>47</v>
      </c>
      <c r="T601" s="231"/>
      <c r="U601" s="232"/>
      <c r="V601" s="232"/>
      <c r="W601" s="232"/>
      <c r="X601" s="232"/>
      <c r="Y601" s="230"/>
      <c r="Z601" s="227" t="s">
        <v>45</v>
      </c>
      <c r="AA601" s="228" t="s">
        <v>46</v>
      </c>
      <c r="AB601" s="229" t="s">
        <v>47</v>
      </c>
      <c r="AC601" s="231"/>
      <c r="AD601" s="232"/>
      <c r="AE601" s="232"/>
      <c r="AF601" s="232"/>
      <c r="AG601" s="232"/>
      <c r="AH601" s="230"/>
      <c r="AI601" s="227" t="s">
        <v>45</v>
      </c>
      <c r="AJ601" s="228" t="s">
        <v>46</v>
      </c>
      <c r="AK601" s="229" t="s">
        <v>47</v>
      </c>
      <c r="AL601" s="231"/>
      <c r="AM601" s="232"/>
      <c r="AN601" s="232"/>
      <c r="AO601" s="232"/>
      <c r="AP601" s="232"/>
      <c r="AQ601" s="230"/>
      <c r="AR601" s="227" t="s">
        <v>45</v>
      </c>
      <c r="AS601" s="228" t="s">
        <v>46</v>
      </c>
      <c r="AT601" s="229" t="s">
        <v>47</v>
      </c>
      <c r="AU601" s="231"/>
      <c r="AV601" s="232"/>
      <c r="AW601" s="232"/>
      <c r="AX601" s="232"/>
      <c r="AY601" s="232"/>
      <c r="AZ601" s="230"/>
      <c r="BA601" s="227" t="s">
        <v>45</v>
      </c>
      <c r="BB601" s="228" t="s">
        <v>46</v>
      </c>
      <c r="BC601" s="229" t="s">
        <v>47</v>
      </c>
      <c r="BD601" s="231"/>
      <c r="BE601" s="232"/>
      <c r="BF601" s="232"/>
      <c r="BG601" s="232"/>
      <c r="BH601" s="232"/>
      <c r="BI601" s="230"/>
      <c r="BJ601" s="227" t="s">
        <v>45</v>
      </c>
      <c r="BK601" s="228" t="s">
        <v>46</v>
      </c>
      <c r="BL601" s="229" t="s">
        <v>47</v>
      </c>
      <c r="BM601" s="231"/>
      <c r="BN601" s="232"/>
      <c r="BO601" s="232"/>
      <c r="BP601" s="232"/>
      <c r="BQ601" s="232"/>
      <c r="BR601" s="230"/>
      <c r="BS601" s="227" t="s">
        <v>45</v>
      </c>
      <c r="BT601" s="228" t="s">
        <v>46</v>
      </c>
      <c r="BU601" s="229" t="s">
        <v>47</v>
      </c>
      <c r="BV601" s="231"/>
      <c r="BW601" s="232"/>
      <c r="BX601" s="232"/>
      <c r="BY601" s="232"/>
      <c r="BZ601" s="233"/>
      <c r="CA601" s="230"/>
      <c r="CB601" s="227" t="s">
        <v>45</v>
      </c>
      <c r="CC601" s="228" t="s">
        <v>46</v>
      </c>
      <c r="CD601" s="229" t="s">
        <v>47</v>
      </c>
      <c r="CE601" s="231"/>
      <c r="CF601" s="232"/>
      <c r="CG601" s="232"/>
      <c r="CH601" s="232"/>
      <c r="CI601" s="232"/>
      <c r="CJ601" s="232"/>
      <c r="CK601" s="227" t="s">
        <v>45</v>
      </c>
      <c r="CL601" s="228" t="s">
        <v>46</v>
      </c>
      <c r="CM601" s="229" t="s">
        <v>47</v>
      </c>
      <c r="CN601" s="231"/>
      <c r="CO601" s="232"/>
      <c r="CP601" s="232"/>
      <c r="CQ601" s="232"/>
      <c r="CR601" s="232"/>
      <c r="CS601" s="232"/>
      <c r="CT601" s="234"/>
      <c r="CU601" s="296"/>
      <c r="CV601" s="246"/>
      <c r="CW601" s="265"/>
    </row>
    <row r="602" spans="1:101" x14ac:dyDescent="0.2">
      <c r="A602" s="264"/>
      <c r="B602" s="264"/>
      <c r="C602" s="202"/>
      <c r="D602" s="271">
        <v>1</v>
      </c>
      <c r="E602" s="166" t="s">
        <v>872</v>
      </c>
      <c r="F602" s="468">
        <v>2</v>
      </c>
      <c r="G602" s="472"/>
      <c r="H602" s="473">
        <v>0</v>
      </c>
      <c r="I602" s="170" t="str">
        <f t="shared" ref="I602:I613" si="1350">IF($F602&gt;$H602,"x","")</f>
        <v>x</v>
      </c>
      <c r="J602" s="387" t="str">
        <f t="shared" ref="J602:J613" si="1351">IF(F602&lt;&gt;"",IF(H602&lt;&gt;"",IF(F602=H602,"x",""),""),"")</f>
        <v/>
      </c>
      <c r="K602" s="388" t="str">
        <f t="shared" ref="K602:K613" si="1352">IF($F602&lt;$H602,"x","")</f>
        <v/>
      </c>
      <c r="L602" s="299"/>
      <c r="M602" s="375"/>
      <c r="N602" s="379"/>
      <c r="O602" s="236"/>
      <c r="P602" s="236"/>
      <c r="Q602" s="480">
        <v>80</v>
      </c>
      <c r="R602" s="481">
        <v>10</v>
      </c>
      <c r="S602" s="482">
        <f>IF(Q602="","",100-SUM(Q602:R602))</f>
        <v>10</v>
      </c>
      <c r="T602" s="371"/>
      <c r="U602" s="232">
        <f t="shared" ref="U602:U613" si="1353">IF($I602="x",Q602,"")</f>
        <v>80</v>
      </c>
      <c r="V602" s="232" t="str">
        <f t="shared" ref="V602:V613" si="1354">IF($J602="x",R602,"")</f>
        <v/>
      </c>
      <c r="W602" s="232" t="str">
        <f t="shared" ref="W602:W613" si="1355">IF($K602="x",S602,"")</f>
        <v/>
      </c>
      <c r="X602" s="232">
        <f>IF((MAX(U602,V602,W602))=0,"",IF((MAX(U602,V602,W602))=(MAX(Q602,R602,S602)),1,""))</f>
        <v>1</v>
      </c>
      <c r="Y602" s="371"/>
      <c r="Z602" s="495">
        <v>80</v>
      </c>
      <c r="AA602" s="496">
        <v>10</v>
      </c>
      <c r="AB602" s="482">
        <f t="shared" ref="AB602:AB613" si="1356">IF(Z602="","",100-SUM(Z602:AA602))</f>
        <v>10</v>
      </c>
      <c r="AC602" s="371"/>
      <c r="AD602" s="232">
        <f t="shared" ref="AD602:AD613" si="1357">IF($I602="x",Z602,"")</f>
        <v>80</v>
      </c>
      <c r="AE602" s="232" t="str">
        <f t="shared" ref="AE602:AE613" si="1358">IF($J602="x",AA602,"")</f>
        <v/>
      </c>
      <c r="AF602" s="232" t="str">
        <f t="shared" ref="AF602:AF613" si="1359">IF($K602="x",AB602,"")</f>
        <v/>
      </c>
      <c r="AG602" s="232">
        <f>IF((MAX(AD602,AE602,AF602))=0,"",IF((MAX(AD602,AE602,AF602))=(MAX(Z602,AA602,AB602)),1,""))</f>
        <v>1</v>
      </c>
      <c r="AH602" s="371"/>
      <c r="AI602" s="495">
        <v>80</v>
      </c>
      <c r="AJ602" s="496">
        <v>10</v>
      </c>
      <c r="AK602" s="482">
        <f t="shared" ref="AK602:AK613" si="1360">IF(AI602="","",100-SUM(AI602:AJ602))</f>
        <v>10</v>
      </c>
      <c r="AL602" s="371"/>
      <c r="AM602" s="232">
        <f t="shared" ref="AM602:AM613" si="1361">IF($I602="x",AI602,"")</f>
        <v>80</v>
      </c>
      <c r="AN602" s="232" t="str">
        <f t="shared" ref="AN602:AN613" si="1362">IF($J602="x",AJ602,"")</f>
        <v/>
      </c>
      <c r="AO602" s="232" t="str">
        <f t="shared" ref="AO602:AO613" si="1363">IF($K602="x",AK602,"")</f>
        <v/>
      </c>
      <c r="AP602" s="232">
        <f>IF((MAX(AM602,AN602,AO602))=0,"",IF((MAX(AM602,AN602,AO602))=(MAX(AI602,AJ602,AK602)),1,""))</f>
        <v>1</v>
      </c>
      <c r="AQ602" s="371"/>
      <c r="AR602" s="495">
        <v>60</v>
      </c>
      <c r="AS602" s="496">
        <v>30</v>
      </c>
      <c r="AT602" s="482">
        <f t="shared" ref="AT602:AT613" si="1364">IF(AR602="","",100-SUM(AR602:AS602))</f>
        <v>10</v>
      </c>
      <c r="AU602" s="371"/>
      <c r="AV602" s="232">
        <f t="shared" ref="AV602:AV613" si="1365">IF($I602="x",AR602,"")</f>
        <v>60</v>
      </c>
      <c r="AW602" s="232" t="str">
        <f t="shared" ref="AW602:AW613" si="1366">IF($J602="x",AS602,"")</f>
        <v/>
      </c>
      <c r="AX602" s="232" t="str">
        <f t="shared" ref="AX602:AX613" si="1367">IF($K602="x",AT602,"")</f>
        <v/>
      </c>
      <c r="AY602" s="232">
        <f>IF((MAX(AV602,AW602,AX602))=0,"",IF((MAX(AV602,AW602,AX602))=(MAX(AR602,AS602,AT602)),1,""))</f>
        <v>1</v>
      </c>
      <c r="AZ602" s="371"/>
      <c r="BA602" s="495">
        <v>80</v>
      </c>
      <c r="BB602" s="496">
        <v>10</v>
      </c>
      <c r="BC602" s="482">
        <f t="shared" ref="BC602:BC613" si="1368">IF(BA602="","",100-SUM(BA602:BB602))</f>
        <v>10</v>
      </c>
      <c r="BD602" s="371"/>
      <c r="BE602" s="232">
        <f t="shared" ref="BE602:BE613" si="1369">IF($I602="x",BA602,"")</f>
        <v>80</v>
      </c>
      <c r="BF602" s="232" t="str">
        <f t="shared" ref="BF602:BF613" si="1370">IF($J602="x",BB602,"")</f>
        <v/>
      </c>
      <c r="BG602" s="232" t="str">
        <f t="shared" ref="BG602:BG613" si="1371">IF($K602="x",BC602,"")</f>
        <v/>
      </c>
      <c r="BH602" s="232">
        <f t="shared" ref="BH602:BH613" si="1372">IF((MAX(BE602,BF602,BG602))=0,"",IF((MAX(BE602,BF602,BG602))=(MAX(BA602,BB602,BC602)),1,""))</f>
        <v>1</v>
      </c>
      <c r="BI602" s="371"/>
      <c r="BJ602" s="495">
        <v>80</v>
      </c>
      <c r="BK602" s="496">
        <v>10</v>
      </c>
      <c r="BL602" s="482">
        <f t="shared" ref="BL602:BL613" si="1373">IF(BJ602="","",100-SUM(BJ602:BK602))</f>
        <v>10</v>
      </c>
      <c r="BM602" s="371"/>
      <c r="BN602" s="232">
        <f t="shared" ref="BN602:BN613" si="1374">IF($I602="x",BJ602,"")</f>
        <v>80</v>
      </c>
      <c r="BO602" s="232" t="str">
        <f t="shared" ref="BO602:BO613" si="1375">IF($J602="x",BK602,"")</f>
        <v/>
      </c>
      <c r="BP602" s="232" t="str">
        <f t="shared" ref="BP602:BP613" si="1376">IF($K602="x",BL602,"")</f>
        <v/>
      </c>
      <c r="BQ602" s="232">
        <f>IF((MAX(BN602,BO602,BP602))=0,"",IF((MAX(BN602,BO602,BP602))=(MAX(BJ602,BK602,BL602)),1,""))</f>
        <v>1</v>
      </c>
      <c r="BR602" s="371"/>
      <c r="BS602" s="495">
        <v>70</v>
      </c>
      <c r="BT602" s="496">
        <v>10</v>
      </c>
      <c r="BU602" s="482">
        <f t="shared" ref="BU602:BU613" si="1377">IF(BS602="","",100-SUM(BS602:BT602))</f>
        <v>20</v>
      </c>
      <c r="BV602" s="371"/>
      <c r="BW602" s="232">
        <f t="shared" ref="BW602:BW613" si="1378">IF($I602="x",BS602,"")</f>
        <v>70</v>
      </c>
      <c r="BX602" s="232" t="str">
        <f t="shared" ref="BX602:BX613" si="1379">IF($J602="x",BT602,"")</f>
        <v/>
      </c>
      <c r="BY602" s="232" t="str">
        <f t="shared" ref="BY602:BY613" si="1380">IF($K602="x",BU602,"")</f>
        <v/>
      </c>
      <c r="BZ602" s="232">
        <f>IF((MAX(BW602,BX602,BY602))=0,"",IF((MAX(BW602,BX602,BY602))=(MAX(BS602,BT602,BU602)),1,""))</f>
        <v>1</v>
      </c>
      <c r="CA602" s="371"/>
      <c r="CB602" s="501">
        <f t="shared" ref="CB602:CB613" si="1381">IFERROR(ROUNDUP((SUM(Q602,Z602,AI602,AR602,BA602,BJ602,BS602)/SUM($Q602:$S602,$Z602:$AB602,$AI602:$AK602,$AR602:$AT602,$BA602:$BC602,$BJ602:$BL602,$BS602:$BU602))*100,-1),"")</f>
        <v>80</v>
      </c>
      <c r="CC602" s="502">
        <f t="shared" ref="CC602:CC613" si="1382">IFERROR(ROUNDDOWN((SUM(R602,AA602,AJ602,AS602,BB602,BK602,BT602)/SUM($Q602:$S602,$Z602:$AB602,$AI602:$AK602,$AR602:$AT602,$BA602:$BC602,$BJ602:$BL602,$BS602:$BU602))*100,-1),"")</f>
        <v>10</v>
      </c>
      <c r="CD602" s="503">
        <f t="shared" ref="CD602:CD613" si="1383">IF(CB602="","",100-SUM(CB602:CC602))</f>
        <v>10</v>
      </c>
      <c r="CE602" s="371"/>
      <c r="CF602" s="232">
        <f t="shared" ref="CF602:CF613" si="1384">IF($I602="x",CB602,"")</f>
        <v>80</v>
      </c>
      <c r="CG602" s="232" t="str">
        <f t="shared" ref="CG602:CG613" si="1385">IF($J602="x",CC602,"")</f>
        <v/>
      </c>
      <c r="CH602" s="232" t="str">
        <f t="shared" ref="CH602:CH613" si="1386">IF($K602="x",CD602,"")</f>
        <v/>
      </c>
      <c r="CI602" s="232">
        <f>IF((MAX(CF602,CG602,CH602))=0,"",IF((MAX(CF602,CG602,CH602))=(MAX(CB602,CC602,CD602)),1,""))</f>
        <v>1</v>
      </c>
      <c r="CJ602" s="232"/>
      <c r="CK602" s="495">
        <v>80</v>
      </c>
      <c r="CL602" s="496">
        <v>10</v>
      </c>
      <c r="CM602" s="482">
        <f t="shared" ref="CM602:CM613" si="1387">IF(CK602="","",100-SUM(CK602:CL602))</f>
        <v>10</v>
      </c>
      <c r="CN602" s="371"/>
      <c r="CO602" s="232">
        <f t="shared" ref="CO602:CO613" si="1388">IF($I602="x",CK602,"")</f>
        <v>80</v>
      </c>
      <c r="CP602" s="232" t="str">
        <f t="shared" ref="CP602:CP613" si="1389">IF($J602="x",CL602,"")</f>
        <v/>
      </c>
      <c r="CQ602" s="232" t="str">
        <f t="shared" ref="CQ602:CQ613" si="1390">IF($K602="x",CM602,"")</f>
        <v/>
      </c>
      <c r="CR602" s="232">
        <f>IF((MAX(CO602,CP602,CQ602))=0,"",IF((MAX(CO602,CP602,CQ602))=(MAX(CK602,CL602,CM602)),1,""))</f>
        <v>1</v>
      </c>
      <c r="CS602" s="232"/>
      <c r="CT602" s="371"/>
      <c r="CU602" s="296"/>
      <c r="CV602" s="246"/>
      <c r="CW602" s="264"/>
    </row>
    <row r="603" spans="1:101" x14ac:dyDescent="0.2">
      <c r="A603" s="264"/>
      <c r="B603" s="264"/>
      <c r="C603" s="202"/>
      <c r="D603" s="271">
        <v>2</v>
      </c>
      <c r="E603" s="167" t="s">
        <v>374</v>
      </c>
      <c r="F603" s="469">
        <v>2</v>
      </c>
      <c r="G603" s="474"/>
      <c r="H603" s="475">
        <v>2</v>
      </c>
      <c r="I603" s="389" t="str">
        <f t="shared" si="1350"/>
        <v/>
      </c>
      <c r="J603" s="390" t="str">
        <f t="shared" si="1351"/>
        <v>x</v>
      </c>
      <c r="K603" s="391" t="str">
        <f t="shared" si="1352"/>
        <v/>
      </c>
      <c r="L603" s="299"/>
      <c r="M603" s="375"/>
      <c r="N603" s="379"/>
      <c r="O603" s="236"/>
      <c r="P603" s="236"/>
      <c r="Q603" s="483">
        <v>50</v>
      </c>
      <c r="R603" s="484">
        <v>40</v>
      </c>
      <c r="S603" s="485">
        <f t="shared" ref="S603:S613" si="1391">IF(Q603="","",100-SUM(Q603:R603))</f>
        <v>10</v>
      </c>
      <c r="T603" s="371"/>
      <c r="U603" s="232" t="str">
        <f t="shared" si="1353"/>
        <v/>
      </c>
      <c r="V603" s="232">
        <f t="shared" si="1354"/>
        <v>40</v>
      </c>
      <c r="W603" s="232" t="str">
        <f t="shared" si="1355"/>
        <v/>
      </c>
      <c r="X603" s="232" t="str">
        <f t="shared" ref="X603:X613" si="1392">IF((MAX(U603,V603,W603))=0,"",IF((MAX(U603,V603,W603))=(MAX(Q603,R603,S603)),1,""))</f>
        <v/>
      </c>
      <c r="Y603" s="371"/>
      <c r="Z603" s="497">
        <v>80</v>
      </c>
      <c r="AA603" s="498">
        <v>10</v>
      </c>
      <c r="AB603" s="485">
        <f t="shared" si="1356"/>
        <v>10</v>
      </c>
      <c r="AC603" s="371"/>
      <c r="AD603" s="232" t="str">
        <f t="shared" si="1357"/>
        <v/>
      </c>
      <c r="AE603" s="232">
        <f t="shared" si="1358"/>
        <v>10</v>
      </c>
      <c r="AF603" s="232" t="str">
        <f t="shared" si="1359"/>
        <v/>
      </c>
      <c r="AG603" s="232" t="str">
        <f t="shared" ref="AG603:AG613" si="1393">IF((MAX(AD603,AE603,AF603))=0,"",IF((MAX(AD603,AE603,AF603))=(MAX(Z603,AA603,AB603)),1,""))</f>
        <v/>
      </c>
      <c r="AH603" s="371"/>
      <c r="AI603" s="497">
        <v>40</v>
      </c>
      <c r="AJ603" s="498">
        <v>30</v>
      </c>
      <c r="AK603" s="485">
        <f t="shared" si="1360"/>
        <v>30</v>
      </c>
      <c r="AL603" s="371"/>
      <c r="AM603" s="232" t="str">
        <f t="shared" si="1361"/>
        <v/>
      </c>
      <c r="AN603" s="232">
        <f t="shared" si="1362"/>
        <v>30</v>
      </c>
      <c r="AO603" s="232" t="str">
        <f t="shared" si="1363"/>
        <v/>
      </c>
      <c r="AP603" s="232" t="str">
        <f t="shared" ref="AP603:AP613" si="1394">IF((MAX(AM603,AN603,AO603))=0,"",IF((MAX(AM603,AN603,AO603))=(MAX(AI603,AJ603,AK603)),1,""))</f>
        <v/>
      </c>
      <c r="AQ603" s="371"/>
      <c r="AR603" s="497">
        <v>30</v>
      </c>
      <c r="AS603" s="498">
        <v>40</v>
      </c>
      <c r="AT603" s="485">
        <f t="shared" si="1364"/>
        <v>30</v>
      </c>
      <c r="AU603" s="371"/>
      <c r="AV603" s="232" t="str">
        <f t="shared" si="1365"/>
        <v/>
      </c>
      <c r="AW603" s="232">
        <f t="shared" si="1366"/>
        <v>40</v>
      </c>
      <c r="AX603" s="232" t="str">
        <f t="shared" si="1367"/>
        <v/>
      </c>
      <c r="AY603" s="232">
        <f t="shared" ref="AY603:AY613" si="1395">IF((MAX(AV603,AW603,AX603))=0,"",IF((MAX(AV603,AW603,AX603))=(MAX(AR603,AS603,AT603)),1,""))</f>
        <v>1</v>
      </c>
      <c r="AZ603" s="371"/>
      <c r="BA603" s="497">
        <v>80</v>
      </c>
      <c r="BB603" s="498">
        <v>10</v>
      </c>
      <c r="BC603" s="485">
        <f t="shared" si="1368"/>
        <v>10</v>
      </c>
      <c r="BD603" s="371"/>
      <c r="BE603" s="232" t="str">
        <f t="shared" si="1369"/>
        <v/>
      </c>
      <c r="BF603" s="232">
        <f t="shared" si="1370"/>
        <v>10</v>
      </c>
      <c r="BG603" s="232" t="str">
        <f t="shared" si="1371"/>
        <v/>
      </c>
      <c r="BH603" s="232" t="str">
        <f t="shared" si="1372"/>
        <v/>
      </c>
      <c r="BI603" s="371"/>
      <c r="BJ603" s="497">
        <v>80</v>
      </c>
      <c r="BK603" s="498">
        <v>10</v>
      </c>
      <c r="BL603" s="485">
        <f t="shared" si="1373"/>
        <v>10</v>
      </c>
      <c r="BM603" s="371"/>
      <c r="BN603" s="232" t="str">
        <f t="shared" si="1374"/>
        <v/>
      </c>
      <c r="BO603" s="232">
        <f t="shared" si="1375"/>
        <v>10</v>
      </c>
      <c r="BP603" s="232" t="str">
        <f t="shared" si="1376"/>
        <v/>
      </c>
      <c r="BQ603" s="232" t="str">
        <f t="shared" ref="BQ603:BQ613" si="1396">IF((MAX(BN603,BO603,BP603))=0,"",IF((MAX(BN603,BO603,BP603))=(MAX(BJ603,BK603,BL603)),1,""))</f>
        <v/>
      </c>
      <c r="BR603" s="371"/>
      <c r="BS603" s="497">
        <v>50</v>
      </c>
      <c r="BT603" s="498">
        <v>30</v>
      </c>
      <c r="BU603" s="485">
        <f t="shared" si="1377"/>
        <v>20</v>
      </c>
      <c r="BV603" s="371"/>
      <c r="BW603" s="232" t="str">
        <f t="shared" si="1378"/>
        <v/>
      </c>
      <c r="BX603" s="232">
        <f t="shared" si="1379"/>
        <v>30</v>
      </c>
      <c r="BY603" s="232" t="str">
        <f t="shared" si="1380"/>
        <v/>
      </c>
      <c r="BZ603" s="232" t="str">
        <f t="shared" ref="BZ603:BZ613" si="1397">IF((MAX(BW603,BX603,BY603))=0,"",IF((MAX(BW603,BX603,BY603))=(MAX(BS603,BT603,BU603)),1,""))</f>
        <v/>
      </c>
      <c r="CA603" s="371"/>
      <c r="CB603" s="504">
        <f t="shared" si="1381"/>
        <v>60</v>
      </c>
      <c r="CC603" s="505">
        <f t="shared" si="1382"/>
        <v>20</v>
      </c>
      <c r="CD603" s="506">
        <f t="shared" si="1383"/>
        <v>20</v>
      </c>
      <c r="CE603" s="371"/>
      <c r="CF603" s="232" t="str">
        <f t="shared" si="1384"/>
        <v/>
      </c>
      <c r="CG603" s="232">
        <f t="shared" si="1385"/>
        <v>20</v>
      </c>
      <c r="CH603" s="232" t="str">
        <f t="shared" si="1386"/>
        <v/>
      </c>
      <c r="CI603" s="232" t="str">
        <f t="shared" ref="CI603:CI613" si="1398">IF((MAX(CF603,CG603,CH603))=0,"",IF((MAX(CF603,CG603,CH603))=(MAX(CB603,CC603,CD603)),1,""))</f>
        <v/>
      </c>
      <c r="CJ603" s="232"/>
      <c r="CK603" s="497">
        <v>60</v>
      </c>
      <c r="CL603" s="498">
        <v>20</v>
      </c>
      <c r="CM603" s="485">
        <f t="shared" si="1387"/>
        <v>20</v>
      </c>
      <c r="CN603" s="371"/>
      <c r="CO603" s="232" t="str">
        <f t="shared" si="1388"/>
        <v/>
      </c>
      <c r="CP603" s="232">
        <f t="shared" si="1389"/>
        <v>20</v>
      </c>
      <c r="CQ603" s="232" t="str">
        <f t="shared" si="1390"/>
        <v/>
      </c>
      <c r="CR603" s="232" t="str">
        <f t="shared" ref="CR603:CR613" si="1399">IF((MAX(CO603,CP603,CQ603))=0,"",IF((MAX(CO603,CP603,CQ603))=(MAX(CK603,CL603,CM603)),1,""))</f>
        <v/>
      </c>
      <c r="CS603" s="232"/>
      <c r="CT603" s="371"/>
      <c r="CU603" s="296"/>
      <c r="CV603" s="246"/>
      <c r="CW603" s="264"/>
    </row>
    <row r="604" spans="1:101" x14ac:dyDescent="0.2">
      <c r="A604" s="264"/>
      <c r="B604" s="264"/>
      <c r="C604" s="202"/>
      <c r="D604" s="271">
        <v>3</v>
      </c>
      <c r="E604" s="168" t="s">
        <v>375</v>
      </c>
      <c r="F604" s="470">
        <v>0</v>
      </c>
      <c r="G604" s="476"/>
      <c r="H604" s="477">
        <v>2</v>
      </c>
      <c r="I604" s="392" t="str">
        <f t="shared" si="1350"/>
        <v/>
      </c>
      <c r="J604" s="393" t="str">
        <f t="shared" si="1351"/>
        <v/>
      </c>
      <c r="K604" s="394" t="str">
        <f t="shared" si="1352"/>
        <v>x</v>
      </c>
      <c r="L604" s="299"/>
      <c r="M604" s="375"/>
      <c r="N604" s="379"/>
      <c r="O604" s="236"/>
      <c r="P604" s="236"/>
      <c r="Q604" s="486">
        <v>10</v>
      </c>
      <c r="R604" s="487">
        <v>80</v>
      </c>
      <c r="S604" s="488">
        <f t="shared" si="1391"/>
        <v>10</v>
      </c>
      <c r="T604" s="371"/>
      <c r="U604" s="232" t="str">
        <f t="shared" si="1353"/>
        <v/>
      </c>
      <c r="V604" s="232" t="str">
        <f t="shared" si="1354"/>
        <v/>
      </c>
      <c r="W604" s="232">
        <f t="shared" si="1355"/>
        <v>10</v>
      </c>
      <c r="X604" s="232" t="str">
        <f t="shared" si="1392"/>
        <v/>
      </c>
      <c r="Y604" s="371"/>
      <c r="Z604" s="499">
        <v>10</v>
      </c>
      <c r="AA604" s="500">
        <v>10</v>
      </c>
      <c r="AB604" s="488">
        <f t="shared" si="1356"/>
        <v>80</v>
      </c>
      <c r="AC604" s="371"/>
      <c r="AD604" s="232" t="str">
        <f t="shared" si="1357"/>
        <v/>
      </c>
      <c r="AE604" s="232" t="str">
        <f t="shared" si="1358"/>
        <v/>
      </c>
      <c r="AF604" s="232">
        <f t="shared" si="1359"/>
        <v>80</v>
      </c>
      <c r="AG604" s="232">
        <f t="shared" si="1393"/>
        <v>1</v>
      </c>
      <c r="AH604" s="371"/>
      <c r="AI604" s="499">
        <v>20</v>
      </c>
      <c r="AJ604" s="500">
        <v>20</v>
      </c>
      <c r="AK604" s="488">
        <f t="shared" si="1360"/>
        <v>60</v>
      </c>
      <c r="AL604" s="371"/>
      <c r="AM604" s="232" t="str">
        <f t="shared" si="1361"/>
        <v/>
      </c>
      <c r="AN604" s="232" t="str">
        <f t="shared" si="1362"/>
        <v/>
      </c>
      <c r="AO604" s="232">
        <f t="shared" si="1363"/>
        <v>60</v>
      </c>
      <c r="AP604" s="232">
        <f t="shared" si="1394"/>
        <v>1</v>
      </c>
      <c r="AQ604" s="371"/>
      <c r="AR604" s="499">
        <v>10</v>
      </c>
      <c r="AS604" s="500">
        <v>10</v>
      </c>
      <c r="AT604" s="488">
        <f t="shared" si="1364"/>
        <v>80</v>
      </c>
      <c r="AU604" s="371"/>
      <c r="AV604" s="232" t="str">
        <f t="shared" si="1365"/>
        <v/>
      </c>
      <c r="AW604" s="232" t="str">
        <f t="shared" si="1366"/>
        <v/>
      </c>
      <c r="AX604" s="232">
        <f t="shared" si="1367"/>
        <v>80</v>
      </c>
      <c r="AY604" s="232">
        <f t="shared" si="1395"/>
        <v>1</v>
      </c>
      <c r="AZ604" s="371"/>
      <c r="BA604" s="499">
        <v>10</v>
      </c>
      <c r="BB604" s="500">
        <v>10</v>
      </c>
      <c r="BC604" s="488">
        <f t="shared" si="1368"/>
        <v>80</v>
      </c>
      <c r="BD604" s="371"/>
      <c r="BE604" s="232" t="str">
        <f t="shared" si="1369"/>
        <v/>
      </c>
      <c r="BF604" s="232" t="str">
        <f t="shared" si="1370"/>
        <v/>
      </c>
      <c r="BG604" s="232">
        <f t="shared" si="1371"/>
        <v>80</v>
      </c>
      <c r="BH604" s="232">
        <f t="shared" si="1372"/>
        <v>1</v>
      </c>
      <c r="BI604" s="371"/>
      <c r="BJ604" s="499">
        <v>10</v>
      </c>
      <c r="BK604" s="500">
        <v>10</v>
      </c>
      <c r="BL604" s="488">
        <f t="shared" si="1373"/>
        <v>80</v>
      </c>
      <c r="BM604" s="371"/>
      <c r="BN604" s="232" t="str">
        <f t="shared" si="1374"/>
        <v/>
      </c>
      <c r="BO604" s="232" t="str">
        <f t="shared" si="1375"/>
        <v/>
      </c>
      <c r="BP604" s="232">
        <f t="shared" si="1376"/>
        <v>80</v>
      </c>
      <c r="BQ604" s="232">
        <f t="shared" si="1396"/>
        <v>1</v>
      </c>
      <c r="BR604" s="371"/>
      <c r="BS604" s="499">
        <v>10</v>
      </c>
      <c r="BT604" s="500">
        <v>20</v>
      </c>
      <c r="BU604" s="488">
        <f t="shared" si="1377"/>
        <v>70</v>
      </c>
      <c r="BV604" s="371"/>
      <c r="BW604" s="232" t="str">
        <f t="shared" si="1378"/>
        <v/>
      </c>
      <c r="BX604" s="232" t="str">
        <f t="shared" si="1379"/>
        <v/>
      </c>
      <c r="BY604" s="232">
        <f t="shared" si="1380"/>
        <v>70</v>
      </c>
      <c r="BZ604" s="232">
        <f t="shared" si="1397"/>
        <v>1</v>
      </c>
      <c r="CA604" s="371"/>
      <c r="CB604" s="507">
        <f t="shared" si="1381"/>
        <v>20</v>
      </c>
      <c r="CC604" s="508">
        <f t="shared" si="1382"/>
        <v>20</v>
      </c>
      <c r="CD604" s="509">
        <f t="shared" si="1383"/>
        <v>60</v>
      </c>
      <c r="CE604" s="371"/>
      <c r="CF604" s="232" t="str">
        <f t="shared" si="1384"/>
        <v/>
      </c>
      <c r="CG604" s="232" t="str">
        <f t="shared" si="1385"/>
        <v/>
      </c>
      <c r="CH604" s="232">
        <f t="shared" si="1386"/>
        <v>60</v>
      </c>
      <c r="CI604" s="232">
        <f t="shared" si="1398"/>
        <v>1</v>
      </c>
      <c r="CJ604" s="232"/>
      <c r="CK604" s="499">
        <v>10</v>
      </c>
      <c r="CL604" s="500">
        <v>50</v>
      </c>
      <c r="CM604" s="488">
        <f t="shared" si="1387"/>
        <v>40</v>
      </c>
      <c r="CN604" s="371"/>
      <c r="CO604" s="232" t="str">
        <f t="shared" si="1388"/>
        <v/>
      </c>
      <c r="CP604" s="232" t="str">
        <f t="shared" si="1389"/>
        <v/>
      </c>
      <c r="CQ604" s="232">
        <f t="shared" si="1390"/>
        <v>40</v>
      </c>
      <c r="CR604" s="232" t="str">
        <f t="shared" si="1399"/>
        <v/>
      </c>
      <c r="CS604" s="232"/>
      <c r="CT604" s="371"/>
      <c r="CU604" s="296"/>
      <c r="CV604" s="246"/>
      <c r="CW604" s="264"/>
    </row>
    <row r="605" spans="1:101" x14ac:dyDescent="0.2">
      <c r="A605" s="264"/>
      <c r="B605" s="264"/>
      <c r="C605" s="202"/>
      <c r="D605" s="271">
        <v>4</v>
      </c>
      <c r="E605" s="166" t="s">
        <v>376</v>
      </c>
      <c r="F605" s="468">
        <v>2</v>
      </c>
      <c r="G605" s="472"/>
      <c r="H605" s="473">
        <v>0</v>
      </c>
      <c r="I605" s="170" t="str">
        <f t="shared" si="1350"/>
        <v>x</v>
      </c>
      <c r="J605" s="387" t="str">
        <f t="shared" si="1351"/>
        <v/>
      </c>
      <c r="K605" s="388" t="str">
        <f t="shared" si="1352"/>
        <v/>
      </c>
      <c r="L605" s="299"/>
      <c r="M605" s="375"/>
      <c r="N605" s="379"/>
      <c r="O605" s="236"/>
      <c r="P605" s="236"/>
      <c r="Q605" s="480">
        <v>60</v>
      </c>
      <c r="R605" s="481">
        <v>30</v>
      </c>
      <c r="S605" s="482">
        <f t="shared" si="1391"/>
        <v>10</v>
      </c>
      <c r="T605" s="371"/>
      <c r="U605" s="232">
        <f t="shared" si="1353"/>
        <v>60</v>
      </c>
      <c r="V605" s="232" t="str">
        <f t="shared" si="1354"/>
        <v/>
      </c>
      <c r="W605" s="232" t="str">
        <f t="shared" si="1355"/>
        <v/>
      </c>
      <c r="X605" s="232">
        <f t="shared" si="1392"/>
        <v>1</v>
      </c>
      <c r="Y605" s="371"/>
      <c r="Z605" s="495">
        <v>80</v>
      </c>
      <c r="AA605" s="496">
        <v>10</v>
      </c>
      <c r="AB605" s="482">
        <f t="shared" si="1356"/>
        <v>10</v>
      </c>
      <c r="AC605" s="371"/>
      <c r="AD605" s="232">
        <f t="shared" si="1357"/>
        <v>80</v>
      </c>
      <c r="AE605" s="232" t="str">
        <f t="shared" si="1358"/>
        <v/>
      </c>
      <c r="AF605" s="232" t="str">
        <f t="shared" si="1359"/>
        <v/>
      </c>
      <c r="AG605" s="232">
        <f t="shared" si="1393"/>
        <v>1</v>
      </c>
      <c r="AH605" s="371"/>
      <c r="AI605" s="495">
        <v>80</v>
      </c>
      <c r="AJ605" s="496">
        <v>10</v>
      </c>
      <c r="AK605" s="482">
        <f t="shared" si="1360"/>
        <v>10</v>
      </c>
      <c r="AL605" s="371"/>
      <c r="AM605" s="232">
        <f t="shared" si="1361"/>
        <v>80</v>
      </c>
      <c r="AN605" s="232" t="str">
        <f t="shared" si="1362"/>
        <v/>
      </c>
      <c r="AO605" s="232" t="str">
        <f t="shared" si="1363"/>
        <v/>
      </c>
      <c r="AP605" s="232">
        <f t="shared" si="1394"/>
        <v>1</v>
      </c>
      <c r="AQ605" s="371"/>
      <c r="AR605" s="495">
        <v>80</v>
      </c>
      <c r="AS605" s="496">
        <v>10</v>
      </c>
      <c r="AT605" s="482">
        <f t="shared" si="1364"/>
        <v>10</v>
      </c>
      <c r="AU605" s="371"/>
      <c r="AV605" s="232">
        <f t="shared" si="1365"/>
        <v>80</v>
      </c>
      <c r="AW605" s="232" t="str">
        <f t="shared" si="1366"/>
        <v/>
      </c>
      <c r="AX605" s="232" t="str">
        <f t="shared" si="1367"/>
        <v/>
      </c>
      <c r="AY605" s="232">
        <f t="shared" si="1395"/>
        <v>1</v>
      </c>
      <c r="AZ605" s="371"/>
      <c r="BA605" s="495">
        <v>80</v>
      </c>
      <c r="BB605" s="496">
        <v>10</v>
      </c>
      <c r="BC605" s="482">
        <f t="shared" si="1368"/>
        <v>10</v>
      </c>
      <c r="BD605" s="371"/>
      <c r="BE605" s="232">
        <f t="shared" si="1369"/>
        <v>80</v>
      </c>
      <c r="BF605" s="232" t="str">
        <f t="shared" si="1370"/>
        <v/>
      </c>
      <c r="BG605" s="232" t="str">
        <f t="shared" si="1371"/>
        <v/>
      </c>
      <c r="BH605" s="232">
        <f t="shared" si="1372"/>
        <v>1</v>
      </c>
      <c r="BI605" s="371"/>
      <c r="BJ605" s="495">
        <v>80</v>
      </c>
      <c r="BK605" s="496">
        <v>10</v>
      </c>
      <c r="BL605" s="482">
        <f t="shared" si="1373"/>
        <v>10</v>
      </c>
      <c r="BM605" s="371"/>
      <c r="BN605" s="232">
        <f t="shared" si="1374"/>
        <v>80</v>
      </c>
      <c r="BO605" s="232" t="str">
        <f t="shared" si="1375"/>
        <v/>
      </c>
      <c r="BP605" s="232" t="str">
        <f t="shared" si="1376"/>
        <v/>
      </c>
      <c r="BQ605" s="232">
        <f t="shared" si="1396"/>
        <v>1</v>
      </c>
      <c r="BR605" s="371"/>
      <c r="BS605" s="495">
        <v>60</v>
      </c>
      <c r="BT605" s="496">
        <v>20</v>
      </c>
      <c r="BU605" s="482">
        <f t="shared" si="1377"/>
        <v>20</v>
      </c>
      <c r="BV605" s="371"/>
      <c r="BW605" s="232">
        <f t="shared" si="1378"/>
        <v>60</v>
      </c>
      <c r="BX605" s="232" t="str">
        <f t="shared" si="1379"/>
        <v/>
      </c>
      <c r="BY605" s="232" t="str">
        <f t="shared" si="1380"/>
        <v/>
      </c>
      <c r="BZ605" s="232">
        <f t="shared" si="1397"/>
        <v>1</v>
      </c>
      <c r="CA605" s="371"/>
      <c r="CB605" s="501">
        <f t="shared" si="1381"/>
        <v>80</v>
      </c>
      <c r="CC605" s="502">
        <f t="shared" si="1382"/>
        <v>10</v>
      </c>
      <c r="CD605" s="503">
        <f t="shared" si="1383"/>
        <v>10</v>
      </c>
      <c r="CE605" s="371"/>
      <c r="CF605" s="232">
        <f t="shared" si="1384"/>
        <v>80</v>
      </c>
      <c r="CG605" s="232" t="str">
        <f t="shared" si="1385"/>
        <v/>
      </c>
      <c r="CH605" s="232" t="str">
        <f t="shared" si="1386"/>
        <v/>
      </c>
      <c r="CI605" s="232">
        <f t="shared" si="1398"/>
        <v>1</v>
      </c>
      <c r="CJ605" s="232"/>
      <c r="CK605" s="495">
        <v>80</v>
      </c>
      <c r="CL605" s="496">
        <v>10</v>
      </c>
      <c r="CM605" s="482">
        <f t="shared" si="1387"/>
        <v>10</v>
      </c>
      <c r="CN605" s="371"/>
      <c r="CO605" s="232">
        <f t="shared" si="1388"/>
        <v>80</v>
      </c>
      <c r="CP605" s="232" t="str">
        <f t="shared" si="1389"/>
        <v/>
      </c>
      <c r="CQ605" s="232" t="str">
        <f t="shared" si="1390"/>
        <v/>
      </c>
      <c r="CR605" s="232">
        <f t="shared" si="1399"/>
        <v>1</v>
      </c>
      <c r="CS605" s="232"/>
      <c r="CT605" s="371"/>
      <c r="CU605" s="296"/>
      <c r="CV605" s="246"/>
      <c r="CW605" s="264"/>
    </row>
    <row r="606" spans="1:101" x14ac:dyDescent="0.2">
      <c r="A606" s="264"/>
      <c r="B606" s="264"/>
      <c r="C606" s="202"/>
      <c r="D606" s="271">
        <v>5</v>
      </c>
      <c r="E606" s="167" t="s">
        <v>377</v>
      </c>
      <c r="F606" s="469">
        <v>5</v>
      </c>
      <c r="G606" s="474"/>
      <c r="H606" s="475">
        <v>0</v>
      </c>
      <c r="I606" s="389" t="str">
        <f t="shared" si="1350"/>
        <v>x</v>
      </c>
      <c r="J606" s="390" t="str">
        <f t="shared" si="1351"/>
        <v/>
      </c>
      <c r="K606" s="391" t="str">
        <f t="shared" si="1352"/>
        <v/>
      </c>
      <c r="L606" s="299"/>
      <c r="M606" s="375"/>
      <c r="N606" s="379"/>
      <c r="O606" s="236"/>
      <c r="P606" s="236"/>
      <c r="Q606" s="483">
        <v>30</v>
      </c>
      <c r="R606" s="484">
        <v>30</v>
      </c>
      <c r="S606" s="485">
        <f t="shared" si="1391"/>
        <v>40</v>
      </c>
      <c r="T606" s="371"/>
      <c r="U606" s="232">
        <f t="shared" si="1353"/>
        <v>30</v>
      </c>
      <c r="V606" s="232" t="str">
        <f t="shared" si="1354"/>
        <v/>
      </c>
      <c r="W606" s="232" t="str">
        <f t="shared" si="1355"/>
        <v/>
      </c>
      <c r="X606" s="232" t="str">
        <f t="shared" si="1392"/>
        <v/>
      </c>
      <c r="Y606" s="371"/>
      <c r="Z606" s="497">
        <v>50</v>
      </c>
      <c r="AA606" s="498">
        <v>10</v>
      </c>
      <c r="AB606" s="485">
        <f t="shared" si="1356"/>
        <v>40</v>
      </c>
      <c r="AC606" s="371"/>
      <c r="AD606" s="232">
        <f t="shared" si="1357"/>
        <v>50</v>
      </c>
      <c r="AE606" s="232" t="str">
        <f t="shared" si="1358"/>
        <v/>
      </c>
      <c r="AF606" s="232" t="str">
        <f t="shared" si="1359"/>
        <v/>
      </c>
      <c r="AG606" s="232">
        <f t="shared" si="1393"/>
        <v>1</v>
      </c>
      <c r="AH606" s="371"/>
      <c r="AI606" s="497">
        <v>20</v>
      </c>
      <c r="AJ606" s="498">
        <v>30</v>
      </c>
      <c r="AK606" s="485">
        <f t="shared" si="1360"/>
        <v>50</v>
      </c>
      <c r="AL606" s="371"/>
      <c r="AM606" s="232">
        <f t="shared" si="1361"/>
        <v>20</v>
      </c>
      <c r="AN606" s="232" t="str">
        <f t="shared" si="1362"/>
        <v/>
      </c>
      <c r="AO606" s="232" t="str">
        <f t="shared" si="1363"/>
        <v/>
      </c>
      <c r="AP606" s="232" t="str">
        <f t="shared" si="1394"/>
        <v/>
      </c>
      <c r="AQ606" s="371"/>
      <c r="AR606" s="497">
        <v>10</v>
      </c>
      <c r="AS606" s="498">
        <v>10</v>
      </c>
      <c r="AT606" s="485">
        <f t="shared" si="1364"/>
        <v>80</v>
      </c>
      <c r="AU606" s="371"/>
      <c r="AV606" s="232">
        <f t="shared" si="1365"/>
        <v>10</v>
      </c>
      <c r="AW606" s="232" t="str">
        <f t="shared" si="1366"/>
        <v/>
      </c>
      <c r="AX606" s="232" t="str">
        <f t="shared" si="1367"/>
        <v/>
      </c>
      <c r="AY606" s="232" t="str">
        <f t="shared" si="1395"/>
        <v/>
      </c>
      <c r="AZ606" s="371"/>
      <c r="BA606" s="497">
        <v>50</v>
      </c>
      <c r="BB606" s="498">
        <v>40</v>
      </c>
      <c r="BC606" s="485">
        <f t="shared" si="1368"/>
        <v>10</v>
      </c>
      <c r="BD606" s="371"/>
      <c r="BE606" s="232">
        <f t="shared" si="1369"/>
        <v>50</v>
      </c>
      <c r="BF606" s="232" t="str">
        <f t="shared" si="1370"/>
        <v/>
      </c>
      <c r="BG606" s="232" t="str">
        <f t="shared" si="1371"/>
        <v/>
      </c>
      <c r="BH606" s="232">
        <f t="shared" si="1372"/>
        <v>1</v>
      </c>
      <c r="BI606" s="371"/>
      <c r="BJ606" s="497">
        <v>10</v>
      </c>
      <c r="BK606" s="498">
        <v>10</v>
      </c>
      <c r="BL606" s="485">
        <f t="shared" si="1373"/>
        <v>80</v>
      </c>
      <c r="BM606" s="371"/>
      <c r="BN606" s="232">
        <f t="shared" si="1374"/>
        <v>10</v>
      </c>
      <c r="BO606" s="232" t="str">
        <f t="shared" si="1375"/>
        <v/>
      </c>
      <c r="BP606" s="232" t="str">
        <f t="shared" si="1376"/>
        <v/>
      </c>
      <c r="BQ606" s="232" t="str">
        <f t="shared" si="1396"/>
        <v/>
      </c>
      <c r="BR606" s="371"/>
      <c r="BS606" s="497">
        <v>50</v>
      </c>
      <c r="BT606" s="498">
        <v>10</v>
      </c>
      <c r="BU606" s="485">
        <f t="shared" si="1377"/>
        <v>40</v>
      </c>
      <c r="BV606" s="371"/>
      <c r="BW606" s="232">
        <f t="shared" si="1378"/>
        <v>50</v>
      </c>
      <c r="BX606" s="232" t="str">
        <f t="shared" si="1379"/>
        <v/>
      </c>
      <c r="BY606" s="232" t="str">
        <f t="shared" si="1380"/>
        <v/>
      </c>
      <c r="BZ606" s="232">
        <f t="shared" si="1397"/>
        <v>1</v>
      </c>
      <c r="CA606" s="371"/>
      <c r="CB606" s="504">
        <f t="shared" si="1381"/>
        <v>40</v>
      </c>
      <c r="CC606" s="505">
        <f t="shared" si="1382"/>
        <v>20</v>
      </c>
      <c r="CD606" s="506">
        <f t="shared" si="1383"/>
        <v>40</v>
      </c>
      <c r="CE606" s="371"/>
      <c r="CF606" s="232">
        <f t="shared" si="1384"/>
        <v>40</v>
      </c>
      <c r="CG606" s="232" t="str">
        <f t="shared" si="1385"/>
        <v/>
      </c>
      <c r="CH606" s="232" t="str">
        <f t="shared" si="1386"/>
        <v/>
      </c>
      <c r="CI606" s="232">
        <f t="shared" si="1398"/>
        <v>1</v>
      </c>
      <c r="CJ606" s="232"/>
      <c r="CK606" s="497">
        <v>30</v>
      </c>
      <c r="CL606" s="498">
        <v>30</v>
      </c>
      <c r="CM606" s="485">
        <f t="shared" si="1387"/>
        <v>40</v>
      </c>
      <c r="CN606" s="371"/>
      <c r="CO606" s="232">
        <f t="shared" si="1388"/>
        <v>30</v>
      </c>
      <c r="CP606" s="232" t="str">
        <f t="shared" si="1389"/>
        <v/>
      </c>
      <c r="CQ606" s="232" t="str">
        <f t="shared" si="1390"/>
        <v/>
      </c>
      <c r="CR606" s="232" t="str">
        <f t="shared" si="1399"/>
        <v/>
      </c>
      <c r="CS606" s="232"/>
      <c r="CT606" s="371"/>
      <c r="CU606" s="296"/>
      <c r="CV606" s="246"/>
      <c r="CW606" s="264"/>
    </row>
    <row r="607" spans="1:101" x14ac:dyDescent="0.2">
      <c r="A607" s="264"/>
      <c r="B607" s="264"/>
      <c r="C607" s="202"/>
      <c r="D607" s="271">
        <v>6</v>
      </c>
      <c r="E607" s="168" t="s">
        <v>378</v>
      </c>
      <c r="F607" s="470">
        <v>1</v>
      </c>
      <c r="G607" s="476"/>
      <c r="H607" s="477">
        <v>2</v>
      </c>
      <c r="I607" s="392" t="str">
        <f t="shared" si="1350"/>
        <v/>
      </c>
      <c r="J607" s="393" t="str">
        <f t="shared" si="1351"/>
        <v/>
      </c>
      <c r="K607" s="394" t="str">
        <f t="shared" si="1352"/>
        <v>x</v>
      </c>
      <c r="L607" s="299"/>
      <c r="M607" s="375"/>
      <c r="N607" s="379"/>
      <c r="O607" s="236"/>
      <c r="P607" s="236"/>
      <c r="Q607" s="489">
        <v>80</v>
      </c>
      <c r="R607" s="490">
        <v>10</v>
      </c>
      <c r="S607" s="491">
        <f t="shared" si="1391"/>
        <v>10</v>
      </c>
      <c r="T607" s="371"/>
      <c r="U607" s="232" t="str">
        <f t="shared" si="1353"/>
        <v/>
      </c>
      <c r="V607" s="232" t="str">
        <f t="shared" si="1354"/>
        <v/>
      </c>
      <c r="W607" s="232">
        <f t="shared" si="1355"/>
        <v>10</v>
      </c>
      <c r="X607" s="232" t="str">
        <f t="shared" si="1392"/>
        <v/>
      </c>
      <c r="Y607" s="371"/>
      <c r="Z607" s="499">
        <v>80</v>
      </c>
      <c r="AA607" s="500">
        <v>10</v>
      </c>
      <c r="AB607" s="491">
        <f t="shared" si="1356"/>
        <v>10</v>
      </c>
      <c r="AC607" s="371"/>
      <c r="AD607" s="232" t="str">
        <f t="shared" si="1357"/>
        <v/>
      </c>
      <c r="AE607" s="232" t="str">
        <f t="shared" si="1358"/>
        <v/>
      </c>
      <c r="AF607" s="232">
        <f t="shared" si="1359"/>
        <v>10</v>
      </c>
      <c r="AG607" s="232" t="str">
        <f t="shared" si="1393"/>
        <v/>
      </c>
      <c r="AH607" s="371"/>
      <c r="AI607" s="499">
        <v>30</v>
      </c>
      <c r="AJ607" s="500">
        <v>40</v>
      </c>
      <c r="AK607" s="491">
        <f t="shared" si="1360"/>
        <v>30</v>
      </c>
      <c r="AL607" s="371"/>
      <c r="AM607" s="232" t="str">
        <f t="shared" si="1361"/>
        <v/>
      </c>
      <c r="AN607" s="232" t="str">
        <f t="shared" si="1362"/>
        <v/>
      </c>
      <c r="AO607" s="232">
        <f t="shared" si="1363"/>
        <v>30</v>
      </c>
      <c r="AP607" s="232" t="str">
        <f t="shared" si="1394"/>
        <v/>
      </c>
      <c r="AQ607" s="371"/>
      <c r="AR607" s="499">
        <v>30</v>
      </c>
      <c r="AS607" s="500">
        <v>40</v>
      </c>
      <c r="AT607" s="491">
        <f t="shared" si="1364"/>
        <v>30</v>
      </c>
      <c r="AU607" s="371"/>
      <c r="AV607" s="232" t="str">
        <f t="shared" si="1365"/>
        <v/>
      </c>
      <c r="AW607" s="232" t="str">
        <f t="shared" si="1366"/>
        <v/>
      </c>
      <c r="AX607" s="232">
        <f t="shared" si="1367"/>
        <v>30</v>
      </c>
      <c r="AY607" s="232" t="str">
        <f t="shared" si="1395"/>
        <v/>
      </c>
      <c r="AZ607" s="371"/>
      <c r="BA607" s="499">
        <v>80</v>
      </c>
      <c r="BB607" s="500">
        <v>10</v>
      </c>
      <c r="BC607" s="491">
        <f t="shared" si="1368"/>
        <v>10</v>
      </c>
      <c r="BD607" s="371"/>
      <c r="BE607" s="232" t="str">
        <f t="shared" si="1369"/>
        <v/>
      </c>
      <c r="BF607" s="232" t="str">
        <f t="shared" si="1370"/>
        <v/>
      </c>
      <c r="BG607" s="232">
        <f t="shared" si="1371"/>
        <v>10</v>
      </c>
      <c r="BH607" s="232" t="str">
        <f t="shared" si="1372"/>
        <v/>
      </c>
      <c r="BI607" s="371"/>
      <c r="BJ607" s="499">
        <v>10</v>
      </c>
      <c r="BK607" s="500">
        <v>80</v>
      </c>
      <c r="BL607" s="491">
        <f t="shared" si="1373"/>
        <v>10</v>
      </c>
      <c r="BM607" s="371"/>
      <c r="BN607" s="232" t="str">
        <f t="shared" si="1374"/>
        <v/>
      </c>
      <c r="BO607" s="232" t="str">
        <f t="shared" si="1375"/>
        <v/>
      </c>
      <c r="BP607" s="232">
        <f t="shared" si="1376"/>
        <v>10</v>
      </c>
      <c r="BQ607" s="232" t="str">
        <f t="shared" si="1396"/>
        <v/>
      </c>
      <c r="BR607" s="371"/>
      <c r="BS607" s="499">
        <v>40</v>
      </c>
      <c r="BT607" s="500">
        <v>30</v>
      </c>
      <c r="BU607" s="491">
        <f t="shared" si="1377"/>
        <v>30</v>
      </c>
      <c r="BV607" s="371"/>
      <c r="BW607" s="232" t="str">
        <f t="shared" si="1378"/>
        <v/>
      </c>
      <c r="BX607" s="232" t="str">
        <f t="shared" si="1379"/>
        <v/>
      </c>
      <c r="BY607" s="232">
        <f t="shared" si="1380"/>
        <v>30</v>
      </c>
      <c r="BZ607" s="232" t="str">
        <f t="shared" si="1397"/>
        <v/>
      </c>
      <c r="CA607" s="371"/>
      <c r="CB607" s="507">
        <f t="shared" si="1381"/>
        <v>50</v>
      </c>
      <c r="CC607" s="508">
        <f t="shared" si="1382"/>
        <v>30</v>
      </c>
      <c r="CD607" s="509">
        <f t="shared" si="1383"/>
        <v>20</v>
      </c>
      <c r="CE607" s="371"/>
      <c r="CF607" s="232" t="str">
        <f t="shared" si="1384"/>
        <v/>
      </c>
      <c r="CG607" s="232" t="str">
        <f t="shared" si="1385"/>
        <v/>
      </c>
      <c r="CH607" s="232">
        <f t="shared" si="1386"/>
        <v>20</v>
      </c>
      <c r="CI607" s="232" t="str">
        <f t="shared" si="1398"/>
        <v/>
      </c>
      <c r="CJ607" s="232"/>
      <c r="CK607" s="499">
        <v>50</v>
      </c>
      <c r="CL607" s="500">
        <v>40</v>
      </c>
      <c r="CM607" s="491">
        <f t="shared" si="1387"/>
        <v>10</v>
      </c>
      <c r="CN607" s="371"/>
      <c r="CO607" s="232" t="str">
        <f t="shared" si="1388"/>
        <v/>
      </c>
      <c r="CP607" s="232" t="str">
        <f t="shared" si="1389"/>
        <v/>
      </c>
      <c r="CQ607" s="232">
        <f t="shared" si="1390"/>
        <v>10</v>
      </c>
      <c r="CR607" s="232" t="str">
        <f t="shared" si="1399"/>
        <v/>
      </c>
      <c r="CS607" s="232"/>
      <c r="CT607" s="371"/>
      <c r="CU607" s="296"/>
      <c r="CV607" s="246"/>
      <c r="CW607" s="264"/>
    </row>
    <row r="608" spans="1:101" x14ac:dyDescent="0.2">
      <c r="A608" s="264"/>
      <c r="B608" s="264"/>
      <c r="C608" s="202"/>
      <c r="D608" s="271">
        <v>7</v>
      </c>
      <c r="E608" s="166" t="s">
        <v>379</v>
      </c>
      <c r="F608" s="468">
        <v>0</v>
      </c>
      <c r="G608" s="472"/>
      <c r="H608" s="473">
        <v>1</v>
      </c>
      <c r="I608" s="170" t="str">
        <f t="shared" si="1350"/>
        <v/>
      </c>
      <c r="J608" s="387" t="str">
        <f t="shared" si="1351"/>
        <v/>
      </c>
      <c r="K608" s="388" t="str">
        <f t="shared" si="1352"/>
        <v>x</v>
      </c>
      <c r="L608" s="299"/>
      <c r="M608" s="375"/>
      <c r="N608" s="379"/>
      <c r="O608" s="236"/>
      <c r="P608" s="236"/>
      <c r="Q608" s="480">
        <v>40</v>
      </c>
      <c r="R608" s="481">
        <v>30</v>
      </c>
      <c r="S608" s="482">
        <f t="shared" si="1391"/>
        <v>30</v>
      </c>
      <c r="T608" s="371"/>
      <c r="U608" s="232" t="str">
        <f t="shared" si="1353"/>
        <v/>
      </c>
      <c r="V608" s="232" t="str">
        <f t="shared" si="1354"/>
        <v/>
      </c>
      <c r="W608" s="232">
        <f t="shared" si="1355"/>
        <v>30</v>
      </c>
      <c r="X608" s="232" t="str">
        <f t="shared" si="1392"/>
        <v/>
      </c>
      <c r="Y608" s="371"/>
      <c r="Z608" s="495">
        <v>80</v>
      </c>
      <c r="AA608" s="496">
        <v>10</v>
      </c>
      <c r="AB608" s="482">
        <f t="shared" si="1356"/>
        <v>10</v>
      </c>
      <c r="AC608" s="371"/>
      <c r="AD608" s="232" t="str">
        <f t="shared" si="1357"/>
        <v/>
      </c>
      <c r="AE608" s="232" t="str">
        <f t="shared" si="1358"/>
        <v/>
      </c>
      <c r="AF608" s="232">
        <f t="shared" si="1359"/>
        <v>10</v>
      </c>
      <c r="AG608" s="232" t="str">
        <f t="shared" si="1393"/>
        <v/>
      </c>
      <c r="AH608" s="371"/>
      <c r="AI608" s="495">
        <v>80</v>
      </c>
      <c r="AJ608" s="496">
        <v>10</v>
      </c>
      <c r="AK608" s="482">
        <f t="shared" si="1360"/>
        <v>10</v>
      </c>
      <c r="AL608" s="371"/>
      <c r="AM608" s="232" t="str">
        <f t="shared" si="1361"/>
        <v/>
      </c>
      <c r="AN608" s="232" t="str">
        <f t="shared" si="1362"/>
        <v/>
      </c>
      <c r="AO608" s="232">
        <f t="shared" si="1363"/>
        <v>10</v>
      </c>
      <c r="AP608" s="232" t="str">
        <f t="shared" si="1394"/>
        <v/>
      </c>
      <c r="AQ608" s="371"/>
      <c r="AR608" s="495">
        <v>20</v>
      </c>
      <c r="AS608" s="496">
        <v>60</v>
      </c>
      <c r="AT608" s="482">
        <f t="shared" si="1364"/>
        <v>20</v>
      </c>
      <c r="AU608" s="371"/>
      <c r="AV608" s="232" t="str">
        <f t="shared" si="1365"/>
        <v/>
      </c>
      <c r="AW608" s="232" t="str">
        <f t="shared" si="1366"/>
        <v/>
      </c>
      <c r="AX608" s="232">
        <f t="shared" si="1367"/>
        <v>20</v>
      </c>
      <c r="AY608" s="232" t="str">
        <f t="shared" si="1395"/>
        <v/>
      </c>
      <c r="AZ608" s="371"/>
      <c r="BA608" s="495">
        <v>80</v>
      </c>
      <c r="BB608" s="496">
        <v>10</v>
      </c>
      <c r="BC608" s="482">
        <f t="shared" si="1368"/>
        <v>10</v>
      </c>
      <c r="BD608" s="371"/>
      <c r="BE608" s="232" t="str">
        <f t="shared" si="1369"/>
        <v/>
      </c>
      <c r="BF608" s="232" t="str">
        <f t="shared" si="1370"/>
        <v/>
      </c>
      <c r="BG608" s="232">
        <f t="shared" si="1371"/>
        <v>10</v>
      </c>
      <c r="BH608" s="232" t="str">
        <f t="shared" si="1372"/>
        <v/>
      </c>
      <c r="BI608" s="371"/>
      <c r="BJ608" s="495">
        <v>10</v>
      </c>
      <c r="BK608" s="496">
        <v>30</v>
      </c>
      <c r="BL608" s="482">
        <f t="shared" si="1373"/>
        <v>60</v>
      </c>
      <c r="BM608" s="371"/>
      <c r="BN608" s="232" t="str">
        <f t="shared" si="1374"/>
        <v/>
      </c>
      <c r="BO608" s="232" t="str">
        <f t="shared" si="1375"/>
        <v/>
      </c>
      <c r="BP608" s="232">
        <f t="shared" si="1376"/>
        <v>60</v>
      </c>
      <c r="BQ608" s="232">
        <f t="shared" si="1396"/>
        <v>1</v>
      </c>
      <c r="BR608" s="371"/>
      <c r="BS608" s="495">
        <v>50</v>
      </c>
      <c r="BT608" s="496">
        <v>20</v>
      </c>
      <c r="BU608" s="482">
        <f t="shared" si="1377"/>
        <v>30</v>
      </c>
      <c r="BV608" s="371"/>
      <c r="BW608" s="232" t="str">
        <f t="shared" si="1378"/>
        <v/>
      </c>
      <c r="BX608" s="232" t="str">
        <f t="shared" si="1379"/>
        <v/>
      </c>
      <c r="BY608" s="232">
        <f t="shared" si="1380"/>
        <v>30</v>
      </c>
      <c r="BZ608" s="232" t="str">
        <f t="shared" si="1397"/>
        <v/>
      </c>
      <c r="CA608" s="371"/>
      <c r="CB608" s="501">
        <f t="shared" si="1381"/>
        <v>60</v>
      </c>
      <c r="CC608" s="502">
        <f t="shared" si="1382"/>
        <v>20</v>
      </c>
      <c r="CD608" s="503">
        <f t="shared" si="1383"/>
        <v>20</v>
      </c>
      <c r="CE608" s="371"/>
      <c r="CF608" s="232" t="str">
        <f t="shared" si="1384"/>
        <v/>
      </c>
      <c r="CG608" s="232" t="str">
        <f t="shared" si="1385"/>
        <v/>
      </c>
      <c r="CH608" s="232">
        <f t="shared" si="1386"/>
        <v>20</v>
      </c>
      <c r="CI608" s="232" t="str">
        <f t="shared" si="1398"/>
        <v/>
      </c>
      <c r="CJ608" s="232"/>
      <c r="CK608" s="495">
        <v>50</v>
      </c>
      <c r="CL608" s="496">
        <v>30</v>
      </c>
      <c r="CM608" s="482">
        <f t="shared" si="1387"/>
        <v>20</v>
      </c>
      <c r="CN608" s="371"/>
      <c r="CO608" s="232" t="str">
        <f t="shared" si="1388"/>
        <v/>
      </c>
      <c r="CP608" s="232" t="str">
        <f t="shared" si="1389"/>
        <v/>
      </c>
      <c r="CQ608" s="232">
        <f t="shared" si="1390"/>
        <v>20</v>
      </c>
      <c r="CR608" s="232" t="str">
        <f t="shared" si="1399"/>
        <v/>
      </c>
      <c r="CS608" s="232"/>
      <c r="CT608" s="371"/>
      <c r="CU608" s="300"/>
      <c r="CV608" s="246"/>
      <c r="CW608" s="264"/>
    </row>
    <row r="609" spans="1:101" x14ac:dyDescent="0.2">
      <c r="A609" s="264"/>
      <c r="B609" s="264"/>
      <c r="C609" s="202"/>
      <c r="D609" s="271">
        <v>8</v>
      </c>
      <c r="E609" s="167" t="s">
        <v>380</v>
      </c>
      <c r="F609" s="469">
        <v>0</v>
      </c>
      <c r="G609" s="474"/>
      <c r="H609" s="475">
        <v>1</v>
      </c>
      <c r="I609" s="389" t="str">
        <f t="shared" si="1350"/>
        <v/>
      </c>
      <c r="J609" s="390" t="str">
        <f t="shared" si="1351"/>
        <v/>
      </c>
      <c r="K609" s="391" t="str">
        <f t="shared" si="1352"/>
        <v>x</v>
      </c>
      <c r="L609" s="299"/>
      <c r="M609" s="375"/>
      <c r="N609" s="379"/>
      <c r="O609" s="236"/>
      <c r="P609" s="236"/>
      <c r="Q609" s="483">
        <v>60</v>
      </c>
      <c r="R609" s="484">
        <v>20</v>
      </c>
      <c r="S609" s="485">
        <f t="shared" si="1391"/>
        <v>20</v>
      </c>
      <c r="T609" s="371"/>
      <c r="U609" s="232" t="str">
        <f t="shared" si="1353"/>
        <v/>
      </c>
      <c r="V609" s="232" t="str">
        <f t="shared" si="1354"/>
        <v/>
      </c>
      <c r="W609" s="232">
        <f t="shared" si="1355"/>
        <v>20</v>
      </c>
      <c r="X609" s="232" t="str">
        <f t="shared" si="1392"/>
        <v/>
      </c>
      <c r="Y609" s="371"/>
      <c r="Z609" s="497">
        <v>80</v>
      </c>
      <c r="AA609" s="498">
        <v>10</v>
      </c>
      <c r="AB609" s="485">
        <f t="shared" si="1356"/>
        <v>10</v>
      </c>
      <c r="AC609" s="371"/>
      <c r="AD609" s="232" t="str">
        <f t="shared" si="1357"/>
        <v/>
      </c>
      <c r="AE609" s="232" t="str">
        <f t="shared" si="1358"/>
        <v/>
      </c>
      <c r="AF609" s="232">
        <f t="shared" si="1359"/>
        <v>10</v>
      </c>
      <c r="AG609" s="232" t="str">
        <f t="shared" si="1393"/>
        <v/>
      </c>
      <c r="AH609" s="371"/>
      <c r="AI609" s="497">
        <v>60</v>
      </c>
      <c r="AJ609" s="498">
        <v>20</v>
      </c>
      <c r="AK609" s="485">
        <f t="shared" si="1360"/>
        <v>20</v>
      </c>
      <c r="AL609" s="371"/>
      <c r="AM609" s="232" t="str">
        <f t="shared" si="1361"/>
        <v/>
      </c>
      <c r="AN609" s="232" t="str">
        <f t="shared" si="1362"/>
        <v/>
      </c>
      <c r="AO609" s="232">
        <f t="shared" si="1363"/>
        <v>20</v>
      </c>
      <c r="AP609" s="232" t="str">
        <f t="shared" si="1394"/>
        <v/>
      </c>
      <c r="AQ609" s="371"/>
      <c r="AR609" s="497">
        <v>40</v>
      </c>
      <c r="AS609" s="498">
        <v>50</v>
      </c>
      <c r="AT609" s="485">
        <f t="shared" si="1364"/>
        <v>10</v>
      </c>
      <c r="AU609" s="371"/>
      <c r="AV609" s="232" t="str">
        <f t="shared" si="1365"/>
        <v/>
      </c>
      <c r="AW609" s="232" t="str">
        <f t="shared" si="1366"/>
        <v/>
      </c>
      <c r="AX609" s="232">
        <f t="shared" si="1367"/>
        <v>10</v>
      </c>
      <c r="AY609" s="232" t="str">
        <f t="shared" si="1395"/>
        <v/>
      </c>
      <c r="AZ609" s="371"/>
      <c r="BA609" s="497">
        <v>80</v>
      </c>
      <c r="BB609" s="498">
        <v>10</v>
      </c>
      <c r="BC609" s="485">
        <f t="shared" si="1368"/>
        <v>10</v>
      </c>
      <c r="BD609" s="371"/>
      <c r="BE609" s="232" t="str">
        <f t="shared" si="1369"/>
        <v/>
      </c>
      <c r="BF609" s="232" t="str">
        <f t="shared" si="1370"/>
        <v/>
      </c>
      <c r="BG609" s="232">
        <f t="shared" si="1371"/>
        <v>10</v>
      </c>
      <c r="BH609" s="232" t="str">
        <f t="shared" si="1372"/>
        <v/>
      </c>
      <c r="BI609" s="371"/>
      <c r="BJ609" s="497">
        <v>80</v>
      </c>
      <c r="BK609" s="498">
        <v>10</v>
      </c>
      <c r="BL609" s="485">
        <f t="shared" si="1373"/>
        <v>10</v>
      </c>
      <c r="BM609" s="371"/>
      <c r="BN609" s="232" t="str">
        <f t="shared" si="1374"/>
        <v/>
      </c>
      <c r="BO609" s="232" t="str">
        <f t="shared" si="1375"/>
        <v/>
      </c>
      <c r="BP609" s="232">
        <f t="shared" si="1376"/>
        <v>10</v>
      </c>
      <c r="BQ609" s="232" t="str">
        <f t="shared" si="1396"/>
        <v/>
      </c>
      <c r="BR609" s="371"/>
      <c r="BS609" s="497">
        <v>60</v>
      </c>
      <c r="BT609" s="498">
        <v>10</v>
      </c>
      <c r="BU609" s="485">
        <f t="shared" si="1377"/>
        <v>30</v>
      </c>
      <c r="BV609" s="371"/>
      <c r="BW609" s="232" t="str">
        <f t="shared" si="1378"/>
        <v/>
      </c>
      <c r="BX609" s="232" t="str">
        <f t="shared" si="1379"/>
        <v/>
      </c>
      <c r="BY609" s="232">
        <f t="shared" si="1380"/>
        <v>30</v>
      </c>
      <c r="BZ609" s="232" t="str">
        <f t="shared" si="1397"/>
        <v/>
      </c>
      <c r="CA609" s="371"/>
      <c r="CB609" s="504">
        <f t="shared" si="1381"/>
        <v>70</v>
      </c>
      <c r="CC609" s="505">
        <f t="shared" si="1382"/>
        <v>10</v>
      </c>
      <c r="CD609" s="506">
        <f t="shared" si="1383"/>
        <v>20</v>
      </c>
      <c r="CE609" s="371"/>
      <c r="CF609" s="232" t="str">
        <f t="shared" si="1384"/>
        <v/>
      </c>
      <c r="CG609" s="232" t="str">
        <f t="shared" si="1385"/>
        <v/>
      </c>
      <c r="CH609" s="232">
        <f t="shared" si="1386"/>
        <v>20</v>
      </c>
      <c r="CI609" s="232" t="str">
        <f t="shared" si="1398"/>
        <v/>
      </c>
      <c r="CJ609" s="232"/>
      <c r="CK609" s="497">
        <v>70</v>
      </c>
      <c r="CL609" s="498">
        <v>20</v>
      </c>
      <c r="CM609" s="485">
        <f t="shared" si="1387"/>
        <v>10</v>
      </c>
      <c r="CN609" s="371"/>
      <c r="CO609" s="232" t="str">
        <f t="shared" si="1388"/>
        <v/>
      </c>
      <c r="CP609" s="232" t="str">
        <f t="shared" si="1389"/>
        <v/>
      </c>
      <c r="CQ609" s="232">
        <f t="shared" si="1390"/>
        <v>10</v>
      </c>
      <c r="CR609" s="232" t="str">
        <f t="shared" si="1399"/>
        <v/>
      </c>
      <c r="CS609" s="232"/>
      <c r="CT609" s="371"/>
      <c r="CU609" s="300"/>
      <c r="CV609" s="246"/>
      <c r="CW609" s="264"/>
    </row>
    <row r="610" spans="1:101" x14ac:dyDescent="0.2">
      <c r="A610" s="264"/>
      <c r="B610" s="264"/>
      <c r="C610" s="202"/>
      <c r="D610" s="271">
        <v>9</v>
      </c>
      <c r="E610" s="168" t="s">
        <v>381</v>
      </c>
      <c r="F610" s="470">
        <v>2</v>
      </c>
      <c r="G610" s="476"/>
      <c r="H610" s="477">
        <v>0</v>
      </c>
      <c r="I610" s="392" t="str">
        <f t="shared" si="1350"/>
        <v>x</v>
      </c>
      <c r="J610" s="393" t="str">
        <f t="shared" si="1351"/>
        <v/>
      </c>
      <c r="K610" s="394" t="str">
        <f t="shared" si="1352"/>
        <v/>
      </c>
      <c r="L610" s="299"/>
      <c r="M610" s="375"/>
      <c r="N610" s="379"/>
      <c r="O610" s="236"/>
      <c r="P610" s="236"/>
      <c r="Q610" s="489">
        <v>60</v>
      </c>
      <c r="R610" s="490">
        <v>20</v>
      </c>
      <c r="S610" s="491">
        <f t="shared" si="1391"/>
        <v>20</v>
      </c>
      <c r="T610" s="371"/>
      <c r="U610" s="232">
        <f t="shared" si="1353"/>
        <v>60</v>
      </c>
      <c r="V610" s="232" t="str">
        <f t="shared" si="1354"/>
        <v/>
      </c>
      <c r="W610" s="232" t="str">
        <f t="shared" si="1355"/>
        <v/>
      </c>
      <c r="X610" s="232">
        <f t="shared" si="1392"/>
        <v>1</v>
      </c>
      <c r="Y610" s="371"/>
      <c r="Z610" s="499">
        <v>80</v>
      </c>
      <c r="AA610" s="500">
        <v>10</v>
      </c>
      <c r="AB610" s="491">
        <f t="shared" si="1356"/>
        <v>10</v>
      </c>
      <c r="AC610" s="371"/>
      <c r="AD610" s="232">
        <f t="shared" si="1357"/>
        <v>80</v>
      </c>
      <c r="AE610" s="232" t="str">
        <f t="shared" si="1358"/>
        <v/>
      </c>
      <c r="AF610" s="232" t="str">
        <f t="shared" si="1359"/>
        <v/>
      </c>
      <c r="AG610" s="232">
        <f t="shared" si="1393"/>
        <v>1</v>
      </c>
      <c r="AH610" s="371"/>
      <c r="AI610" s="499">
        <v>70</v>
      </c>
      <c r="AJ610" s="500">
        <v>20</v>
      </c>
      <c r="AK610" s="491">
        <f t="shared" si="1360"/>
        <v>10</v>
      </c>
      <c r="AL610" s="371"/>
      <c r="AM610" s="232">
        <f t="shared" si="1361"/>
        <v>70</v>
      </c>
      <c r="AN610" s="232" t="str">
        <f t="shared" si="1362"/>
        <v/>
      </c>
      <c r="AO610" s="232" t="str">
        <f t="shared" si="1363"/>
        <v/>
      </c>
      <c r="AP610" s="232">
        <f t="shared" si="1394"/>
        <v>1</v>
      </c>
      <c r="AQ610" s="371"/>
      <c r="AR610" s="499">
        <v>10</v>
      </c>
      <c r="AS610" s="500">
        <v>50</v>
      </c>
      <c r="AT610" s="491">
        <f t="shared" si="1364"/>
        <v>40</v>
      </c>
      <c r="AU610" s="371"/>
      <c r="AV610" s="232">
        <f t="shared" si="1365"/>
        <v>10</v>
      </c>
      <c r="AW610" s="232" t="str">
        <f t="shared" si="1366"/>
        <v/>
      </c>
      <c r="AX610" s="232" t="str">
        <f t="shared" si="1367"/>
        <v/>
      </c>
      <c r="AY610" s="232" t="str">
        <f t="shared" si="1395"/>
        <v/>
      </c>
      <c r="AZ610" s="371"/>
      <c r="BA610" s="499">
        <v>80</v>
      </c>
      <c r="BB610" s="500">
        <v>10</v>
      </c>
      <c r="BC610" s="491">
        <f t="shared" si="1368"/>
        <v>10</v>
      </c>
      <c r="BD610" s="371"/>
      <c r="BE610" s="232">
        <f t="shared" si="1369"/>
        <v>80</v>
      </c>
      <c r="BF610" s="232" t="str">
        <f t="shared" si="1370"/>
        <v/>
      </c>
      <c r="BG610" s="232" t="str">
        <f t="shared" si="1371"/>
        <v/>
      </c>
      <c r="BH610" s="232">
        <f t="shared" si="1372"/>
        <v>1</v>
      </c>
      <c r="BI610" s="371"/>
      <c r="BJ610" s="499">
        <v>10</v>
      </c>
      <c r="BK610" s="500">
        <v>10</v>
      </c>
      <c r="BL610" s="491">
        <f t="shared" si="1373"/>
        <v>80</v>
      </c>
      <c r="BM610" s="371"/>
      <c r="BN610" s="232">
        <f t="shared" si="1374"/>
        <v>10</v>
      </c>
      <c r="BO610" s="232" t="str">
        <f t="shared" si="1375"/>
        <v/>
      </c>
      <c r="BP610" s="232" t="str">
        <f t="shared" si="1376"/>
        <v/>
      </c>
      <c r="BQ610" s="232" t="str">
        <f t="shared" si="1396"/>
        <v/>
      </c>
      <c r="BR610" s="371"/>
      <c r="BS610" s="499">
        <v>60</v>
      </c>
      <c r="BT610" s="500">
        <v>10</v>
      </c>
      <c r="BU610" s="491">
        <f t="shared" si="1377"/>
        <v>30</v>
      </c>
      <c r="BV610" s="371"/>
      <c r="BW610" s="232">
        <f t="shared" si="1378"/>
        <v>60</v>
      </c>
      <c r="BX610" s="232" t="str">
        <f t="shared" si="1379"/>
        <v/>
      </c>
      <c r="BY610" s="232" t="str">
        <f t="shared" si="1380"/>
        <v/>
      </c>
      <c r="BZ610" s="232">
        <f t="shared" si="1397"/>
        <v>1</v>
      </c>
      <c r="CA610" s="371"/>
      <c r="CB610" s="507">
        <f t="shared" si="1381"/>
        <v>60</v>
      </c>
      <c r="CC610" s="508">
        <f t="shared" si="1382"/>
        <v>10</v>
      </c>
      <c r="CD610" s="509">
        <f t="shared" si="1383"/>
        <v>30</v>
      </c>
      <c r="CE610" s="371"/>
      <c r="CF610" s="232">
        <f t="shared" si="1384"/>
        <v>60</v>
      </c>
      <c r="CG610" s="232" t="str">
        <f t="shared" si="1385"/>
        <v/>
      </c>
      <c r="CH610" s="232" t="str">
        <f t="shared" si="1386"/>
        <v/>
      </c>
      <c r="CI610" s="232">
        <f t="shared" si="1398"/>
        <v>1</v>
      </c>
      <c r="CJ610" s="232"/>
      <c r="CK610" s="499">
        <v>80</v>
      </c>
      <c r="CL610" s="500">
        <v>10</v>
      </c>
      <c r="CM610" s="491">
        <f t="shared" si="1387"/>
        <v>10</v>
      </c>
      <c r="CN610" s="371"/>
      <c r="CO610" s="232">
        <f t="shared" si="1388"/>
        <v>80</v>
      </c>
      <c r="CP610" s="232" t="str">
        <f t="shared" si="1389"/>
        <v/>
      </c>
      <c r="CQ610" s="232" t="str">
        <f t="shared" si="1390"/>
        <v/>
      </c>
      <c r="CR610" s="232">
        <f t="shared" si="1399"/>
        <v>1</v>
      </c>
      <c r="CS610" s="232"/>
      <c r="CT610" s="371"/>
      <c r="CU610" s="300"/>
      <c r="CV610" s="246"/>
      <c r="CW610" s="264"/>
    </row>
    <row r="611" spans="1:101" x14ac:dyDescent="0.2">
      <c r="A611" s="264"/>
      <c r="B611" s="264"/>
      <c r="C611" s="202"/>
      <c r="D611" s="271">
        <v>10</v>
      </c>
      <c r="E611" s="169" t="s">
        <v>382</v>
      </c>
      <c r="F611" s="471">
        <v>2</v>
      </c>
      <c r="G611" s="478"/>
      <c r="H611" s="479">
        <v>1</v>
      </c>
      <c r="I611" s="170" t="str">
        <f t="shared" si="1350"/>
        <v>x</v>
      </c>
      <c r="J611" s="387" t="str">
        <f t="shared" si="1351"/>
        <v/>
      </c>
      <c r="K611" s="388" t="str">
        <f t="shared" si="1352"/>
        <v/>
      </c>
      <c r="L611" s="299"/>
      <c r="M611" s="375"/>
      <c r="N611" s="379"/>
      <c r="O611" s="236"/>
      <c r="P611" s="236"/>
      <c r="Q611" s="492">
        <v>50</v>
      </c>
      <c r="R611" s="493">
        <v>30</v>
      </c>
      <c r="S611" s="494">
        <f t="shared" si="1391"/>
        <v>20</v>
      </c>
      <c r="T611" s="371"/>
      <c r="U611" s="232">
        <f t="shared" si="1353"/>
        <v>50</v>
      </c>
      <c r="V611" s="232" t="str">
        <f t="shared" si="1354"/>
        <v/>
      </c>
      <c r="W611" s="232" t="str">
        <f t="shared" si="1355"/>
        <v/>
      </c>
      <c r="X611" s="232">
        <f t="shared" si="1392"/>
        <v>1</v>
      </c>
      <c r="Y611" s="371"/>
      <c r="Z611" s="495">
        <v>80</v>
      </c>
      <c r="AA611" s="496">
        <v>10</v>
      </c>
      <c r="AB611" s="494">
        <f t="shared" si="1356"/>
        <v>10</v>
      </c>
      <c r="AC611" s="371"/>
      <c r="AD611" s="232">
        <f t="shared" si="1357"/>
        <v>80</v>
      </c>
      <c r="AE611" s="232" t="str">
        <f t="shared" si="1358"/>
        <v/>
      </c>
      <c r="AF611" s="232" t="str">
        <f t="shared" si="1359"/>
        <v/>
      </c>
      <c r="AG611" s="232">
        <f t="shared" si="1393"/>
        <v>1</v>
      </c>
      <c r="AH611" s="371"/>
      <c r="AI611" s="495">
        <v>10</v>
      </c>
      <c r="AJ611" s="496">
        <v>20</v>
      </c>
      <c r="AK611" s="494">
        <f t="shared" si="1360"/>
        <v>70</v>
      </c>
      <c r="AL611" s="371"/>
      <c r="AM611" s="232">
        <f t="shared" si="1361"/>
        <v>10</v>
      </c>
      <c r="AN611" s="232" t="str">
        <f t="shared" si="1362"/>
        <v/>
      </c>
      <c r="AO611" s="232" t="str">
        <f t="shared" si="1363"/>
        <v/>
      </c>
      <c r="AP611" s="232" t="str">
        <f t="shared" si="1394"/>
        <v/>
      </c>
      <c r="AQ611" s="371"/>
      <c r="AR611" s="495">
        <v>50</v>
      </c>
      <c r="AS611" s="496">
        <v>20</v>
      </c>
      <c r="AT611" s="494">
        <f t="shared" si="1364"/>
        <v>30</v>
      </c>
      <c r="AU611" s="371"/>
      <c r="AV611" s="232">
        <f t="shared" si="1365"/>
        <v>50</v>
      </c>
      <c r="AW611" s="232" t="str">
        <f t="shared" si="1366"/>
        <v/>
      </c>
      <c r="AX611" s="232" t="str">
        <f t="shared" si="1367"/>
        <v/>
      </c>
      <c r="AY611" s="232">
        <f t="shared" si="1395"/>
        <v>1</v>
      </c>
      <c r="AZ611" s="371"/>
      <c r="BA611" s="495">
        <v>80</v>
      </c>
      <c r="BB611" s="496">
        <v>10</v>
      </c>
      <c r="BC611" s="494">
        <f t="shared" si="1368"/>
        <v>10</v>
      </c>
      <c r="BD611" s="371"/>
      <c r="BE611" s="232">
        <f t="shared" si="1369"/>
        <v>80</v>
      </c>
      <c r="BF611" s="232" t="str">
        <f t="shared" si="1370"/>
        <v/>
      </c>
      <c r="BG611" s="232" t="str">
        <f t="shared" si="1371"/>
        <v/>
      </c>
      <c r="BH611" s="232">
        <f t="shared" si="1372"/>
        <v>1</v>
      </c>
      <c r="BI611" s="371"/>
      <c r="BJ611" s="495">
        <v>10</v>
      </c>
      <c r="BK611" s="496">
        <v>10</v>
      </c>
      <c r="BL611" s="494">
        <f t="shared" si="1373"/>
        <v>80</v>
      </c>
      <c r="BM611" s="371"/>
      <c r="BN611" s="232">
        <f t="shared" si="1374"/>
        <v>10</v>
      </c>
      <c r="BO611" s="232" t="str">
        <f t="shared" si="1375"/>
        <v/>
      </c>
      <c r="BP611" s="232" t="str">
        <f t="shared" si="1376"/>
        <v/>
      </c>
      <c r="BQ611" s="232" t="str">
        <f t="shared" si="1396"/>
        <v/>
      </c>
      <c r="BR611" s="371"/>
      <c r="BS611" s="495">
        <v>50</v>
      </c>
      <c r="BT611" s="496">
        <v>40</v>
      </c>
      <c r="BU611" s="494">
        <f t="shared" si="1377"/>
        <v>10</v>
      </c>
      <c r="BV611" s="371"/>
      <c r="BW611" s="232">
        <f t="shared" si="1378"/>
        <v>50</v>
      </c>
      <c r="BX611" s="232" t="str">
        <f t="shared" si="1379"/>
        <v/>
      </c>
      <c r="BY611" s="232" t="str">
        <f t="shared" si="1380"/>
        <v/>
      </c>
      <c r="BZ611" s="232">
        <f t="shared" si="1397"/>
        <v>1</v>
      </c>
      <c r="CA611" s="371"/>
      <c r="CB611" s="501">
        <f t="shared" si="1381"/>
        <v>50</v>
      </c>
      <c r="CC611" s="502">
        <f t="shared" si="1382"/>
        <v>20</v>
      </c>
      <c r="CD611" s="503">
        <f t="shared" si="1383"/>
        <v>30</v>
      </c>
      <c r="CE611" s="371"/>
      <c r="CF611" s="232">
        <f t="shared" si="1384"/>
        <v>50</v>
      </c>
      <c r="CG611" s="232" t="str">
        <f t="shared" si="1385"/>
        <v/>
      </c>
      <c r="CH611" s="232" t="str">
        <f t="shared" si="1386"/>
        <v/>
      </c>
      <c r="CI611" s="232">
        <f t="shared" si="1398"/>
        <v>1</v>
      </c>
      <c r="CJ611" s="232"/>
      <c r="CK611" s="495">
        <v>30</v>
      </c>
      <c r="CL611" s="496">
        <v>40</v>
      </c>
      <c r="CM611" s="494">
        <f t="shared" si="1387"/>
        <v>30</v>
      </c>
      <c r="CN611" s="371"/>
      <c r="CO611" s="232">
        <f t="shared" si="1388"/>
        <v>30</v>
      </c>
      <c r="CP611" s="232" t="str">
        <f t="shared" si="1389"/>
        <v/>
      </c>
      <c r="CQ611" s="232" t="str">
        <f t="shared" si="1390"/>
        <v/>
      </c>
      <c r="CR611" s="232" t="str">
        <f t="shared" si="1399"/>
        <v/>
      </c>
      <c r="CS611" s="232"/>
      <c r="CT611" s="371"/>
      <c r="CU611" s="300"/>
      <c r="CV611" s="246"/>
      <c r="CW611" s="264"/>
    </row>
    <row r="612" spans="1:101" x14ac:dyDescent="0.2">
      <c r="A612" s="264"/>
      <c r="B612" s="264"/>
      <c r="C612" s="202"/>
      <c r="D612" s="271">
        <v>11</v>
      </c>
      <c r="E612" s="167" t="s">
        <v>383</v>
      </c>
      <c r="F612" s="469">
        <v>2</v>
      </c>
      <c r="G612" s="474"/>
      <c r="H612" s="475">
        <v>1</v>
      </c>
      <c r="I612" s="389" t="str">
        <f t="shared" si="1350"/>
        <v>x</v>
      </c>
      <c r="J612" s="390" t="str">
        <f t="shared" si="1351"/>
        <v/>
      </c>
      <c r="K612" s="391" t="str">
        <f t="shared" si="1352"/>
        <v/>
      </c>
      <c r="L612" s="299"/>
      <c r="M612" s="375"/>
      <c r="N612" s="379"/>
      <c r="O612" s="236"/>
      <c r="P612" s="236"/>
      <c r="Q612" s="483">
        <v>50</v>
      </c>
      <c r="R612" s="484">
        <v>30</v>
      </c>
      <c r="S612" s="485">
        <f t="shared" si="1391"/>
        <v>20</v>
      </c>
      <c r="T612" s="371"/>
      <c r="U612" s="232">
        <f t="shared" si="1353"/>
        <v>50</v>
      </c>
      <c r="V612" s="232" t="str">
        <f t="shared" si="1354"/>
        <v/>
      </c>
      <c r="W612" s="232" t="str">
        <f t="shared" si="1355"/>
        <v/>
      </c>
      <c r="X612" s="232">
        <f t="shared" si="1392"/>
        <v>1</v>
      </c>
      <c r="Y612" s="371"/>
      <c r="Z612" s="497">
        <v>80</v>
      </c>
      <c r="AA612" s="498">
        <v>10</v>
      </c>
      <c r="AB612" s="485">
        <f t="shared" si="1356"/>
        <v>10</v>
      </c>
      <c r="AC612" s="371"/>
      <c r="AD612" s="232">
        <f t="shared" si="1357"/>
        <v>80</v>
      </c>
      <c r="AE612" s="232" t="str">
        <f t="shared" si="1358"/>
        <v/>
      </c>
      <c r="AF612" s="232" t="str">
        <f t="shared" si="1359"/>
        <v/>
      </c>
      <c r="AG612" s="232">
        <f t="shared" si="1393"/>
        <v>1</v>
      </c>
      <c r="AH612" s="371"/>
      <c r="AI612" s="497">
        <v>10</v>
      </c>
      <c r="AJ612" s="498">
        <v>10</v>
      </c>
      <c r="AK612" s="485">
        <f t="shared" si="1360"/>
        <v>80</v>
      </c>
      <c r="AL612" s="371"/>
      <c r="AM612" s="232">
        <f t="shared" si="1361"/>
        <v>10</v>
      </c>
      <c r="AN612" s="232" t="str">
        <f t="shared" si="1362"/>
        <v/>
      </c>
      <c r="AO612" s="232" t="str">
        <f t="shared" si="1363"/>
        <v/>
      </c>
      <c r="AP612" s="232" t="str">
        <f t="shared" si="1394"/>
        <v/>
      </c>
      <c r="AQ612" s="371"/>
      <c r="AR612" s="497">
        <v>60</v>
      </c>
      <c r="AS612" s="498">
        <v>10</v>
      </c>
      <c r="AT612" s="485">
        <f t="shared" si="1364"/>
        <v>30</v>
      </c>
      <c r="AU612" s="371"/>
      <c r="AV612" s="232">
        <f t="shared" si="1365"/>
        <v>60</v>
      </c>
      <c r="AW612" s="232" t="str">
        <f t="shared" si="1366"/>
        <v/>
      </c>
      <c r="AX612" s="232" t="str">
        <f t="shared" si="1367"/>
        <v/>
      </c>
      <c r="AY612" s="232">
        <f t="shared" si="1395"/>
        <v>1</v>
      </c>
      <c r="AZ612" s="371"/>
      <c r="BA612" s="497">
        <v>80</v>
      </c>
      <c r="BB612" s="498">
        <v>10</v>
      </c>
      <c r="BC612" s="485">
        <f t="shared" si="1368"/>
        <v>10</v>
      </c>
      <c r="BD612" s="371"/>
      <c r="BE612" s="232">
        <f t="shared" si="1369"/>
        <v>80</v>
      </c>
      <c r="BF612" s="232" t="str">
        <f t="shared" si="1370"/>
        <v/>
      </c>
      <c r="BG612" s="232" t="str">
        <f t="shared" si="1371"/>
        <v/>
      </c>
      <c r="BH612" s="232">
        <f t="shared" si="1372"/>
        <v>1</v>
      </c>
      <c r="BI612" s="371"/>
      <c r="BJ612" s="497">
        <v>80</v>
      </c>
      <c r="BK612" s="498">
        <v>10</v>
      </c>
      <c r="BL612" s="485">
        <f t="shared" si="1373"/>
        <v>10</v>
      </c>
      <c r="BM612" s="371"/>
      <c r="BN612" s="232">
        <f t="shared" si="1374"/>
        <v>80</v>
      </c>
      <c r="BO612" s="232" t="str">
        <f t="shared" si="1375"/>
        <v/>
      </c>
      <c r="BP612" s="232" t="str">
        <f t="shared" si="1376"/>
        <v/>
      </c>
      <c r="BQ612" s="232">
        <f t="shared" si="1396"/>
        <v>1</v>
      </c>
      <c r="BR612" s="371"/>
      <c r="BS612" s="497">
        <v>30</v>
      </c>
      <c r="BT612" s="498">
        <v>40</v>
      </c>
      <c r="BU612" s="485">
        <f t="shared" si="1377"/>
        <v>30</v>
      </c>
      <c r="BV612" s="371"/>
      <c r="BW612" s="232">
        <f t="shared" si="1378"/>
        <v>30</v>
      </c>
      <c r="BX612" s="232" t="str">
        <f t="shared" si="1379"/>
        <v/>
      </c>
      <c r="BY612" s="232" t="str">
        <f t="shared" si="1380"/>
        <v/>
      </c>
      <c r="BZ612" s="232" t="str">
        <f t="shared" si="1397"/>
        <v/>
      </c>
      <c r="CA612" s="371"/>
      <c r="CB612" s="504">
        <f t="shared" si="1381"/>
        <v>60</v>
      </c>
      <c r="CC612" s="505">
        <f t="shared" si="1382"/>
        <v>10</v>
      </c>
      <c r="CD612" s="506">
        <f t="shared" si="1383"/>
        <v>30</v>
      </c>
      <c r="CE612" s="371"/>
      <c r="CF612" s="232">
        <f t="shared" si="1384"/>
        <v>60</v>
      </c>
      <c r="CG612" s="232" t="str">
        <f t="shared" si="1385"/>
        <v/>
      </c>
      <c r="CH612" s="232" t="str">
        <f t="shared" si="1386"/>
        <v/>
      </c>
      <c r="CI612" s="232">
        <f t="shared" si="1398"/>
        <v>1</v>
      </c>
      <c r="CJ612" s="232"/>
      <c r="CK612" s="497">
        <v>40</v>
      </c>
      <c r="CL612" s="498">
        <v>20</v>
      </c>
      <c r="CM612" s="485">
        <f t="shared" si="1387"/>
        <v>40</v>
      </c>
      <c r="CN612" s="371"/>
      <c r="CO612" s="232">
        <f t="shared" si="1388"/>
        <v>40</v>
      </c>
      <c r="CP612" s="232" t="str">
        <f t="shared" si="1389"/>
        <v/>
      </c>
      <c r="CQ612" s="232" t="str">
        <f t="shared" si="1390"/>
        <v/>
      </c>
      <c r="CR612" s="232">
        <f t="shared" si="1399"/>
        <v>1</v>
      </c>
      <c r="CS612" s="232"/>
      <c r="CT612" s="371"/>
      <c r="CU612" s="300"/>
      <c r="CV612" s="246"/>
      <c r="CW612" s="264"/>
    </row>
    <row r="613" spans="1:101" x14ac:dyDescent="0.2">
      <c r="A613" s="264"/>
      <c r="B613" s="264"/>
      <c r="C613" s="202"/>
      <c r="D613" s="271">
        <v>12</v>
      </c>
      <c r="E613" s="168" t="s">
        <v>384</v>
      </c>
      <c r="F613" s="470">
        <v>1</v>
      </c>
      <c r="G613" s="476"/>
      <c r="H613" s="477">
        <v>1</v>
      </c>
      <c r="I613" s="392" t="str">
        <f t="shared" si="1350"/>
        <v/>
      </c>
      <c r="J613" s="393" t="str">
        <f t="shared" si="1351"/>
        <v>x</v>
      </c>
      <c r="K613" s="394" t="str">
        <f t="shared" si="1352"/>
        <v/>
      </c>
      <c r="L613" s="299"/>
      <c r="M613" s="375"/>
      <c r="N613" s="379"/>
      <c r="O613" s="236"/>
      <c r="P613" s="236"/>
      <c r="Q613" s="489">
        <v>80</v>
      </c>
      <c r="R613" s="490">
        <v>10</v>
      </c>
      <c r="S613" s="491">
        <f t="shared" si="1391"/>
        <v>10</v>
      </c>
      <c r="T613" s="371"/>
      <c r="U613" s="232" t="str">
        <f t="shared" si="1353"/>
        <v/>
      </c>
      <c r="V613" s="232">
        <f t="shared" si="1354"/>
        <v>10</v>
      </c>
      <c r="W613" s="232" t="str">
        <f t="shared" si="1355"/>
        <v/>
      </c>
      <c r="X613" s="232" t="str">
        <f t="shared" si="1392"/>
        <v/>
      </c>
      <c r="Y613" s="371"/>
      <c r="Z613" s="499">
        <v>80</v>
      </c>
      <c r="AA613" s="500">
        <v>10</v>
      </c>
      <c r="AB613" s="491">
        <f t="shared" si="1356"/>
        <v>10</v>
      </c>
      <c r="AC613" s="371"/>
      <c r="AD613" s="232" t="str">
        <f t="shared" si="1357"/>
        <v/>
      </c>
      <c r="AE613" s="232">
        <f t="shared" si="1358"/>
        <v>10</v>
      </c>
      <c r="AF613" s="232" t="str">
        <f t="shared" si="1359"/>
        <v/>
      </c>
      <c r="AG613" s="232" t="str">
        <f t="shared" si="1393"/>
        <v/>
      </c>
      <c r="AH613" s="371"/>
      <c r="AI613" s="499">
        <v>50</v>
      </c>
      <c r="AJ613" s="500">
        <v>30</v>
      </c>
      <c r="AK613" s="491">
        <f t="shared" si="1360"/>
        <v>20</v>
      </c>
      <c r="AL613" s="371"/>
      <c r="AM613" s="232" t="str">
        <f t="shared" si="1361"/>
        <v/>
      </c>
      <c r="AN613" s="232">
        <f t="shared" si="1362"/>
        <v>30</v>
      </c>
      <c r="AO613" s="232" t="str">
        <f t="shared" si="1363"/>
        <v/>
      </c>
      <c r="AP613" s="232" t="str">
        <f t="shared" si="1394"/>
        <v/>
      </c>
      <c r="AQ613" s="371"/>
      <c r="AR613" s="499">
        <v>30</v>
      </c>
      <c r="AS613" s="500">
        <v>40</v>
      </c>
      <c r="AT613" s="491">
        <f t="shared" si="1364"/>
        <v>30</v>
      </c>
      <c r="AU613" s="371"/>
      <c r="AV613" s="232" t="str">
        <f t="shared" si="1365"/>
        <v/>
      </c>
      <c r="AW613" s="232">
        <f t="shared" si="1366"/>
        <v>40</v>
      </c>
      <c r="AX613" s="232" t="str">
        <f t="shared" si="1367"/>
        <v/>
      </c>
      <c r="AY613" s="232">
        <f t="shared" si="1395"/>
        <v>1</v>
      </c>
      <c r="AZ613" s="371"/>
      <c r="BA613" s="499">
        <v>80</v>
      </c>
      <c r="BB613" s="500">
        <v>10</v>
      </c>
      <c r="BC613" s="491">
        <f t="shared" si="1368"/>
        <v>10</v>
      </c>
      <c r="BD613" s="371"/>
      <c r="BE613" s="232" t="str">
        <f t="shared" si="1369"/>
        <v/>
      </c>
      <c r="BF613" s="232">
        <f t="shared" si="1370"/>
        <v>10</v>
      </c>
      <c r="BG613" s="232" t="str">
        <f t="shared" si="1371"/>
        <v/>
      </c>
      <c r="BH613" s="232" t="str">
        <f t="shared" si="1372"/>
        <v/>
      </c>
      <c r="BI613" s="371"/>
      <c r="BJ613" s="499">
        <v>60</v>
      </c>
      <c r="BK613" s="500">
        <v>20</v>
      </c>
      <c r="BL613" s="491">
        <f t="shared" si="1373"/>
        <v>20</v>
      </c>
      <c r="BM613" s="371"/>
      <c r="BN613" s="232" t="str">
        <f t="shared" si="1374"/>
        <v/>
      </c>
      <c r="BO613" s="232">
        <f t="shared" si="1375"/>
        <v>20</v>
      </c>
      <c r="BP613" s="232" t="str">
        <f t="shared" si="1376"/>
        <v/>
      </c>
      <c r="BQ613" s="232" t="str">
        <f t="shared" si="1396"/>
        <v/>
      </c>
      <c r="BR613" s="371"/>
      <c r="BS613" s="499">
        <v>40</v>
      </c>
      <c r="BT613" s="500">
        <v>20</v>
      </c>
      <c r="BU613" s="491">
        <f t="shared" si="1377"/>
        <v>40</v>
      </c>
      <c r="BV613" s="371"/>
      <c r="BW613" s="232" t="str">
        <f t="shared" si="1378"/>
        <v/>
      </c>
      <c r="BX613" s="232">
        <f t="shared" si="1379"/>
        <v>20</v>
      </c>
      <c r="BY613" s="232" t="str">
        <f t="shared" si="1380"/>
        <v/>
      </c>
      <c r="BZ613" s="232" t="str">
        <f t="shared" si="1397"/>
        <v/>
      </c>
      <c r="CA613" s="371"/>
      <c r="CB613" s="507">
        <f t="shared" si="1381"/>
        <v>60</v>
      </c>
      <c r="CC613" s="508">
        <f t="shared" si="1382"/>
        <v>20</v>
      </c>
      <c r="CD613" s="509">
        <f t="shared" si="1383"/>
        <v>20</v>
      </c>
      <c r="CE613" s="371"/>
      <c r="CF613" s="232" t="str">
        <f t="shared" si="1384"/>
        <v/>
      </c>
      <c r="CG613" s="232">
        <f t="shared" si="1385"/>
        <v>20</v>
      </c>
      <c r="CH613" s="232" t="str">
        <f t="shared" si="1386"/>
        <v/>
      </c>
      <c r="CI613" s="232" t="str">
        <f t="shared" si="1398"/>
        <v/>
      </c>
      <c r="CJ613" s="232"/>
      <c r="CK613" s="499">
        <v>70</v>
      </c>
      <c r="CL613" s="500">
        <v>20</v>
      </c>
      <c r="CM613" s="491">
        <f t="shared" si="1387"/>
        <v>10</v>
      </c>
      <c r="CN613" s="371"/>
      <c r="CO613" s="232" t="str">
        <f t="shared" si="1388"/>
        <v/>
      </c>
      <c r="CP613" s="232">
        <f t="shared" si="1389"/>
        <v>20</v>
      </c>
      <c r="CQ613" s="232" t="str">
        <f t="shared" si="1390"/>
        <v/>
      </c>
      <c r="CR613" s="232" t="str">
        <f t="shared" si="1399"/>
        <v/>
      </c>
      <c r="CS613" s="232"/>
      <c r="CT613" s="371"/>
      <c r="CU613" s="300"/>
      <c r="CV613" s="246"/>
      <c r="CW613" s="264"/>
    </row>
    <row r="614" spans="1:101" x14ac:dyDescent="0.2">
      <c r="A614" s="264"/>
      <c r="B614" s="264"/>
      <c r="C614" s="202"/>
      <c r="D614" s="272"/>
      <c r="E614" s="235"/>
      <c r="F614" s="395">
        <f>IF(SUM(F602:F613)=0,"",SUM(F602:F613))</f>
        <v>19</v>
      </c>
      <c r="G614" s="370" t="s">
        <v>49</v>
      </c>
      <c r="H614" s="396">
        <f>IF(SUM(H602:H613)=0,"",SUM(H602:H613))</f>
        <v>11</v>
      </c>
      <c r="I614" s="397">
        <f>IF(COUNTIF(I602:I613,"=x")=0,"",COUNTIF(I602:I613,"=x"))</f>
        <v>6</v>
      </c>
      <c r="J614" s="398">
        <f>IF(COUNTIF(J602:J613,"=x")=0,"",COUNTIF(J602:J613,"=x"))</f>
        <v>2</v>
      </c>
      <c r="K614" s="399">
        <f>IF(COUNTIF(K602:K613,"=x")=0,"",COUNTIF(K602:K613,"=x"))</f>
        <v>4</v>
      </c>
      <c r="L614" s="299"/>
      <c r="M614" s="375"/>
      <c r="N614" s="379"/>
      <c r="O614" s="236"/>
      <c r="P614" s="369"/>
      <c r="Q614" s="466">
        <f>SUM(U602:U613)</f>
        <v>330</v>
      </c>
      <c r="R614" s="466">
        <f>SUM(V602:V613)</f>
        <v>50</v>
      </c>
      <c r="S614" s="466">
        <f>SUM(W602:W613)</f>
        <v>70</v>
      </c>
      <c r="T614" s="368"/>
      <c r="U614" s="232"/>
      <c r="V614" s="232"/>
      <c r="W614" s="232"/>
      <c r="X614" s="232"/>
      <c r="Y614" s="367"/>
      <c r="Z614" s="466">
        <f>SUM(AD602:AD613)</f>
        <v>450</v>
      </c>
      <c r="AA614" s="466">
        <f>SUM(AE602:AE613)</f>
        <v>20</v>
      </c>
      <c r="AB614" s="466">
        <f>SUM(AF602:AF613)</f>
        <v>110</v>
      </c>
      <c r="AC614" s="368"/>
      <c r="AD614" s="232"/>
      <c r="AE614" s="232"/>
      <c r="AF614" s="232"/>
      <c r="AG614" s="232"/>
      <c r="AH614" s="367"/>
      <c r="AI614" s="466">
        <f>SUM(AM602:AM613)</f>
        <v>270</v>
      </c>
      <c r="AJ614" s="466">
        <f>SUM(AN602:AN613)</f>
        <v>60</v>
      </c>
      <c r="AK614" s="466">
        <f>SUM(AO602:AO613)</f>
        <v>120</v>
      </c>
      <c r="AL614" s="368"/>
      <c r="AM614" s="232"/>
      <c r="AN614" s="232"/>
      <c r="AO614" s="232"/>
      <c r="AP614" s="232"/>
      <c r="AQ614" s="367"/>
      <c r="AR614" s="466">
        <f>SUM(AV602:AV613)</f>
        <v>270</v>
      </c>
      <c r="AS614" s="466">
        <f>SUM(AW602:AW613)</f>
        <v>80</v>
      </c>
      <c r="AT614" s="466">
        <f>SUM(AX602:AX613)</f>
        <v>140</v>
      </c>
      <c r="AU614" s="368"/>
      <c r="AV614" s="232"/>
      <c r="AW614" s="232"/>
      <c r="AX614" s="232"/>
      <c r="AY614" s="232"/>
      <c r="AZ614" s="367"/>
      <c r="BA614" s="466">
        <f>SUM(BE602:BE613)</f>
        <v>450</v>
      </c>
      <c r="BB614" s="466">
        <f>SUM(BF602:BF613)</f>
        <v>20</v>
      </c>
      <c r="BC614" s="466">
        <f>SUM(BG602:BG613)</f>
        <v>110</v>
      </c>
      <c r="BD614" s="368"/>
      <c r="BE614" s="232"/>
      <c r="BF614" s="232"/>
      <c r="BG614" s="232"/>
      <c r="BH614" s="232"/>
      <c r="BI614" s="367"/>
      <c r="BJ614" s="466">
        <f>SUM(BN602:BN613)</f>
        <v>270</v>
      </c>
      <c r="BK614" s="466">
        <f>SUM(BO602:BO613)</f>
        <v>30</v>
      </c>
      <c r="BL614" s="466">
        <f>SUM(BP602:BP613)</f>
        <v>160</v>
      </c>
      <c r="BM614" s="368"/>
      <c r="BN614" s="232"/>
      <c r="BO614" s="232"/>
      <c r="BP614" s="232"/>
      <c r="BQ614" s="232"/>
      <c r="BR614" s="367"/>
      <c r="BS614" s="466">
        <f>SUM(BW602:BW613)</f>
        <v>320</v>
      </c>
      <c r="BT614" s="466">
        <f>SUM(BX602:BX613)</f>
        <v>50</v>
      </c>
      <c r="BU614" s="466">
        <f>SUM(BY602:BY613)</f>
        <v>160</v>
      </c>
      <c r="BV614" s="368"/>
      <c r="BW614" s="232"/>
      <c r="BX614" s="232"/>
      <c r="BY614" s="232"/>
      <c r="BZ614" s="232"/>
      <c r="CA614" s="369"/>
      <c r="CB614" s="466">
        <f>SUM(CF602:CF613)</f>
        <v>370</v>
      </c>
      <c r="CC614" s="466">
        <f>SUM(CG602:CG613)</f>
        <v>40</v>
      </c>
      <c r="CD614" s="466">
        <f>SUM(CH602:CH613)</f>
        <v>120</v>
      </c>
      <c r="CE614" s="368"/>
      <c r="CF614" s="232"/>
      <c r="CG614" s="232"/>
      <c r="CH614" s="232"/>
      <c r="CI614" s="232"/>
      <c r="CJ614" s="232"/>
      <c r="CK614" s="466">
        <f>SUM(CO602:CO613)</f>
        <v>340</v>
      </c>
      <c r="CL614" s="466">
        <f>SUM(CP602:CP613)</f>
        <v>40</v>
      </c>
      <c r="CM614" s="466">
        <f>SUM(CQ602:CQ613)</f>
        <v>80</v>
      </c>
      <c r="CN614" s="368"/>
      <c r="CO614" s="232"/>
      <c r="CP614" s="232"/>
      <c r="CQ614" s="232"/>
      <c r="CR614" s="232"/>
      <c r="CS614" s="232"/>
      <c r="CT614" s="232"/>
      <c r="CU614" s="300"/>
      <c r="CV614" s="246"/>
      <c r="CW614" s="265"/>
    </row>
    <row r="615" spans="1:101" ht="13.5" thickBot="1" x14ac:dyDescent="0.25">
      <c r="A615" s="264"/>
      <c r="B615" s="264"/>
      <c r="C615" s="202"/>
      <c r="D615" s="289"/>
      <c r="E615" s="282"/>
      <c r="F615" s="283"/>
      <c r="G615" s="282"/>
      <c r="H615" s="282"/>
      <c r="I615" s="282"/>
      <c r="J615" s="282"/>
      <c r="K615" s="282"/>
      <c r="L615" s="293"/>
      <c r="M615" s="301"/>
      <c r="N615" s="380"/>
      <c r="O615" s="376"/>
      <c r="P615" s="284"/>
      <c r="Q615" s="285"/>
      <c r="R615" s="285"/>
      <c r="S615" s="285"/>
      <c r="T615" s="286"/>
      <c r="U615" s="287"/>
      <c r="V615" s="287"/>
      <c r="W615" s="287"/>
      <c r="X615" s="287"/>
      <c r="Y615" s="284"/>
      <c r="Z615" s="285"/>
      <c r="AA615" s="285"/>
      <c r="AB615" s="285"/>
      <c r="AC615" s="286"/>
      <c r="AD615" s="287"/>
      <c r="AE615" s="287"/>
      <c r="AF615" s="287"/>
      <c r="AG615" s="288"/>
      <c r="AH615" s="284"/>
      <c r="AI615" s="285"/>
      <c r="AJ615" s="285"/>
      <c r="AK615" s="285"/>
      <c r="AL615" s="286"/>
      <c r="AM615" s="287"/>
      <c r="AN615" s="287"/>
      <c r="AO615" s="287"/>
      <c r="AP615" s="288"/>
      <c r="AQ615" s="284"/>
      <c r="AR615" s="285"/>
      <c r="AS615" s="285"/>
      <c r="AT615" s="285"/>
      <c r="AU615" s="286"/>
      <c r="AV615" s="287"/>
      <c r="AW615" s="287"/>
      <c r="AX615" s="287"/>
      <c r="AY615" s="288"/>
      <c r="AZ615" s="284"/>
      <c r="BA615" s="285"/>
      <c r="BB615" s="285"/>
      <c r="BC615" s="285"/>
      <c r="BD615" s="286"/>
      <c r="BE615" s="287"/>
      <c r="BF615" s="287"/>
      <c r="BG615" s="287"/>
      <c r="BH615" s="288"/>
      <c r="BI615" s="284"/>
      <c r="BJ615" s="284"/>
      <c r="BK615" s="284"/>
      <c r="BL615" s="284"/>
      <c r="BM615" s="284"/>
      <c r="BN615" s="284"/>
      <c r="BO615" s="284"/>
      <c r="BP615" s="284"/>
      <c r="BQ615" s="284"/>
      <c r="BR615" s="284"/>
      <c r="BS615" s="284"/>
      <c r="BT615" s="284"/>
      <c r="BU615" s="284"/>
      <c r="BV615" s="284"/>
      <c r="BW615" s="284"/>
      <c r="BX615" s="284"/>
      <c r="BY615" s="284"/>
      <c r="BZ615" s="284"/>
      <c r="CA615" s="284"/>
      <c r="CB615" s="284"/>
      <c r="CC615" s="284"/>
      <c r="CD615" s="284"/>
      <c r="CE615" s="284"/>
      <c r="CF615" s="284"/>
      <c r="CG615" s="284"/>
      <c r="CH615" s="284"/>
      <c r="CI615" s="284"/>
      <c r="CJ615" s="288"/>
      <c r="CK615" s="288"/>
      <c r="CL615" s="288"/>
      <c r="CM615" s="288"/>
      <c r="CN615" s="288"/>
      <c r="CO615" s="288"/>
      <c r="CP615" s="288"/>
      <c r="CQ615" s="288"/>
      <c r="CR615" s="288"/>
      <c r="CS615" s="288"/>
      <c r="CT615" s="282"/>
      <c r="CU615" s="294"/>
      <c r="CV615" s="246"/>
      <c r="CW615" s="265"/>
    </row>
    <row r="616" spans="1:101" ht="14.25" thickTop="1" thickBot="1" x14ac:dyDescent="0.25">
      <c r="A616" s="256"/>
      <c r="B616" s="256"/>
      <c r="C616" s="210"/>
      <c r="D616" s="211"/>
      <c r="E616" s="247"/>
      <c r="F616" s="248"/>
      <c r="G616" s="247"/>
      <c r="H616" s="247"/>
      <c r="I616" s="247"/>
      <c r="J616" s="247"/>
      <c r="K616" s="247"/>
      <c r="L616" s="249"/>
      <c r="M616" s="250"/>
      <c r="N616" s="250"/>
      <c r="O616" s="250"/>
      <c r="P616" s="250"/>
      <c r="Q616" s="247"/>
      <c r="R616" s="247"/>
      <c r="S616" s="247"/>
      <c r="T616" s="251"/>
      <c r="U616" s="252"/>
      <c r="V616" s="252"/>
      <c r="W616" s="252"/>
      <c r="X616" s="252"/>
      <c r="Y616" s="250"/>
      <c r="Z616" s="247"/>
      <c r="AA616" s="247"/>
      <c r="AB616" s="247"/>
      <c r="AC616" s="251"/>
      <c r="AD616" s="252"/>
      <c r="AE616" s="252"/>
      <c r="AF616" s="252"/>
      <c r="AG616" s="247"/>
      <c r="AH616" s="250"/>
      <c r="AI616" s="247"/>
      <c r="AJ616" s="247"/>
      <c r="AK616" s="247"/>
      <c r="AL616" s="251"/>
      <c r="AM616" s="252"/>
      <c r="AN616" s="252"/>
      <c r="AO616" s="252"/>
      <c r="AP616" s="253"/>
      <c r="AQ616" s="250"/>
      <c r="AR616" s="247"/>
      <c r="AS616" s="247"/>
      <c r="AT616" s="247"/>
      <c r="AU616" s="251"/>
      <c r="AV616" s="252"/>
      <c r="AW616" s="252"/>
      <c r="AX616" s="252"/>
      <c r="AY616" s="247"/>
      <c r="AZ616" s="250"/>
      <c r="BA616" s="247"/>
      <c r="BB616" s="247"/>
      <c r="BC616" s="247"/>
      <c r="BD616" s="251"/>
      <c r="BE616" s="252"/>
      <c r="BF616" s="252"/>
      <c r="BG616" s="252"/>
      <c r="BH616" s="247"/>
      <c r="BI616" s="250"/>
      <c r="BJ616" s="247"/>
      <c r="BK616" s="247"/>
      <c r="BL616" s="247"/>
      <c r="BM616" s="251"/>
      <c r="BN616" s="252"/>
      <c r="BO616" s="252"/>
      <c r="BP616" s="252"/>
      <c r="BQ616" s="247"/>
      <c r="BR616" s="212"/>
      <c r="BS616" s="247"/>
      <c r="BT616" s="247"/>
      <c r="BU616" s="247"/>
      <c r="BV616" s="250"/>
      <c r="BW616" s="252"/>
      <c r="BX616" s="252"/>
      <c r="BY616" s="252"/>
      <c r="BZ616" s="247"/>
      <c r="CA616" s="247"/>
      <c r="CB616" s="253"/>
      <c r="CC616" s="253"/>
      <c r="CD616" s="253"/>
      <c r="CE616" s="253"/>
      <c r="CF616" s="247"/>
      <c r="CG616" s="247"/>
      <c r="CH616" s="247"/>
      <c r="CI616" s="247"/>
      <c r="CJ616" s="247"/>
      <c r="CK616" s="247"/>
      <c r="CL616" s="247"/>
      <c r="CM616" s="247"/>
      <c r="CN616" s="247"/>
      <c r="CO616" s="247"/>
      <c r="CP616" s="247"/>
      <c r="CQ616" s="247"/>
      <c r="CR616" s="247"/>
      <c r="CS616" s="247"/>
      <c r="CT616" s="247"/>
      <c r="CU616" s="247"/>
      <c r="CV616" s="254"/>
      <c r="CW616" s="255"/>
    </row>
    <row r="617" spans="1:101" ht="14.25" thickTop="1" thickBot="1" x14ac:dyDescent="0.25">
      <c r="A617" s="255"/>
      <c r="B617" s="255"/>
      <c r="C617" s="255"/>
      <c r="D617" s="255"/>
      <c r="E617" s="255"/>
      <c r="F617" s="255"/>
      <c r="G617" s="255"/>
      <c r="H617" s="255"/>
      <c r="I617" s="255"/>
      <c r="J617" s="255"/>
      <c r="K617" s="255"/>
      <c r="L617" s="255"/>
      <c r="M617" s="255"/>
      <c r="N617" s="255"/>
      <c r="O617" s="255"/>
      <c r="P617" s="255"/>
      <c r="Q617" s="255"/>
      <c r="R617" s="255"/>
      <c r="S617" s="255"/>
      <c r="T617" s="255"/>
      <c r="U617" s="255"/>
      <c r="V617" s="255"/>
      <c r="W617" s="255"/>
      <c r="X617" s="255"/>
      <c r="Y617" s="255"/>
      <c r="Z617" s="255"/>
      <c r="AA617" s="255"/>
      <c r="AB617" s="255"/>
      <c r="AC617" s="255"/>
      <c r="AD617" s="255"/>
      <c r="AE617" s="255"/>
      <c r="AF617" s="255"/>
      <c r="AG617" s="255"/>
      <c r="AH617" s="255"/>
      <c r="AI617" s="255"/>
      <c r="AJ617" s="255"/>
      <c r="AK617" s="255"/>
      <c r="AL617" s="255"/>
      <c r="AM617" s="255"/>
      <c r="AN617" s="255"/>
      <c r="AO617" s="255"/>
      <c r="AP617" s="255"/>
      <c r="AQ617" s="255"/>
      <c r="AR617" s="255"/>
      <c r="AS617" s="255"/>
      <c r="AT617" s="255"/>
      <c r="AU617" s="255"/>
      <c r="AV617" s="255"/>
      <c r="AW617" s="255"/>
      <c r="AX617" s="255"/>
      <c r="AY617" s="255"/>
      <c r="AZ617" s="255"/>
      <c r="BA617" s="255"/>
      <c r="BB617" s="255"/>
      <c r="BC617" s="255"/>
      <c r="BD617" s="255"/>
      <c r="BE617" s="255"/>
      <c r="BF617" s="255"/>
      <c r="BG617" s="255"/>
      <c r="BH617" s="255"/>
      <c r="BI617" s="255"/>
      <c r="BJ617" s="255"/>
      <c r="BK617" s="255"/>
      <c r="BL617" s="255"/>
      <c r="BM617" s="255"/>
      <c r="BN617" s="255"/>
      <c r="BO617" s="255"/>
      <c r="BP617" s="255"/>
      <c r="BQ617" s="255"/>
      <c r="BR617" s="255"/>
      <c r="BS617" s="255"/>
      <c r="BT617" s="255"/>
      <c r="BU617" s="255"/>
      <c r="BV617" s="255"/>
      <c r="BW617" s="255"/>
      <c r="BX617" s="255"/>
      <c r="BY617" s="255"/>
      <c r="BZ617" s="255"/>
      <c r="CA617" s="255"/>
      <c r="CB617" s="436"/>
      <c r="CC617" s="436"/>
      <c r="CD617" s="436"/>
      <c r="CE617" s="436"/>
      <c r="CF617" s="255"/>
      <c r="CG617" s="255"/>
      <c r="CH617" s="255"/>
      <c r="CI617" s="255"/>
      <c r="CJ617" s="255"/>
      <c r="CK617" s="255"/>
      <c r="CL617" s="255"/>
      <c r="CM617" s="255"/>
      <c r="CN617" s="255"/>
      <c r="CO617" s="255"/>
      <c r="CP617" s="255"/>
      <c r="CQ617" s="255"/>
      <c r="CR617" s="255"/>
      <c r="CS617" s="255"/>
      <c r="CT617" s="255"/>
      <c r="CU617" s="255"/>
      <c r="CV617" s="255"/>
      <c r="CW617" s="255"/>
    </row>
    <row r="618" spans="1:101" ht="21" thickTop="1" x14ac:dyDescent="0.3">
      <c r="A618" s="256"/>
      <c r="B618" s="256"/>
      <c r="C618" s="190"/>
      <c r="D618" s="191"/>
      <c r="E618" s="866" t="str">
        <f>E2</f>
        <v>STPS 2026</v>
      </c>
      <c r="F618" s="267"/>
      <c r="G618" s="267"/>
      <c r="H618" s="267"/>
      <c r="I618" s="192"/>
      <c r="J618" s="192"/>
      <c r="K618" s="192"/>
      <c r="L618" s="193"/>
      <c r="M618" s="192"/>
      <c r="N618" s="192"/>
      <c r="O618" s="192"/>
      <c r="P618" s="194"/>
      <c r="Q618" s="192"/>
      <c r="R618" s="192"/>
      <c r="S618" s="192"/>
      <c r="T618" s="195"/>
      <c r="U618" s="196"/>
      <c r="V618" s="196"/>
      <c r="W618" s="196"/>
      <c r="X618" s="196"/>
      <c r="Y618" s="194"/>
      <c r="Z618" s="192"/>
      <c r="AA618" s="192"/>
      <c r="AB618" s="192"/>
      <c r="AC618" s="195"/>
      <c r="AD618" s="196"/>
      <c r="AE618" s="196"/>
      <c r="AF618" s="196"/>
      <c r="AG618" s="197"/>
      <c r="AH618" s="194"/>
      <c r="AI618" s="192"/>
      <c r="AJ618" s="237"/>
      <c r="AK618" s="237"/>
      <c r="AL618" s="198"/>
      <c r="AM618" s="238"/>
      <c r="AN618" s="238"/>
      <c r="AO618" s="238"/>
      <c r="AP618" s="197"/>
      <c r="AQ618" s="239"/>
      <c r="AR618" s="240"/>
      <c r="AS618" s="199"/>
      <c r="AT618" s="200"/>
      <c r="AU618" s="198"/>
      <c r="AV618" s="196"/>
      <c r="AW618" s="196"/>
      <c r="AX618" s="196"/>
      <c r="AY618" s="197"/>
      <c r="AZ618" s="239"/>
      <c r="BA618" s="240"/>
      <c r="BB618" s="200"/>
      <c r="BC618" s="237"/>
      <c r="BD618" s="241"/>
      <c r="BE618" s="196"/>
      <c r="BF618" s="196"/>
      <c r="BG618" s="196"/>
      <c r="BH618" s="197"/>
      <c r="BI618" s="242"/>
      <c r="BJ618" s="237"/>
      <c r="BK618" s="237"/>
      <c r="BL618" s="237"/>
      <c r="BM618" s="241"/>
      <c r="BN618" s="196"/>
      <c r="BO618" s="196"/>
      <c r="BP618" s="196"/>
      <c r="BQ618" s="197"/>
      <c r="BR618" s="201"/>
      <c r="BS618" s="237"/>
      <c r="BT618" s="237"/>
      <c r="BU618" s="237"/>
      <c r="BV618" s="242"/>
      <c r="BW618" s="237"/>
      <c r="BX618" s="237"/>
      <c r="BY618" s="237"/>
      <c r="BZ618" s="237"/>
      <c r="CA618" s="237"/>
      <c r="CB618" s="437"/>
      <c r="CC618" s="437"/>
      <c r="CD618" s="437"/>
      <c r="CE618" s="437"/>
      <c r="CF618" s="237"/>
      <c r="CG618" s="237"/>
      <c r="CH618" s="237"/>
      <c r="CI618" s="237"/>
      <c r="CJ618" s="197"/>
      <c r="CK618" s="197"/>
      <c r="CL618" s="197"/>
      <c r="CM618" s="197"/>
      <c r="CN618" s="197"/>
      <c r="CO618" s="197"/>
      <c r="CP618" s="197"/>
      <c r="CQ618" s="197"/>
      <c r="CR618" s="197"/>
      <c r="CS618" s="197"/>
      <c r="CT618" s="401"/>
      <c r="CU618" s="237"/>
      <c r="CV618" s="243"/>
      <c r="CW618" s="255"/>
    </row>
    <row r="619" spans="1:101" ht="13.5" thickBot="1" x14ac:dyDescent="0.25">
      <c r="A619" s="256"/>
      <c r="B619" s="256"/>
      <c r="C619" s="202"/>
      <c r="D619" s="188"/>
      <c r="E619" s="266" t="str">
        <f>E3</f>
        <v>Skorgen Tippelag</v>
      </c>
      <c r="F619" s="406"/>
      <c r="G619" s="406"/>
      <c r="H619" s="406"/>
      <c r="I619" s="406"/>
      <c r="J619" s="406"/>
      <c r="K619" s="406"/>
      <c r="L619" s="406"/>
      <c r="M619" s="406"/>
      <c r="N619" s="406"/>
      <c r="O619" s="406"/>
      <c r="P619" s="406"/>
      <c r="Q619" s="406"/>
      <c r="R619" s="406"/>
      <c r="S619" s="406"/>
      <c r="T619" s="406"/>
      <c r="U619" s="406"/>
      <c r="V619" s="406"/>
      <c r="W619" s="406"/>
      <c r="X619" s="406"/>
      <c r="Y619" s="406"/>
      <c r="Z619" s="406"/>
      <c r="AA619" s="406"/>
      <c r="AB619" s="406"/>
      <c r="AC619" s="406"/>
      <c r="AD619" s="406"/>
      <c r="AE619" s="406"/>
      <c r="AF619" s="406"/>
      <c r="AG619" s="406"/>
      <c r="AH619" s="406"/>
      <c r="AI619" s="406"/>
      <c r="AJ619" s="406"/>
      <c r="AK619" s="406"/>
      <c r="AL619" s="406"/>
      <c r="AM619" s="406"/>
      <c r="AN619" s="406"/>
      <c r="AO619" s="406"/>
      <c r="AP619" s="406"/>
      <c r="AQ619" s="406"/>
      <c r="AR619" s="406"/>
      <c r="AS619" s="406"/>
      <c r="AT619" s="406"/>
      <c r="AU619" s="406"/>
      <c r="AV619" s="406"/>
      <c r="AW619" s="406"/>
      <c r="AX619" s="406"/>
      <c r="AY619" s="406"/>
      <c r="AZ619" s="406"/>
      <c r="BA619" s="406"/>
      <c r="BB619" s="406"/>
      <c r="BC619" s="406"/>
      <c r="BD619" s="406"/>
      <c r="BE619" s="406"/>
      <c r="BF619" s="406"/>
      <c r="BG619" s="406"/>
      <c r="BH619" s="406"/>
      <c r="BI619" s="406"/>
      <c r="BJ619" s="406"/>
      <c r="BK619" s="406"/>
      <c r="BL619" s="406"/>
      <c r="BM619" s="406"/>
      <c r="BN619" s="406"/>
      <c r="BO619" s="406"/>
      <c r="BP619" s="406"/>
      <c r="BQ619" s="406"/>
      <c r="BR619" s="406"/>
      <c r="BS619" s="406"/>
      <c r="BT619" s="406"/>
      <c r="BU619" s="406"/>
      <c r="BV619" s="406"/>
      <c r="BW619" s="406"/>
      <c r="BX619" s="406"/>
      <c r="BY619" s="406"/>
      <c r="BZ619" s="406"/>
      <c r="CA619" s="406"/>
      <c r="CB619" s="438"/>
      <c r="CC619" s="438"/>
      <c r="CD619" s="438"/>
      <c r="CE619" s="438"/>
      <c r="CF619" s="406"/>
      <c r="CG619" s="406"/>
      <c r="CH619" s="406"/>
      <c r="CI619" s="406"/>
      <c r="CJ619" s="406"/>
      <c r="CK619" s="406"/>
      <c r="CL619" s="406"/>
      <c r="CM619" s="406"/>
      <c r="CN619" s="366"/>
      <c r="CO619" s="366"/>
      <c r="CP619" s="366"/>
      <c r="CQ619" s="366"/>
      <c r="CR619" s="366"/>
      <c r="CS619" s="366"/>
      <c r="CT619" s="187"/>
      <c r="CU619" s="310"/>
      <c r="CV619" s="246"/>
      <c r="CW619" s="255"/>
    </row>
    <row r="620" spans="1:101" ht="18.75" thickTop="1" x14ac:dyDescent="0.2">
      <c r="A620" s="256"/>
      <c r="B620" s="256"/>
      <c r="C620" s="209"/>
      <c r="D620" s="290"/>
      <c r="E620" s="273"/>
      <c r="F620" s="274"/>
      <c r="G620" s="273"/>
      <c r="H620" s="273"/>
      <c r="I620" s="803" t="s">
        <v>39</v>
      </c>
      <c r="J620" s="805"/>
      <c r="K620" s="805"/>
      <c r="L620" s="291"/>
      <c r="M620" s="302"/>
      <c r="N620" s="242"/>
      <c r="O620" s="275"/>
      <c r="P620" s="275"/>
      <c r="Q620" s="808">
        <f>IF($F624="","",SUM(Q636:S636)-S622)</f>
        <v>340</v>
      </c>
      <c r="R620" s="808"/>
      <c r="S620" s="808"/>
      <c r="T620" s="276"/>
      <c r="U620" s="277"/>
      <c r="V620" s="277"/>
      <c r="W620" s="277"/>
      <c r="X620" s="277"/>
      <c r="Y620" s="275"/>
      <c r="Z620" s="808">
        <f>IF($F624="","",SUM(Z636:AB636)-AB622)</f>
        <v>400</v>
      </c>
      <c r="AA620" s="808"/>
      <c r="AB620" s="808"/>
      <c r="AC620" s="276"/>
      <c r="AD620" s="277"/>
      <c r="AE620" s="277"/>
      <c r="AF620" s="277"/>
      <c r="AG620" s="273"/>
      <c r="AH620" s="275"/>
      <c r="AI620" s="808">
        <f>IF($F624="","",SUM(AI636:AK636)-AK622)</f>
        <v>420</v>
      </c>
      <c r="AJ620" s="808"/>
      <c r="AK620" s="808"/>
      <c r="AL620" s="276"/>
      <c r="AM620" s="277"/>
      <c r="AN620" s="277"/>
      <c r="AO620" s="277"/>
      <c r="AP620" s="273"/>
      <c r="AQ620" s="275"/>
      <c r="AR620" s="808">
        <f>IF($F624="","",SUM(AR636:AT636)-AT622)</f>
        <v>550</v>
      </c>
      <c r="AS620" s="808"/>
      <c r="AT620" s="808"/>
      <c r="AU620" s="278"/>
      <c r="AV620" s="277"/>
      <c r="AW620" s="277"/>
      <c r="AX620" s="277"/>
      <c r="AY620" s="279"/>
      <c r="AZ620" s="280"/>
      <c r="BA620" s="808">
        <f>IF($F624="","",SUM(BA636:BC636)-BC622)</f>
        <v>400</v>
      </c>
      <c r="BB620" s="808"/>
      <c r="BC620" s="808"/>
      <c r="BD620" s="278"/>
      <c r="BE620" s="277"/>
      <c r="BF620" s="277"/>
      <c r="BG620" s="277"/>
      <c r="BH620" s="279"/>
      <c r="BI620" s="280"/>
      <c r="BJ620" s="808">
        <f>IF($F624="","",SUM(BJ636:BL636)-BL622)</f>
        <v>490</v>
      </c>
      <c r="BK620" s="808"/>
      <c r="BL620" s="808"/>
      <c r="BM620" s="278"/>
      <c r="BN620" s="277"/>
      <c r="BO620" s="277"/>
      <c r="BP620" s="277"/>
      <c r="BQ620" s="279"/>
      <c r="BR620" s="281"/>
      <c r="BS620" s="808">
        <f>IF($F624="","",SUM(BS636:BU636)-BU622)</f>
        <v>450</v>
      </c>
      <c r="BT620" s="808"/>
      <c r="BU620" s="808"/>
      <c r="BV620" s="280"/>
      <c r="BW620" s="279"/>
      <c r="BX620" s="279"/>
      <c r="BY620" s="279"/>
      <c r="BZ620" s="279"/>
      <c r="CA620" s="281"/>
      <c r="CB620" s="808">
        <f>IF($F624="","",SUM(CB636:CD636)-CD622)</f>
        <v>420</v>
      </c>
      <c r="CC620" s="808"/>
      <c r="CD620" s="808"/>
      <c r="CE620" s="280"/>
      <c r="CF620" s="279"/>
      <c r="CG620" s="279"/>
      <c r="CH620" s="279"/>
      <c r="CI620" s="279"/>
      <c r="CJ620" s="273"/>
      <c r="CK620" s="808">
        <f>IF($F624="","",SUM(CK636:CM636))</f>
        <v>410</v>
      </c>
      <c r="CL620" s="808"/>
      <c r="CM620" s="808"/>
      <c r="CN620" s="280"/>
      <c r="CO620" s="279"/>
      <c r="CP620" s="279"/>
      <c r="CQ620" s="279"/>
      <c r="CR620" s="273"/>
      <c r="CS620" s="273"/>
      <c r="CT620" s="273"/>
      <c r="CU620" s="292"/>
      <c r="CV620" s="246"/>
      <c r="CW620" s="255"/>
    </row>
    <row r="621" spans="1:101" x14ac:dyDescent="0.2">
      <c r="A621" s="256"/>
      <c r="B621" s="256"/>
      <c r="C621" s="209"/>
      <c r="D621" s="916">
        <v>16</v>
      </c>
      <c r="E621" s="588">
        <f>IF(D621="","",DATE($D$3,1,1)+(D621-1)*7+(6-WEEKDAY(DATE($D$3,1,1),2)))</f>
        <v>46130</v>
      </c>
      <c r="F621" s="213"/>
      <c r="G621" s="214"/>
      <c r="H621" s="214"/>
      <c r="I621" s="804">
        <f>IF(ISERROR(AVERAGE(Q620,Z620,AI620,AR620,BA620,BJ620,BS620,CB620,CK620)),"",AVERAGE(Q620,Z620,AI620,AR620,BA620,BJ620,BS620,CB620,CK620))</f>
        <v>431.11111111111109</v>
      </c>
      <c r="J621" s="806"/>
      <c r="K621" s="806"/>
      <c r="L621" s="295"/>
      <c r="M621" s="372"/>
      <c r="N621" s="245"/>
      <c r="O621" s="215"/>
      <c r="P621" s="215"/>
      <c r="Q621" s="710">
        <f>IF(Q620="","",Q620/Data!$X$1)</f>
        <v>0.28333333333333333</v>
      </c>
      <c r="R621" s="710"/>
      <c r="S621" s="711">
        <f>IF(SUM(X624:X635)=0,"",SUM(X624:X635))</f>
        <v>3</v>
      </c>
      <c r="T621" s="216"/>
      <c r="U621" s="217"/>
      <c r="V621" s="217"/>
      <c r="W621" s="217"/>
      <c r="X621" s="217"/>
      <c r="Y621" s="215"/>
      <c r="Z621" s="710">
        <f>IF(Z620="","",Z620/Data!$X$1)</f>
        <v>0.33333333333333331</v>
      </c>
      <c r="AA621" s="710"/>
      <c r="AB621" s="711">
        <f>IF(SUM(AG624:AG635)=0,"",SUM(AG624:AG635))</f>
        <v>4</v>
      </c>
      <c r="AC621" s="216"/>
      <c r="AD621" s="217"/>
      <c r="AE621" s="217"/>
      <c r="AF621" s="217"/>
      <c r="AG621" s="217"/>
      <c r="AH621" s="215"/>
      <c r="AI621" s="710">
        <f>IF(AI620="","",AI620/Data!$X$1)</f>
        <v>0.35</v>
      </c>
      <c r="AJ621" s="710"/>
      <c r="AK621" s="711">
        <f>IF(SUM(AP624:AP635)=0,"",SUM(AP624:AP635))</f>
        <v>4</v>
      </c>
      <c r="AL621" s="216"/>
      <c r="AM621" s="217"/>
      <c r="AN621" s="217"/>
      <c r="AO621" s="217"/>
      <c r="AP621" s="217"/>
      <c r="AQ621" s="215"/>
      <c r="AR621" s="710">
        <f>IF(AR620="","",AR620/Data!$X$1)</f>
        <v>0.45833333333333331</v>
      </c>
      <c r="AS621" s="710"/>
      <c r="AT621" s="711">
        <f>IF(SUM(AY624:AY635)=0,"",SUM(AY624:AY635))</f>
        <v>8</v>
      </c>
      <c r="AU621" s="218"/>
      <c r="AV621" s="217"/>
      <c r="AW621" s="217"/>
      <c r="AX621" s="217"/>
      <c r="AY621" s="217"/>
      <c r="AZ621" s="219"/>
      <c r="BA621" s="710">
        <f>IF(BA620="","",BA620/Data!$X$1)</f>
        <v>0.33333333333333331</v>
      </c>
      <c r="BB621" s="710"/>
      <c r="BC621" s="711">
        <f>IF(SUM(BH624:BH635)=0,"",SUM(BH624:BH635))</f>
        <v>4</v>
      </c>
      <c r="BD621" s="218"/>
      <c r="BE621" s="217"/>
      <c r="BF621" s="217"/>
      <c r="BG621" s="217"/>
      <c r="BH621" s="217"/>
      <c r="BI621" s="219"/>
      <c r="BJ621" s="710">
        <f>IF(BJ620="","",BJ620/Data!$X$1)</f>
        <v>0.40833333333333333</v>
      </c>
      <c r="BK621" s="710"/>
      <c r="BL621" s="711">
        <f>IF(SUM(BQ624:BQ635)=0,"",SUM(BQ624:BQ635))</f>
        <v>5</v>
      </c>
      <c r="BM621" s="218"/>
      <c r="BN621" s="217"/>
      <c r="BO621" s="217"/>
      <c r="BP621" s="217"/>
      <c r="BQ621" s="217"/>
      <c r="BR621" s="220"/>
      <c r="BS621" s="710">
        <f>IF(BS620="","",BS620/Data!$X$1)</f>
        <v>0.375</v>
      </c>
      <c r="BT621" s="710"/>
      <c r="BU621" s="711">
        <f>IF(SUM(BZ624:BZ635)=0,"",SUM(BZ624:BZ635))</f>
        <v>5</v>
      </c>
      <c r="BV621" s="219"/>
      <c r="BW621" s="217"/>
      <c r="BX621" s="217"/>
      <c r="BY621" s="217"/>
      <c r="BZ621" s="217"/>
      <c r="CA621" s="220"/>
      <c r="CB621" s="710">
        <f>IF(CB620="","",CB620/Data!$X$1)</f>
        <v>0.35</v>
      </c>
      <c r="CC621" s="710"/>
      <c r="CD621" s="711">
        <f>IF(SUM(CI624:CI635)=0,"",SUM(CI624:CI635))</f>
        <v>4</v>
      </c>
      <c r="CE621" s="219"/>
      <c r="CF621" s="217"/>
      <c r="CG621" s="217"/>
      <c r="CH621" s="217"/>
      <c r="CI621" s="217"/>
      <c r="CJ621" s="217"/>
      <c r="CK621" s="710">
        <f>IF(CK620="","",CK620/Data!$X$1)</f>
        <v>0.34166666666666667</v>
      </c>
      <c r="CL621" s="710"/>
      <c r="CM621" s="711">
        <f>IF(SUM(CR624:CR635)=0,"",SUM(CR624:CR635))</f>
        <v>4</v>
      </c>
      <c r="CN621" s="219"/>
      <c r="CO621" s="217"/>
      <c r="CP621" s="217"/>
      <c r="CQ621" s="217"/>
      <c r="CR621" s="217"/>
      <c r="CS621" s="217"/>
      <c r="CT621" s="217"/>
      <c r="CU621" s="296"/>
      <c r="CV621" s="246"/>
      <c r="CW621" s="255"/>
    </row>
    <row r="622" spans="1:101" ht="13.5" thickBot="1" x14ac:dyDescent="0.25">
      <c r="A622" s="256"/>
      <c r="B622" s="256"/>
      <c r="C622" s="209"/>
      <c r="D622" s="269">
        <f>D600+1</f>
        <v>29</v>
      </c>
      <c r="E622" s="402" t="str">
        <f>IF(E621="","Sett inn dato over her",TEXT(E621,"dddd"))</f>
        <v>lørdag</v>
      </c>
      <c r="F622" s="221"/>
      <c r="G622" s="222"/>
      <c r="H622" s="222"/>
      <c r="I622" s="802"/>
      <c r="J622" s="807"/>
      <c r="K622" s="807"/>
      <c r="L622" s="297"/>
      <c r="M622" s="373"/>
      <c r="N622" s="377"/>
      <c r="O622" s="222"/>
      <c r="P622" s="222"/>
      <c r="Q622" s="385" t="str">
        <f>Data!$E$11</f>
        <v>AHH</v>
      </c>
      <c r="R622" s="386">
        <f>IF($F635="","",RANK(Q620,$Q620:$CL620))</f>
        <v>9</v>
      </c>
      <c r="S622" s="510"/>
      <c r="T622" s="216">
        <v>0</v>
      </c>
      <c r="U622" s="217"/>
      <c r="V622" s="217"/>
      <c r="W622" s="217"/>
      <c r="X622" s="217"/>
      <c r="Y622" s="215"/>
      <c r="Z622" s="385" t="str">
        <f>Data!$E$12</f>
        <v>RB</v>
      </c>
      <c r="AA622" s="386">
        <f>IF($F635="","",RANK(Z620,$Q620:$CL620))</f>
        <v>7</v>
      </c>
      <c r="AB622" s="510"/>
      <c r="AC622" s="216"/>
      <c r="AD622" s="217"/>
      <c r="AE622" s="217"/>
      <c r="AF622" s="217"/>
      <c r="AG622" s="217"/>
      <c r="AH622" s="215"/>
      <c r="AI622" s="385" t="str">
        <f>Data!$E$13</f>
        <v>EB</v>
      </c>
      <c r="AJ622" s="386">
        <f>IF($F635="","",RANK(AI620,$Q620:$CL620))</f>
        <v>4</v>
      </c>
      <c r="AK622" s="510"/>
      <c r="AL622" s="216"/>
      <c r="AM622" s="217"/>
      <c r="AN622" s="217"/>
      <c r="AO622" s="217"/>
      <c r="AP622" s="217"/>
      <c r="AQ622" s="215"/>
      <c r="AR622" s="346" t="str">
        <f>Data!$E$14</f>
        <v>KAF</v>
      </c>
      <c r="AS622" s="386">
        <f>IF($F635="","",RANK(AR620,$Q620:$CL620))</f>
        <v>1</v>
      </c>
      <c r="AT622" s="510"/>
      <c r="AU622" s="216"/>
      <c r="AV622" s="217"/>
      <c r="AW622" s="217"/>
      <c r="AX622" s="217"/>
      <c r="AY622" s="217"/>
      <c r="AZ622" s="215"/>
      <c r="BA622" s="346" t="str">
        <f>Data!$E$15</f>
        <v>ØG</v>
      </c>
      <c r="BB622" s="386">
        <f>IF($F635="","",RANK(BA620,$Q620:$CL620))</f>
        <v>7</v>
      </c>
      <c r="BC622" s="510"/>
      <c r="BD622" s="216"/>
      <c r="BE622" s="217"/>
      <c r="BF622" s="217"/>
      <c r="BG622" s="217"/>
      <c r="BH622" s="217"/>
      <c r="BI622" s="215"/>
      <c r="BJ622" s="346" t="str">
        <f>Data!$E$16</f>
        <v>JH</v>
      </c>
      <c r="BK622" s="386">
        <f>IF($F635="","",RANK(BJ620,$Q620:$CL620))</f>
        <v>2</v>
      </c>
      <c r="BL622" s="510"/>
      <c r="BM622" s="216"/>
      <c r="BN622" s="217"/>
      <c r="BO622" s="217"/>
      <c r="BP622" s="217"/>
      <c r="BQ622" s="217"/>
      <c r="BR622" s="223"/>
      <c r="BS622" s="346" t="str">
        <f>Data!$E$17</f>
        <v>TOH</v>
      </c>
      <c r="BT622" s="386">
        <f>IF($F635="","",RANK(BS620,$Q620:$CL620))</f>
        <v>3</v>
      </c>
      <c r="BU622" s="510"/>
      <c r="BV622" s="215"/>
      <c r="BW622" s="217"/>
      <c r="BX622" s="217"/>
      <c r="BY622" s="217"/>
      <c r="BZ622" s="217"/>
      <c r="CA622" s="223"/>
      <c r="CB622" s="346" t="s">
        <v>26</v>
      </c>
      <c r="CC622" s="386">
        <f>IF($F635="","",RANK(CB620,$Q620:$CM620))</f>
        <v>4</v>
      </c>
      <c r="CD622" s="511"/>
      <c r="CE622" s="215"/>
      <c r="CF622" s="217"/>
      <c r="CG622" s="217"/>
      <c r="CH622" s="217"/>
      <c r="CI622" s="217"/>
      <c r="CJ622" s="217"/>
      <c r="CK622" s="346" t="s">
        <v>27</v>
      </c>
      <c r="CL622" s="386">
        <f>IF($F635="","",RANK(CK620,$Q620:$CM620))</f>
        <v>6</v>
      </c>
      <c r="CM622" s="798"/>
      <c r="CN622" s="215"/>
      <c r="CO622" s="217"/>
      <c r="CP622" s="217"/>
      <c r="CQ622" s="217"/>
      <c r="CR622" s="217"/>
      <c r="CS622" s="217"/>
      <c r="CT622" s="217"/>
      <c r="CU622" s="296"/>
      <c r="CV622" s="246"/>
      <c r="CW622" s="255"/>
    </row>
    <row r="623" spans="1:101" ht="13.5" thickBot="1" x14ac:dyDescent="0.25">
      <c r="A623" s="264"/>
      <c r="B623" s="264"/>
      <c r="C623" s="202"/>
      <c r="D623" s="270"/>
      <c r="E623" s="224"/>
      <c r="F623" s="225"/>
      <c r="G623" s="226"/>
      <c r="H623" s="226"/>
      <c r="I623" s="227" t="s">
        <v>45</v>
      </c>
      <c r="J623" s="228" t="s">
        <v>46</v>
      </c>
      <c r="K623" s="229" t="s">
        <v>47</v>
      </c>
      <c r="L623" s="298"/>
      <c r="M623" s="374"/>
      <c r="N623" s="378"/>
      <c r="O623" s="230"/>
      <c r="P623" s="230"/>
      <c r="Q623" s="227" t="s">
        <v>45</v>
      </c>
      <c r="R623" s="228" t="s">
        <v>46</v>
      </c>
      <c r="S623" s="229" t="s">
        <v>47</v>
      </c>
      <c r="T623" s="231"/>
      <c r="U623" s="232"/>
      <c r="V623" s="232"/>
      <c r="W623" s="232"/>
      <c r="X623" s="232"/>
      <c r="Y623" s="230"/>
      <c r="Z623" s="227" t="s">
        <v>45</v>
      </c>
      <c r="AA623" s="228" t="s">
        <v>46</v>
      </c>
      <c r="AB623" s="229" t="s">
        <v>47</v>
      </c>
      <c r="AC623" s="231"/>
      <c r="AD623" s="232"/>
      <c r="AE623" s="232"/>
      <c r="AF623" s="232"/>
      <c r="AG623" s="232"/>
      <c r="AH623" s="230"/>
      <c r="AI623" s="227" t="s">
        <v>45</v>
      </c>
      <c r="AJ623" s="228" t="s">
        <v>46</v>
      </c>
      <c r="AK623" s="229" t="s">
        <v>47</v>
      </c>
      <c r="AL623" s="231"/>
      <c r="AM623" s="232"/>
      <c r="AN623" s="232"/>
      <c r="AO623" s="232"/>
      <c r="AP623" s="232"/>
      <c r="AQ623" s="230"/>
      <c r="AR623" s="227" t="s">
        <v>45</v>
      </c>
      <c r="AS623" s="228" t="s">
        <v>46</v>
      </c>
      <c r="AT623" s="229" t="s">
        <v>47</v>
      </c>
      <c r="AU623" s="231"/>
      <c r="AV623" s="232"/>
      <c r="AW623" s="232"/>
      <c r="AX623" s="232"/>
      <c r="AY623" s="232"/>
      <c r="AZ623" s="230"/>
      <c r="BA623" s="227" t="s">
        <v>45</v>
      </c>
      <c r="BB623" s="228" t="s">
        <v>46</v>
      </c>
      <c r="BC623" s="229" t="s">
        <v>47</v>
      </c>
      <c r="BD623" s="231"/>
      <c r="BE623" s="232"/>
      <c r="BF623" s="232"/>
      <c r="BG623" s="232"/>
      <c r="BH623" s="232"/>
      <c r="BI623" s="230"/>
      <c r="BJ623" s="227" t="s">
        <v>45</v>
      </c>
      <c r="BK623" s="228" t="s">
        <v>46</v>
      </c>
      <c r="BL623" s="229" t="s">
        <v>47</v>
      </c>
      <c r="BM623" s="231"/>
      <c r="BN623" s="232"/>
      <c r="BO623" s="232"/>
      <c r="BP623" s="232"/>
      <c r="BQ623" s="232"/>
      <c r="BR623" s="230"/>
      <c r="BS623" s="227" t="s">
        <v>45</v>
      </c>
      <c r="BT623" s="228" t="s">
        <v>46</v>
      </c>
      <c r="BU623" s="229" t="s">
        <v>47</v>
      </c>
      <c r="BV623" s="231"/>
      <c r="BW623" s="232"/>
      <c r="BX623" s="232"/>
      <c r="BY623" s="232"/>
      <c r="BZ623" s="233"/>
      <c r="CA623" s="230"/>
      <c r="CB623" s="227" t="s">
        <v>45</v>
      </c>
      <c r="CC623" s="228" t="s">
        <v>46</v>
      </c>
      <c r="CD623" s="229" t="s">
        <v>47</v>
      </c>
      <c r="CE623" s="231"/>
      <c r="CF623" s="232"/>
      <c r="CG623" s="232"/>
      <c r="CH623" s="232"/>
      <c r="CI623" s="232"/>
      <c r="CJ623" s="232"/>
      <c r="CK623" s="227" t="s">
        <v>45</v>
      </c>
      <c r="CL623" s="228" t="s">
        <v>46</v>
      </c>
      <c r="CM623" s="229" t="s">
        <v>47</v>
      </c>
      <c r="CN623" s="231"/>
      <c r="CO623" s="232"/>
      <c r="CP623" s="232"/>
      <c r="CQ623" s="232"/>
      <c r="CR623" s="232"/>
      <c r="CS623" s="232"/>
      <c r="CT623" s="234"/>
      <c r="CU623" s="296"/>
      <c r="CV623" s="246"/>
      <c r="CW623" s="265"/>
    </row>
    <row r="624" spans="1:101" x14ac:dyDescent="0.2">
      <c r="A624" s="264"/>
      <c r="B624" s="264"/>
      <c r="C624" s="202"/>
      <c r="D624" s="271">
        <v>1</v>
      </c>
      <c r="E624" s="166" t="s">
        <v>873</v>
      </c>
      <c r="F624" s="468">
        <v>3</v>
      </c>
      <c r="G624" s="472"/>
      <c r="H624" s="473">
        <v>2</v>
      </c>
      <c r="I624" s="170" t="str">
        <f t="shared" ref="I624:I635" si="1400">IF($F624&gt;$H624,"x","")</f>
        <v>x</v>
      </c>
      <c r="J624" s="387" t="str">
        <f t="shared" ref="J624:J635" si="1401">IF(F624&lt;&gt;"",IF(H624&lt;&gt;"",IF(F624=H624,"x",""),""),"")</f>
        <v/>
      </c>
      <c r="K624" s="388" t="str">
        <f t="shared" ref="K624:K635" si="1402">IF($F624&lt;$H624,"x","")</f>
        <v/>
      </c>
      <c r="L624" s="299"/>
      <c r="M624" s="375"/>
      <c r="N624" s="379"/>
      <c r="O624" s="236"/>
      <c r="P624" s="236"/>
      <c r="Q624" s="480">
        <v>50</v>
      </c>
      <c r="R624" s="481">
        <v>30</v>
      </c>
      <c r="S624" s="482">
        <f>IF(Q624="","",100-SUM(Q624:R624))</f>
        <v>20</v>
      </c>
      <c r="T624" s="371"/>
      <c r="U624" s="232">
        <f t="shared" ref="U624:U635" si="1403">IF($I624="x",Q624,"")</f>
        <v>50</v>
      </c>
      <c r="V624" s="232" t="str">
        <f t="shared" ref="V624:V635" si="1404">IF($J624="x",R624,"")</f>
        <v/>
      </c>
      <c r="W624" s="232" t="str">
        <f t="shared" ref="W624:W635" si="1405">IF($K624="x",S624,"")</f>
        <v/>
      </c>
      <c r="X624" s="232">
        <f>IF((MAX(U624,V624,W624))=0,"",IF((MAX(U624,V624,W624))=(MAX(Q624,R624,S624)),1,""))</f>
        <v>1</v>
      </c>
      <c r="Y624" s="371"/>
      <c r="Z624" s="495">
        <v>80</v>
      </c>
      <c r="AA624" s="496">
        <v>10</v>
      </c>
      <c r="AB624" s="482">
        <f t="shared" ref="AB624:AB635" si="1406">IF(Z624="","",100-SUM(Z624:AA624))</f>
        <v>10</v>
      </c>
      <c r="AC624" s="371"/>
      <c r="AD624" s="232">
        <f t="shared" ref="AD624:AD635" si="1407">IF($I624="x",Z624,"")</f>
        <v>80</v>
      </c>
      <c r="AE624" s="232" t="str">
        <f t="shared" ref="AE624:AE635" si="1408">IF($J624="x",AA624,"")</f>
        <v/>
      </c>
      <c r="AF624" s="232" t="str">
        <f t="shared" ref="AF624:AF635" si="1409">IF($K624="x",AB624,"")</f>
        <v/>
      </c>
      <c r="AG624" s="232">
        <f>IF((MAX(AD624,AE624,AF624))=0,"",IF((MAX(AD624,AE624,AF624))=(MAX(Z624,AA624,AB624)),1,""))</f>
        <v>1</v>
      </c>
      <c r="AH624" s="371"/>
      <c r="AI624" s="495">
        <v>80</v>
      </c>
      <c r="AJ624" s="496">
        <v>10</v>
      </c>
      <c r="AK624" s="482">
        <f t="shared" ref="AK624:AK635" si="1410">IF(AI624="","",100-SUM(AI624:AJ624))</f>
        <v>10</v>
      </c>
      <c r="AL624" s="371"/>
      <c r="AM624" s="232">
        <f t="shared" ref="AM624:AM635" si="1411">IF($I624="x",AI624,"")</f>
        <v>80</v>
      </c>
      <c r="AN624" s="232" t="str">
        <f t="shared" ref="AN624:AN635" si="1412">IF($J624="x",AJ624,"")</f>
        <v/>
      </c>
      <c r="AO624" s="232" t="str">
        <f t="shared" ref="AO624:AO635" si="1413">IF($K624="x",AK624,"")</f>
        <v/>
      </c>
      <c r="AP624" s="232">
        <f>IF((MAX(AM624,AN624,AO624))=0,"",IF((MAX(AM624,AN624,AO624))=(MAX(AI624,AJ624,AK624)),1,""))</f>
        <v>1</v>
      </c>
      <c r="AQ624" s="371"/>
      <c r="AR624" s="495">
        <v>80</v>
      </c>
      <c r="AS624" s="496">
        <v>10</v>
      </c>
      <c r="AT624" s="482">
        <f t="shared" ref="AT624:AT635" si="1414">IF(AR624="","",100-SUM(AR624:AS624))</f>
        <v>10</v>
      </c>
      <c r="AU624" s="371"/>
      <c r="AV624" s="232">
        <f t="shared" ref="AV624:AV635" si="1415">IF($I624="x",AR624,"")</f>
        <v>80</v>
      </c>
      <c r="AW624" s="232" t="str">
        <f t="shared" ref="AW624:AW635" si="1416">IF($J624="x",AS624,"")</f>
        <v/>
      </c>
      <c r="AX624" s="232" t="str">
        <f t="shared" ref="AX624:AX635" si="1417">IF($K624="x",AT624,"")</f>
        <v/>
      </c>
      <c r="AY624" s="232">
        <f>IF((MAX(AV624,AW624,AX624))=0,"",IF((MAX(AV624,AW624,AX624))=(MAX(AR624,AS624,AT624)),1,""))</f>
        <v>1</v>
      </c>
      <c r="AZ624" s="371"/>
      <c r="BA624" s="495">
        <v>80</v>
      </c>
      <c r="BB624" s="496">
        <v>10</v>
      </c>
      <c r="BC624" s="482">
        <f t="shared" ref="BC624:BC635" si="1418">IF(BA624="","",100-SUM(BA624:BB624))</f>
        <v>10</v>
      </c>
      <c r="BD624" s="371"/>
      <c r="BE624" s="232">
        <f t="shared" ref="BE624:BE635" si="1419">IF($I624="x",BA624,"")</f>
        <v>80</v>
      </c>
      <c r="BF624" s="232" t="str">
        <f t="shared" ref="BF624:BF635" si="1420">IF($J624="x",BB624,"")</f>
        <v/>
      </c>
      <c r="BG624" s="232" t="str">
        <f t="shared" ref="BG624:BG635" si="1421">IF($K624="x",BC624,"")</f>
        <v/>
      </c>
      <c r="BH624" s="232">
        <f>IF((MAX(BE624,BF624,BG624))=0,"",IF((MAX(BE624,BF624,BG624))=(MAX(BA624,BB624,BC624)),1,""))</f>
        <v>1</v>
      </c>
      <c r="BI624" s="371"/>
      <c r="BJ624" s="495">
        <v>80</v>
      </c>
      <c r="BK624" s="496">
        <v>10</v>
      </c>
      <c r="BL624" s="482">
        <f t="shared" ref="BL624:BL635" si="1422">IF(BJ624="","",100-SUM(BJ624:BK624))</f>
        <v>10</v>
      </c>
      <c r="BM624" s="371"/>
      <c r="BN624" s="232">
        <f t="shared" ref="BN624:BN635" si="1423">IF($I624="x",BJ624,"")</f>
        <v>80</v>
      </c>
      <c r="BO624" s="232" t="str">
        <f t="shared" ref="BO624:BO635" si="1424">IF($J624="x",BK624,"")</f>
        <v/>
      </c>
      <c r="BP624" s="232" t="str">
        <f t="shared" ref="BP624:BP635" si="1425">IF($K624="x",BL624,"")</f>
        <v/>
      </c>
      <c r="BQ624" s="232">
        <f>IF((MAX(BN624,BO624,BP624))=0,"",IF((MAX(BN624,BO624,BP624))=(MAX(BJ624,BK624,BL624)),1,""))</f>
        <v>1</v>
      </c>
      <c r="BR624" s="371"/>
      <c r="BS624" s="495">
        <v>70</v>
      </c>
      <c r="BT624" s="496">
        <v>10</v>
      </c>
      <c r="BU624" s="482">
        <f t="shared" ref="BU624:BU635" si="1426">IF(BS624="","",100-SUM(BS624:BT624))</f>
        <v>20</v>
      </c>
      <c r="BV624" s="371"/>
      <c r="BW624" s="232">
        <f t="shared" ref="BW624:BW635" si="1427">IF($I624="x",BS624,"")</f>
        <v>70</v>
      </c>
      <c r="BX624" s="232" t="str">
        <f t="shared" ref="BX624:BX635" si="1428">IF($J624="x",BT624,"")</f>
        <v/>
      </c>
      <c r="BY624" s="232" t="str">
        <f t="shared" ref="BY624:BY635" si="1429">IF($K624="x",BU624,"")</f>
        <v/>
      </c>
      <c r="BZ624" s="232">
        <f>IF((MAX(BW624,BX624,BY624))=0,"",IF((MAX(BW624,BX624,BY624))=(MAX(BS624,BT624,BU624)),1,""))</f>
        <v>1</v>
      </c>
      <c r="CA624" s="371"/>
      <c r="CB624" s="501">
        <f t="shared" ref="CB624:CB635" si="1430">IFERROR(ROUNDUP((SUM(Q624,Z624,AI624,AR624,BA624,BJ624,BS624)/SUM($Q624:$S624,$Z624:$AB624,$AI624:$AK624,$AR624:$AT624,$BA624:$BC624,$BJ624:$BL624,$BS624:$BU624))*100,-1),"")</f>
        <v>80</v>
      </c>
      <c r="CC624" s="502">
        <f t="shared" ref="CC624:CC635" si="1431">IFERROR(ROUNDDOWN((SUM(R624,AA624,AJ624,AS624,BB624,BK624,BT624)/SUM($Q624:$S624,$Z624:$AB624,$AI624:$AK624,$AR624:$AT624,$BA624:$BC624,$BJ624:$BL624,$BS624:$BU624))*100,-1),"")</f>
        <v>10</v>
      </c>
      <c r="CD624" s="503">
        <f t="shared" ref="CD624:CD635" si="1432">IF(CB624="","",100-SUM(CB624:CC624))</f>
        <v>10</v>
      </c>
      <c r="CE624" s="371"/>
      <c r="CF624" s="232">
        <f t="shared" ref="CF624:CF635" si="1433">IF($I624="x",CB624,"")</f>
        <v>80</v>
      </c>
      <c r="CG624" s="232" t="str">
        <f t="shared" ref="CG624:CG635" si="1434">IF($J624="x",CC624,"")</f>
        <v/>
      </c>
      <c r="CH624" s="232" t="str">
        <f t="shared" ref="CH624:CH635" si="1435">IF($K624="x",CD624,"")</f>
        <v/>
      </c>
      <c r="CI624" s="232">
        <f>IF((MAX(CF624,CG624,CH624))=0,"",IF((MAX(CF624,CG624,CH624))=(MAX(CB624,CC624,CD624)),1,""))</f>
        <v>1</v>
      </c>
      <c r="CJ624" s="232"/>
      <c r="CK624" s="495">
        <v>60</v>
      </c>
      <c r="CL624" s="496">
        <v>20</v>
      </c>
      <c r="CM624" s="482">
        <f t="shared" ref="CM624:CM635" si="1436">IF(CK624="","",100-SUM(CK624:CL624))</f>
        <v>20</v>
      </c>
      <c r="CN624" s="371"/>
      <c r="CO624" s="232">
        <f t="shared" ref="CO624:CO635" si="1437">IF($I624="x",CK624,"")</f>
        <v>60</v>
      </c>
      <c r="CP624" s="232" t="str">
        <f t="shared" ref="CP624:CP635" si="1438">IF($J624="x",CL624,"")</f>
        <v/>
      </c>
      <c r="CQ624" s="232" t="str">
        <f t="shared" ref="CQ624:CQ635" si="1439">IF($K624="x",CM624,"")</f>
        <v/>
      </c>
      <c r="CR624" s="232">
        <f>IF((MAX(CO624,CP624,CQ624))=0,"",IF((MAX(CO624,CP624,CQ624))=(MAX(CK624,CL624,CM624)),1,""))</f>
        <v>1</v>
      </c>
      <c r="CS624" s="232"/>
      <c r="CT624" s="371"/>
      <c r="CU624" s="296"/>
      <c r="CV624" s="246"/>
      <c r="CW624" s="264"/>
    </row>
    <row r="625" spans="1:101" x14ac:dyDescent="0.2">
      <c r="A625" s="264"/>
      <c r="B625" s="264"/>
      <c r="C625" s="202"/>
      <c r="D625" s="271">
        <v>2</v>
      </c>
      <c r="E625" s="167" t="s">
        <v>874</v>
      </c>
      <c r="F625" s="469">
        <v>0</v>
      </c>
      <c r="G625" s="474"/>
      <c r="H625" s="475">
        <v>0</v>
      </c>
      <c r="I625" s="389" t="str">
        <f t="shared" si="1400"/>
        <v/>
      </c>
      <c r="J625" s="390" t="str">
        <f t="shared" si="1401"/>
        <v>x</v>
      </c>
      <c r="K625" s="391" t="str">
        <f t="shared" si="1402"/>
        <v/>
      </c>
      <c r="L625" s="299"/>
      <c r="M625" s="375"/>
      <c r="N625" s="379"/>
      <c r="O625" s="236"/>
      <c r="P625" s="236"/>
      <c r="Q625" s="483">
        <v>50</v>
      </c>
      <c r="R625" s="484">
        <v>30</v>
      </c>
      <c r="S625" s="485">
        <f t="shared" ref="S625:S635" si="1440">IF(Q625="","",100-SUM(Q625:R625))</f>
        <v>20</v>
      </c>
      <c r="T625" s="371"/>
      <c r="U625" s="232" t="str">
        <f t="shared" si="1403"/>
        <v/>
      </c>
      <c r="V625" s="232">
        <f t="shared" si="1404"/>
        <v>30</v>
      </c>
      <c r="W625" s="232" t="str">
        <f t="shared" si="1405"/>
        <v/>
      </c>
      <c r="X625" s="232" t="str">
        <f t="shared" ref="X625:X635" si="1441">IF((MAX(U625,V625,W625))=0,"",IF((MAX(U625,V625,W625))=(MAX(Q625,R625,S625)),1,""))</f>
        <v/>
      </c>
      <c r="Y625" s="371"/>
      <c r="Z625" s="497">
        <v>80</v>
      </c>
      <c r="AA625" s="498">
        <v>10</v>
      </c>
      <c r="AB625" s="485">
        <f t="shared" si="1406"/>
        <v>10</v>
      </c>
      <c r="AC625" s="371"/>
      <c r="AD625" s="232" t="str">
        <f t="shared" si="1407"/>
        <v/>
      </c>
      <c r="AE625" s="232">
        <f t="shared" si="1408"/>
        <v>10</v>
      </c>
      <c r="AF625" s="232" t="str">
        <f t="shared" si="1409"/>
        <v/>
      </c>
      <c r="AG625" s="232" t="str">
        <f t="shared" ref="AG625:AG635" si="1442">IF((MAX(AD625,AE625,AF625))=0,"",IF((MAX(AD625,AE625,AF625))=(MAX(Z625,AA625,AB625)),1,""))</f>
        <v/>
      </c>
      <c r="AH625" s="371"/>
      <c r="AI625" s="497">
        <v>30</v>
      </c>
      <c r="AJ625" s="498">
        <v>30</v>
      </c>
      <c r="AK625" s="485">
        <f t="shared" si="1410"/>
        <v>40</v>
      </c>
      <c r="AL625" s="371"/>
      <c r="AM625" s="232" t="str">
        <f t="shared" si="1411"/>
        <v/>
      </c>
      <c r="AN625" s="232">
        <f t="shared" si="1412"/>
        <v>30</v>
      </c>
      <c r="AO625" s="232" t="str">
        <f t="shared" si="1413"/>
        <v/>
      </c>
      <c r="AP625" s="232" t="str">
        <f t="shared" ref="AP625:AP635" si="1443">IF((MAX(AM625,AN625,AO625))=0,"",IF((MAX(AM625,AN625,AO625))=(MAX(AI625,AJ625,AK625)),1,""))</f>
        <v/>
      </c>
      <c r="AQ625" s="371"/>
      <c r="AR625" s="497">
        <v>40</v>
      </c>
      <c r="AS625" s="498">
        <v>50</v>
      </c>
      <c r="AT625" s="485">
        <f t="shared" si="1414"/>
        <v>10</v>
      </c>
      <c r="AU625" s="371"/>
      <c r="AV625" s="232" t="str">
        <f t="shared" si="1415"/>
        <v/>
      </c>
      <c r="AW625" s="232">
        <f t="shared" si="1416"/>
        <v>50</v>
      </c>
      <c r="AX625" s="232" t="str">
        <f t="shared" si="1417"/>
        <v/>
      </c>
      <c r="AY625" s="232">
        <f t="shared" ref="AY625:AY635" si="1444">IF((MAX(AV625,AW625,AX625))=0,"",IF((MAX(AV625,AW625,AX625))=(MAX(AR625,AS625,AT625)),1,""))</f>
        <v>1</v>
      </c>
      <c r="AZ625" s="371"/>
      <c r="BA625" s="497">
        <v>80</v>
      </c>
      <c r="BB625" s="498">
        <v>10</v>
      </c>
      <c r="BC625" s="485">
        <f t="shared" si="1418"/>
        <v>10</v>
      </c>
      <c r="BD625" s="371"/>
      <c r="BE625" s="232" t="str">
        <f t="shared" si="1419"/>
        <v/>
      </c>
      <c r="BF625" s="232">
        <f t="shared" si="1420"/>
        <v>10</v>
      </c>
      <c r="BG625" s="232" t="str">
        <f t="shared" si="1421"/>
        <v/>
      </c>
      <c r="BH625" s="232" t="str">
        <f t="shared" ref="BH625:BH635" si="1445">IF((MAX(BE625,BF625,BG625))=0,"",IF((MAX(BE625,BF625,BG625))=(MAX(BA625,BB625,BC625)),1,""))</f>
        <v/>
      </c>
      <c r="BI625" s="371"/>
      <c r="BJ625" s="497">
        <v>80</v>
      </c>
      <c r="BK625" s="498">
        <v>10</v>
      </c>
      <c r="BL625" s="485">
        <f t="shared" si="1422"/>
        <v>10</v>
      </c>
      <c r="BM625" s="371"/>
      <c r="BN625" s="232" t="str">
        <f t="shared" si="1423"/>
        <v/>
      </c>
      <c r="BO625" s="232">
        <f t="shared" si="1424"/>
        <v>10</v>
      </c>
      <c r="BP625" s="232" t="str">
        <f t="shared" si="1425"/>
        <v/>
      </c>
      <c r="BQ625" s="232" t="str">
        <f t="shared" ref="BQ625:BQ635" si="1446">IF((MAX(BN625,BO625,BP625))=0,"",IF((MAX(BN625,BO625,BP625))=(MAX(BJ625,BK625,BL625)),1,""))</f>
        <v/>
      </c>
      <c r="BR625" s="371"/>
      <c r="BS625" s="497">
        <v>20</v>
      </c>
      <c r="BT625" s="498">
        <v>60</v>
      </c>
      <c r="BU625" s="485">
        <f t="shared" si="1426"/>
        <v>20</v>
      </c>
      <c r="BV625" s="371"/>
      <c r="BW625" s="232" t="str">
        <f t="shared" si="1427"/>
        <v/>
      </c>
      <c r="BX625" s="232">
        <f t="shared" si="1428"/>
        <v>60</v>
      </c>
      <c r="BY625" s="232" t="str">
        <f t="shared" si="1429"/>
        <v/>
      </c>
      <c r="BZ625" s="232">
        <f t="shared" ref="BZ625:BZ635" si="1447">IF((MAX(BW625,BX625,BY625))=0,"",IF((MAX(BW625,BX625,BY625))=(MAX(BS625,BT625,BU625)),1,""))</f>
        <v>1</v>
      </c>
      <c r="CA625" s="371"/>
      <c r="CB625" s="504">
        <f t="shared" si="1430"/>
        <v>60</v>
      </c>
      <c r="CC625" s="505">
        <f t="shared" si="1431"/>
        <v>20</v>
      </c>
      <c r="CD625" s="506">
        <f t="shared" si="1432"/>
        <v>20</v>
      </c>
      <c r="CE625" s="371"/>
      <c r="CF625" s="232" t="str">
        <f t="shared" si="1433"/>
        <v/>
      </c>
      <c r="CG625" s="232">
        <f t="shared" si="1434"/>
        <v>20</v>
      </c>
      <c r="CH625" s="232" t="str">
        <f t="shared" si="1435"/>
        <v/>
      </c>
      <c r="CI625" s="232" t="str">
        <f t="shared" ref="CI625:CI635" si="1448">IF((MAX(CF625,CG625,CH625))=0,"",IF((MAX(CF625,CG625,CH625))=(MAX(CB625,CC625,CD625)),1,""))</f>
        <v/>
      </c>
      <c r="CJ625" s="232"/>
      <c r="CK625" s="497">
        <v>40</v>
      </c>
      <c r="CL625" s="498">
        <v>30</v>
      </c>
      <c r="CM625" s="485">
        <f t="shared" si="1436"/>
        <v>30</v>
      </c>
      <c r="CN625" s="371"/>
      <c r="CO625" s="232" t="str">
        <f t="shared" si="1437"/>
        <v/>
      </c>
      <c r="CP625" s="232">
        <f t="shared" si="1438"/>
        <v>30</v>
      </c>
      <c r="CQ625" s="232" t="str">
        <f t="shared" si="1439"/>
        <v/>
      </c>
      <c r="CR625" s="232" t="str">
        <f t="shared" ref="CR625:CR635" si="1449">IF((MAX(CO625,CP625,CQ625))=0,"",IF((MAX(CO625,CP625,CQ625))=(MAX(CK625,CL625,CM625)),1,""))</f>
        <v/>
      </c>
      <c r="CS625" s="232"/>
      <c r="CT625" s="371"/>
      <c r="CU625" s="296"/>
      <c r="CV625" s="246"/>
      <c r="CW625" s="264"/>
    </row>
    <row r="626" spans="1:101" ht="13.5" thickBot="1" x14ac:dyDescent="0.25">
      <c r="A626" s="264"/>
      <c r="B626" s="264"/>
      <c r="C626" s="202"/>
      <c r="D626" s="271">
        <v>3</v>
      </c>
      <c r="E626" s="168" t="s">
        <v>875</v>
      </c>
      <c r="F626" s="470">
        <v>0</v>
      </c>
      <c r="G626" s="476"/>
      <c r="H626" s="477">
        <v>1</v>
      </c>
      <c r="I626" s="392" t="str">
        <f t="shared" si="1400"/>
        <v/>
      </c>
      <c r="J626" s="393" t="str">
        <f t="shared" si="1401"/>
        <v/>
      </c>
      <c r="K626" s="394" t="str">
        <f t="shared" si="1402"/>
        <v>x</v>
      </c>
      <c r="L626" s="299"/>
      <c r="M626" s="375"/>
      <c r="N626" s="379"/>
      <c r="O626" s="236"/>
      <c r="P626" s="236"/>
      <c r="Q626" s="486">
        <v>10</v>
      </c>
      <c r="R626" s="487">
        <v>80</v>
      </c>
      <c r="S626" s="488">
        <f t="shared" si="1440"/>
        <v>10</v>
      </c>
      <c r="T626" s="371"/>
      <c r="U626" s="232" t="str">
        <f t="shared" si="1403"/>
        <v/>
      </c>
      <c r="V626" s="232" t="str">
        <f t="shared" si="1404"/>
        <v/>
      </c>
      <c r="W626" s="232">
        <f t="shared" si="1405"/>
        <v>10</v>
      </c>
      <c r="X626" s="232" t="str">
        <f t="shared" si="1441"/>
        <v/>
      </c>
      <c r="Y626" s="371"/>
      <c r="Z626" s="499">
        <v>80</v>
      </c>
      <c r="AA626" s="500">
        <v>10</v>
      </c>
      <c r="AB626" s="488">
        <f t="shared" si="1406"/>
        <v>10</v>
      </c>
      <c r="AC626" s="371"/>
      <c r="AD626" s="232" t="str">
        <f t="shared" si="1407"/>
        <v/>
      </c>
      <c r="AE626" s="232" t="str">
        <f t="shared" si="1408"/>
        <v/>
      </c>
      <c r="AF626" s="232">
        <f t="shared" si="1409"/>
        <v>10</v>
      </c>
      <c r="AG626" s="232" t="str">
        <f t="shared" si="1442"/>
        <v/>
      </c>
      <c r="AH626" s="371"/>
      <c r="AI626" s="499">
        <v>80</v>
      </c>
      <c r="AJ626" s="500">
        <v>10</v>
      </c>
      <c r="AK626" s="488">
        <f t="shared" si="1410"/>
        <v>10</v>
      </c>
      <c r="AL626" s="371"/>
      <c r="AM626" s="232" t="str">
        <f t="shared" si="1411"/>
        <v/>
      </c>
      <c r="AN626" s="232" t="str">
        <f t="shared" si="1412"/>
        <v/>
      </c>
      <c r="AO626" s="232">
        <f t="shared" si="1413"/>
        <v>10</v>
      </c>
      <c r="AP626" s="232" t="str">
        <f t="shared" si="1443"/>
        <v/>
      </c>
      <c r="AQ626" s="371"/>
      <c r="AR626" s="499">
        <v>10</v>
      </c>
      <c r="AS626" s="500">
        <v>30</v>
      </c>
      <c r="AT626" s="488">
        <f t="shared" si="1414"/>
        <v>60</v>
      </c>
      <c r="AU626" s="371"/>
      <c r="AV626" s="232" t="str">
        <f t="shared" si="1415"/>
        <v/>
      </c>
      <c r="AW626" s="232" t="str">
        <f t="shared" si="1416"/>
        <v/>
      </c>
      <c r="AX626" s="232">
        <f t="shared" si="1417"/>
        <v>60</v>
      </c>
      <c r="AY626" s="232">
        <f t="shared" si="1444"/>
        <v>1</v>
      </c>
      <c r="AZ626" s="371"/>
      <c r="BA626" s="499">
        <v>10</v>
      </c>
      <c r="BB626" s="500">
        <v>10</v>
      </c>
      <c r="BC626" s="488">
        <f t="shared" si="1418"/>
        <v>80</v>
      </c>
      <c r="BD626" s="371"/>
      <c r="BE626" s="232" t="str">
        <f t="shared" si="1419"/>
        <v/>
      </c>
      <c r="BF626" s="232" t="str">
        <f t="shared" si="1420"/>
        <v/>
      </c>
      <c r="BG626" s="232">
        <f t="shared" si="1421"/>
        <v>80</v>
      </c>
      <c r="BH626" s="232">
        <f t="shared" si="1445"/>
        <v>1</v>
      </c>
      <c r="BI626" s="371"/>
      <c r="BJ626" s="499">
        <v>20</v>
      </c>
      <c r="BK626" s="500">
        <v>30</v>
      </c>
      <c r="BL626" s="488">
        <v>50</v>
      </c>
      <c r="BM626" s="371"/>
      <c r="BN626" s="232" t="str">
        <f t="shared" si="1423"/>
        <v/>
      </c>
      <c r="BO626" s="232" t="str">
        <f t="shared" si="1424"/>
        <v/>
      </c>
      <c r="BP626" s="232">
        <f t="shared" si="1425"/>
        <v>50</v>
      </c>
      <c r="BQ626" s="232">
        <f t="shared" si="1446"/>
        <v>1</v>
      </c>
      <c r="BR626" s="371"/>
      <c r="BS626" s="499">
        <v>50</v>
      </c>
      <c r="BT626" s="500">
        <v>40</v>
      </c>
      <c r="BU626" s="488">
        <f t="shared" si="1426"/>
        <v>10</v>
      </c>
      <c r="BV626" s="371"/>
      <c r="BW626" s="232" t="str">
        <f t="shared" si="1427"/>
        <v/>
      </c>
      <c r="BX626" s="232" t="str">
        <f t="shared" si="1428"/>
        <v/>
      </c>
      <c r="BY626" s="232">
        <f t="shared" si="1429"/>
        <v>10</v>
      </c>
      <c r="BZ626" s="232" t="str">
        <f t="shared" si="1447"/>
        <v/>
      </c>
      <c r="CA626" s="371"/>
      <c r="CB626" s="507">
        <f t="shared" si="1430"/>
        <v>40</v>
      </c>
      <c r="CC626" s="508">
        <f t="shared" si="1431"/>
        <v>30</v>
      </c>
      <c r="CD626" s="509">
        <f t="shared" si="1432"/>
        <v>30</v>
      </c>
      <c r="CE626" s="371"/>
      <c r="CF626" s="232" t="str">
        <f t="shared" si="1433"/>
        <v/>
      </c>
      <c r="CG626" s="232" t="str">
        <f t="shared" si="1434"/>
        <v/>
      </c>
      <c r="CH626" s="232">
        <f t="shared" si="1435"/>
        <v>30</v>
      </c>
      <c r="CI626" s="232" t="str">
        <f t="shared" si="1448"/>
        <v/>
      </c>
      <c r="CJ626" s="232"/>
      <c r="CK626" s="499">
        <v>30</v>
      </c>
      <c r="CL626" s="500">
        <v>40</v>
      </c>
      <c r="CM626" s="488">
        <f t="shared" si="1436"/>
        <v>30</v>
      </c>
      <c r="CN626" s="371"/>
      <c r="CO626" s="232" t="str">
        <f t="shared" si="1437"/>
        <v/>
      </c>
      <c r="CP626" s="232" t="str">
        <f t="shared" si="1438"/>
        <v/>
      </c>
      <c r="CQ626" s="232">
        <f t="shared" si="1439"/>
        <v>30</v>
      </c>
      <c r="CR626" s="232" t="str">
        <f t="shared" si="1449"/>
        <v/>
      </c>
      <c r="CS626" s="232"/>
      <c r="CT626" s="371"/>
      <c r="CU626" s="296"/>
      <c r="CV626" s="246"/>
      <c r="CW626" s="264"/>
    </row>
    <row r="627" spans="1:101" x14ac:dyDescent="0.2">
      <c r="A627" s="264"/>
      <c r="B627" s="264"/>
      <c r="C627" s="202"/>
      <c r="D627" s="271">
        <v>4</v>
      </c>
      <c r="E627" s="166" t="s">
        <v>876</v>
      </c>
      <c r="F627" s="468">
        <v>2</v>
      </c>
      <c r="G627" s="472"/>
      <c r="H627" s="473">
        <v>2</v>
      </c>
      <c r="I627" s="170" t="str">
        <f t="shared" si="1400"/>
        <v/>
      </c>
      <c r="J627" s="387" t="str">
        <f t="shared" si="1401"/>
        <v>x</v>
      </c>
      <c r="K627" s="388" t="str">
        <f t="shared" si="1402"/>
        <v/>
      </c>
      <c r="L627" s="299"/>
      <c r="M627" s="375"/>
      <c r="N627" s="379"/>
      <c r="O627" s="236"/>
      <c r="P627" s="236"/>
      <c r="Q627" s="480">
        <v>80</v>
      </c>
      <c r="R627" s="481">
        <v>10</v>
      </c>
      <c r="S627" s="482">
        <f t="shared" si="1440"/>
        <v>10</v>
      </c>
      <c r="T627" s="371"/>
      <c r="U627" s="232" t="str">
        <f t="shared" si="1403"/>
        <v/>
      </c>
      <c r="V627" s="232">
        <f t="shared" si="1404"/>
        <v>10</v>
      </c>
      <c r="W627" s="232" t="str">
        <f t="shared" si="1405"/>
        <v/>
      </c>
      <c r="X627" s="232" t="str">
        <f t="shared" si="1441"/>
        <v/>
      </c>
      <c r="Y627" s="371"/>
      <c r="Z627" s="495">
        <v>50</v>
      </c>
      <c r="AA627" s="496">
        <v>10</v>
      </c>
      <c r="AB627" s="482">
        <f t="shared" si="1406"/>
        <v>40</v>
      </c>
      <c r="AC627" s="371"/>
      <c r="AD627" s="232" t="str">
        <f t="shared" si="1407"/>
        <v/>
      </c>
      <c r="AE627" s="232">
        <f t="shared" si="1408"/>
        <v>10</v>
      </c>
      <c r="AF627" s="232" t="str">
        <f t="shared" si="1409"/>
        <v/>
      </c>
      <c r="AG627" s="232" t="str">
        <f t="shared" si="1442"/>
        <v/>
      </c>
      <c r="AH627" s="371"/>
      <c r="AI627" s="495">
        <v>40</v>
      </c>
      <c r="AJ627" s="496">
        <v>20</v>
      </c>
      <c r="AK627" s="482">
        <f t="shared" si="1410"/>
        <v>40</v>
      </c>
      <c r="AL627" s="371"/>
      <c r="AM627" s="232" t="str">
        <f t="shared" si="1411"/>
        <v/>
      </c>
      <c r="AN627" s="232">
        <f t="shared" si="1412"/>
        <v>20</v>
      </c>
      <c r="AO627" s="232" t="str">
        <f t="shared" si="1413"/>
        <v/>
      </c>
      <c r="AP627" s="232" t="str">
        <f t="shared" si="1443"/>
        <v/>
      </c>
      <c r="AQ627" s="371"/>
      <c r="AR627" s="495">
        <v>10</v>
      </c>
      <c r="AS627" s="496">
        <v>30</v>
      </c>
      <c r="AT627" s="482">
        <f t="shared" si="1414"/>
        <v>60</v>
      </c>
      <c r="AU627" s="371"/>
      <c r="AV627" s="232" t="str">
        <f t="shared" si="1415"/>
        <v/>
      </c>
      <c r="AW627" s="232">
        <f t="shared" si="1416"/>
        <v>30</v>
      </c>
      <c r="AX627" s="232" t="str">
        <f t="shared" si="1417"/>
        <v/>
      </c>
      <c r="AY627" s="232" t="str">
        <f t="shared" si="1444"/>
        <v/>
      </c>
      <c r="AZ627" s="371"/>
      <c r="BA627" s="495">
        <v>80</v>
      </c>
      <c r="BB627" s="496">
        <v>10</v>
      </c>
      <c r="BC627" s="482">
        <f t="shared" si="1418"/>
        <v>10</v>
      </c>
      <c r="BD627" s="371"/>
      <c r="BE627" s="232" t="str">
        <f t="shared" si="1419"/>
        <v/>
      </c>
      <c r="BF627" s="232">
        <f t="shared" si="1420"/>
        <v>10</v>
      </c>
      <c r="BG627" s="232" t="str">
        <f t="shared" si="1421"/>
        <v/>
      </c>
      <c r="BH627" s="232" t="str">
        <f t="shared" si="1445"/>
        <v/>
      </c>
      <c r="BI627" s="371"/>
      <c r="BJ627" s="495">
        <v>60</v>
      </c>
      <c r="BK627" s="496">
        <v>20</v>
      </c>
      <c r="BL627" s="482">
        <f t="shared" si="1422"/>
        <v>20</v>
      </c>
      <c r="BM627" s="371"/>
      <c r="BN627" s="232" t="str">
        <f t="shared" si="1423"/>
        <v/>
      </c>
      <c r="BO627" s="232">
        <f t="shared" si="1424"/>
        <v>20</v>
      </c>
      <c r="BP627" s="232" t="str">
        <f t="shared" si="1425"/>
        <v/>
      </c>
      <c r="BQ627" s="232" t="str">
        <f t="shared" si="1446"/>
        <v/>
      </c>
      <c r="BR627" s="371"/>
      <c r="BS627" s="495">
        <v>10</v>
      </c>
      <c r="BT627" s="496">
        <v>10</v>
      </c>
      <c r="BU627" s="482">
        <f t="shared" si="1426"/>
        <v>80</v>
      </c>
      <c r="BV627" s="371"/>
      <c r="BW627" s="232" t="str">
        <f t="shared" si="1427"/>
        <v/>
      </c>
      <c r="BX627" s="232">
        <f t="shared" si="1428"/>
        <v>10</v>
      </c>
      <c r="BY627" s="232" t="str">
        <f t="shared" si="1429"/>
        <v/>
      </c>
      <c r="BZ627" s="232" t="str">
        <f t="shared" si="1447"/>
        <v/>
      </c>
      <c r="CA627" s="371"/>
      <c r="CB627" s="501">
        <f t="shared" si="1430"/>
        <v>50</v>
      </c>
      <c r="CC627" s="502">
        <f t="shared" si="1431"/>
        <v>10</v>
      </c>
      <c r="CD627" s="503">
        <f t="shared" si="1432"/>
        <v>40</v>
      </c>
      <c r="CE627" s="371"/>
      <c r="CF627" s="232" t="str">
        <f t="shared" si="1433"/>
        <v/>
      </c>
      <c r="CG627" s="232">
        <f t="shared" si="1434"/>
        <v>10</v>
      </c>
      <c r="CH627" s="232" t="str">
        <f t="shared" si="1435"/>
        <v/>
      </c>
      <c r="CI627" s="232" t="str">
        <f t="shared" si="1448"/>
        <v/>
      </c>
      <c r="CJ627" s="232"/>
      <c r="CK627" s="495">
        <v>30</v>
      </c>
      <c r="CL627" s="496">
        <v>20</v>
      </c>
      <c r="CM627" s="482">
        <f t="shared" si="1436"/>
        <v>50</v>
      </c>
      <c r="CN627" s="371"/>
      <c r="CO627" s="232" t="str">
        <f t="shared" si="1437"/>
        <v/>
      </c>
      <c r="CP627" s="232">
        <f t="shared" si="1438"/>
        <v>20</v>
      </c>
      <c r="CQ627" s="232" t="str">
        <f t="shared" si="1439"/>
        <v/>
      </c>
      <c r="CR627" s="232" t="str">
        <f t="shared" si="1449"/>
        <v/>
      </c>
      <c r="CS627" s="232"/>
      <c r="CT627" s="371"/>
      <c r="CU627" s="296"/>
      <c r="CV627" s="246"/>
      <c r="CW627" s="264"/>
    </row>
    <row r="628" spans="1:101" x14ac:dyDescent="0.2">
      <c r="A628" s="264"/>
      <c r="B628" s="264"/>
      <c r="C628" s="202"/>
      <c r="D628" s="271">
        <v>5</v>
      </c>
      <c r="E628" s="167" t="s">
        <v>877</v>
      </c>
      <c r="F628" s="469">
        <v>3</v>
      </c>
      <c r="G628" s="474"/>
      <c r="H628" s="475">
        <v>0</v>
      </c>
      <c r="I628" s="389" t="str">
        <f t="shared" si="1400"/>
        <v>x</v>
      </c>
      <c r="J628" s="390" t="str">
        <f t="shared" si="1401"/>
        <v/>
      </c>
      <c r="K628" s="391" t="str">
        <f t="shared" si="1402"/>
        <v/>
      </c>
      <c r="L628" s="299"/>
      <c r="M628" s="375"/>
      <c r="N628" s="379"/>
      <c r="O628" s="236"/>
      <c r="P628" s="236"/>
      <c r="Q628" s="483">
        <v>70</v>
      </c>
      <c r="R628" s="484">
        <v>20</v>
      </c>
      <c r="S628" s="485">
        <f t="shared" si="1440"/>
        <v>10</v>
      </c>
      <c r="T628" s="371"/>
      <c r="U628" s="232">
        <f t="shared" si="1403"/>
        <v>70</v>
      </c>
      <c r="V628" s="232" t="str">
        <f t="shared" si="1404"/>
        <v/>
      </c>
      <c r="W628" s="232" t="str">
        <f t="shared" si="1405"/>
        <v/>
      </c>
      <c r="X628" s="232">
        <f t="shared" si="1441"/>
        <v>1</v>
      </c>
      <c r="Y628" s="371"/>
      <c r="Z628" s="497">
        <v>80</v>
      </c>
      <c r="AA628" s="498">
        <v>10</v>
      </c>
      <c r="AB628" s="485">
        <f t="shared" si="1406"/>
        <v>10</v>
      </c>
      <c r="AC628" s="371"/>
      <c r="AD628" s="232">
        <f t="shared" si="1407"/>
        <v>80</v>
      </c>
      <c r="AE628" s="232" t="str">
        <f t="shared" si="1408"/>
        <v/>
      </c>
      <c r="AF628" s="232" t="str">
        <f t="shared" si="1409"/>
        <v/>
      </c>
      <c r="AG628" s="232">
        <f t="shared" si="1442"/>
        <v>1</v>
      </c>
      <c r="AH628" s="371"/>
      <c r="AI628" s="497">
        <v>70</v>
      </c>
      <c r="AJ628" s="498">
        <v>20</v>
      </c>
      <c r="AK628" s="485">
        <f t="shared" si="1410"/>
        <v>10</v>
      </c>
      <c r="AL628" s="371"/>
      <c r="AM628" s="232">
        <f t="shared" si="1411"/>
        <v>70</v>
      </c>
      <c r="AN628" s="232" t="str">
        <f t="shared" si="1412"/>
        <v/>
      </c>
      <c r="AO628" s="232" t="str">
        <f t="shared" si="1413"/>
        <v/>
      </c>
      <c r="AP628" s="232">
        <f t="shared" si="1443"/>
        <v>1</v>
      </c>
      <c r="AQ628" s="371"/>
      <c r="AR628" s="497">
        <v>80</v>
      </c>
      <c r="AS628" s="498">
        <v>10</v>
      </c>
      <c r="AT628" s="485">
        <f t="shared" si="1414"/>
        <v>10</v>
      </c>
      <c r="AU628" s="371"/>
      <c r="AV628" s="232">
        <f t="shared" si="1415"/>
        <v>80</v>
      </c>
      <c r="AW628" s="232" t="str">
        <f t="shared" si="1416"/>
        <v/>
      </c>
      <c r="AX628" s="232" t="str">
        <f t="shared" si="1417"/>
        <v/>
      </c>
      <c r="AY628" s="232">
        <f t="shared" si="1444"/>
        <v>1</v>
      </c>
      <c r="AZ628" s="371"/>
      <c r="BA628" s="497">
        <v>80</v>
      </c>
      <c r="BB628" s="498">
        <v>10</v>
      </c>
      <c r="BC628" s="485">
        <f t="shared" si="1418"/>
        <v>10</v>
      </c>
      <c r="BD628" s="371"/>
      <c r="BE628" s="232">
        <f t="shared" si="1419"/>
        <v>80</v>
      </c>
      <c r="BF628" s="232" t="str">
        <f t="shared" si="1420"/>
        <v/>
      </c>
      <c r="BG628" s="232" t="str">
        <f t="shared" si="1421"/>
        <v/>
      </c>
      <c r="BH628" s="232">
        <f t="shared" si="1445"/>
        <v>1</v>
      </c>
      <c r="BI628" s="371"/>
      <c r="BJ628" s="497">
        <v>30</v>
      </c>
      <c r="BK628" s="498">
        <v>40</v>
      </c>
      <c r="BL628" s="485">
        <f t="shared" si="1422"/>
        <v>30</v>
      </c>
      <c r="BM628" s="371"/>
      <c r="BN628" s="232">
        <f t="shared" si="1423"/>
        <v>30</v>
      </c>
      <c r="BO628" s="232" t="str">
        <f t="shared" si="1424"/>
        <v/>
      </c>
      <c r="BP628" s="232" t="str">
        <f t="shared" si="1425"/>
        <v/>
      </c>
      <c r="BQ628" s="232" t="str">
        <f t="shared" si="1446"/>
        <v/>
      </c>
      <c r="BR628" s="371"/>
      <c r="BS628" s="497">
        <v>70</v>
      </c>
      <c r="BT628" s="498">
        <v>20</v>
      </c>
      <c r="BU628" s="485">
        <f t="shared" si="1426"/>
        <v>10</v>
      </c>
      <c r="BV628" s="371"/>
      <c r="BW628" s="232">
        <f t="shared" si="1427"/>
        <v>70</v>
      </c>
      <c r="BX628" s="232" t="str">
        <f t="shared" si="1428"/>
        <v/>
      </c>
      <c r="BY628" s="232" t="str">
        <f t="shared" si="1429"/>
        <v/>
      </c>
      <c r="BZ628" s="232">
        <f t="shared" si="1447"/>
        <v>1</v>
      </c>
      <c r="CA628" s="371"/>
      <c r="CB628" s="504">
        <f t="shared" si="1430"/>
        <v>70</v>
      </c>
      <c r="CC628" s="505">
        <f t="shared" si="1431"/>
        <v>10</v>
      </c>
      <c r="CD628" s="506">
        <f t="shared" si="1432"/>
        <v>20</v>
      </c>
      <c r="CE628" s="371"/>
      <c r="CF628" s="232">
        <f t="shared" si="1433"/>
        <v>70</v>
      </c>
      <c r="CG628" s="232" t="str">
        <f t="shared" si="1434"/>
        <v/>
      </c>
      <c r="CH628" s="232" t="str">
        <f t="shared" si="1435"/>
        <v/>
      </c>
      <c r="CI628" s="232">
        <f t="shared" si="1448"/>
        <v>1</v>
      </c>
      <c r="CJ628" s="232"/>
      <c r="CK628" s="497">
        <v>40</v>
      </c>
      <c r="CL628" s="498">
        <v>40</v>
      </c>
      <c r="CM628" s="485">
        <f t="shared" si="1436"/>
        <v>20</v>
      </c>
      <c r="CN628" s="371"/>
      <c r="CO628" s="232">
        <f t="shared" si="1437"/>
        <v>40</v>
      </c>
      <c r="CP628" s="232" t="str">
        <f t="shared" si="1438"/>
        <v/>
      </c>
      <c r="CQ628" s="232" t="str">
        <f t="shared" si="1439"/>
        <v/>
      </c>
      <c r="CR628" s="232">
        <f t="shared" si="1449"/>
        <v>1</v>
      </c>
      <c r="CS628" s="232"/>
      <c r="CT628" s="371"/>
      <c r="CU628" s="296"/>
      <c r="CV628" s="246"/>
      <c r="CW628" s="264"/>
    </row>
    <row r="629" spans="1:101" ht="13.5" thickBot="1" x14ac:dyDescent="0.25">
      <c r="A629" s="264"/>
      <c r="B629" s="264"/>
      <c r="C629" s="202"/>
      <c r="D629" s="271">
        <v>6</v>
      </c>
      <c r="E629" s="168" t="s">
        <v>240</v>
      </c>
      <c r="F629" s="470">
        <v>1</v>
      </c>
      <c r="G629" s="476"/>
      <c r="H629" s="477">
        <v>2</v>
      </c>
      <c r="I629" s="392" t="str">
        <f t="shared" si="1400"/>
        <v/>
      </c>
      <c r="J629" s="393" t="str">
        <f t="shared" si="1401"/>
        <v/>
      </c>
      <c r="K629" s="394" t="str">
        <f t="shared" si="1402"/>
        <v>x</v>
      </c>
      <c r="L629" s="299"/>
      <c r="M629" s="375"/>
      <c r="N629" s="379"/>
      <c r="O629" s="236"/>
      <c r="P629" s="236"/>
      <c r="Q629" s="489">
        <v>60</v>
      </c>
      <c r="R629" s="490">
        <v>20</v>
      </c>
      <c r="S629" s="491">
        <f t="shared" si="1440"/>
        <v>20</v>
      </c>
      <c r="T629" s="371"/>
      <c r="U629" s="232" t="str">
        <f t="shared" si="1403"/>
        <v/>
      </c>
      <c r="V629" s="232" t="str">
        <f t="shared" si="1404"/>
        <v/>
      </c>
      <c r="W629" s="232">
        <f t="shared" si="1405"/>
        <v>20</v>
      </c>
      <c r="X629" s="232" t="str">
        <f t="shared" si="1441"/>
        <v/>
      </c>
      <c r="Y629" s="371"/>
      <c r="Z629" s="499">
        <v>80</v>
      </c>
      <c r="AA629" s="500">
        <v>10</v>
      </c>
      <c r="AB629" s="491">
        <f t="shared" si="1406"/>
        <v>10</v>
      </c>
      <c r="AC629" s="371"/>
      <c r="AD629" s="232" t="str">
        <f t="shared" si="1407"/>
        <v/>
      </c>
      <c r="AE629" s="232" t="str">
        <f t="shared" si="1408"/>
        <v/>
      </c>
      <c r="AF629" s="232">
        <f t="shared" si="1409"/>
        <v>10</v>
      </c>
      <c r="AG629" s="232" t="str">
        <f t="shared" si="1442"/>
        <v/>
      </c>
      <c r="AH629" s="371"/>
      <c r="AI629" s="499">
        <v>60</v>
      </c>
      <c r="AJ629" s="500">
        <v>20</v>
      </c>
      <c r="AK629" s="491">
        <f t="shared" si="1410"/>
        <v>20</v>
      </c>
      <c r="AL629" s="371"/>
      <c r="AM629" s="232" t="str">
        <f t="shared" si="1411"/>
        <v/>
      </c>
      <c r="AN629" s="232" t="str">
        <f t="shared" si="1412"/>
        <v/>
      </c>
      <c r="AO629" s="232">
        <f t="shared" si="1413"/>
        <v>20</v>
      </c>
      <c r="AP629" s="232" t="str">
        <f t="shared" si="1443"/>
        <v/>
      </c>
      <c r="AQ629" s="371"/>
      <c r="AR629" s="499">
        <v>10</v>
      </c>
      <c r="AS629" s="500">
        <v>40</v>
      </c>
      <c r="AT629" s="491">
        <f t="shared" si="1414"/>
        <v>50</v>
      </c>
      <c r="AU629" s="371"/>
      <c r="AV629" s="232" t="str">
        <f t="shared" si="1415"/>
        <v/>
      </c>
      <c r="AW629" s="232" t="str">
        <f t="shared" si="1416"/>
        <v/>
      </c>
      <c r="AX629" s="232">
        <f t="shared" si="1417"/>
        <v>50</v>
      </c>
      <c r="AY629" s="232">
        <f t="shared" si="1444"/>
        <v>1</v>
      </c>
      <c r="AZ629" s="371"/>
      <c r="BA629" s="499">
        <v>80</v>
      </c>
      <c r="BB629" s="500">
        <v>10</v>
      </c>
      <c r="BC629" s="491">
        <f t="shared" si="1418"/>
        <v>10</v>
      </c>
      <c r="BD629" s="371"/>
      <c r="BE629" s="232" t="str">
        <f t="shared" si="1419"/>
        <v/>
      </c>
      <c r="BF629" s="232" t="str">
        <f t="shared" si="1420"/>
        <v/>
      </c>
      <c r="BG629" s="232">
        <f t="shared" si="1421"/>
        <v>10</v>
      </c>
      <c r="BH629" s="232" t="str">
        <f t="shared" si="1445"/>
        <v/>
      </c>
      <c r="BI629" s="371"/>
      <c r="BJ629" s="499">
        <v>80</v>
      </c>
      <c r="BK629" s="500">
        <v>10</v>
      </c>
      <c r="BL629" s="491">
        <f t="shared" si="1422"/>
        <v>10</v>
      </c>
      <c r="BM629" s="371"/>
      <c r="BN629" s="232" t="str">
        <f t="shared" si="1423"/>
        <v/>
      </c>
      <c r="BO629" s="232" t="str">
        <f t="shared" si="1424"/>
        <v/>
      </c>
      <c r="BP629" s="232">
        <f t="shared" si="1425"/>
        <v>10</v>
      </c>
      <c r="BQ629" s="232" t="str">
        <f t="shared" si="1446"/>
        <v/>
      </c>
      <c r="BR629" s="371"/>
      <c r="BS629" s="499">
        <v>60</v>
      </c>
      <c r="BT629" s="500">
        <v>20</v>
      </c>
      <c r="BU629" s="491">
        <f t="shared" si="1426"/>
        <v>20</v>
      </c>
      <c r="BV629" s="371"/>
      <c r="BW629" s="232" t="str">
        <f t="shared" si="1427"/>
        <v/>
      </c>
      <c r="BX629" s="232" t="str">
        <f t="shared" si="1428"/>
        <v/>
      </c>
      <c r="BY629" s="232">
        <f t="shared" si="1429"/>
        <v>20</v>
      </c>
      <c r="BZ629" s="232" t="str">
        <f t="shared" si="1447"/>
        <v/>
      </c>
      <c r="CA629" s="371"/>
      <c r="CB629" s="507">
        <f t="shared" si="1430"/>
        <v>70</v>
      </c>
      <c r="CC629" s="508">
        <f t="shared" si="1431"/>
        <v>10</v>
      </c>
      <c r="CD629" s="509">
        <f t="shared" si="1432"/>
        <v>20</v>
      </c>
      <c r="CE629" s="371"/>
      <c r="CF629" s="232" t="str">
        <f t="shared" si="1433"/>
        <v/>
      </c>
      <c r="CG629" s="232" t="str">
        <f t="shared" si="1434"/>
        <v/>
      </c>
      <c r="CH629" s="232">
        <f t="shared" si="1435"/>
        <v>20</v>
      </c>
      <c r="CI629" s="232" t="str">
        <f t="shared" si="1448"/>
        <v/>
      </c>
      <c r="CJ629" s="232"/>
      <c r="CK629" s="499">
        <v>20</v>
      </c>
      <c r="CL629" s="500">
        <v>50</v>
      </c>
      <c r="CM629" s="491">
        <f t="shared" si="1436"/>
        <v>30</v>
      </c>
      <c r="CN629" s="371"/>
      <c r="CO629" s="232" t="str">
        <f t="shared" si="1437"/>
        <v/>
      </c>
      <c r="CP629" s="232" t="str">
        <f t="shared" si="1438"/>
        <v/>
      </c>
      <c r="CQ629" s="232">
        <f t="shared" si="1439"/>
        <v>30</v>
      </c>
      <c r="CR629" s="232" t="str">
        <f t="shared" si="1449"/>
        <v/>
      </c>
      <c r="CS629" s="232"/>
      <c r="CT629" s="371"/>
      <c r="CU629" s="296"/>
      <c r="CV629" s="246"/>
      <c r="CW629" s="264"/>
    </row>
    <row r="630" spans="1:101" x14ac:dyDescent="0.2">
      <c r="A630" s="264"/>
      <c r="B630" s="264"/>
      <c r="C630" s="202"/>
      <c r="D630" s="271">
        <v>7</v>
      </c>
      <c r="E630" s="166" t="s">
        <v>878</v>
      </c>
      <c r="F630" s="468">
        <v>2</v>
      </c>
      <c r="G630" s="472"/>
      <c r="H630" s="473">
        <v>4</v>
      </c>
      <c r="I630" s="170" t="str">
        <f t="shared" si="1400"/>
        <v/>
      </c>
      <c r="J630" s="387" t="str">
        <f t="shared" si="1401"/>
        <v/>
      </c>
      <c r="K630" s="388" t="str">
        <f t="shared" si="1402"/>
        <v>x</v>
      </c>
      <c r="L630" s="299"/>
      <c r="M630" s="375"/>
      <c r="N630" s="379"/>
      <c r="O630" s="236"/>
      <c r="P630" s="236"/>
      <c r="Q630" s="480">
        <v>40</v>
      </c>
      <c r="R630" s="481">
        <v>50</v>
      </c>
      <c r="S630" s="482">
        <f t="shared" si="1440"/>
        <v>10</v>
      </c>
      <c r="T630" s="371"/>
      <c r="U630" s="232" t="str">
        <f t="shared" si="1403"/>
        <v/>
      </c>
      <c r="V630" s="232" t="str">
        <f t="shared" si="1404"/>
        <v/>
      </c>
      <c r="W630" s="232">
        <f t="shared" si="1405"/>
        <v>10</v>
      </c>
      <c r="X630" s="232" t="str">
        <f t="shared" si="1441"/>
        <v/>
      </c>
      <c r="Y630" s="371"/>
      <c r="Z630" s="495">
        <v>80</v>
      </c>
      <c r="AA630" s="496">
        <v>10</v>
      </c>
      <c r="AB630" s="482">
        <f t="shared" si="1406"/>
        <v>10</v>
      </c>
      <c r="AC630" s="371"/>
      <c r="AD630" s="232" t="str">
        <f t="shared" si="1407"/>
        <v/>
      </c>
      <c r="AE630" s="232" t="str">
        <f t="shared" si="1408"/>
        <v/>
      </c>
      <c r="AF630" s="232">
        <f t="shared" si="1409"/>
        <v>10</v>
      </c>
      <c r="AG630" s="232" t="str">
        <f t="shared" si="1442"/>
        <v/>
      </c>
      <c r="AH630" s="371"/>
      <c r="AI630" s="495">
        <v>50</v>
      </c>
      <c r="AJ630" s="496">
        <v>30</v>
      </c>
      <c r="AK630" s="482">
        <f t="shared" si="1410"/>
        <v>20</v>
      </c>
      <c r="AL630" s="371"/>
      <c r="AM630" s="232" t="str">
        <f t="shared" si="1411"/>
        <v/>
      </c>
      <c r="AN630" s="232" t="str">
        <f t="shared" si="1412"/>
        <v/>
      </c>
      <c r="AO630" s="232">
        <f t="shared" si="1413"/>
        <v>20</v>
      </c>
      <c r="AP630" s="232" t="str">
        <f t="shared" si="1443"/>
        <v/>
      </c>
      <c r="AQ630" s="371"/>
      <c r="AR630" s="495">
        <v>20</v>
      </c>
      <c r="AS630" s="496">
        <v>30</v>
      </c>
      <c r="AT630" s="482">
        <f t="shared" si="1414"/>
        <v>50</v>
      </c>
      <c r="AU630" s="371"/>
      <c r="AV630" s="232" t="str">
        <f t="shared" si="1415"/>
        <v/>
      </c>
      <c r="AW630" s="232" t="str">
        <f t="shared" si="1416"/>
        <v/>
      </c>
      <c r="AX630" s="232">
        <f t="shared" si="1417"/>
        <v>50</v>
      </c>
      <c r="AY630" s="232">
        <f t="shared" si="1444"/>
        <v>1</v>
      </c>
      <c r="AZ630" s="371"/>
      <c r="BA630" s="495">
        <v>80</v>
      </c>
      <c r="BB630" s="496">
        <v>10</v>
      </c>
      <c r="BC630" s="482">
        <f t="shared" si="1418"/>
        <v>10</v>
      </c>
      <c r="BD630" s="371"/>
      <c r="BE630" s="232" t="str">
        <f t="shared" si="1419"/>
        <v/>
      </c>
      <c r="BF630" s="232" t="str">
        <f t="shared" si="1420"/>
        <v/>
      </c>
      <c r="BG630" s="232">
        <f t="shared" si="1421"/>
        <v>10</v>
      </c>
      <c r="BH630" s="232" t="str">
        <f t="shared" si="1445"/>
        <v/>
      </c>
      <c r="BI630" s="371"/>
      <c r="BJ630" s="495">
        <v>10</v>
      </c>
      <c r="BK630" s="496">
        <v>10</v>
      </c>
      <c r="BL630" s="482">
        <f t="shared" si="1422"/>
        <v>80</v>
      </c>
      <c r="BM630" s="371"/>
      <c r="BN630" s="232" t="str">
        <f t="shared" si="1423"/>
        <v/>
      </c>
      <c r="BO630" s="232" t="str">
        <f t="shared" si="1424"/>
        <v/>
      </c>
      <c r="BP630" s="232">
        <f t="shared" si="1425"/>
        <v>80</v>
      </c>
      <c r="BQ630" s="232">
        <f t="shared" si="1446"/>
        <v>1</v>
      </c>
      <c r="BR630" s="371"/>
      <c r="BS630" s="495">
        <v>50</v>
      </c>
      <c r="BT630" s="496">
        <v>10</v>
      </c>
      <c r="BU630" s="482">
        <f t="shared" si="1426"/>
        <v>40</v>
      </c>
      <c r="BV630" s="371"/>
      <c r="BW630" s="232" t="str">
        <f t="shared" si="1427"/>
        <v/>
      </c>
      <c r="BX630" s="232" t="str">
        <f t="shared" si="1428"/>
        <v/>
      </c>
      <c r="BY630" s="232">
        <f t="shared" si="1429"/>
        <v>40</v>
      </c>
      <c r="BZ630" s="232" t="str">
        <f t="shared" si="1447"/>
        <v/>
      </c>
      <c r="CA630" s="371"/>
      <c r="CB630" s="501">
        <f t="shared" si="1430"/>
        <v>50</v>
      </c>
      <c r="CC630" s="502">
        <f t="shared" si="1431"/>
        <v>20</v>
      </c>
      <c r="CD630" s="503">
        <f t="shared" si="1432"/>
        <v>30</v>
      </c>
      <c r="CE630" s="371"/>
      <c r="CF630" s="232" t="str">
        <f t="shared" si="1433"/>
        <v/>
      </c>
      <c r="CG630" s="232" t="str">
        <f t="shared" si="1434"/>
        <v/>
      </c>
      <c r="CH630" s="232">
        <f t="shared" si="1435"/>
        <v>30</v>
      </c>
      <c r="CI630" s="232" t="str">
        <f t="shared" si="1448"/>
        <v/>
      </c>
      <c r="CJ630" s="232"/>
      <c r="CK630" s="495">
        <v>30</v>
      </c>
      <c r="CL630" s="496">
        <v>30</v>
      </c>
      <c r="CM630" s="482">
        <f t="shared" si="1436"/>
        <v>40</v>
      </c>
      <c r="CN630" s="371"/>
      <c r="CO630" s="232" t="str">
        <f t="shared" si="1437"/>
        <v/>
      </c>
      <c r="CP630" s="232" t="str">
        <f t="shared" si="1438"/>
        <v/>
      </c>
      <c r="CQ630" s="232">
        <f t="shared" si="1439"/>
        <v>40</v>
      </c>
      <c r="CR630" s="232">
        <f t="shared" si="1449"/>
        <v>1</v>
      </c>
      <c r="CS630" s="232"/>
      <c r="CT630" s="371"/>
      <c r="CU630" s="300"/>
      <c r="CV630" s="246"/>
      <c r="CW630" s="264"/>
    </row>
    <row r="631" spans="1:101" x14ac:dyDescent="0.2">
      <c r="A631" s="264"/>
      <c r="B631" s="264"/>
      <c r="C631" s="202"/>
      <c r="D631" s="271">
        <v>8</v>
      </c>
      <c r="E631" s="167" t="s">
        <v>879</v>
      </c>
      <c r="F631" s="469">
        <v>1</v>
      </c>
      <c r="G631" s="474"/>
      <c r="H631" s="475">
        <v>1</v>
      </c>
      <c r="I631" s="389" t="str">
        <f t="shared" si="1400"/>
        <v/>
      </c>
      <c r="J631" s="390" t="str">
        <f t="shared" si="1401"/>
        <v>x</v>
      </c>
      <c r="K631" s="391" t="str">
        <f t="shared" si="1402"/>
        <v/>
      </c>
      <c r="L631" s="299"/>
      <c r="M631" s="375"/>
      <c r="N631" s="379"/>
      <c r="O631" s="236"/>
      <c r="P631" s="236"/>
      <c r="Q631" s="483">
        <v>60</v>
      </c>
      <c r="R631" s="484">
        <v>20</v>
      </c>
      <c r="S631" s="485">
        <f t="shared" si="1440"/>
        <v>20</v>
      </c>
      <c r="T631" s="371"/>
      <c r="U631" s="232" t="str">
        <f t="shared" si="1403"/>
        <v/>
      </c>
      <c r="V631" s="232">
        <f t="shared" si="1404"/>
        <v>20</v>
      </c>
      <c r="W631" s="232" t="str">
        <f t="shared" si="1405"/>
        <v/>
      </c>
      <c r="X631" s="232" t="str">
        <f t="shared" si="1441"/>
        <v/>
      </c>
      <c r="Y631" s="371"/>
      <c r="Z631" s="497">
        <v>80</v>
      </c>
      <c r="AA631" s="498">
        <v>10</v>
      </c>
      <c r="AB631" s="485">
        <f t="shared" si="1406"/>
        <v>10</v>
      </c>
      <c r="AC631" s="371"/>
      <c r="AD631" s="232" t="str">
        <f t="shared" si="1407"/>
        <v/>
      </c>
      <c r="AE631" s="232">
        <f t="shared" si="1408"/>
        <v>10</v>
      </c>
      <c r="AF631" s="232" t="str">
        <f t="shared" si="1409"/>
        <v/>
      </c>
      <c r="AG631" s="232" t="str">
        <f t="shared" si="1442"/>
        <v/>
      </c>
      <c r="AH631" s="371"/>
      <c r="AI631" s="497">
        <v>70</v>
      </c>
      <c r="AJ631" s="498">
        <v>10</v>
      </c>
      <c r="AK631" s="485">
        <f t="shared" si="1410"/>
        <v>20</v>
      </c>
      <c r="AL631" s="371"/>
      <c r="AM631" s="232" t="str">
        <f t="shared" si="1411"/>
        <v/>
      </c>
      <c r="AN631" s="232">
        <f t="shared" si="1412"/>
        <v>10</v>
      </c>
      <c r="AO631" s="232" t="str">
        <f t="shared" si="1413"/>
        <v/>
      </c>
      <c r="AP631" s="232" t="str">
        <f t="shared" si="1443"/>
        <v/>
      </c>
      <c r="AQ631" s="371"/>
      <c r="AR631" s="497">
        <v>80</v>
      </c>
      <c r="AS631" s="498">
        <v>10</v>
      </c>
      <c r="AT631" s="485">
        <f t="shared" si="1414"/>
        <v>10</v>
      </c>
      <c r="AU631" s="371"/>
      <c r="AV631" s="232" t="str">
        <f t="shared" si="1415"/>
        <v/>
      </c>
      <c r="AW631" s="232">
        <f t="shared" si="1416"/>
        <v>10</v>
      </c>
      <c r="AX631" s="232" t="str">
        <f t="shared" si="1417"/>
        <v/>
      </c>
      <c r="AY631" s="232" t="str">
        <f t="shared" si="1444"/>
        <v/>
      </c>
      <c r="AZ631" s="371"/>
      <c r="BA631" s="497">
        <v>80</v>
      </c>
      <c r="BB631" s="498">
        <v>10</v>
      </c>
      <c r="BC631" s="485">
        <f t="shared" si="1418"/>
        <v>10</v>
      </c>
      <c r="BD631" s="371"/>
      <c r="BE631" s="232" t="str">
        <f t="shared" si="1419"/>
        <v/>
      </c>
      <c r="BF631" s="232">
        <f t="shared" si="1420"/>
        <v>10</v>
      </c>
      <c r="BG631" s="232" t="str">
        <f t="shared" si="1421"/>
        <v/>
      </c>
      <c r="BH631" s="232" t="str">
        <f t="shared" si="1445"/>
        <v/>
      </c>
      <c r="BI631" s="371"/>
      <c r="BJ631" s="497">
        <v>20</v>
      </c>
      <c r="BK631" s="498">
        <v>30</v>
      </c>
      <c r="BL631" s="485">
        <f t="shared" si="1422"/>
        <v>50</v>
      </c>
      <c r="BM631" s="371"/>
      <c r="BN631" s="232" t="str">
        <f t="shared" si="1423"/>
        <v/>
      </c>
      <c r="BO631" s="232">
        <f t="shared" si="1424"/>
        <v>30</v>
      </c>
      <c r="BP631" s="232" t="str">
        <f t="shared" si="1425"/>
        <v/>
      </c>
      <c r="BQ631" s="232" t="str">
        <f t="shared" si="1446"/>
        <v/>
      </c>
      <c r="BR631" s="371"/>
      <c r="BS631" s="497">
        <v>60</v>
      </c>
      <c r="BT631" s="498">
        <v>20</v>
      </c>
      <c r="BU631" s="485">
        <f t="shared" si="1426"/>
        <v>20</v>
      </c>
      <c r="BV631" s="371"/>
      <c r="BW631" s="232" t="str">
        <f t="shared" si="1427"/>
        <v/>
      </c>
      <c r="BX631" s="232">
        <f t="shared" si="1428"/>
        <v>20</v>
      </c>
      <c r="BY631" s="232" t="str">
        <f t="shared" si="1429"/>
        <v/>
      </c>
      <c r="BZ631" s="232" t="str">
        <f t="shared" si="1447"/>
        <v/>
      </c>
      <c r="CA631" s="371"/>
      <c r="CB631" s="504">
        <f t="shared" si="1430"/>
        <v>70</v>
      </c>
      <c r="CC631" s="505">
        <f t="shared" si="1431"/>
        <v>10</v>
      </c>
      <c r="CD631" s="506">
        <f t="shared" si="1432"/>
        <v>20</v>
      </c>
      <c r="CE631" s="371"/>
      <c r="CF631" s="232" t="str">
        <f t="shared" si="1433"/>
        <v/>
      </c>
      <c r="CG631" s="232">
        <f t="shared" si="1434"/>
        <v>10</v>
      </c>
      <c r="CH631" s="232" t="str">
        <f t="shared" si="1435"/>
        <v/>
      </c>
      <c r="CI631" s="232" t="str">
        <f t="shared" si="1448"/>
        <v/>
      </c>
      <c r="CJ631" s="232"/>
      <c r="CK631" s="497">
        <v>50</v>
      </c>
      <c r="CL631" s="498">
        <v>30</v>
      </c>
      <c r="CM631" s="485">
        <f t="shared" si="1436"/>
        <v>20</v>
      </c>
      <c r="CN631" s="371"/>
      <c r="CO631" s="232" t="str">
        <f t="shared" si="1437"/>
        <v/>
      </c>
      <c r="CP631" s="232">
        <f t="shared" si="1438"/>
        <v>30</v>
      </c>
      <c r="CQ631" s="232" t="str">
        <f t="shared" si="1439"/>
        <v/>
      </c>
      <c r="CR631" s="232" t="str">
        <f t="shared" si="1449"/>
        <v/>
      </c>
      <c r="CS631" s="232"/>
      <c r="CT631" s="371"/>
      <c r="CU631" s="300"/>
      <c r="CV631" s="246"/>
      <c r="CW631" s="264"/>
    </row>
    <row r="632" spans="1:101" ht="13.5" thickBot="1" x14ac:dyDescent="0.25">
      <c r="A632" s="264"/>
      <c r="B632" s="264"/>
      <c r="C632" s="202"/>
      <c r="D632" s="271">
        <v>9</v>
      </c>
      <c r="E632" s="168" t="s">
        <v>880</v>
      </c>
      <c r="F632" s="470">
        <v>0</v>
      </c>
      <c r="G632" s="476"/>
      <c r="H632" s="477">
        <v>2</v>
      </c>
      <c r="I632" s="392" t="str">
        <f t="shared" si="1400"/>
        <v/>
      </c>
      <c r="J632" s="393" t="str">
        <f t="shared" si="1401"/>
        <v/>
      </c>
      <c r="K632" s="394" t="str">
        <f t="shared" si="1402"/>
        <v>x</v>
      </c>
      <c r="L632" s="299"/>
      <c r="M632" s="375"/>
      <c r="N632" s="379"/>
      <c r="O632" s="236"/>
      <c r="P632" s="236"/>
      <c r="Q632" s="489">
        <v>40</v>
      </c>
      <c r="R632" s="490">
        <v>30</v>
      </c>
      <c r="S632" s="491">
        <f t="shared" si="1440"/>
        <v>30</v>
      </c>
      <c r="T632" s="371"/>
      <c r="U632" s="232" t="str">
        <f t="shared" si="1403"/>
        <v/>
      </c>
      <c r="V632" s="232" t="str">
        <f t="shared" si="1404"/>
        <v/>
      </c>
      <c r="W632" s="232">
        <f t="shared" si="1405"/>
        <v>30</v>
      </c>
      <c r="X632" s="232" t="str">
        <f t="shared" si="1441"/>
        <v/>
      </c>
      <c r="Y632" s="371"/>
      <c r="Z632" s="499">
        <v>80</v>
      </c>
      <c r="AA632" s="500">
        <v>10</v>
      </c>
      <c r="AB632" s="491">
        <f t="shared" si="1406"/>
        <v>10</v>
      </c>
      <c r="AC632" s="371"/>
      <c r="AD632" s="232" t="str">
        <f t="shared" si="1407"/>
        <v/>
      </c>
      <c r="AE632" s="232" t="str">
        <f t="shared" si="1408"/>
        <v/>
      </c>
      <c r="AF632" s="232">
        <f t="shared" si="1409"/>
        <v>10</v>
      </c>
      <c r="AG632" s="232" t="str">
        <f t="shared" si="1442"/>
        <v/>
      </c>
      <c r="AH632" s="371"/>
      <c r="AI632" s="499">
        <v>40</v>
      </c>
      <c r="AJ632" s="500">
        <v>20</v>
      </c>
      <c r="AK632" s="491">
        <f t="shared" si="1410"/>
        <v>40</v>
      </c>
      <c r="AL632" s="371"/>
      <c r="AM632" s="232" t="str">
        <f t="shared" si="1411"/>
        <v/>
      </c>
      <c r="AN632" s="232" t="str">
        <f t="shared" si="1412"/>
        <v/>
      </c>
      <c r="AO632" s="232">
        <f t="shared" si="1413"/>
        <v>40</v>
      </c>
      <c r="AP632" s="232">
        <f t="shared" si="1443"/>
        <v>1</v>
      </c>
      <c r="AQ632" s="371"/>
      <c r="AR632" s="499">
        <v>50</v>
      </c>
      <c r="AS632" s="500">
        <v>40</v>
      </c>
      <c r="AT632" s="491">
        <f t="shared" si="1414"/>
        <v>10</v>
      </c>
      <c r="AU632" s="371"/>
      <c r="AV632" s="232" t="str">
        <f t="shared" si="1415"/>
        <v/>
      </c>
      <c r="AW632" s="232" t="str">
        <f t="shared" si="1416"/>
        <v/>
      </c>
      <c r="AX632" s="232">
        <f t="shared" si="1417"/>
        <v>10</v>
      </c>
      <c r="AY632" s="232" t="str">
        <f t="shared" si="1444"/>
        <v/>
      </c>
      <c r="AZ632" s="371"/>
      <c r="BA632" s="499">
        <v>80</v>
      </c>
      <c r="BB632" s="500">
        <v>10</v>
      </c>
      <c r="BC632" s="491">
        <f t="shared" si="1418"/>
        <v>10</v>
      </c>
      <c r="BD632" s="371"/>
      <c r="BE632" s="232" t="str">
        <f t="shared" si="1419"/>
        <v/>
      </c>
      <c r="BF632" s="232" t="str">
        <f t="shared" si="1420"/>
        <v/>
      </c>
      <c r="BG632" s="232">
        <f t="shared" si="1421"/>
        <v>10</v>
      </c>
      <c r="BH632" s="232" t="str">
        <f t="shared" si="1445"/>
        <v/>
      </c>
      <c r="BI632" s="371"/>
      <c r="BJ632" s="499">
        <v>70</v>
      </c>
      <c r="BK632" s="500">
        <v>20</v>
      </c>
      <c r="BL632" s="491">
        <f t="shared" si="1422"/>
        <v>10</v>
      </c>
      <c r="BM632" s="371"/>
      <c r="BN632" s="232" t="str">
        <f t="shared" si="1423"/>
        <v/>
      </c>
      <c r="BO632" s="232" t="str">
        <f t="shared" si="1424"/>
        <v/>
      </c>
      <c r="BP632" s="232">
        <f t="shared" si="1425"/>
        <v>10</v>
      </c>
      <c r="BQ632" s="232" t="str">
        <f t="shared" si="1446"/>
        <v/>
      </c>
      <c r="BR632" s="371"/>
      <c r="BS632" s="499">
        <v>20</v>
      </c>
      <c r="BT632" s="500">
        <v>50</v>
      </c>
      <c r="BU632" s="491">
        <f t="shared" si="1426"/>
        <v>30</v>
      </c>
      <c r="BV632" s="371"/>
      <c r="BW632" s="232" t="str">
        <f t="shared" si="1427"/>
        <v/>
      </c>
      <c r="BX632" s="232" t="str">
        <f t="shared" si="1428"/>
        <v/>
      </c>
      <c r="BY632" s="232">
        <f t="shared" si="1429"/>
        <v>30</v>
      </c>
      <c r="BZ632" s="232" t="str">
        <f t="shared" si="1447"/>
        <v/>
      </c>
      <c r="CA632" s="371"/>
      <c r="CB632" s="507">
        <f t="shared" si="1430"/>
        <v>60</v>
      </c>
      <c r="CC632" s="508">
        <f t="shared" si="1431"/>
        <v>20</v>
      </c>
      <c r="CD632" s="509">
        <f t="shared" si="1432"/>
        <v>20</v>
      </c>
      <c r="CE632" s="371"/>
      <c r="CF632" s="232" t="str">
        <f t="shared" si="1433"/>
        <v/>
      </c>
      <c r="CG632" s="232" t="str">
        <f t="shared" si="1434"/>
        <v/>
      </c>
      <c r="CH632" s="232">
        <f t="shared" si="1435"/>
        <v>20</v>
      </c>
      <c r="CI632" s="232" t="str">
        <f t="shared" si="1448"/>
        <v/>
      </c>
      <c r="CJ632" s="232"/>
      <c r="CK632" s="499">
        <v>30</v>
      </c>
      <c r="CL632" s="500">
        <v>40</v>
      </c>
      <c r="CM632" s="491">
        <f t="shared" si="1436"/>
        <v>30</v>
      </c>
      <c r="CN632" s="371"/>
      <c r="CO632" s="232" t="str">
        <f t="shared" si="1437"/>
        <v/>
      </c>
      <c r="CP632" s="232" t="str">
        <f t="shared" si="1438"/>
        <v/>
      </c>
      <c r="CQ632" s="232">
        <f t="shared" si="1439"/>
        <v>30</v>
      </c>
      <c r="CR632" s="232" t="str">
        <f t="shared" si="1449"/>
        <v/>
      </c>
      <c r="CS632" s="232"/>
      <c r="CT632" s="371"/>
      <c r="CU632" s="300"/>
      <c r="CV632" s="246"/>
      <c r="CW632" s="264"/>
    </row>
    <row r="633" spans="1:101" x14ac:dyDescent="0.2">
      <c r="A633" s="264"/>
      <c r="B633" s="264"/>
      <c r="C633" s="202"/>
      <c r="D633" s="271">
        <v>10</v>
      </c>
      <c r="E633" s="169" t="s">
        <v>881</v>
      </c>
      <c r="F633" s="471">
        <v>1</v>
      </c>
      <c r="G633" s="478"/>
      <c r="H633" s="479">
        <v>2</v>
      </c>
      <c r="I633" s="170" t="str">
        <f t="shared" si="1400"/>
        <v/>
      </c>
      <c r="J633" s="387" t="str">
        <f t="shared" si="1401"/>
        <v/>
      </c>
      <c r="K633" s="388" t="str">
        <f t="shared" si="1402"/>
        <v>x</v>
      </c>
      <c r="L633" s="299"/>
      <c r="M633" s="375"/>
      <c r="N633" s="379"/>
      <c r="O633" s="236"/>
      <c r="P633" s="236"/>
      <c r="Q633" s="492">
        <v>80</v>
      </c>
      <c r="R633" s="493">
        <v>10</v>
      </c>
      <c r="S633" s="494">
        <f t="shared" si="1440"/>
        <v>10</v>
      </c>
      <c r="T633" s="371"/>
      <c r="U633" s="232" t="str">
        <f t="shared" si="1403"/>
        <v/>
      </c>
      <c r="V633" s="232" t="str">
        <f t="shared" si="1404"/>
        <v/>
      </c>
      <c r="W633" s="232">
        <f t="shared" si="1405"/>
        <v>10</v>
      </c>
      <c r="X633" s="232" t="str">
        <f t="shared" si="1441"/>
        <v/>
      </c>
      <c r="Y633" s="371"/>
      <c r="Z633" s="495">
        <v>10</v>
      </c>
      <c r="AA633" s="496">
        <v>10</v>
      </c>
      <c r="AB633" s="494">
        <f t="shared" si="1406"/>
        <v>80</v>
      </c>
      <c r="AC633" s="371"/>
      <c r="AD633" s="232" t="str">
        <f t="shared" si="1407"/>
        <v/>
      </c>
      <c r="AE633" s="232" t="str">
        <f t="shared" si="1408"/>
        <v/>
      </c>
      <c r="AF633" s="232">
        <f t="shared" si="1409"/>
        <v>80</v>
      </c>
      <c r="AG633" s="232">
        <f t="shared" si="1442"/>
        <v>1</v>
      </c>
      <c r="AH633" s="371"/>
      <c r="AI633" s="495">
        <v>10</v>
      </c>
      <c r="AJ633" s="496">
        <v>20</v>
      </c>
      <c r="AK633" s="494">
        <f t="shared" si="1410"/>
        <v>70</v>
      </c>
      <c r="AL633" s="371"/>
      <c r="AM633" s="232" t="str">
        <f t="shared" si="1411"/>
        <v/>
      </c>
      <c r="AN633" s="232" t="str">
        <f t="shared" si="1412"/>
        <v/>
      </c>
      <c r="AO633" s="232">
        <f t="shared" si="1413"/>
        <v>70</v>
      </c>
      <c r="AP633" s="232">
        <f t="shared" si="1443"/>
        <v>1</v>
      </c>
      <c r="AQ633" s="371"/>
      <c r="AR633" s="495">
        <v>10</v>
      </c>
      <c r="AS633" s="496">
        <v>30</v>
      </c>
      <c r="AT633" s="494">
        <f t="shared" si="1414"/>
        <v>60</v>
      </c>
      <c r="AU633" s="371"/>
      <c r="AV633" s="232" t="str">
        <f t="shared" si="1415"/>
        <v/>
      </c>
      <c r="AW633" s="232" t="str">
        <f t="shared" si="1416"/>
        <v/>
      </c>
      <c r="AX633" s="232">
        <f t="shared" si="1417"/>
        <v>60</v>
      </c>
      <c r="AY633" s="232">
        <f t="shared" si="1444"/>
        <v>1</v>
      </c>
      <c r="AZ633" s="371"/>
      <c r="BA633" s="495">
        <v>80</v>
      </c>
      <c r="BB633" s="496">
        <v>10</v>
      </c>
      <c r="BC633" s="494">
        <f t="shared" si="1418"/>
        <v>10</v>
      </c>
      <c r="BD633" s="371"/>
      <c r="BE633" s="232" t="str">
        <f t="shared" si="1419"/>
        <v/>
      </c>
      <c r="BF633" s="232" t="str">
        <f t="shared" si="1420"/>
        <v/>
      </c>
      <c r="BG633" s="232">
        <f t="shared" si="1421"/>
        <v>10</v>
      </c>
      <c r="BH633" s="232" t="str">
        <f t="shared" si="1445"/>
        <v/>
      </c>
      <c r="BI633" s="371"/>
      <c r="BJ633" s="495">
        <v>10</v>
      </c>
      <c r="BK633" s="496">
        <v>10</v>
      </c>
      <c r="BL633" s="494">
        <f t="shared" si="1422"/>
        <v>80</v>
      </c>
      <c r="BM633" s="371"/>
      <c r="BN633" s="232" t="str">
        <f t="shared" si="1423"/>
        <v/>
      </c>
      <c r="BO633" s="232" t="str">
        <f t="shared" si="1424"/>
        <v/>
      </c>
      <c r="BP633" s="232">
        <f t="shared" si="1425"/>
        <v>80</v>
      </c>
      <c r="BQ633" s="232">
        <f t="shared" si="1446"/>
        <v>1</v>
      </c>
      <c r="BR633" s="371"/>
      <c r="BS633" s="495">
        <v>30</v>
      </c>
      <c r="BT633" s="496">
        <v>30</v>
      </c>
      <c r="BU633" s="494">
        <f t="shared" si="1426"/>
        <v>40</v>
      </c>
      <c r="BV633" s="371"/>
      <c r="BW633" s="232" t="str">
        <f t="shared" si="1427"/>
        <v/>
      </c>
      <c r="BX633" s="232" t="str">
        <f t="shared" si="1428"/>
        <v/>
      </c>
      <c r="BY633" s="232">
        <f t="shared" si="1429"/>
        <v>40</v>
      </c>
      <c r="BZ633" s="232">
        <f t="shared" si="1447"/>
        <v>1</v>
      </c>
      <c r="CA633" s="371"/>
      <c r="CB633" s="501">
        <f t="shared" si="1430"/>
        <v>40</v>
      </c>
      <c r="CC633" s="502">
        <f t="shared" si="1431"/>
        <v>10</v>
      </c>
      <c r="CD633" s="503">
        <f t="shared" si="1432"/>
        <v>50</v>
      </c>
      <c r="CE633" s="371"/>
      <c r="CF633" s="232" t="str">
        <f t="shared" si="1433"/>
        <v/>
      </c>
      <c r="CG633" s="232" t="str">
        <f t="shared" si="1434"/>
        <v/>
      </c>
      <c r="CH633" s="232">
        <f t="shared" si="1435"/>
        <v>50</v>
      </c>
      <c r="CI633" s="232">
        <f t="shared" si="1448"/>
        <v>1</v>
      </c>
      <c r="CJ633" s="232"/>
      <c r="CK633" s="495">
        <v>20</v>
      </c>
      <c r="CL633" s="496">
        <v>30</v>
      </c>
      <c r="CM633" s="494">
        <f t="shared" si="1436"/>
        <v>50</v>
      </c>
      <c r="CN633" s="371"/>
      <c r="CO633" s="232" t="str">
        <f t="shared" si="1437"/>
        <v/>
      </c>
      <c r="CP633" s="232" t="str">
        <f t="shared" si="1438"/>
        <v/>
      </c>
      <c r="CQ633" s="232">
        <f t="shared" si="1439"/>
        <v>50</v>
      </c>
      <c r="CR633" s="232">
        <f t="shared" si="1449"/>
        <v>1</v>
      </c>
      <c r="CS633" s="232"/>
      <c r="CT633" s="371"/>
      <c r="CU633" s="300"/>
      <c r="CV633" s="246"/>
      <c r="CW633" s="264"/>
    </row>
    <row r="634" spans="1:101" x14ac:dyDescent="0.2">
      <c r="A634" s="264"/>
      <c r="B634" s="264"/>
      <c r="C634" s="202"/>
      <c r="D634" s="271">
        <v>11</v>
      </c>
      <c r="E634" s="167" t="s">
        <v>882</v>
      </c>
      <c r="F634" s="469">
        <v>0</v>
      </c>
      <c r="G634" s="474"/>
      <c r="H634" s="475">
        <v>2</v>
      </c>
      <c r="I634" s="389" t="str">
        <f t="shared" si="1400"/>
        <v/>
      </c>
      <c r="J634" s="390" t="str">
        <f t="shared" si="1401"/>
        <v/>
      </c>
      <c r="K634" s="391" t="str">
        <f t="shared" si="1402"/>
        <v>x</v>
      </c>
      <c r="L634" s="299"/>
      <c r="M634" s="375"/>
      <c r="N634" s="379"/>
      <c r="O634" s="236"/>
      <c r="P634" s="236"/>
      <c r="Q634" s="483">
        <v>40</v>
      </c>
      <c r="R634" s="484">
        <v>30</v>
      </c>
      <c r="S634" s="485">
        <f t="shared" si="1440"/>
        <v>30</v>
      </c>
      <c r="T634" s="371"/>
      <c r="U634" s="232" t="str">
        <f t="shared" si="1403"/>
        <v/>
      </c>
      <c r="V634" s="232" t="str">
        <f t="shared" si="1404"/>
        <v/>
      </c>
      <c r="W634" s="232">
        <f t="shared" si="1405"/>
        <v>30</v>
      </c>
      <c r="X634" s="232" t="str">
        <f t="shared" si="1441"/>
        <v/>
      </c>
      <c r="Y634" s="371"/>
      <c r="Z634" s="497">
        <v>80</v>
      </c>
      <c r="AA634" s="498">
        <v>10</v>
      </c>
      <c r="AB634" s="485">
        <f t="shared" si="1406"/>
        <v>10</v>
      </c>
      <c r="AC634" s="371"/>
      <c r="AD634" s="232" t="str">
        <f t="shared" si="1407"/>
        <v/>
      </c>
      <c r="AE634" s="232" t="str">
        <f t="shared" si="1408"/>
        <v/>
      </c>
      <c r="AF634" s="232">
        <f t="shared" si="1409"/>
        <v>10</v>
      </c>
      <c r="AG634" s="232" t="str">
        <f t="shared" si="1442"/>
        <v/>
      </c>
      <c r="AH634" s="371"/>
      <c r="AI634" s="497">
        <v>60</v>
      </c>
      <c r="AJ634" s="498">
        <v>20</v>
      </c>
      <c r="AK634" s="485">
        <f t="shared" si="1410"/>
        <v>20</v>
      </c>
      <c r="AL634" s="371"/>
      <c r="AM634" s="232" t="str">
        <f t="shared" si="1411"/>
        <v/>
      </c>
      <c r="AN634" s="232" t="str">
        <f t="shared" si="1412"/>
        <v/>
      </c>
      <c r="AO634" s="232">
        <f t="shared" si="1413"/>
        <v>20</v>
      </c>
      <c r="AP634" s="232" t="str">
        <f t="shared" si="1443"/>
        <v/>
      </c>
      <c r="AQ634" s="371"/>
      <c r="AR634" s="497">
        <v>50</v>
      </c>
      <c r="AS634" s="498">
        <v>40</v>
      </c>
      <c r="AT634" s="485">
        <f t="shared" si="1414"/>
        <v>10</v>
      </c>
      <c r="AU634" s="371"/>
      <c r="AV634" s="232" t="str">
        <f t="shared" si="1415"/>
        <v/>
      </c>
      <c r="AW634" s="232" t="str">
        <f t="shared" si="1416"/>
        <v/>
      </c>
      <c r="AX634" s="232">
        <f t="shared" si="1417"/>
        <v>10</v>
      </c>
      <c r="AY634" s="232" t="str">
        <f t="shared" si="1444"/>
        <v/>
      </c>
      <c r="AZ634" s="371"/>
      <c r="BA634" s="497">
        <v>80</v>
      </c>
      <c r="BB634" s="498">
        <v>10</v>
      </c>
      <c r="BC634" s="485">
        <f t="shared" si="1418"/>
        <v>10</v>
      </c>
      <c r="BD634" s="371"/>
      <c r="BE634" s="232" t="str">
        <f t="shared" si="1419"/>
        <v/>
      </c>
      <c r="BF634" s="232" t="str">
        <f t="shared" si="1420"/>
        <v/>
      </c>
      <c r="BG634" s="232">
        <f t="shared" si="1421"/>
        <v>10</v>
      </c>
      <c r="BH634" s="232" t="str">
        <f t="shared" si="1445"/>
        <v/>
      </c>
      <c r="BI634" s="371"/>
      <c r="BJ634" s="497">
        <v>20</v>
      </c>
      <c r="BK634" s="498">
        <v>20</v>
      </c>
      <c r="BL634" s="485">
        <f t="shared" si="1422"/>
        <v>60</v>
      </c>
      <c r="BM634" s="371"/>
      <c r="BN634" s="232" t="str">
        <f t="shared" si="1423"/>
        <v/>
      </c>
      <c r="BO634" s="232" t="str">
        <f t="shared" si="1424"/>
        <v/>
      </c>
      <c r="BP634" s="232">
        <f t="shared" si="1425"/>
        <v>60</v>
      </c>
      <c r="BQ634" s="232">
        <f t="shared" si="1446"/>
        <v>1</v>
      </c>
      <c r="BR634" s="371"/>
      <c r="BS634" s="497">
        <v>50</v>
      </c>
      <c r="BT634" s="498">
        <v>30</v>
      </c>
      <c r="BU634" s="485">
        <f t="shared" si="1426"/>
        <v>20</v>
      </c>
      <c r="BV634" s="371"/>
      <c r="BW634" s="232" t="str">
        <f t="shared" si="1427"/>
        <v/>
      </c>
      <c r="BX634" s="232" t="str">
        <f t="shared" si="1428"/>
        <v/>
      </c>
      <c r="BY634" s="232">
        <f t="shared" si="1429"/>
        <v>20</v>
      </c>
      <c r="BZ634" s="232" t="str">
        <f t="shared" si="1447"/>
        <v/>
      </c>
      <c r="CA634" s="371"/>
      <c r="CB634" s="504">
        <f t="shared" si="1430"/>
        <v>60</v>
      </c>
      <c r="CC634" s="505">
        <f t="shared" si="1431"/>
        <v>20</v>
      </c>
      <c r="CD634" s="506">
        <f t="shared" si="1432"/>
        <v>20</v>
      </c>
      <c r="CE634" s="371"/>
      <c r="CF634" s="232" t="str">
        <f t="shared" si="1433"/>
        <v/>
      </c>
      <c r="CG634" s="232" t="str">
        <f t="shared" si="1434"/>
        <v/>
      </c>
      <c r="CH634" s="232">
        <f t="shared" si="1435"/>
        <v>20</v>
      </c>
      <c r="CI634" s="232" t="str">
        <f t="shared" si="1448"/>
        <v/>
      </c>
      <c r="CJ634" s="232"/>
      <c r="CK634" s="497">
        <v>40</v>
      </c>
      <c r="CL634" s="498">
        <v>40</v>
      </c>
      <c r="CM634" s="485">
        <f t="shared" si="1436"/>
        <v>20</v>
      </c>
      <c r="CN634" s="371"/>
      <c r="CO634" s="232" t="str">
        <f t="shared" si="1437"/>
        <v/>
      </c>
      <c r="CP634" s="232" t="str">
        <f t="shared" si="1438"/>
        <v/>
      </c>
      <c r="CQ634" s="232">
        <f t="shared" si="1439"/>
        <v>20</v>
      </c>
      <c r="CR634" s="232" t="str">
        <f t="shared" si="1449"/>
        <v/>
      </c>
      <c r="CS634" s="232"/>
      <c r="CT634" s="371"/>
      <c r="CU634" s="300"/>
      <c r="CV634" s="246"/>
      <c r="CW634" s="264"/>
    </row>
    <row r="635" spans="1:101" ht="13.5" thickBot="1" x14ac:dyDescent="0.25">
      <c r="A635" s="264"/>
      <c r="B635" s="264"/>
      <c r="C635" s="202"/>
      <c r="D635" s="271">
        <v>12</v>
      </c>
      <c r="E635" s="168" t="s">
        <v>883</v>
      </c>
      <c r="F635" s="470">
        <v>2</v>
      </c>
      <c r="G635" s="476"/>
      <c r="H635" s="477">
        <v>0</v>
      </c>
      <c r="I635" s="392" t="str">
        <f t="shared" si="1400"/>
        <v>x</v>
      </c>
      <c r="J635" s="393" t="str">
        <f t="shared" si="1401"/>
        <v/>
      </c>
      <c r="K635" s="394" t="str">
        <f t="shared" si="1402"/>
        <v/>
      </c>
      <c r="L635" s="299"/>
      <c r="M635" s="375"/>
      <c r="N635" s="379"/>
      <c r="O635" s="236"/>
      <c r="P635" s="236"/>
      <c r="Q635" s="489">
        <v>50</v>
      </c>
      <c r="R635" s="490">
        <v>30</v>
      </c>
      <c r="S635" s="491">
        <f t="shared" si="1440"/>
        <v>20</v>
      </c>
      <c r="T635" s="371"/>
      <c r="U635" s="232">
        <f t="shared" si="1403"/>
        <v>50</v>
      </c>
      <c r="V635" s="232" t="str">
        <f t="shared" si="1404"/>
        <v/>
      </c>
      <c r="W635" s="232" t="str">
        <f t="shared" si="1405"/>
        <v/>
      </c>
      <c r="X635" s="232">
        <f t="shared" si="1441"/>
        <v>1</v>
      </c>
      <c r="Y635" s="371"/>
      <c r="Z635" s="499">
        <v>80</v>
      </c>
      <c r="AA635" s="500">
        <v>10</v>
      </c>
      <c r="AB635" s="491">
        <f t="shared" si="1406"/>
        <v>10</v>
      </c>
      <c r="AC635" s="371"/>
      <c r="AD635" s="232">
        <f t="shared" si="1407"/>
        <v>80</v>
      </c>
      <c r="AE635" s="232" t="str">
        <f t="shared" si="1408"/>
        <v/>
      </c>
      <c r="AF635" s="232" t="str">
        <f t="shared" si="1409"/>
        <v/>
      </c>
      <c r="AG635" s="232">
        <f t="shared" si="1442"/>
        <v>1</v>
      </c>
      <c r="AH635" s="371"/>
      <c r="AI635" s="499">
        <v>30</v>
      </c>
      <c r="AJ635" s="500">
        <v>60</v>
      </c>
      <c r="AK635" s="491">
        <f t="shared" si="1410"/>
        <v>10</v>
      </c>
      <c r="AL635" s="371"/>
      <c r="AM635" s="232">
        <f t="shared" si="1411"/>
        <v>30</v>
      </c>
      <c r="AN635" s="232" t="str">
        <f t="shared" si="1412"/>
        <v/>
      </c>
      <c r="AO635" s="232" t="str">
        <f t="shared" si="1413"/>
        <v/>
      </c>
      <c r="AP635" s="232" t="str">
        <f t="shared" si="1443"/>
        <v/>
      </c>
      <c r="AQ635" s="371"/>
      <c r="AR635" s="499">
        <v>60</v>
      </c>
      <c r="AS635" s="500">
        <v>30</v>
      </c>
      <c r="AT635" s="491">
        <f t="shared" si="1414"/>
        <v>10</v>
      </c>
      <c r="AU635" s="371"/>
      <c r="AV635" s="232">
        <f t="shared" si="1415"/>
        <v>60</v>
      </c>
      <c r="AW635" s="232" t="str">
        <f t="shared" si="1416"/>
        <v/>
      </c>
      <c r="AX635" s="232" t="str">
        <f t="shared" si="1417"/>
        <v/>
      </c>
      <c r="AY635" s="232">
        <f t="shared" si="1444"/>
        <v>1</v>
      </c>
      <c r="AZ635" s="371"/>
      <c r="BA635" s="499">
        <v>80</v>
      </c>
      <c r="BB635" s="500">
        <v>10</v>
      </c>
      <c r="BC635" s="491">
        <f t="shared" si="1418"/>
        <v>10</v>
      </c>
      <c r="BD635" s="371"/>
      <c r="BE635" s="232">
        <f t="shared" si="1419"/>
        <v>80</v>
      </c>
      <c r="BF635" s="232" t="str">
        <f t="shared" si="1420"/>
        <v/>
      </c>
      <c r="BG635" s="232" t="str">
        <f t="shared" si="1421"/>
        <v/>
      </c>
      <c r="BH635" s="232">
        <f t="shared" si="1445"/>
        <v>1</v>
      </c>
      <c r="BI635" s="371"/>
      <c r="BJ635" s="499">
        <v>30</v>
      </c>
      <c r="BK635" s="500">
        <v>40</v>
      </c>
      <c r="BL635" s="491">
        <f t="shared" si="1422"/>
        <v>30</v>
      </c>
      <c r="BM635" s="371"/>
      <c r="BN635" s="232">
        <f t="shared" si="1423"/>
        <v>30</v>
      </c>
      <c r="BO635" s="232" t="str">
        <f t="shared" si="1424"/>
        <v/>
      </c>
      <c r="BP635" s="232" t="str">
        <f t="shared" si="1425"/>
        <v/>
      </c>
      <c r="BQ635" s="232" t="str">
        <f t="shared" si="1446"/>
        <v/>
      </c>
      <c r="BR635" s="371"/>
      <c r="BS635" s="499">
        <v>60</v>
      </c>
      <c r="BT635" s="500">
        <v>20</v>
      </c>
      <c r="BU635" s="491">
        <f t="shared" si="1426"/>
        <v>20</v>
      </c>
      <c r="BV635" s="371"/>
      <c r="BW635" s="232">
        <f t="shared" si="1427"/>
        <v>60</v>
      </c>
      <c r="BX635" s="232" t="str">
        <f t="shared" si="1428"/>
        <v/>
      </c>
      <c r="BY635" s="232" t="str">
        <f t="shared" si="1429"/>
        <v/>
      </c>
      <c r="BZ635" s="232">
        <f t="shared" si="1447"/>
        <v>1</v>
      </c>
      <c r="CA635" s="371"/>
      <c r="CB635" s="507">
        <f t="shared" si="1430"/>
        <v>60</v>
      </c>
      <c r="CC635" s="508">
        <f t="shared" si="1431"/>
        <v>20</v>
      </c>
      <c r="CD635" s="509">
        <f t="shared" si="1432"/>
        <v>20</v>
      </c>
      <c r="CE635" s="371"/>
      <c r="CF635" s="232">
        <f t="shared" si="1433"/>
        <v>60</v>
      </c>
      <c r="CG635" s="232" t="str">
        <f t="shared" si="1434"/>
        <v/>
      </c>
      <c r="CH635" s="232" t="str">
        <f t="shared" si="1435"/>
        <v/>
      </c>
      <c r="CI635" s="232">
        <f t="shared" si="1448"/>
        <v>1</v>
      </c>
      <c r="CJ635" s="232"/>
      <c r="CK635" s="499">
        <v>30</v>
      </c>
      <c r="CL635" s="500">
        <v>20</v>
      </c>
      <c r="CM635" s="491">
        <f t="shared" si="1436"/>
        <v>50</v>
      </c>
      <c r="CN635" s="371"/>
      <c r="CO635" s="232">
        <f t="shared" si="1437"/>
        <v>30</v>
      </c>
      <c r="CP635" s="232" t="str">
        <f t="shared" si="1438"/>
        <v/>
      </c>
      <c r="CQ635" s="232" t="str">
        <f t="shared" si="1439"/>
        <v/>
      </c>
      <c r="CR635" s="232" t="str">
        <f t="shared" si="1449"/>
        <v/>
      </c>
      <c r="CS635" s="232"/>
      <c r="CT635" s="371"/>
      <c r="CU635" s="300"/>
      <c r="CV635" s="246"/>
      <c r="CW635" s="264"/>
    </row>
    <row r="636" spans="1:101" x14ac:dyDescent="0.2">
      <c r="A636" s="264"/>
      <c r="B636" s="264"/>
      <c r="C636" s="202"/>
      <c r="D636" s="272"/>
      <c r="E636" s="235"/>
      <c r="F636" s="395">
        <f>IF(SUM(F624:F635)=0,"",SUM(F624:F635))</f>
        <v>15</v>
      </c>
      <c r="G636" s="370" t="s">
        <v>49</v>
      </c>
      <c r="H636" s="396">
        <f>IF(SUM(H624:H635)=0,"",SUM(H624:H635))</f>
        <v>18</v>
      </c>
      <c r="I636" s="397">
        <f>IF(COUNTIF(I624:I635,"=x")=0,"",COUNTIF(I624:I635,"=x"))</f>
        <v>3</v>
      </c>
      <c r="J636" s="398">
        <f>IF(COUNTIF(J624:J635,"=x")=0,"",COUNTIF(J624:J635,"=x"))</f>
        <v>3</v>
      </c>
      <c r="K636" s="399">
        <f>IF(COUNTIF(K624:K635,"=x")=0,"",COUNTIF(K624:K635,"=x"))</f>
        <v>6</v>
      </c>
      <c r="L636" s="299"/>
      <c r="M636" s="375"/>
      <c r="N636" s="379"/>
      <c r="O636" s="236"/>
      <c r="P636" s="369"/>
      <c r="Q636" s="466">
        <f>SUM(U624:U635)</f>
        <v>170</v>
      </c>
      <c r="R636" s="466">
        <f>SUM(V624:V635)</f>
        <v>60</v>
      </c>
      <c r="S636" s="466">
        <f>SUM(W624:W635)</f>
        <v>110</v>
      </c>
      <c r="T636" s="368"/>
      <c r="U636" s="232"/>
      <c r="V636" s="232"/>
      <c r="W636" s="232"/>
      <c r="X636" s="232"/>
      <c r="Y636" s="367"/>
      <c r="Z636" s="466">
        <f>SUM(AD624:AD635)</f>
        <v>240</v>
      </c>
      <c r="AA636" s="466">
        <f>SUM(AE624:AE635)</f>
        <v>30</v>
      </c>
      <c r="AB636" s="466">
        <f>SUM(AF624:AF635)</f>
        <v>130</v>
      </c>
      <c r="AC636" s="368"/>
      <c r="AD636" s="232"/>
      <c r="AE636" s="232"/>
      <c r="AF636" s="232"/>
      <c r="AG636" s="232"/>
      <c r="AH636" s="367"/>
      <c r="AI636" s="466">
        <f>SUM(AM624:AM635)</f>
        <v>180</v>
      </c>
      <c r="AJ636" s="466">
        <f>SUM(AN624:AN635)</f>
        <v>60</v>
      </c>
      <c r="AK636" s="466">
        <f>SUM(AO624:AO635)</f>
        <v>180</v>
      </c>
      <c r="AL636" s="368"/>
      <c r="AM636" s="232"/>
      <c r="AN636" s="232"/>
      <c r="AO636" s="232"/>
      <c r="AP636" s="232"/>
      <c r="AQ636" s="367"/>
      <c r="AR636" s="466">
        <f>SUM(AV624:AV635)</f>
        <v>220</v>
      </c>
      <c r="AS636" s="466">
        <f>SUM(AW624:AW635)</f>
        <v>90</v>
      </c>
      <c r="AT636" s="466">
        <f>SUM(AX624:AX635)</f>
        <v>240</v>
      </c>
      <c r="AU636" s="368"/>
      <c r="AV636" s="232"/>
      <c r="AW636" s="232"/>
      <c r="AX636" s="232"/>
      <c r="AY636" s="232"/>
      <c r="AZ636" s="367"/>
      <c r="BA636" s="466">
        <f>SUM(BE624:BE635)</f>
        <v>240</v>
      </c>
      <c r="BB636" s="466">
        <f>SUM(BF624:BF635)</f>
        <v>30</v>
      </c>
      <c r="BC636" s="466">
        <f>SUM(BG624:BG635)</f>
        <v>130</v>
      </c>
      <c r="BD636" s="368"/>
      <c r="BE636" s="232"/>
      <c r="BF636" s="232"/>
      <c r="BG636" s="232"/>
      <c r="BH636" s="232"/>
      <c r="BI636" s="367"/>
      <c r="BJ636" s="466">
        <f>SUM(BN624:BN635)</f>
        <v>140</v>
      </c>
      <c r="BK636" s="466">
        <f>SUM(BO624:BO635)</f>
        <v>60</v>
      </c>
      <c r="BL636" s="466">
        <f>SUM(BP624:BP635)</f>
        <v>290</v>
      </c>
      <c r="BM636" s="368"/>
      <c r="BN636" s="232"/>
      <c r="BO636" s="232"/>
      <c r="BP636" s="232"/>
      <c r="BQ636" s="232"/>
      <c r="BR636" s="367"/>
      <c r="BS636" s="466">
        <f>SUM(BW624:BW635)</f>
        <v>200</v>
      </c>
      <c r="BT636" s="466">
        <f>SUM(BX624:BX635)</f>
        <v>90</v>
      </c>
      <c r="BU636" s="466">
        <f>SUM(BY624:BY635)</f>
        <v>160</v>
      </c>
      <c r="BV636" s="368"/>
      <c r="BW636" s="232"/>
      <c r="BX636" s="232"/>
      <c r="BY636" s="232"/>
      <c r="BZ636" s="232"/>
      <c r="CA636" s="369"/>
      <c r="CB636" s="466">
        <f>SUM(CF624:CF635)</f>
        <v>210</v>
      </c>
      <c r="CC636" s="466">
        <f>SUM(CG624:CG635)</f>
        <v>40</v>
      </c>
      <c r="CD636" s="466">
        <f>SUM(CH624:CH635)</f>
        <v>170</v>
      </c>
      <c r="CE636" s="368"/>
      <c r="CF636" s="232"/>
      <c r="CG636" s="232"/>
      <c r="CH636" s="232"/>
      <c r="CI636" s="232"/>
      <c r="CJ636" s="232"/>
      <c r="CK636" s="466">
        <f>SUM(CO624:CO635)</f>
        <v>130</v>
      </c>
      <c r="CL636" s="466">
        <f>SUM(CP624:CP635)</f>
        <v>80</v>
      </c>
      <c r="CM636" s="466">
        <f>SUM(CQ624:CQ635)</f>
        <v>200</v>
      </c>
      <c r="CN636" s="368"/>
      <c r="CO636" s="232"/>
      <c r="CP636" s="232"/>
      <c r="CQ636" s="232"/>
      <c r="CR636" s="232"/>
      <c r="CS636" s="232"/>
      <c r="CT636" s="232"/>
      <c r="CU636" s="300"/>
      <c r="CV636" s="246"/>
      <c r="CW636" s="265"/>
    </row>
    <row r="637" spans="1:101" ht="13.5" thickBot="1" x14ac:dyDescent="0.25">
      <c r="A637" s="264"/>
      <c r="B637" s="264"/>
      <c r="C637" s="202"/>
      <c r="D637" s="289"/>
      <c r="E637" s="282"/>
      <c r="F637" s="283"/>
      <c r="G637" s="282"/>
      <c r="H637" s="282"/>
      <c r="I637" s="282"/>
      <c r="J637" s="282"/>
      <c r="K637" s="282"/>
      <c r="L637" s="293"/>
      <c r="M637" s="301"/>
      <c r="N637" s="380"/>
      <c r="O637" s="376"/>
      <c r="P637" s="284"/>
      <c r="Q637" s="285"/>
      <c r="R637" s="285"/>
      <c r="S637" s="285"/>
      <c r="T637" s="286"/>
      <c r="U637" s="287"/>
      <c r="V637" s="287"/>
      <c r="W637" s="287"/>
      <c r="X637" s="287"/>
      <c r="Y637" s="284"/>
      <c r="Z637" s="285"/>
      <c r="AA637" s="285"/>
      <c r="AB637" s="285"/>
      <c r="AC637" s="286"/>
      <c r="AD637" s="287"/>
      <c r="AE637" s="287"/>
      <c r="AF637" s="287"/>
      <c r="AG637" s="288"/>
      <c r="AH637" s="284"/>
      <c r="AI637" s="285"/>
      <c r="AJ637" s="285"/>
      <c r="AK637" s="285"/>
      <c r="AL637" s="286"/>
      <c r="AM637" s="287"/>
      <c r="AN637" s="287"/>
      <c r="AO637" s="287"/>
      <c r="AP637" s="288"/>
      <c r="AQ637" s="284"/>
      <c r="AR637" s="285"/>
      <c r="AS637" s="285"/>
      <c r="AT637" s="285"/>
      <c r="AU637" s="286"/>
      <c r="AV637" s="287"/>
      <c r="AW637" s="287"/>
      <c r="AX637" s="287"/>
      <c r="AY637" s="288"/>
      <c r="AZ637" s="284"/>
      <c r="BA637" s="285"/>
      <c r="BB637" s="285"/>
      <c r="BC637" s="285"/>
      <c r="BD637" s="286"/>
      <c r="BE637" s="287"/>
      <c r="BF637" s="287"/>
      <c r="BG637" s="287"/>
      <c r="BH637" s="288"/>
      <c r="BI637" s="284"/>
      <c r="BJ637" s="284"/>
      <c r="BK637" s="284"/>
      <c r="BL637" s="284"/>
      <c r="BM637" s="284"/>
      <c r="BN637" s="284"/>
      <c r="BO637" s="284"/>
      <c r="BP637" s="284"/>
      <c r="BQ637" s="284"/>
      <c r="BR637" s="284"/>
      <c r="BS637" s="284"/>
      <c r="BT637" s="284"/>
      <c r="BU637" s="284"/>
      <c r="BV637" s="284"/>
      <c r="BW637" s="284"/>
      <c r="BX637" s="284"/>
      <c r="BY637" s="284"/>
      <c r="BZ637" s="284"/>
      <c r="CA637" s="284"/>
      <c r="CB637" s="284"/>
      <c r="CC637" s="284"/>
      <c r="CD637" s="284"/>
      <c r="CE637" s="284"/>
      <c r="CF637" s="284"/>
      <c r="CG637" s="284"/>
      <c r="CH637" s="284"/>
      <c r="CI637" s="284"/>
      <c r="CJ637" s="288"/>
      <c r="CK637" s="288"/>
      <c r="CL637" s="288"/>
      <c r="CM637" s="288"/>
      <c r="CN637" s="288"/>
      <c r="CO637" s="288"/>
      <c r="CP637" s="288"/>
      <c r="CQ637" s="288"/>
      <c r="CR637" s="288"/>
      <c r="CS637" s="288"/>
      <c r="CT637" s="282"/>
      <c r="CU637" s="294"/>
      <c r="CV637" s="246"/>
      <c r="CW637" s="265"/>
    </row>
    <row r="638" spans="1:101" ht="14.25" thickTop="1" thickBot="1" x14ac:dyDescent="0.25">
      <c r="A638" s="256"/>
      <c r="B638" s="256"/>
      <c r="C638" s="210"/>
      <c r="D638" s="211"/>
      <c r="E638" s="247"/>
      <c r="F638" s="248"/>
      <c r="G638" s="247"/>
      <c r="H638" s="247"/>
      <c r="I638" s="247"/>
      <c r="J638" s="247"/>
      <c r="K638" s="247"/>
      <c r="L638" s="249"/>
      <c r="M638" s="250"/>
      <c r="N638" s="250"/>
      <c r="O638" s="250"/>
      <c r="P638" s="250"/>
      <c r="Q638" s="247"/>
      <c r="R638" s="247"/>
      <c r="S638" s="247"/>
      <c r="T638" s="251"/>
      <c r="U638" s="252"/>
      <c r="V638" s="252"/>
      <c r="W638" s="252"/>
      <c r="X638" s="252"/>
      <c r="Y638" s="250"/>
      <c r="Z638" s="247"/>
      <c r="AA638" s="247"/>
      <c r="AB638" s="247"/>
      <c r="AC638" s="251"/>
      <c r="AD638" s="252"/>
      <c r="AE638" s="252"/>
      <c r="AF638" s="252"/>
      <c r="AG638" s="247"/>
      <c r="AH638" s="250"/>
      <c r="AI638" s="247"/>
      <c r="AJ638" s="247"/>
      <c r="AK638" s="247"/>
      <c r="AL638" s="251"/>
      <c r="AM638" s="252"/>
      <c r="AN638" s="252"/>
      <c r="AO638" s="252"/>
      <c r="AP638" s="253"/>
      <c r="AQ638" s="250"/>
      <c r="AR638" s="247"/>
      <c r="AS638" s="247"/>
      <c r="AT638" s="247"/>
      <c r="AU638" s="251"/>
      <c r="AV638" s="252"/>
      <c r="AW638" s="252"/>
      <c r="AX638" s="252"/>
      <c r="AY638" s="247"/>
      <c r="AZ638" s="250"/>
      <c r="BA638" s="247"/>
      <c r="BB638" s="247"/>
      <c r="BC638" s="247"/>
      <c r="BD638" s="251"/>
      <c r="BE638" s="252"/>
      <c r="BF638" s="252"/>
      <c r="BG638" s="252"/>
      <c r="BH638" s="247"/>
      <c r="BI638" s="250"/>
      <c r="BJ638" s="247"/>
      <c r="BK638" s="247"/>
      <c r="BL638" s="247"/>
      <c r="BM638" s="251"/>
      <c r="BN638" s="252"/>
      <c r="BO638" s="252"/>
      <c r="BP638" s="252"/>
      <c r="BQ638" s="247"/>
      <c r="BR638" s="212"/>
      <c r="BS638" s="247"/>
      <c r="BT638" s="247"/>
      <c r="BU638" s="247"/>
      <c r="BV638" s="250"/>
      <c r="BW638" s="252"/>
      <c r="BX638" s="252"/>
      <c r="BY638" s="252"/>
      <c r="BZ638" s="247"/>
      <c r="CA638" s="247"/>
      <c r="CB638" s="253"/>
      <c r="CC638" s="253"/>
      <c r="CD638" s="253"/>
      <c r="CE638" s="253"/>
      <c r="CF638" s="247"/>
      <c r="CG638" s="247"/>
      <c r="CH638" s="247"/>
      <c r="CI638" s="247"/>
      <c r="CJ638" s="247"/>
      <c r="CK638" s="247"/>
      <c r="CL638" s="247"/>
      <c r="CM638" s="247"/>
      <c r="CN638" s="247"/>
      <c r="CO638" s="247"/>
      <c r="CP638" s="247"/>
      <c r="CQ638" s="247"/>
      <c r="CR638" s="247"/>
      <c r="CS638" s="247"/>
      <c r="CT638" s="247"/>
      <c r="CU638" s="247"/>
      <c r="CV638" s="254"/>
      <c r="CW638" s="255"/>
    </row>
    <row r="639" spans="1:101" ht="14.25" thickTop="1" thickBot="1" x14ac:dyDescent="0.25">
      <c r="A639" s="255"/>
      <c r="B639" s="255"/>
      <c r="C639" s="255"/>
      <c r="D639" s="255"/>
      <c r="E639" s="255"/>
      <c r="F639" s="255"/>
      <c r="G639" s="255"/>
      <c r="H639" s="255"/>
      <c r="I639" s="255"/>
      <c r="J639" s="255"/>
      <c r="K639" s="255"/>
      <c r="L639" s="255"/>
      <c r="M639" s="255"/>
      <c r="N639" s="255"/>
      <c r="O639" s="255"/>
      <c r="P639" s="255"/>
      <c r="Q639" s="255"/>
      <c r="R639" s="255"/>
      <c r="S639" s="255"/>
      <c r="T639" s="255"/>
      <c r="U639" s="255"/>
      <c r="V639" s="255"/>
      <c r="W639" s="255"/>
      <c r="X639" s="255"/>
      <c r="Y639" s="255"/>
      <c r="Z639" s="255"/>
      <c r="AA639" s="255"/>
      <c r="AB639" s="255"/>
      <c r="AC639" s="255"/>
      <c r="AD639" s="255"/>
      <c r="AE639" s="255"/>
      <c r="AF639" s="255"/>
      <c r="AG639" s="255"/>
      <c r="AH639" s="255"/>
      <c r="AI639" s="255"/>
      <c r="AJ639" s="255"/>
      <c r="AK639" s="255"/>
      <c r="AL639" s="255"/>
      <c r="AM639" s="255"/>
      <c r="AN639" s="255"/>
      <c r="AO639" s="255"/>
      <c r="AP639" s="255"/>
      <c r="AQ639" s="255"/>
      <c r="AR639" s="255"/>
      <c r="AS639" s="255"/>
      <c r="AT639" s="255"/>
      <c r="AU639" s="255"/>
      <c r="AV639" s="255"/>
      <c r="AW639" s="255"/>
      <c r="AX639" s="255"/>
      <c r="AY639" s="255"/>
      <c r="AZ639" s="255"/>
      <c r="BA639" s="255"/>
      <c r="BB639" s="255"/>
      <c r="BC639" s="255"/>
      <c r="BD639" s="255"/>
      <c r="BE639" s="255"/>
      <c r="BF639" s="255"/>
      <c r="BG639" s="255"/>
      <c r="BH639" s="255"/>
      <c r="BI639" s="255"/>
      <c r="BJ639" s="255"/>
      <c r="BK639" s="255"/>
      <c r="BL639" s="255"/>
      <c r="BM639" s="255"/>
      <c r="BN639" s="255"/>
      <c r="BO639" s="255"/>
      <c r="BP639" s="255"/>
      <c r="BQ639" s="255"/>
      <c r="BR639" s="255"/>
      <c r="BS639" s="255"/>
      <c r="BT639" s="255"/>
      <c r="BU639" s="255"/>
      <c r="BV639" s="255"/>
      <c r="BW639" s="255"/>
      <c r="BX639" s="255"/>
      <c r="BY639" s="255"/>
      <c r="BZ639" s="255"/>
      <c r="CA639" s="255"/>
      <c r="CB639" s="436"/>
      <c r="CC639" s="436"/>
      <c r="CD639" s="436"/>
      <c r="CE639" s="436"/>
      <c r="CF639" s="255"/>
      <c r="CG639" s="255"/>
      <c r="CH639" s="255"/>
      <c r="CI639" s="255"/>
      <c r="CJ639" s="255"/>
      <c r="CK639" s="255"/>
      <c r="CL639" s="255"/>
      <c r="CM639" s="255"/>
      <c r="CN639" s="255"/>
      <c r="CO639" s="255"/>
      <c r="CP639" s="255"/>
      <c r="CQ639" s="255"/>
      <c r="CR639" s="255"/>
      <c r="CS639" s="255"/>
      <c r="CT639" s="255"/>
      <c r="CU639" s="255"/>
      <c r="CV639" s="255"/>
      <c r="CW639" s="255"/>
    </row>
    <row r="640" spans="1:101" ht="21" thickTop="1" x14ac:dyDescent="0.3">
      <c r="A640" s="256"/>
      <c r="B640" s="256"/>
      <c r="C640" s="190"/>
      <c r="D640" s="191"/>
      <c r="E640" s="866" t="str">
        <f>E2</f>
        <v>STPS 2026</v>
      </c>
      <c r="F640" s="267"/>
      <c r="G640" s="267"/>
      <c r="H640" s="267"/>
      <c r="I640" s="192"/>
      <c r="J640" s="192"/>
      <c r="K640" s="192"/>
      <c r="L640" s="193"/>
      <c r="M640" s="192"/>
      <c r="N640" s="192"/>
      <c r="O640" s="192"/>
      <c r="P640" s="194"/>
      <c r="Q640" s="192"/>
      <c r="R640" s="192"/>
      <c r="S640" s="192"/>
      <c r="T640" s="195"/>
      <c r="U640" s="196"/>
      <c r="V640" s="196"/>
      <c r="W640" s="196"/>
      <c r="X640" s="196"/>
      <c r="Y640" s="194"/>
      <c r="Z640" s="192"/>
      <c r="AA640" s="192"/>
      <c r="AB640" s="192"/>
      <c r="AC640" s="195"/>
      <c r="AD640" s="196"/>
      <c r="AE640" s="196"/>
      <c r="AF640" s="196"/>
      <c r="AG640" s="197"/>
      <c r="AH640" s="194"/>
      <c r="AI640" s="192"/>
      <c r="AJ640" s="237"/>
      <c r="AK640" s="237"/>
      <c r="AL640" s="198"/>
      <c r="AM640" s="238"/>
      <c r="AN640" s="238"/>
      <c r="AO640" s="238"/>
      <c r="AP640" s="197"/>
      <c r="AQ640" s="239"/>
      <c r="AR640" s="240"/>
      <c r="AS640" s="199"/>
      <c r="AT640" s="200"/>
      <c r="AU640" s="198"/>
      <c r="AV640" s="196"/>
      <c r="AW640" s="196"/>
      <c r="AX640" s="196"/>
      <c r="AY640" s="197"/>
      <c r="AZ640" s="239"/>
      <c r="BA640" s="240"/>
      <c r="BB640" s="200"/>
      <c r="BC640" s="237"/>
      <c r="BD640" s="241"/>
      <c r="BE640" s="196"/>
      <c r="BF640" s="196"/>
      <c r="BG640" s="196"/>
      <c r="BH640" s="197"/>
      <c r="BI640" s="242"/>
      <c r="BJ640" s="237"/>
      <c r="BK640" s="237"/>
      <c r="BL640" s="237"/>
      <c r="BM640" s="241"/>
      <c r="BN640" s="196"/>
      <c r="BO640" s="196"/>
      <c r="BP640" s="196"/>
      <c r="BQ640" s="197"/>
      <c r="BR640" s="201"/>
      <c r="BS640" s="237"/>
      <c r="BT640" s="237"/>
      <c r="BU640" s="237"/>
      <c r="BV640" s="242"/>
      <c r="BW640" s="237"/>
      <c r="BX640" s="237"/>
      <c r="BY640" s="237"/>
      <c r="BZ640" s="237"/>
      <c r="CA640" s="237"/>
      <c r="CB640" s="437"/>
      <c r="CC640" s="437"/>
      <c r="CD640" s="437"/>
      <c r="CE640" s="437"/>
      <c r="CF640" s="237"/>
      <c r="CG640" s="237"/>
      <c r="CH640" s="237"/>
      <c r="CI640" s="237"/>
      <c r="CJ640" s="197"/>
      <c r="CK640" s="197"/>
      <c r="CL640" s="197"/>
      <c r="CM640" s="197"/>
      <c r="CN640" s="197"/>
      <c r="CO640" s="197"/>
      <c r="CP640" s="197"/>
      <c r="CQ640" s="197"/>
      <c r="CR640" s="197"/>
      <c r="CS640" s="197"/>
      <c r="CT640" s="401"/>
      <c r="CU640" s="237"/>
      <c r="CV640" s="243"/>
      <c r="CW640" s="255"/>
    </row>
    <row r="641" spans="1:105" ht="13.5" thickBot="1" x14ac:dyDescent="0.25">
      <c r="A641" s="256"/>
      <c r="B641" s="256"/>
      <c r="C641" s="202"/>
      <c r="D641" s="188"/>
      <c r="E641" s="266" t="str">
        <f>E3</f>
        <v>Skorgen Tippelag</v>
      </c>
      <c r="F641" s="406"/>
      <c r="G641" s="406"/>
      <c r="H641" s="406"/>
      <c r="I641" s="406"/>
      <c r="J641" s="406"/>
      <c r="K641" s="406"/>
      <c r="L641" s="406"/>
      <c r="M641" s="406"/>
      <c r="N641" s="406"/>
      <c r="O641" s="406"/>
      <c r="P641" s="406"/>
      <c r="Q641" s="406"/>
      <c r="R641" s="406"/>
      <c r="S641" s="406"/>
      <c r="T641" s="406"/>
      <c r="U641" s="406"/>
      <c r="V641" s="406"/>
      <c r="W641" s="406"/>
      <c r="X641" s="406"/>
      <c r="Y641" s="406"/>
      <c r="Z641" s="406"/>
      <c r="AA641" s="406"/>
      <c r="AB641" s="406"/>
      <c r="AC641" s="406"/>
      <c r="AD641" s="406"/>
      <c r="AE641" s="406"/>
      <c r="AF641" s="406"/>
      <c r="AG641" s="406"/>
      <c r="AH641" s="406"/>
      <c r="AI641" s="406"/>
      <c r="AJ641" s="406"/>
      <c r="AK641" s="406"/>
      <c r="AL641" s="406"/>
      <c r="AM641" s="406"/>
      <c r="AN641" s="406"/>
      <c r="AO641" s="406"/>
      <c r="AP641" s="406"/>
      <c r="AQ641" s="406"/>
      <c r="AR641" s="406"/>
      <c r="AS641" s="406"/>
      <c r="AT641" s="406"/>
      <c r="AU641" s="406"/>
      <c r="AV641" s="406"/>
      <c r="AW641" s="406"/>
      <c r="AX641" s="406"/>
      <c r="AY641" s="406"/>
      <c r="AZ641" s="406"/>
      <c r="BA641" s="406"/>
      <c r="BB641" s="406"/>
      <c r="BC641" s="406"/>
      <c r="BD641" s="406"/>
      <c r="BE641" s="406"/>
      <c r="BF641" s="406"/>
      <c r="BG641" s="406"/>
      <c r="BH641" s="406"/>
      <c r="BI641" s="406"/>
      <c r="BJ641" s="406"/>
      <c r="BK641" s="406"/>
      <c r="BL641" s="406"/>
      <c r="BM641" s="406"/>
      <c r="BN641" s="406"/>
      <c r="BO641" s="406"/>
      <c r="BP641" s="406"/>
      <c r="BQ641" s="406"/>
      <c r="BR641" s="406"/>
      <c r="BS641" s="406"/>
      <c r="BT641" s="406"/>
      <c r="BU641" s="406"/>
      <c r="BV641" s="406"/>
      <c r="BW641" s="406"/>
      <c r="BX641" s="406"/>
      <c r="BY641" s="406"/>
      <c r="BZ641" s="406"/>
      <c r="CA641" s="406"/>
      <c r="CB641" s="438"/>
      <c r="CC641" s="438"/>
      <c r="CD641" s="438"/>
      <c r="CE641" s="438"/>
      <c r="CF641" s="406"/>
      <c r="CG641" s="406"/>
      <c r="CH641" s="406"/>
      <c r="CI641" s="406"/>
      <c r="CJ641" s="406"/>
      <c r="CK641" s="406"/>
      <c r="CL641" s="406"/>
      <c r="CM641" s="406"/>
      <c r="CN641" s="366"/>
      <c r="CO641" s="366"/>
      <c r="CP641" s="366"/>
      <c r="CQ641" s="366"/>
      <c r="CR641" s="366"/>
      <c r="CS641" s="366"/>
      <c r="CT641" s="187"/>
      <c r="CU641" s="310"/>
      <c r="CV641" s="246"/>
      <c r="CW641" s="255"/>
    </row>
    <row r="642" spans="1:105" ht="18.75" thickTop="1" x14ac:dyDescent="0.2">
      <c r="A642" s="256"/>
      <c r="B642" s="256"/>
      <c r="C642" s="209"/>
      <c r="D642" s="290"/>
      <c r="E642" s="273"/>
      <c r="F642" s="274"/>
      <c r="G642" s="273"/>
      <c r="H642" s="273"/>
      <c r="I642" s="803" t="s">
        <v>39</v>
      </c>
      <c r="J642" s="805"/>
      <c r="K642" s="805"/>
      <c r="L642" s="291"/>
      <c r="M642" s="302"/>
      <c r="N642" s="242"/>
      <c r="O642" s="275"/>
      <c r="P642" s="275"/>
      <c r="Q642" s="808">
        <f>IF($F646="","",SUM(Q658:S658)-S644)</f>
        <v>540</v>
      </c>
      <c r="R642" s="808"/>
      <c r="S642" s="808"/>
      <c r="T642" s="276"/>
      <c r="U642" s="277"/>
      <c r="V642" s="277"/>
      <c r="W642" s="277"/>
      <c r="X642" s="277"/>
      <c r="Y642" s="275"/>
      <c r="Z642" s="808">
        <f>IF($F646="","",SUM(Z658:AB658)-AB644)</f>
        <v>570</v>
      </c>
      <c r="AA642" s="808"/>
      <c r="AB642" s="808"/>
      <c r="AC642" s="276"/>
      <c r="AD642" s="277"/>
      <c r="AE642" s="277"/>
      <c r="AF642" s="277"/>
      <c r="AG642" s="273"/>
      <c r="AH642" s="275"/>
      <c r="AI642" s="808">
        <f>IF($F646="","",SUM(AI658:AK658)-AK644)</f>
        <v>540</v>
      </c>
      <c r="AJ642" s="808"/>
      <c r="AK642" s="808"/>
      <c r="AL642" s="276"/>
      <c r="AM642" s="277"/>
      <c r="AN642" s="277"/>
      <c r="AO642" s="277"/>
      <c r="AP642" s="273"/>
      <c r="AQ642" s="275"/>
      <c r="AR642" s="808">
        <f>IF($F646="","",SUM(AR658:AT658)-AT644)</f>
        <v>600</v>
      </c>
      <c r="AS642" s="808"/>
      <c r="AT642" s="808"/>
      <c r="AU642" s="278"/>
      <c r="AV642" s="277"/>
      <c r="AW642" s="277"/>
      <c r="AX642" s="277"/>
      <c r="AY642" s="279"/>
      <c r="AZ642" s="280"/>
      <c r="BA642" s="808">
        <f>IF($F646="","",SUM(BA658:BC658)-BC644)</f>
        <v>610</v>
      </c>
      <c r="BB642" s="808"/>
      <c r="BC642" s="808"/>
      <c r="BD642" s="278"/>
      <c r="BE642" s="277"/>
      <c r="BF642" s="277"/>
      <c r="BG642" s="277"/>
      <c r="BH642" s="279"/>
      <c r="BI642" s="280"/>
      <c r="BJ642" s="808">
        <f>IF($F646="","",SUM(BJ658:BL658)-BL644)</f>
        <v>610</v>
      </c>
      <c r="BK642" s="808"/>
      <c r="BL642" s="808"/>
      <c r="BM642" s="278"/>
      <c r="BN642" s="277"/>
      <c r="BO642" s="277"/>
      <c r="BP642" s="277"/>
      <c r="BQ642" s="279"/>
      <c r="BR642" s="281"/>
      <c r="BS642" s="808">
        <f>IF($F646="","",SUM(BS658:BU658)-BU644)</f>
        <v>-50</v>
      </c>
      <c r="BT642" s="808"/>
      <c r="BU642" s="808"/>
      <c r="BV642" s="280"/>
      <c r="BW642" s="279"/>
      <c r="BX642" s="279"/>
      <c r="BY642" s="279"/>
      <c r="BZ642" s="279"/>
      <c r="CA642" s="281"/>
      <c r="CB642" s="808">
        <f>IF($F646="","",SUM(CB658:CD658)-CD644)</f>
        <v>580</v>
      </c>
      <c r="CC642" s="808"/>
      <c r="CD642" s="808"/>
      <c r="CE642" s="280"/>
      <c r="CF642" s="279"/>
      <c r="CG642" s="279"/>
      <c r="CH642" s="279"/>
      <c r="CI642" s="279"/>
      <c r="CJ642" s="273"/>
      <c r="CK642" s="808">
        <f>IF($F646="","",SUM(CK658:CM658))</f>
        <v>600</v>
      </c>
      <c r="CL642" s="808"/>
      <c r="CM642" s="808"/>
      <c r="CN642" s="280"/>
      <c r="CO642" s="279"/>
      <c r="CP642" s="279"/>
      <c r="CQ642" s="279"/>
      <c r="CR642" s="273"/>
      <c r="CS642" s="273"/>
      <c r="CT642" s="273"/>
      <c r="CU642" s="292"/>
      <c r="CV642" s="246"/>
      <c r="CW642" s="255"/>
    </row>
    <row r="643" spans="1:105" x14ac:dyDescent="0.2">
      <c r="A643" s="256"/>
      <c r="B643" s="256"/>
      <c r="C643" s="209"/>
      <c r="D643" s="916">
        <v>17</v>
      </c>
      <c r="E643" s="588">
        <f>IF(D643="","",DATE($D$3,1,1)+(D643-1)*7+(6-WEEKDAY(DATE($D$3,1,1),2)))</f>
        <v>46137</v>
      </c>
      <c r="F643" s="213"/>
      <c r="G643" s="214"/>
      <c r="H643" s="214"/>
      <c r="I643" s="804">
        <f>IF(ISERROR(AVERAGE(Q642,Z642,AI642,AR642,BA642,BJ642,BS642,CB642,CK642)),"",AVERAGE(Q642,Z642,AI642,AR642,BA642,BJ642,BS642,CB642,CK642))</f>
        <v>511.11111111111109</v>
      </c>
      <c r="J643" s="806"/>
      <c r="K643" s="806"/>
      <c r="L643" s="295"/>
      <c r="M643" s="372"/>
      <c r="N643" s="245"/>
      <c r="O643" s="215"/>
      <c r="P643" s="215"/>
      <c r="Q643" s="710">
        <f>IF(Q642="","",Q642/Data!$X$1)</f>
        <v>0.45</v>
      </c>
      <c r="R643" s="710"/>
      <c r="S643" s="711">
        <f>IF(SUM(X646:X657)=0,"",SUM(X646:X657))</f>
        <v>7</v>
      </c>
      <c r="T643" s="216"/>
      <c r="U643" s="217"/>
      <c r="V643" s="217"/>
      <c r="W643" s="217"/>
      <c r="X643" s="217"/>
      <c r="Y643" s="215"/>
      <c r="Z643" s="710">
        <f>IF(Z642="","",Z642/Data!$X$1)</f>
        <v>0.47499999999999998</v>
      </c>
      <c r="AA643" s="710"/>
      <c r="AB643" s="711">
        <f>IF(SUM(AG646:AG657)=0,"",SUM(AG646:AG657))</f>
        <v>6</v>
      </c>
      <c r="AC643" s="216"/>
      <c r="AD643" s="217"/>
      <c r="AE643" s="217"/>
      <c r="AF643" s="217"/>
      <c r="AG643" s="217"/>
      <c r="AH643" s="215"/>
      <c r="AI643" s="710">
        <f>IF(AI642="","",AI642/Data!$X$1)</f>
        <v>0.45</v>
      </c>
      <c r="AJ643" s="710"/>
      <c r="AK643" s="711">
        <f>IF(SUM(AP646:AP657)=0,"",SUM(AP646:AP657))</f>
        <v>7</v>
      </c>
      <c r="AL643" s="216"/>
      <c r="AM643" s="217"/>
      <c r="AN643" s="217"/>
      <c r="AO643" s="217"/>
      <c r="AP643" s="217"/>
      <c r="AQ643" s="215"/>
      <c r="AR643" s="710">
        <f>IF(AR642="","",AR642/Data!$X$1)</f>
        <v>0.5</v>
      </c>
      <c r="AS643" s="710"/>
      <c r="AT643" s="711">
        <f>IF(SUM(AY646:AY657)=0,"",SUM(AY646:AY657))</f>
        <v>8</v>
      </c>
      <c r="AU643" s="218"/>
      <c r="AV643" s="217"/>
      <c r="AW643" s="217"/>
      <c r="AX643" s="217"/>
      <c r="AY643" s="217"/>
      <c r="AZ643" s="219"/>
      <c r="BA643" s="710">
        <f>IF(BA642="","",BA642/Data!$X$1)</f>
        <v>0.5083333333333333</v>
      </c>
      <c r="BB643" s="710"/>
      <c r="BC643" s="711">
        <f>IF(SUM(BH646:BH657)=0,"",SUM(BH646:BH657))</f>
        <v>7</v>
      </c>
      <c r="BD643" s="218"/>
      <c r="BE643" s="217"/>
      <c r="BF643" s="217"/>
      <c r="BG643" s="217"/>
      <c r="BH643" s="217"/>
      <c r="BI643" s="219"/>
      <c r="BJ643" s="710">
        <f>IF(BJ642="","",BJ642/Data!$X$1)</f>
        <v>0.5083333333333333</v>
      </c>
      <c r="BK643" s="710"/>
      <c r="BL643" s="711">
        <f>IF(SUM(BQ646:BQ657)=0,"",SUM(BQ646:BQ657))</f>
        <v>7</v>
      </c>
      <c r="BM643" s="218"/>
      <c r="BN643" s="217"/>
      <c r="BO643" s="217"/>
      <c r="BP643" s="217"/>
      <c r="BQ643" s="217"/>
      <c r="BR643" s="220"/>
      <c r="BS643" s="710">
        <f>IF(BS642="","",BS642/Data!$X$1)</f>
        <v>-4.1666666666666664E-2</v>
      </c>
      <c r="BT643" s="710"/>
      <c r="BU643" s="711" t="str">
        <f>IF(SUM(BZ646:BZ657)=0,"",SUM(BZ646:BZ657))</f>
        <v/>
      </c>
      <c r="BV643" s="219"/>
      <c r="BW643" s="217"/>
      <c r="BX643" s="217"/>
      <c r="BY643" s="217"/>
      <c r="BZ643" s="217"/>
      <c r="CA643" s="220"/>
      <c r="CB643" s="710">
        <f>IF(CB642="","",CB642/Data!$X$1)</f>
        <v>0.48333333333333334</v>
      </c>
      <c r="CC643" s="710"/>
      <c r="CD643" s="711">
        <f>IF(SUM(CI646:CI657)=0,"",SUM(CI646:CI657))</f>
        <v>7</v>
      </c>
      <c r="CE643" s="219"/>
      <c r="CF643" s="217"/>
      <c r="CG643" s="217"/>
      <c r="CH643" s="217"/>
      <c r="CI643" s="217"/>
      <c r="CJ643" s="217"/>
      <c r="CK643" s="710">
        <f>IF(CK642="","",CK642/Data!$X$1)</f>
        <v>0.5</v>
      </c>
      <c r="CL643" s="710"/>
      <c r="CM643" s="711">
        <f>IF(SUM(CR646:CR657)=0,"",SUM(CR646:CR657))</f>
        <v>7</v>
      </c>
      <c r="CN643" s="219"/>
      <c r="CO643" s="217"/>
      <c r="CP643" s="217"/>
      <c r="CQ643" s="217"/>
      <c r="CR643" s="217"/>
      <c r="CS643" s="217"/>
      <c r="CT643" s="217"/>
      <c r="CU643" s="296"/>
      <c r="CV643" s="246"/>
      <c r="CW643" s="255"/>
    </row>
    <row r="644" spans="1:105" ht="13.5" thickBot="1" x14ac:dyDescent="0.25">
      <c r="A644" s="256"/>
      <c r="B644" s="256"/>
      <c r="C644" s="209"/>
      <c r="D644" s="269">
        <f>D622+1</f>
        <v>30</v>
      </c>
      <c r="E644" s="402" t="str">
        <f>IF(E643="","Sett inn dato over her",TEXT(E643,"dddd"))</f>
        <v>lørdag</v>
      </c>
      <c r="F644" s="221"/>
      <c r="G644" s="222"/>
      <c r="H644" s="222"/>
      <c r="I644" s="802"/>
      <c r="J644" s="807"/>
      <c r="K644" s="807"/>
      <c r="L644" s="297"/>
      <c r="M644" s="373"/>
      <c r="N644" s="377"/>
      <c r="O644" s="222"/>
      <c r="P644" s="222"/>
      <c r="Q644" s="385" t="str">
        <f>Data!$E$11</f>
        <v>AHH</v>
      </c>
      <c r="R644" s="386">
        <f>IF($F657="","",RANK(Q642,$Q642:$CL642))</f>
        <v>7</v>
      </c>
      <c r="S644" s="510"/>
      <c r="T644" s="216">
        <v>0</v>
      </c>
      <c r="U644" s="217"/>
      <c r="V644" s="217"/>
      <c r="W644" s="217"/>
      <c r="X644" s="217"/>
      <c r="Y644" s="215"/>
      <c r="Z644" s="385" t="str">
        <f>Data!$E$12</f>
        <v>RB</v>
      </c>
      <c r="AA644" s="386">
        <f>IF($F657="","",RANK(Z642,$Q642:$CL642))</f>
        <v>6</v>
      </c>
      <c r="AB644" s="510"/>
      <c r="AC644" s="216"/>
      <c r="AD644" s="217"/>
      <c r="AE644" s="217"/>
      <c r="AF644" s="217"/>
      <c r="AG644" s="217"/>
      <c r="AH644" s="215"/>
      <c r="AI644" s="385" t="str">
        <f>Data!$E$13</f>
        <v>EB</v>
      </c>
      <c r="AJ644" s="386">
        <f>IF($F657="","",RANK(AI642,$Q642:$CL642))</f>
        <v>7</v>
      </c>
      <c r="AK644" s="510"/>
      <c r="AL644" s="216"/>
      <c r="AM644" s="217"/>
      <c r="AN644" s="217"/>
      <c r="AO644" s="217"/>
      <c r="AP644" s="217"/>
      <c r="AQ644" s="215"/>
      <c r="AR644" s="346" t="str">
        <f>Data!$E$14</f>
        <v>KAF</v>
      </c>
      <c r="AS644" s="386">
        <f>IF($F657="","",RANK(AR642,$Q642:$CL642))</f>
        <v>3</v>
      </c>
      <c r="AT644" s="510"/>
      <c r="AU644" s="216"/>
      <c r="AV644" s="217"/>
      <c r="AW644" s="217"/>
      <c r="AX644" s="217"/>
      <c r="AY644" s="217"/>
      <c r="AZ644" s="215"/>
      <c r="BA644" s="346" t="str">
        <f>Data!$E$15</f>
        <v>ØG</v>
      </c>
      <c r="BB644" s="386">
        <f>IF($F657="","",RANK(BA642,$Q642:$CL642))</f>
        <v>1</v>
      </c>
      <c r="BC644" s="510"/>
      <c r="BD644" s="216"/>
      <c r="BE644" s="217"/>
      <c r="BF644" s="217"/>
      <c r="BG644" s="217"/>
      <c r="BH644" s="217"/>
      <c r="BI644" s="215"/>
      <c r="BJ644" s="346" t="str">
        <f>Data!$E$16</f>
        <v>JH</v>
      </c>
      <c r="BK644" s="386">
        <f>IF($F657="","",RANK(BJ642,$Q642:$CL642))</f>
        <v>1</v>
      </c>
      <c r="BL644" s="510"/>
      <c r="BM644" s="216"/>
      <c r="BN644" s="217"/>
      <c r="BO644" s="217"/>
      <c r="BP644" s="217"/>
      <c r="BQ644" s="217"/>
      <c r="BR644" s="223"/>
      <c r="BS644" s="346" t="str">
        <f>Data!$E$17</f>
        <v>TOH</v>
      </c>
      <c r="BT644" s="386">
        <f>IF($F657="","",RANK(BS642,$Q642:$CL642))</f>
        <v>9</v>
      </c>
      <c r="BU644" s="510">
        <v>50</v>
      </c>
      <c r="BV644" s="215"/>
      <c r="BW644" s="217"/>
      <c r="BX644" s="217"/>
      <c r="BY644" s="217"/>
      <c r="BZ644" s="217"/>
      <c r="CA644" s="223"/>
      <c r="CB644" s="346" t="s">
        <v>26</v>
      </c>
      <c r="CC644" s="386">
        <f>IF($F657="","",RANK(CB642,$Q642:$CM642))</f>
        <v>5</v>
      </c>
      <c r="CD644" s="511"/>
      <c r="CE644" s="215"/>
      <c r="CF644" s="217"/>
      <c r="CG644" s="217"/>
      <c r="CH644" s="217"/>
      <c r="CI644" s="217"/>
      <c r="CJ644" s="217"/>
      <c r="CK644" s="346" t="s">
        <v>27</v>
      </c>
      <c r="CL644" s="386">
        <f>IF($F657="","",RANK(CK642,$Q642:$CM642))</f>
        <v>3</v>
      </c>
      <c r="CM644" s="798"/>
      <c r="CN644" s="215"/>
      <c r="CO644" s="217"/>
      <c r="CP644" s="217"/>
      <c r="CQ644" s="217"/>
      <c r="CR644" s="217"/>
      <c r="CS644" s="217"/>
      <c r="CT644" s="217"/>
      <c r="CU644" s="296"/>
      <c r="CV644" s="246"/>
      <c r="CW644" s="255"/>
    </row>
    <row r="645" spans="1:105" ht="13.5" thickBot="1" x14ac:dyDescent="0.25">
      <c r="A645" s="264"/>
      <c r="B645" s="264"/>
      <c r="C645" s="202"/>
      <c r="D645" s="270"/>
      <c r="E645" s="224"/>
      <c r="F645" s="225"/>
      <c r="G645" s="226"/>
      <c r="H645" s="226"/>
      <c r="I645" s="227" t="s">
        <v>45</v>
      </c>
      <c r="J645" s="228" t="s">
        <v>46</v>
      </c>
      <c r="K645" s="229" t="s">
        <v>47</v>
      </c>
      <c r="L645" s="298"/>
      <c r="M645" s="374"/>
      <c r="N645" s="378"/>
      <c r="O645" s="230"/>
      <c r="P645" s="230"/>
      <c r="Q645" s="227" t="s">
        <v>45</v>
      </c>
      <c r="R645" s="228" t="s">
        <v>46</v>
      </c>
      <c r="S645" s="229" t="s">
        <v>47</v>
      </c>
      <c r="T645" s="231"/>
      <c r="U645" s="232"/>
      <c r="V645" s="232"/>
      <c r="W645" s="232"/>
      <c r="X645" s="232"/>
      <c r="Y645" s="230"/>
      <c r="Z645" s="227" t="s">
        <v>45</v>
      </c>
      <c r="AA645" s="228" t="s">
        <v>46</v>
      </c>
      <c r="AB645" s="229" t="s">
        <v>47</v>
      </c>
      <c r="AC645" s="231"/>
      <c r="AD645" s="232"/>
      <c r="AE645" s="232"/>
      <c r="AF645" s="232"/>
      <c r="AG645" s="232"/>
      <c r="AH645" s="230"/>
      <c r="AI645" s="227" t="s">
        <v>45</v>
      </c>
      <c r="AJ645" s="228" t="s">
        <v>46</v>
      </c>
      <c r="AK645" s="229" t="s">
        <v>47</v>
      </c>
      <c r="AL645" s="231"/>
      <c r="AM645" s="232"/>
      <c r="AN645" s="232"/>
      <c r="AO645" s="232"/>
      <c r="AP645" s="232"/>
      <c r="AQ645" s="230"/>
      <c r="AR645" s="227" t="s">
        <v>45</v>
      </c>
      <c r="AS645" s="228" t="s">
        <v>46</v>
      </c>
      <c r="AT645" s="229" t="s">
        <v>47</v>
      </c>
      <c r="AU645" s="231"/>
      <c r="AV645" s="232"/>
      <c r="AW645" s="232"/>
      <c r="AX645" s="232"/>
      <c r="AY645" s="232"/>
      <c r="AZ645" s="230"/>
      <c r="BA645" s="227" t="s">
        <v>45</v>
      </c>
      <c r="BB645" s="228" t="s">
        <v>46</v>
      </c>
      <c r="BC645" s="229" t="s">
        <v>47</v>
      </c>
      <c r="BD645" s="231"/>
      <c r="BE645" s="232"/>
      <c r="BF645" s="232"/>
      <c r="BG645" s="232"/>
      <c r="BH645" s="232"/>
      <c r="BI645" s="230"/>
      <c r="BJ645" s="227" t="s">
        <v>45</v>
      </c>
      <c r="BK645" s="228" t="s">
        <v>46</v>
      </c>
      <c r="BL645" s="229" t="s">
        <v>47</v>
      </c>
      <c r="BM645" s="231"/>
      <c r="BN645" s="232"/>
      <c r="BO645" s="232"/>
      <c r="BP645" s="232"/>
      <c r="BQ645" s="232"/>
      <c r="BR645" s="230"/>
      <c r="BS645" s="227" t="s">
        <v>45</v>
      </c>
      <c r="BT645" s="228" t="s">
        <v>46</v>
      </c>
      <c r="BU645" s="229" t="s">
        <v>47</v>
      </c>
      <c r="BV645" s="231"/>
      <c r="BW645" s="232"/>
      <c r="BX645" s="232"/>
      <c r="BY645" s="232"/>
      <c r="BZ645" s="233"/>
      <c r="CA645" s="230"/>
      <c r="CB645" s="227" t="s">
        <v>45</v>
      </c>
      <c r="CC645" s="228" t="s">
        <v>46</v>
      </c>
      <c r="CD645" s="229" t="s">
        <v>47</v>
      </c>
      <c r="CE645" s="231"/>
      <c r="CF645" s="232"/>
      <c r="CG645" s="232"/>
      <c r="CH645" s="232"/>
      <c r="CI645" s="232"/>
      <c r="CJ645" s="232"/>
      <c r="CK645" s="227" t="s">
        <v>45</v>
      </c>
      <c r="CL645" s="228" t="s">
        <v>46</v>
      </c>
      <c r="CM645" s="229" t="s">
        <v>47</v>
      </c>
      <c r="CN645" s="231"/>
      <c r="CO645" s="232"/>
      <c r="CP645" s="232"/>
      <c r="CQ645" s="232"/>
      <c r="CR645" s="232"/>
      <c r="CS645" s="232"/>
      <c r="CT645" s="234"/>
      <c r="CU645" s="296"/>
      <c r="CV645" s="246"/>
      <c r="CW645" s="265"/>
    </row>
    <row r="646" spans="1:105" x14ac:dyDescent="0.2">
      <c r="A646" s="264"/>
      <c r="B646" s="264"/>
      <c r="C646" s="202"/>
      <c r="D646" s="271">
        <v>1</v>
      </c>
      <c r="E646" s="166" t="s">
        <v>884</v>
      </c>
      <c r="F646" s="468">
        <v>1</v>
      </c>
      <c r="G646" s="472"/>
      <c r="H646" s="473">
        <v>1</v>
      </c>
      <c r="I646" s="170" t="str">
        <f t="shared" ref="I646:I657" si="1450">IF($F646&gt;$H646,"x","")</f>
        <v/>
      </c>
      <c r="J646" s="387" t="str">
        <f t="shared" ref="J646:J657" si="1451">IF(F646&lt;&gt;"",IF(H646&lt;&gt;"",IF(F646=H646,"x",""),""),"")</f>
        <v>x</v>
      </c>
      <c r="K646" s="388" t="str">
        <f t="shared" ref="K646:K657" si="1452">IF($F646&lt;$H646,"x","")</f>
        <v/>
      </c>
      <c r="L646" s="900"/>
      <c r="M646" s="375"/>
      <c r="N646" s="379"/>
      <c r="O646" s="236"/>
      <c r="P646" s="236"/>
      <c r="Q646" s="480">
        <v>40</v>
      </c>
      <c r="R646" s="481">
        <v>30</v>
      </c>
      <c r="S646" s="482">
        <f>IF(Q646="","",100-SUM(Q646:R646))</f>
        <v>30</v>
      </c>
      <c r="T646" s="371"/>
      <c r="U646" s="232" t="str">
        <f t="shared" ref="U646:U657" si="1453">IF($I646="x",Q646,"")</f>
        <v/>
      </c>
      <c r="V646" s="232">
        <f t="shared" ref="V646:V657" si="1454">IF($J646="x",R646,"")</f>
        <v>30</v>
      </c>
      <c r="W646" s="232" t="str">
        <f t="shared" ref="W646:W657" si="1455">IF($K646="x",S646,"")</f>
        <v/>
      </c>
      <c r="X646" s="232" t="str">
        <f>IF((MAX(U646,V646,W646))=0,"",IF((MAX(U646,V646,W646))=(MAX(Q646,R646,S646)),1,""))</f>
        <v/>
      </c>
      <c r="Y646" s="371"/>
      <c r="Z646" s="495">
        <v>80</v>
      </c>
      <c r="AA646" s="496">
        <v>10</v>
      </c>
      <c r="AB646" s="482">
        <f t="shared" ref="AB646:AB657" si="1456">IF(Z646="","",100-SUM(Z646:AA646))</f>
        <v>10</v>
      </c>
      <c r="AC646" s="371"/>
      <c r="AD646" s="232" t="str">
        <f t="shared" ref="AD646:AD657" si="1457">IF($I646="x",Z646,"")</f>
        <v/>
      </c>
      <c r="AE646" s="232">
        <f t="shared" ref="AE646:AE657" si="1458">IF($J646="x",AA646,"")</f>
        <v>10</v>
      </c>
      <c r="AF646" s="232" t="str">
        <f t="shared" ref="AF646:AF657" si="1459">IF($K646="x",AB646,"")</f>
        <v/>
      </c>
      <c r="AG646" s="232" t="str">
        <f>IF((MAX(AD646,AE646,AF646))=0,"",IF((MAX(AD646,AE646,AF646))=(MAX(Z646,AA646,AB646)),1,""))</f>
        <v/>
      </c>
      <c r="AH646" s="371"/>
      <c r="AI646" s="495">
        <v>10</v>
      </c>
      <c r="AJ646" s="496">
        <v>20</v>
      </c>
      <c r="AK646" s="482">
        <f t="shared" ref="AK646:AK657" si="1460">IF(AI646="","",100-SUM(AI646:AJ646))</f>
        <v>70</v>
      </c>
      <c r="AL646" s="371"/>
      <c r="AM646" s="232" t="str">
        <f t="shared" ref="AM646:AM657" si="1461">IF($I646="x",AI646,"")</f>
        <v/>
      </c>
      <c r="AN646" s="232">
        <f t="shared" ref="AN646:AN657" si="1462">IF($J646="x",AJ646,"")</f>
        <v>20</v>
      </c>
      <c r="AO646" s="232" t="str">
        <f t="shared" ref="AO646:AO657" si="1463">IF($K646="x",AK646,"")</f>
        <v/>
      </c>
      <c r="AP646" s="232" t="str">
        <f>IF((MAX(AM646,AN646,AO646))=0,"",IF((MAX(AM646,AN646,AO646))=(MAX(AI646,AJ646,AK646)),1,""))</f>
        <v/>
      </c>
      <c r="AQ646" s="371"/>
      <c r="AR646" s="495">
        <v>30</v>
      </c>
      <c r="AS646" s="496">
        <v>20</v>
      </c>
      <c r="AT646" s="482">
        <f t="shared" ref="AT646:AT657" si="1464">IF(AR646="","",100-SUM(AR646:AS646))</f>
        <v>50</v>
      </c>
      <c r="AU646" s="371"/>
      <c r="AV646" s="232" t="str">
        <f t="shared" ref="AV646:AV657" si="1465">IF($I646="x",AR646,"")</f>
        <v/>
      </c>
      <c r="AW646" s="232">
        <f t="shared" ref="AW646:AW657" si="1466">IF($J646="x",AS646,"")</f>
        <v>20</v>
      </c>
      <c r="AX646" s="232" t="str">
        <f t="shared" ref="AX646:AX657" si="1467">IF($K646="x",AT646,"")</f>
        <v/>
      </c>
      <c r="AY646" s="232" t="str">
        <f>IF((MAX(AV646,AW646,AX646))=0,"",IF((MAX(AV646,AW646,AX646))=(MAX(AR646,AS646,AT646)),1,""))</f>
        <v/>
      </c>
      <c r="AZ646" s="371"/>
      <c r="BA646" s="495">
        <v>10</v>
      </c>
      <c r="BB646" s="496">
        <v>10</v>
      </c>
      <c r="BC646" s="482">
        <f t="shared" ref="BC646:BC657" si="1468">IF(BA646="","",100-SUM(BA646:BB646))</f>
        <v>80</v>
      </c>
      <c r="BD646" s="371"/>
      <c r="BE646" s="232" t="str">
        <f t="shared" ref="BE646:BE657" si="1469">IF($I646="x",BA646,"")</f>
        <v/>
      </c>
      <c r="BF646" s="232">
        <f t="shared" ref="BF646:BF657" si="1470">IF($J646="x",BB646,"")</f>
        <v>10</v>
      </c>
      <c r="BG646" s="232" t="str">
        <f t="shared" ref="BG646:BG657" si="1471">IF($K646="x",BC646,"")</f>
        <v/>
      </c>
      <c r="BH646" s="232" t="str">
        <f>IF((MAX(BE646,BF646,BG646))=0,"",IF((MAX(BE646,BF646,BG646))=(MAX(BA646,BB646,BC646)),1,""))</f>
        <v/>
      </c>
      <c r="BI646" s="371"/>
      <c r="BJ646" s="495">
        <v>30</v>
      </c>
      <c r="BK646" s="496">
        <v>40</v>
      </c>
      <c r="BL646" s="482">
        <f t="shared" ref="BL646:BL657" si="1472">IF(BJ646="","",100-SUM(BJ646:BK646))</f>
        <v>30</v>
      </c>
      <c r="BM646" s="371"/>
      <c r="BN646" s="232" t="str">
        <f t="shared" ref="BN646:BN657" si="1473">IF($I646="x",BJ646,"")</f>
        <v/>
      </c>
      <c r="BO646" s="232">
        <f t="shared" ref="BO646:BO657" si="1474">IF($J646="x",BK646,"")</f>
        <v>40</v>
      </c>
      <c r="BP646" s="232" t="str">
        <f t="shared" ref="BP646:BP657" si="1475">IF($K646="x",BL646,"")</f>
        <v/>
      </c>
      <c r="BQ646" s="232">
        <f>IF((MAX(BN646,BO646,BP646))=0,"",IF((MAX(BN646,BO646,BP646))=(MAX(BJ646,BK646,BL646)),1,""))</f>
        <v>1</v>
      </c>
      <c r="BR646" s="371"/>
      <c r="BS646" s="495"/>
      <c r="BT646" s="496"/>
      <c r="BU646" s="482" t="str">
        <f t="shared" ref="BU646:BU657" si="1476">IF(BS646="","",100-SUM(BS646:BT646))</f>
        <v/>
      </c>
      <c r="BV646" s="371"/>
      <c r="BW646" s="232" t="str">
        <f t="shared" ref="BW646:BW657" si="1477">IF($I646="x",BS646,"")</f>
        <v/>
      </c>
      <c r="BX646" s="232">
        <f t="shared" ref="BX646:BX657" si="1478">IF($J646="x",BT646,"")</f>
        <v>0</v>
      </c>
      <c r="BY646" s="232" t="str">
        <f t="shared" ref="BY646:BY657" si="1479">IF($K646="x",BU646,"")</f>
        <v/>
      </c>
      <c r="BZ646" s="232" t="str">
        <f>IF((MAX(BW646,BX646,BY646))=0,"",IF((MAX(BW646,BX646,BY646))=(MAX(BS646,BT646,BU646)),1,""))</f>
        <v/>
      </c>
      <c r="CA646" s="371"/>
      <c r="CB646" s="501">
        <f t="shared" ref="CB646:CB657" si="1480">IFERROR(ROUNDUP((SUM(Q646,Z646,AI646,AR646,BA646,BJ646,BS646)/SUM($Q646:$S646,$Z646:$AB646,$AI646:$AK646,$AR646:$AT646,$BA646:$BC646,$BJ646:$BL646,$BS646:$BU646))*100,-1),"")</f>
        <v>40</v>
      </c>
      <c r="CC646" s="502">
        <f t="shared" ref="CC646:CC657" si="1481">IFERROR(ROUNDDOWN((SUM(R646,AA646,AJ646,AS646,BB646,BK646,BT646)/SUM($Q646:$S646,$Z646:$AB646,$AI646:$AK646,$AR646:$AT646,$BA646:$BC646,$BJ646:$BL646,$BS646:$BU646))*100,-1),"")</f>
        <v>20</v>
      </c>
      <c r="CD646" s="503">
        <f t="shared" ref="CD646:CD657" si="1482">IF(CB646="","",100-SUM(CB646:CC646))</f>
        <v>40</v>
      </c>
      <c r="CE646" s="371"/>
      <c r="CF646" s="232" t="str">
        <f t="shared" ref="CF646:CF657" si="1483">IF($I646="x",CB646,"")</f>
        <v/>
      </c>
      <c r="CG646" s="232">
        <f t="shared" ref="CG646:CG657" si="1484">IF($J646="x",CC646,"")</f>
        <v>20</v>
      </c>
      <c r="CH646" s="232" t="str">
        <f t="shared" ref="CH646:CH657" si="1485">IF($K646="x",CD646,"")</f>
        <v/>
      </c>
      <c r="CI646" s="232" t="str">
        <f>IF((MAX(CF646,CG646,CH646))=0,"",IF((MAX(CF646,CG646,CH646))=(MAX(CB646,CC646,CD646)),1,""))</f>
        <v/>
      </c>
      <c r="CJ646" s="232"/>
      <c r="CK646" s="495">
        <v>30</v>
      </c>
      <c r="CL646" s="496">
        <v>20</v>
      </c>
      <c r="CM646" s="482">
        <f t="shared" ref="CM646:CM657" si="1486">IF(CK646="","",100-SUM(CK646:CL646))</f>
        <v>50</v>
      </c>
      <c r="CN646" s="371"/>
      <c r="CO646" s="232" t="str">
        <f t="shared" ref="CO646:CO657" si="1487">IF($I646="x",CK646,"")</f>
        <v/>
      </c>
      <c r="CP646" s="232">
        <f t="shared" ref="CP646:CP657" si="1488">IF($J646="x",CL646,"")</f>
        <v>20</v>
      </c>
      <c r="CQ646" s="232" t="str">
        <f t="shared" ref="CQ646:CQ657" si="1489">IF($K646="x",CM646,"")</f>
        <v/>
      </c>
      <c r="CR646" s="232" t="str">
        <f>IF((MAX(CO646,CP646,CQ646))=0,"",IF((MAX(CO646,CP646,CQ646))=(MAX(CK646,CL646,CM646)),1,""))</f>
        <v/>
      </c>
      <c r="CS646" s="232"/>
      <c r="CT646" s="371"/>
      <c r="CU646" s="296"/>
      <c r="CV646" s="246"/>
      <c r="CW646" s="264"/>
      <c r="CY646" s="172">
        <v>50</v>
      </c>
      <c r="CZ646" s="172">
        <v>20</v>
      </c>
      <c r="DA646" s="172">
        <v>30</v>
      </c>
    </row>
    <row r="647" spans="1:105" x14ac:dyDescent="0.2">
      <c r="A647" s="264"/>
      <c r="B647" s="264"/>
      <c r="C647" s="202"/>
      <c r="D647" s="271">
        <v>2</v>
      </c>
      <c r="E647" s="167" t="s">
        <v>885</v>
      </c>
      <c r="F647" s="469">
        <v>1</v>
      </c>
      <c r="G647" s="474"/>
      <c r="H647" s="475">
        <v>2</v>
      </c>
      <c r="I647" s="389" t="str">
        <f t="shared" si="1450"/>
        <v/>
      </c>
      <c r="J647" s="390" t="str">
        <f t="shared" si="1451"/>
        <v/>
      </c>
      <c r="K647" s="391" t="str">
        <f t="shared" si="1452"/>
        <v>x</v>
      </c>
      <c r="L647" s="900"/>
      <c r="M647" s="375"/>
      <c r="N647" s="379"/>
      <c r="O647" s="236"/>
      <c r="P647" s="236"/>
      <c r="Q647" s="483">
        <v>20</v>
      </c>
      <c r="R647" s="484">
        <v>20</v>
      </c>
      <c r="S647" s="485">
        <f t="shared" ref="S647:S657" si="1490">IF(Q647="","",100-SUM(Q647:R647))</f>
        <v>60</v>
      </c>
      <c r="T647" s="371"/>
      <c r="U647" s="232" t="str">
        <f t="shared" si="1453"/>
        <v/>
      </c>
      <c r="V647" s="232" t="str">
        <f t="shared" si="1454"/>
        <v/>
      </c>
      <c r="W647" s="232">
        <f t="shared" si="1455"/>
        <v>60</v>
      </c>
      <c r="X647" s="232">
        <f t="shared" ref="X647:X657" si="1491">IF((MAX(U647,V647,W647))=0,"",IF((MAX(U647,V647,W647))=(MAX(Q647,R647,S647)),1,""))</f>
        <v>1</v>
      </c>
      <c r="Y647" s="371"/>
      <c r="Z647" s="497">
        <v>10</v>
      </c>
      <c r="AA647" s="498">
        <v>10</v>
      </c>
      <c r="AB647" s="485">
        <f t="shared" si="1456"/>
        <v>80</v>
      </c>
      <c r="AC647" s="371"/>
      <c r="AD647" s="232" t="str">
        <f t="shared" si="1457"/>
        <v/>
      </c>
      <c r="AE647" s="232" t="str">
        <f t="shared" si="1458"/>
        <v/>
      </c>
      <c r="AF647" s="232">
        <f t="shared" si="1459"/>
        <v>80</v>
      </c>
      <c r="AG647" s="232">
        <f t="shared" ref="AG647:AG657" si="1492">IF((MAX(AD647,AE647,AF647))=0,"",IF((MAX(AD647,AE647,AF647))=(MAX(Z647,AA647,AB647)),1,""))</f>
        <v>1</v>
      </c>
      <c r="AH647" s="371"/>
      <c r="AI647" s="497">
        <v>10</v>
      </c>
      <c r="AJ647" s="498">
        <v>10</v>
      </c>
      <c r="AK647" s="485">
        <f t="shared" si="1460"/>
        <v>80</v>
      </c>
      <c r="AL647" s="371"/>
      <c r="AM647" s="232" t="str">
        <f t="shared" si="1461"/>
        <v/>
      </c>
      <c r="AN647" s="232" t="str">
        <f t="shared" si="1462"/>
        <v/>
      </c>
      <c r="AO647" s="232">
        <f t="shared" si="1463"/>
        <v>80</v>
      </c>
      <c r="AP647" s="232">
        <f t="shared" ref="AP647:AP657" si="1493">IF((MAX(AM647,AN647,AO647))=0,"",IF((MAX(AM647,AN647,AO647))=(MAX(AI647,AJ647,AK647)),1,""))</f>
        <v>1</v>
      </c>
      <c r="AQ647" s="371"/>
      <c r="AR647" s="497">
        <v>10</v>
      </c>
      <c r="AS647" s="498">
        <v>10</v>
      </c>
      <c r="AT647" s="485">
        <f t="shared" si="1464"/>
        <v>80</v>
      </c>
      <c r="AU647" s="371"/>
      <c r="AV647" s="232" t="str">
        <f t="shared" si="1465"/>
        <v/>
      </c>
      <c r="AW647" s="232" t="str">
        <f t="shared" si="1466"/>
        <v/>
      </c>
      <c r="AX647" s="232">
        <f t="shared" si="1467"/>
        <v>80</v>
      </c>
      <c r="AY647" s="232">
        <f t="shared" ref="AY647:AY657" si="1494">IF((MAX(AV647,AW647,AX647))=0,"",IF((MAX(AV647,AW647,AX647))=(MAX(AR647,AS647,AT647)),1,""))</f>
        <v>1</v>
      </c>
      <c r="AZ647" s="371"/>
      <c r="BA647" s="497">
        <v>10</v>
      </c>
      <c r="BB647" s="498">
        <v>10</v>
      </c>
      <c r="BC647" s="485">
        <f t="shared" si="1468"/>
        <v>80</v>
      </c>
      <c r="BD647" s="371"/>
      <c r="BE647" s="232" t="str">
        <f t="shared" si="1469"/>
        <v/>
      </c>
      <c r="BF647" s="232" t="str">
        <f t="shared" si="1470"/>
        <v/>
      </c>
      <c r="BG647" s="232">
        <f t="shared" si="1471"/>
        <v>80</v>
      </c>
      <c r="BH647" s="232">
        <f t="shared" ref="BH647:BH657" si="1495">IF((MAX(BE647,BF647,BG647))=0,"",IF((MAX(BE647,BF647,BG647))=(MAX(BA647,BB647,BC647)),1,""))</f>
        <v>1</v>
      </c>
      <c r="BI647" s="371"/>
      <c r="BJ647" s="497">
        <v>10</v>
      </c>
      <c r="BK647" s="498">
        <v>10</v>
      </c>
      <c r="BL647" s="485">
        <f t="shared" si="1472"/>
        <v>80</v>
      </c>
      <c r="BM647" s="371"/>
      <c r="BN647" s="232" t="str">
        <f t="shared" si="1473"/>
        <v/>
      </c>
      <c r="BO647" s="232" t="str">
        <f t="shared" si="1474"/>
        <v/>
      </c>
      <c r="BP647" s="232">
        <f t="shared" si="1475"/>
        <v>80</v>
      </c>
      <c r="BQ647" s="232">
        <f t="shared" ref="BQ647:BQ657" si="1496">IF((MAX(BN647,BO647,BP647))=0,"",IF((MAX(BN647,BO647,BP647))=(MAX(BJ647,BK647,BL647)),1,""))</f>
        <v>1</v>
      </c>
      <c r="BR647" s="371"/>
      <c r="BS647" s="497"/>
      <c r="BT647" s="498"/>
      <c r="BU647" s="485" t="str">
        <f t="shared" si="1476"/>
        <v/>
      </c>
      <c r="BV647" s="371"/>
      <c r="BW647" s="232" t="str">
        <f t="shared" si="1477"/>
        <v/>
      </c>
      <c r="BX647" s="232" t="str">
        <f t="shared" si="1478"/>
        <v/>
      </c>
      <c r="BY647" s="232" t="str">
        <f t="shared" si="1479"/>
        <v/>
      </c>
      <c r="BZ647" s="232" t="str">
        <f t="shared" ref="BZ647:BZ657" si="1497">IF((MAX(BW647,BX647,BY647))=0,"",IF((MAX(BW647,BX647,BY647))=(MAX(BS647,BT647,BU647)),1,""))</f>
        <v/>
      </c>
      <c r="CA647" s="371"/>
      <c r="CB647" s="504">
        <f t="shared" si="1480"/>
        <v>20</v>
      </c>
      <c r="CC647" s="505">
        <f t="shared" si="1481"/>
        <v>10</v>
      </c>
      <c r="CD647" s="506">
        <f t="shared" si="1482"/>
        <v>70</v>
      </c>
      <c r="CE647" s="371"/>
      <c r="CF647" s="232" t="str">
        <f t="shared" si="1483"/>
        <v/>
      </c>
      <c r="CG647" s="232" t="str">
        <f t="shared" si="1484"/>
        <v/>
      </c>
      <c r="CH647" s="232">
        <f t="shared" si="1485"/>
        <v>70</v>
      </c>
      <c r="CI647" s="232">
        <f t="shared" ref="CI647:CI657" si="1498">IF((MAX(CF647,CG647,CH647))=0,"",IF((MAX(CF647,CG647,CH647))=(MAX(CB647,CC647,CD647)),1,""))</f>
        <v>1</v>
      </c>
      <c r="CJ647" s="232"/>
      <c r="CK647" s="497">
        <v>10</v>
      </c>
      <c r="CL647" s="498">
        <v>10</v>
      </c>
      <c r="CM647" s="485">
        <f t="shared" si="1486"/>
        <v>80</v>
      </c>
      <c r="CN647" s="371"/>
      <c r="CO647" s="232" t="str">
        <f t="shared" si="1487"/>
        <v/>
      </c>
      <c r="CP647" s="232" t="str">
        <f t="shared" si="1488"/>
        <v/>
      </c>
      <c r="CQ647" s="232">
        <f t="shared" si="1489"/>
        <v>80</v>
      </c>
      <c r="CR647" s="232">
        <f t="shared" ref="CR647:CR657" si="1499">IF((MAX(CO647,CP647,CQ647))=0,"",IF((MAX(CO647,CP647,CQ647))=(MAX(CK647,CL647,CM647)),1,""))</f>
        <v>1</v>
      </c>
      <c r="CS647" s="232"/>
      <c r="CT647" s="371"/>
      <c r="CU647" s="296"/>
      <c r="CV647" s="246"/>
      <c r="CW647" s="264"/>
      <c r="CY647" s="172">
        <v>20</v>
      </c>
      <c r="CZ647" s="172">
        <v>20</v>
      </c>
      <c r="DA647" s="172">
        <v>60</v>
      </c>
    </row>
    <row r="648" spans="1:105" ht="13.5" thickBot="1" x14ac:dyDescent="0.25">
      <c r="A648" s="264"/>
      <c r="B648" s="264"/>
      <c r="C648" s="202"/>
      <c r="D648" s="271">
        <v>3</v>
      </c>
      <c r="E648" s="168" t="s">
        <v>886</v>
      </c>
      <c r="F648" s="470">
        <v>1</v>
      </c>
      <c r="G648" s="476"/>
      <c r="H648" s="477">
        <v>0</v>
      </c>
      <c r="I648" s="392" t="str">
        <f t="shared" si="1450"/>
        <v>x</v>
      </c>
      <c r="J648" s="393" t="str">
        <f t="shared" si="1451"/>
        <v/>
      </c>
      <c r="K648" s="394" t="str">
        <f t="shared" si="1452"/>
        <v/>
      </c>
      <c r="L648" s="900"/>
      <c r="M648" s="375"/>
      <c r="N648" s="379"/>
      <c r="O648" s="236"/>
      <c r="P648" s="236"/>
      <c r="Q648" s="486">
        <v>70</v>
      </c>
      <c r="R648" s="487">
        <v>20</v>
      </c>
      <c r="S648" s="488">
        <f t="shared" si="1490"/>
        <v>10</v>
      </c>
      <c r="T648" s="371"/>
      <c r="U648" s="232">
        <f t="shared" si="1453"/>
        <v>70</v>
      </c>
      <c r="V648" s="232" t="str">
        <f t="shared" si="1454"/>
        <v/>
      </c>
      <c r="W648" s="232" t="str">
        <f t="shared" si="1455"/>
        <v/>
      </c>
      <c r="X648" s="232">
        <f t="shared" si="1491"/>
        <v>1</v>
      </c>
      <c r="Y648" s="371"/>
      <c r="Z648" s="499">
        <v>80</v>
      </c>
      <c r="AA648" s="500">
        <v>10</v>
      </c>
      <c r="AB648" s="488">
        <f t="shared" si="1456"/>
        <v>10</v>
      </c>
      <c r="AC648" s="371"/>
      <c r="AD648" s="232">
        <f t="shared" si="1457"/>
        <v>80</v>
      </c>
      <c r="AE648" s="232" t="str">
        <f t="shared" si="1458"/>
        <v/>
      </c>
      <c r="AF648" s="232" t="str">
        <f t="shared" si="1459"/>
        <v/>
      </c>
      <c r="AG648" s="232">
        <f t="shared" si="1492"/>
        <v>1</v>
      </c>
      <c r="AH648" s="371"/>
      <c r="AI648" s="499">
        <v>70</v>
      </c>
      <c r="AJ648" s="500">
        <v>20</v>
      </c>
      <c r="AK648" s="488">
        <f t="shared" si="1460"/>
        <v>10</v>
      </c>
      <c r="AL648" s="371"/>
      <c r="AM648" s="232">
        <f t="shared" si="1461"/>
        <v>70</v>
      </c>
      <c r="AN648" s="232" t="str">
        <f t="shared" si="1462"/>
        <v/>
      </c>
      <c r="AO648" s="232" t="str">
        <f t="shared" si="1463"/>
        <v/>
      </c>
      <c r="AP648" s="232">
        <f t="shared" si="1493"/>
        <v>1</v>
      </c>
      <c r="AQ648" s="371"/>
      <c r="AR648" s="499">
        <v>80</v>
      </c>
      <c r="AS648" s="500">
        <v>10</v>
      </c>
      <c r="AT648" s="488">
        <f t="shared" si="1464"/>
        <v>10</v>
      </c>
      <c r="AU648" s="371"/>
      <c r="AV648" s="232">
        <f t="shared" si="1465"/>
        <v>80</v>
      </c>
      <c r="AW648" s="232" t="str">
        <f t="shared" si="1466"/>
        <v/>
      </c>
      <c r="AX648" s="232" t="str">
        <f t="shared" si="1467"/>
        <v/>
      </c>
      <c r="AY648" s="232">
        <f t="shared" si="1494"/>
        <v>1</v>
      </c>
      <c r="AZ648" s="371"/>
      <c r="BA648" s="499">
        <v>80</v>
      </c>
      <c r="BB648" s="500">
        <v>10</v>
      </c>
      <c r="BC648" s="488">
        <f t="shared" si="1468"/>
        <v>10</v>
      </c>
      <c r="BD648" s="371"/>
      <c r="BE648" s="232">
        <f t="shared" si="1469"/>
        <v>80</v>
      </c>
      <c r="BF648" s="232" t="str">
        <f t="shared" si="1470"/>
        <v/>
      </c>
      <c r="BG648" s="232" t="str">
        <f t="shared" si="1471"/>
        <v/>
      </c>
      <c r="BH648" s="232">
        <f t="shared" si="1495"/>
        <v>1</v>
      </c>
      <c r="BI648" s="371"/>
      <c r="BJ648" s="499">
        <v>80</v>
      </c>
      <c r="BK648" s="500">
        <v>10</v>
      </c>
      <c r="BL648" s="488">
        <f t="shared" si="1472"/>
        <v>10</v>
      </c>
      <c r="BM648" s="371"/>
      <c r="BN648" s="232">
        <f t="shared" si="1473"/>
        <v>80</v>
      </c>
      <c r="BO648" s="232" t="str">
        <f t="shared" si="1474"/>
        <v/>
      </c>
      <c r="BP648" s="232" t="str">
        <f t="shared" si="1475"/>
        <v/>
      </c>
      <c r="BQ648" s="232">
        <f t="shared" si="1496"/>
        <v>1</v>
      </c>
      <c r="BR648" s="371"/>
      <c r="BS648" s="499"/>
      <c r="BT648" s="500"/>
      <c r="BU648" s="488" t="str">
        <f t="shared" si="1476"/>
        <v/>
      </c>
      <c r="BV648" s="371"/>
      <c r="BW648" s="232">
        <f t="shared" si="1477"/>
        <v>0</v>
      </c>
      <c r="BX648" s="232" t="str">
        <f t="shared" si="1478"/>
        <v/>
      </c>
      <c r="BY648" s="232" t="str">
        <f t="shared" si="1479"/>
        <v/>
      </c>
      <c r="BZ648" s="232" t="str">
        <f t="shared" si="1497"/>
        <v/>
      </c>
      <c r="CA648" s="371"/>
      <c r="CB648" s="507">
        <f t="shared" si="1480"/>
        <v>80</v>
      </c>
      <c r="CC648" s="508">
        <f t="shared" si="1481"/>
        <v>10</v>
      </c>
      <c r="CD648" s="509">
        <f t="shared" si="1482"/>
        <v>10</v>
      </c>
      <c r="CE648" s="371"/>
      <c r="CF648" s="232">
        <f t="shared" si="1483"/>
        <v>80</v>
      </c>
      <c r="CG648" s="232" t="str">
        <f t="shared" si="1484"/>
        <v/>
      </c>
      <c r="CH648" s="232" t="str">
        <f t="shared" si="1485"/>
        <v/>
      </c>
      <c r="CI648" s="232">
        <f t="shared" si="1498"/>
        <v>1</v>
      </c>
      <c r="CJ648" s="232"/>
      <c r="CK648" s="499">
        <v>80</v>
      </c>
      <c r="CL648" s="500">
        <v>10</v>
      </c>
      <c r="CM648" s="488">
        <f t="shared" si="1486"/>
        <v>10</v>
      </c>
      <c r="CN648" s="371"/>
      <c r="CO648" s="232">
        <f t="shared" si="1487"/>
        <v>80</v>
      </c>
      <c r="CP648" s="232" t="str">
        <f t="shared" si="1488"/>
        <v/>
      </c>
      <c r="CQ648" s="232" t="str">
        <f t="shared" si="1489"/>
        <v/>
      </c>
      <c r="CR648" s="232">
        <f t="shared" si="1499"/>
        <v>1</v>
      </c>
      <c r="CS648" s="232"/>
      <c r="CT648" s="371"/>
      <c r="CU648" s="296"/>
      <c r="CV648" s="246"/>
      <c r="CW648" s="264"/>
      <c r="CY648" s="172">
        <v>70</v>
      </c>
      <c r="CZ648" s="172">
        <v>20</v>
      </c>
      <c r="DA648" s="172">
        <v>10</v>
      </c>
    </row>
    <row r="649" spans="1:105" x14ac:dyDescent="0.2">
      <c r="A649" s="264"/>
      <c r="B649" s="264"/>
      <c r="C649" s="202"/>
      <c r="D649" s="271">
        <v>4</v>
      </c>
      <c r="E649" s="166" t="s">
        <v>887</v>
      </c>
      <c r="F649" s="468">
        <v>3</v>
      </c>
      <c r="G649" s="472"/>
      <c r="H649" s="473">
        <v>1</v>
      </c>
      <c r="I649" s="170" t="str">
        <f t="shared" si="1450"/>
        <v>x</v>
      </c>
      <c r="J649" s="387" t="str">
        <f t="shared" si="1451"/>
        <v/>
      </c>
      <c r="K649" s="388" t="str">
        <f t="shared" si="1452"/>
        <v/>
      </c>
      <c r="L649" s="900"/>
      <c r="M649" s="375"/>
      <c r="N649" s="379"/>
      <c r="O649" s="236"/>
      <c r="P649" s="236"/>
      <c r="Q649" s="480">
        <v>70</v>
      </c>
      <c r="R649" s="481">
        <v>20</v>
      </c>
      <c r="S649" s="482">
        <f t="shared" si="1490"/>
        <v>10</v>
      </c>
      <c r="T649" s="371"/>
      <c r="U649" s="232">
        <f t="shared" si="1453"/>
        <v>70</v>
      </c>
      <c r="V649" s="232" t="str">
        <f t="shared" si="1454"/>
        <v/>
      </c>
      <c r="W649" s="232" t="str">
        <f t="shared" si="1455"/>
        <v/>
      </c>
      <c r="X649" s="232">
        <f t="shared" si="1491"/>
        <v>1</v>
      </c>
      <c r="Y649" s="371"/>
      <c r="Z649" s="495">
        <v>80</v>
      </c>
      <c r="AA649" s="496">
        <v>10</v>
      </c>
      <c r="AB649" s="482">
        <f t="shared" si="1456"/>
        <v>10</v>
      </c>
      <c r="AC649" s="371"/>
      <c r="AD649" s="232">
        <f t="shared" si="1457"/>
        <v>80</v>
      </c>
      <c r="AE649" s="232" t="str">
        <f t="shared" si="1458"/>
        <v/>
      </c>
      <c r="AF649" s="232" t="str">
        <f t="shared" si="1459"/>
        <v/>
      </c>
      <c r="AG649" s="232">
        <f t="shared" si="1492"/>
        <v>1</v>
      </c>
      <c r="AH649" s="371"/>
      <c r="AI649" s="495">
        <v>70</v>
      </c>
      <c r="AJ649" s="496">
        <v>20</v>
      </c>
      <c r="AK649" s="482">
        <f t="shared" si="1460"/>
        <v>10</v>
      </c>
      <c r="AL649" s="371"/>
      <c r="AM649" s="232">
        <f t="shared" si="1461"/>
        <v>70</v>
      </c>
      <c r="AN649" s="232" t="str">
        <f t="shared" si="1462"/>
        <v/>
      </c>
      <c r="AO649" s="232" t="str">
        <f t="shared" si="1463"/>
        <v/>
      </c>
      <c r="AP649" s="232">
        <f t="shared" si="1493"/>
        <v>1</v>
      </c>
      <c r="AQ649" s="371"/>
      <c r="AR649" s="495">
        <v>60</v>
      </c>
      <c r="AS649" s="496">
        <v>20</v>
      </c>
      <c r="AT649" s="482">
        <f t="shared" si="1464"/>
        <v>20</v>
      </c>
      <c r="AU649" s="371"/>
      <c r="AV649" s="232">
        <f t="shared" si="1465"/>
        <v>60</v>
      </c>
      <c r="AW649" s="232" t="str">
        <f t="shared" si="1466"/>
        <v/>
      </c>
      <c r="AX649" s="232" t="str">
        <f t="shared" si="1467"/>
        <v/>
      </c>
      <c r="AY649" s="232">
        <f t="shared" si="1494"/>
        <v>1</v>
      </c>
      <c r="AZ649" s="371"/>
      <c r="BA649" s="495">
        <v>80</v>
      </c>
      <c r="BB649" s="496">
        <v>10</v>
      </c>
      <c r="BC649" s="482">
        <f t="shared" si="1468"/>
        <v>10</v>
      </c>
      <c r="BD649" s="371"/>
      <c r="BE649" s="232">
        <f t="shared" si="1469"/>
        <v>80</v>
      </c>
      <c r="BF649" s="232" t="str">
        <f t="shared" si="1470"/>
        <v/>
      </c>
      <c r="BG649" s="232" t="str">
        <f t="shared" si="1471"/>
        <v/>
      </c>
      <c r="BH649" s="232">
        <f t="shared" si="1495"/>
        <v>1</v>
      </c>
      <c r="BI649" s="371"/>
      <c r="BJ649" s="495">
        <v>80</v>
      </c>
      <c r="BK649" s="496">
        <v>10</v>
      </c>
      <c r="BL649" s="482">
        <f t="shared" si="1472"/>
        <v>10</v>
      </c>
      <c r="BM649" s="371"/>
      <c r="BN649" s="232">
        <f t="shared" si="1473"/>
        <v>80</v>
      </c>
      <c r="BO649" s="232" t="str">
        <f t="shared" si="1474"/>
        <v/>
      </c>
      <c r="BP649" s="232" t="str">
        <f t="shared" si="1475"/>
        <v/>
      </c>
      <c r="BQ649" s="232">
        <f t="shared" si="1496"/>
        <v>1</v>
      </c>
      <c r="BR649" s="371"/>
      <c r="BS649" s="495"/>
      <c r="BT649" s="496"/>
      <c r="BU649" s="482" t="str">
        <f t="shared" si="1476"/>
        <v/>
      </c>
      <c r="BV649" s="371"/>
      <c r="BW649" s="232">
        <f t="shared" si="1477"/>
        <v>0</v>
      </c>
      <c r="BX649" s="232" t="str">
        <f t="shared" si="1478"/>
        <v/>
      </c>
      <c r="BY649" s="232" t="str">
        <f t="shared" si="1479"/>
        <v/>
      </c>
      <c r="BZ649" s="232" t="str">
        <f t="shared" si="1497"/>
        <v/>
      </c>
      <c r="CA649" s="371"/>
      <c r="CB649" s="501">
        <f t="shared" si="1480"/>
        <v>80</v>
      </c>
      <c r="CC649" s="502">
        <f t="shared" si="1481"/>
        <v>10</v>
      </c>
      <c r="CD649" s="503">
        <f t="shared" si="1482"/>
        <v>10</v>
      </c>
      <c r="CE649" s="371"/>
      <c r="CF649" s="232">
        <f t="shared" si="1483"/>
        <v>80</v>
      </c>
      <c r="CG649" s="232" t="str">
        <f t="shared" si="1484"/>
        <v/>
      </c>
      <c r="CH649" s="232" t="str">
        <f t="shared" si="1485"/>
        <v/>
      </c>
      <c r="CI649" s="232">
        <f t="shared" si="1498"/>
        <v>1</v>
      </c>
      <c r="CJ649" s="232"/>
      <c r="CK649" s="495">
        <v>60</v>
      </c>
      <c r="CL649" s="496">
        <v>20</v>
      </c>
      <c r="CM649" s="482">
        <f t="shared" si="1486"/>
        <v>20</v>
      </c>
      <c r="CN649" s="371"/>
      <c r="CO649" s="232">
        <f t="shared" si="1487"/>
        <v>60</v>
      </c>
      <c r="CP649" s="232" t="str">
        <f t="shared" si="1488"/>
        <v/>
      </c>
      <c r="CQ649" s="232" t="str">
        <f t="shared" si="1489"/>
        <v/>
      </c>
      <c r="CR649" s="232">
        <f t="shared" si="1499"/>
        <v>1</v>
      </c>
      <c r="CS649" s="232"/>
      <c r="CT649" s="371"/>
      <c r="CU649" s="296"/>
      <c r="CV649" s="246"/>
      <c r="CW649" s="264"/>
      <c r="CY649" s="172">
        <v>40</v>
      </c>
      <c r="CZ649" s="172">
        <v>30</v>
      </c>
      <c r="DA649" s="172">
        <v>30</v>
      </c>
    </row>
    <row r="650" spans="1:105" x14ac:dyDescent="0.2">
      <c r="A650" s="264"/>
      <c r="B650" s="264"/>
      <c r="C650" s="202"/>
      <c r="D650" s="271">
        <v>5</v>
      </c>
      <c r="E650" s="167" t="s">
        <v>888</v>
      </c>
      <c r="F650" s="469">
        <v>2</v>
      </c>
      <c r="G650" s="474"/>
      <c r="H650" s="475">
        <v>1</v>
      </c>
      <c r="I650" s="389" t="str">
        <f t="shared" si="1450"/>
        <v>x</v>
      </c>
      <c r="J650" s="390" t="str">
        <f t="shared" si="1451"/>
        <v/>
      </c>
      <c r="K650" s="391" t="str">
        <f t="shared" si="1452"/>
        <v/>
      </c>
      <c r="L650" s="900"/>
      <c r="M650" s="375"/>
      <c r="N650" s="379"/>
      <c r="O650" s="236"/>
      <c r="P650" s="236"/>
      <c r="Q650" s="483">
        <v>40</v>
      </c>
      <c r="R650" s="484">
        <v>30</v>
      </c>
      <c r="S650" s="485">
        <f t="shared" si="1490"/>
        <v>30</v>
      </c>
      <c r="T650" s="371"/>
      <c r="U650" s="232">
        <f t="shared" si="1453"/>
        <v>40</v>
      </c>
      <c r="V650" s="232" t="str">
        <f t="shared" si="1454"/>
        <v/>
      </c>
      <c r="W650" s="232" t="str">
        <f t="shared" si="1455"/>
        <v/>
      </c>
      <c r="X650" s="232">
        <f t="shared" si="1491"/>
        <v>1</v>
      </c>
      <c r="Y650" s="371"/>
      <c r="Z650" s="497">
        <v>40</v>
      </c>
      <c r="AA650" s="498">
        <v>50</v>
      </c>
      <c r="AB650" s="485">
        <f t="shared" si="1456"/>
        <v>10</v>
      </c>
      <c r="AC650" s="371"/>
      <c r="AD650" s="232">
        <f t="shared" si="1457"/>
        <v>40</v>
      </c>
      <c r="AE650" s="232" t="str">
        <f t="shared" si="1458"/>
        <v/>
      </c>
      <c r="AF650" s="232" t="str">
        <f t="shared" si="1459"/>
        <v/>
      </c>
      <c r="AG650" s="232" t="str">
        <f t="shared" si="1492"/>
        <v/>
      </c>
      <c r="AH650" s="371"/>
      <c r="AI650" s="497">
        <v>20</v>
      </c>
      <c r="AJ650" s="498">
        <v>20</v>
      </c>
      <c r="AK650" s="485">
        <f t="shared" si="1460"/>
        <v>60</v>
      </c>
      <c r="AL650" s="371"/>
      <c r="AM650" s="232">
        <f t="shared" si="1461"/>
        <v>20</v>
      </c>
      <c r="AN650" s="232" t="str">
        <f t="shared" si="1462"/>
        <v/>
      </c>
      <c r="AO650" s="232" t="str">
        <f t="shared" si="1463"/>
        <v/>
      </c>
      <c r="AP650" s="232" t="str">
        <f t="shared" si="1493"/>
        <v/>
      </c>
      <c r="AQ650" s="371"/>
      <c r="AR650" s="497">
        <v>20</v>
      </c>
      <c r="AS650" s="498">
        <v>30</v>
      </c>
      <c r="AT650" s="485">
        <f t="shared" si="1464"/>
        <v>50</v>
      </c>
      <c r="AU650" s="371"/>
      <c r="AV650" s="232">
        <f t="shared" si="1465"/>
        <v>20</v>
      </c>
      <c r="AW650" s="232" t="str">
        <f t="shared" si="1466"/>
        <v/>
      </c>
      <c r="AX650" s="232" t="str">
        <f t="shared" si="1467"/>
        <v/>
      </c>
      <c r="AY650" s="232" t="str">
        <f t="shared" si="1494"/>
        <v/>
      </c>
      <c r="AZ650" s="371"/>
      <c r="BA650" s="497">
        <v>10</v>
      </c>
      <c r="BB650" s="498">
        <v>10</v>
      </c>
      <c r="BC650" s="485">
        <f t="shared" si="1468"/>
        <v>80</v>
      </c>
      <c r="BD650" s="371"/>
      <c r="BE650" s="232">
        <f t="shared" si="1469"/>
        <v>10</v>
      </c>
      <c r="BF650" s="232" t="str">
        <f t="shared" si="1470"/>
        <v/>
      </c>
      <c r="BG650" s="232" t="str">
        <f t="shared" si="1471"/>
        <v/>
      </c>
      <c r="BH650" s="232" t="str">
        <f t="shared" si="1495"/>
        <v/>
      </c>
      <c r="BI650" s="371"/>
      <c r="BJ650" s="497">
        <v>20</v>
      </c>
      <c r="BK650" s="498">
        <v>30</v>
      </c>
      <c r="BL650" s="485">
        <f t="shared" si="1472"/>
        <v>50</v>
      </c>
      <c r="BM650" s="371"/>
      <c r="BN650" s="232">
        <f t="shared" si="1473"/>
        <v>20</v>
      </c>
      <c r="BO650" s="232" t="str">
        <f t="shared" si="1474"/>
        <v/>
      </c>
      <c r="BP650" s="232" t="str">
        <f t="shared" si="1475"/>
        <v/>
      </c>
      <c r="BQ650" s="232" t="str">
        <f t="shared" si="1496"/>
        <v/>
      </c>
      <c r="BR650" s="371"/>
      <c r="BS650" s="497"/>
      <c r="BT650" s="498"/>
      <c r="BU650" s="485" t="str">
        <f t="shared" si="1476"/>
        <v/>
      </c>
      <c r="BV650" s="371"/>
      <c r="BW650" s="232">
        <f t="shared" si="1477"/>
        <v>0</v>
      </c>
      <c r="BX650" s="232" t="str">
        <f t="shared" si="1478"/>
        <v/>
      </c>
      <c r="BY650" s="232" t="str">
        <f t="shared" si="1479"/>
        <v/>
      </c>
      <c r="BZ650" s="232" t="str">
        <f t="shared" si="1497"/>
        <v/>
      </c>
      <c r="CA650" s="371"/>
      <c r="CB650" s="504">
        <f t="shared" si="1480"/>
        <v>30</v>
      </c>
      <c r="CC650" s="505">
        <f t="shared" si="1481"/>
        <v>20</v>
      </c>
      <c r="CD650" s="506">
        <f t="shared" si="1482"/>
        <v>50</v>
      </c>
      <c r="CE650" s="371"/>
      <c r="CF650" s="232">
        <f t="shared" si="1483"/>
        <v>30</v>
      </c>
      <c r="CG650" s="232" t="str">
        <f t="shared" si="1484"/>
        <v/>
      </c>
      <c r="CH650" s="232" t="str">
        <f t="shared" si="1485"/>
        <v/>
      </c>
      <c r="CI650" s="232" t="str">
        <f t="shared" si="1498"/>
        <v/>
      </c>
      <c r="CJ650" s="232"/>
      <c r="CK650" s="497">
        <v>20</v>
      </c>
      <c r="CL650" s="498">
        <v>20</v>
      </c>
      <c r="CM650" s="485">
        <f t="shared" si="1486"/>
        <v>60</v>
      </c>
      <c r="CN650" s="371"/>
      <c r="CO650" s="232">
        <f t="shared" si="1487"/>
        <v>20</v>
      </c>
      <c r="CP650" s="232" t="str">
        <f t="shared" si="1488"/>
        <v/>
      </c>
      <c r="CQ650" s="232" t="str">
        <f t="shared" si="1489"/>
        <v/>
      </c>
      <c r="CR650" s="232" t="str">
        <f t="shared" si="1499"/>
        <v/>
      </c>
      <c r="CS650" s="232"/>
      <c r="CT650" s="371"/>
      <c r="CU650" s="296"/>
      <c r="CV650" s="246"/>
      <c r="CW650" s="264"/>
      <c r="CY650" s="172">
        <v>20</v>
      </c>
      <c r="CZ650" s="172">
        <v>20</v>
      </c>
      <c r="DA650" s="172">
        <v>60</v>
      </c>
    </row>
    <row r="651" spans="1:105" ht="13.5" thickBot="1" x14ac:dyDescent="0.25">
      <c r="A651" s="264"/>
      <c r="B651" s="264"/>
      <c r="C651" s="202"/>
      <c r="D651" s="271">
        <v>6</v>
      </c>
      <c r="E651" s="168" t="s">
        <v>889</v>
      </c>
      <c r="F651" s="470">
        <v>0</v>
      </c>
      <c r="G651" s="476"/>
      <c r="H651" s="477">
        <v>1</v>
      </c>
      <c r="I651" s="392" t="str">
        <f t="shared" si="1450"/>
        <v/>
      </c>
      <c r="J651" s="393" t="str">
        <f t="shared" si="1451"/>
        <v/>
      </c>
      <c r="K651" s="394" t="str">
        <f t="shared" si="1452"/>
        <v>x</v>
      </c>
      <c r="L651" s="900"/>
      <c r="M651" s="375"/>
      <c r="N651" s="379"/>
      <c r="O651" s="236"/>
      <c r="P651" s="236"/>
      <c r="Q651" s="489">
        <v>20</v>
      </c>
      <c r="R651" s="490">
        <v>30</v>
      </c>
      <c r="S651" s="491">
        <f t="shared" si="1490"/>
        <v>50</v>
      </c>
      <c r="T651" s="371"/>
      <c r="U651" s="232" t="str">
        <f t="shared" si="1453"/>
        <v/>
      </c>
      <c r="V651" s="232" t="str">
        <f t="shared" si="1454"/>
        <v/>
      </c>
      <c r="W651" s="232">
        <f t="shared" si="1455"/>
        <v>50</v>
      </c>
      <c r="X651" s="232">
        <f t="shared" si="1491"/>
        <v>1</v>
      </c>
      <c r="Y651" s="371"/>
      <c r="Z651" s="499">
        <v>10</v>
      </c>
      <c r="AA651" s="500">
        <v>10</v>
      </c>
      <c r="AB651" s="491">
        <f t="shared" si="1456"/>
        <v>80</v>
      </c>
      <c r="AC651" s="371"/>
      <c r="AD651" s="232" t="str">
        <f t="shared" si="1457"/>
        <v/>
      </c>
      <c r="AE651" s="232" t="str">
        <f t="shared" si="1458"/>
        <v/>
      </c>
      <c r="AF651" s="232">
        <f t="shared" si="1459"/>
        <v>80</v>
      </c>
      <c r="AG651" s="232">
        <f t="shared" si="1492"/>
        <v>1</v>
      </c>
      <c r="AH651" s="371"/>
      <c r="AI651" s="499">
        <v>20</v>
      </c>
      <c r="AJ651" s="500">
        <v>30</v>
      </c>
      <c r="AK651" s="491">
        <f t="shared" si="1460"/>
        <v>50</v>
      </c>
      <c r="AL651" s="371"/>
      <c r="AM651" s="232" t="str">
        <f t="shared" si="1461"/>
        <v/>
      </c>
      <c r="AN651" s="232" t="str">
        <f t="shared" si="1462"/>
        <v/>
      </c>
      <c r="AO651" s="232">
        <f t="shared" si="1463"/>
        <v>50</v>
      </c>
      <c r="AP651" s="232">
        <f t="shared" si="1493"/>
        <v>1</v>
      </c>
      <c r="AQ651" s="371"/>
      <c r="AR651" s="499">
        <v>10</v>
      </c>
      <c r="AS651" s="500">
        <v>30</v>
      </c>
      <c r="AT651" s="491">
        <f t="shared" si="1464"/>
        <v>60</v>
      </c>
      <c r="AU651" s="371"/>
      <c r="AV651" s="232" t="str">
        <f t="shared" si="1465"/>
        <v/>
      </c>
      <c r="AW651" s="232" t="str">
        <f t="shared" si="1466"/>
        <v/>
      </c>
      <c r="AX651" s="232">
        <f t="shared" si="1467"/>
        <v>60</v>
      </c>
      <c r="AY651" s="232">
        <f t="shared" si="1494"/>
        <v>1</v>
      </c>
      <c r="AZ651" s="371"/>
      <c r="BA651" s="499">
        <v>10</v>
      </c>
      <c r="BB651" s="500">
        <v>10</v>
      </c>
      <c r="BC651" s="491">
        <f t="shared" si="1468"/>
        <v>80</v>
      </c>
      <c r="BD651" s="371"/>
      <c r="BE651" s="232" t="str">
        <f t="shared" si="1469"/>
        <v/>
      </c>
      <c r="BF651" s="232" t="str">
        <f t="shared" si="1470"/>
        <v/>
      </c>
      <c r="BG651" s="232">
        <f t="shared" si="1471"/>
        <v>80</v>
      </c>
      <c r="BH651" s="232">
        <f t="shared" si="1495"/>
        <v>1</v>
      </c>
      <c r="BI651" s="371"/>
      <c r="BJ651" s="499">
        <v>10</v>
      </c>
      <c r="BK651" s="500">
        <v>10</v>
      </c>
      <c r="BL651" s="491">
        <f t="shared" si="1472"/>
        <v>80</v>
      </c>
      <c r="BM651" s="371"/>
      <c r="BN651" s="232" t="str">
        <f t="shared" si="1473"/>
        <v/>
      </c>
      <c r="BO651" s="232" t="str">
        <f t="shared" si="1474"/>
        <v/>
      </c>
      <c r="BP651" s="232">
        <f t="shared" si="1475"/>
        <v>80</v>
      </c>
      <c r="BQ651" s="232">
        <f t="shared" si="1496"/>
        <v>1</v>
      </c>
      <c r="BR651" s="371"/>
      <c r="BS651" s="499"/>
      <c r="BT651" s="500"/>
      <c r="BU651" s="491" t="str">
        <f t="shared" si="1476"/>
        <v/>
      </c>
      <c r="BV651" s="371"/>
      <c r="BW651" s="232" t="str">
        <f t="shared" si="1477"/>
        <v/>
      </c>
      <c r="BX651" s="232" t="str">
        <f t="shared" si="1478"/>
        <v/>
      </c>
      <c r="BY651" s="232" t="str">
        <f t="shared" si="1479"/>
        <v/>
      </c>
      <c r="BZ651" s="232" t="str">
        <f t="shared" si="1497"/>
        <v/>
      </c>
      <c r="CA651" s="371"/>
      <c r="CB651" s="507">
        <f t="shared" si="1480"/>
        <v>20</v>
      </c>
      <c r="CC651" s="508">
        <f t="shared" si="1481"/>
        <v>20</v>
      </c>
      <c r="CD651" s="509">
        <f t="shared" si="1482"/>
        <v>60</v>
      </c>
      <c r="CE651" s="371"/>
      <c r="CF651" s="232" t="str">
        <f t="shared" si="1483"/>
        <v/>
      </c>
      <c r="CG651" s="232" t="str">
        <f t="shared" si="1484"/>
        <v/>
      </c>
      <c r="CH651" s="232">
        <f t="shared" si="1485"/>
        <v>60</v>
      </c>
      <c r="CI651" s="232">
        <f t="shared" si="1498"/>
        <v>1</v>
      </c>
      <c r="CJ651" s="232"/>
      <c r="CK651" s="499">
        <v>10</v>
      </c>
      <c r="CL651" s="500">
        <v>10</v>
      </c>
      <c r="CM651" s="491">
        <f t="shared" si="1486"/>
        <v>80</v>
      </c>
      <c r="CN651" s="371"/>
      <c r="CO651" s="232" t="str">
        <f t="shared" si="1487"/>
        <v/>
      </c>
      <c r="CP651" s="232" t="str">
        <f t="shared" si="1488"/>
        <v/>
      </c>
      <c r="CQ651" s="232">
        <f t="shared" si="1489"/>
        <v>80</v>
      </c>
      <c r="CR651" s="232">
        <f t="shared" si="1499"/>
        <v>1</v>
      </c>
      <c r="CS651" s="232"/>
      <c r="CT651" s="371"/>
      <c r="CU651" s="296"/>
      <c r="CV651" s="246"/>
      <c r="CW651" s="264"/>
      <c r="CY651" s="172">
        <v>40</v>
      </c>
      <c r="CZ651" s="172">
        <v>30</v>
      </c>
      <c r="DA651" s="172">
        <v>30</v>
      </c>
    </row>
    <row r="652" spans="1:105" x14ac:dyDescent="0.2">
      <c r="A652" s="264"/>
      <c r="B652" s="264"/>
      <c r="C652" s="202"/>
      <c r="D652" s="271">
        <v>7</v>
      </c>
      <c r="E652" s="166" t="s">
        <v>890</v>
      </c>
      <c r="F652" s="468">
        <v>2</v>
      </c>
      <c r="G652" s="472"/>
      <c r="H652" s="473">
        <v>1</v>
      </c>
      <c r="I652" s="170" t="str">
        <f t="shared" si="1450"/>
        <v>x</v>
      </c>
      <c r="J652" s="387" t="str">
        <f t="shared" si="1451"/>
        <v/>
      </c>
      <c r="K652" s="388" t="str">
        <f t="shared" si="1452"/>
        <v/>
      </c>
      <c r="L652" s="900"/>
      <c r="M652" s="375"/>
      <c r="N652" s="379"/>
      <c r="O652" s="236"/>
      <c r="P652" s="236"/>
      <c r="Q652" s="480">
        <v>80</v>
      </c>
      <c r="R652" s="481">
        <v>10</v>
      </c>
      <c r="S652" s="482">
        <f t="shared" si="1490"/>
        <v>10</v>
      </c>
      <c r="T652" s="371"/>
      <c r="U652" s="232">
        <f t="shared" si="1453"/>
        <v>80</v>
      </c>
      <c r="V652" s="232" t="str">
        <f t="shared" si="1454"/>
        <v/>
      </c>
      <c r="W652" s="232" t="str">
        <f t="shared" si="1455"/>
        <v/>
      </c>
      <c r="X652" s="232">
        <f t="shared" si="1491"/>
        <v>1</v>
      </c>
      <c r="Y652" s="371"/>
      <c r="Z652" s="495">
        <v>80</v>
      </c>
      <c r="AA652" s="496">
        <v>10</v>
      </c>
      <c r="AB652" s="482">
        <f t="shared" si="1456"/>
        <v>10</v>
      </c>
      <c r="AC652" s="371"/>
      <c r="AD652" s="232">
        <f t="shared" si="1457"/>
        <v>80</v>
      </c>
      <c r="AE652" s="232" t="str">
        <f t="shared" si="1458"/>
        <v/>
      </c>
      <c r="AF652" s="232" t="str">
        <f t="shared" si="1459"/>
        <v/>
      </c>
      <c r="AG652" s="232">
        <f t="shared" si="1492"/>
        <v>1</v>
      </c>
      <c r="AH652" s="371"/>
      <c r="AI652" s="495">
        <v>70</v>
      </c>
      <c r="AJ652" s="496">
        <v>10</v>
      </c>
      <c r="AK652" s="482">
        <f t="shared" si="1460"/>
        <v>20</v>
      </c>
      <c r="AL652" s="371"/>
      <c r="AM652" s="232">
        <f t="shared" si="1461"/>
        <v>70</v>
      </c>
      <c r="AN652" s="232" t="str">
        <f t="shared" si="1462"/>
        <v/>
      </c>
      <c r="AO652" s="232" t="str">
        <f t="shared" si="1463"/>
        <v/>
      </c>
      <c r="AP652" s="232">
        <f t="shared" si="1493"/>
        <v>1</v>
      </c>
      <c r="AQ652" s="371"/>
      <c r="AR652" s="495">
        <v>80</v>
      </c>
      <c r="AS652" s="496">
        <v>10</v>
      </c>
      <c r="AT652" s="482">
        <f t="shared" si="1464"/>
        <v>10</v>
      </c>
      <c r="AU652" s="371"/>
      <c r="AV652" s="232">
        <f t="shared" si="1465"/>
        <v>80</v>
      </c>
      <c r="AW652" s="232" t="str">
        <f t="shared" si="1466"/>
        <v/>
      </c>
      <c r="AX652" s="232" t="str">
        <f t="shared" si="1467"/>
        <v/>
      </c>
      <c r="AY652" s="232">
        <f t="shared" si="1494"/>
        <v>1</v>
      </c>
      <c r="AZ652" s="371"/>
      <c r="BA652" s="495">
        <v>80</v>
      </c>
      <c r="BB652" s="496">
        <v>10</v>
      </c>
      <c r="BC652" s="482">
        <f t="shared" si="1468"/>
        <v>10</v>
      </c>
      <c r="BD652" s="371"/>
      <c r="BE652" s="232">
        <f t="shared" si="1469"/>
        <v>80</v>
      </c>
      <c r="BF652" s="232" t="str">
        <f t="shared" si="1470"/>
        <v/>
      </c>
      <c r="BG652" s="232" t="str">
        <f t="shared" si="1471"/>
        <v/>
      </c>
      <c r="BH652" s="232">
        <f t="shared" si="1495"/>
        <v>1</v>
      </c>
      <c r="BI652" s="371"/>
      <c r="BJ652" s="495">
        <v>30</v>
      </c>
      <c r="BK652" s="496">
        <v>40</v>
      </c>
      <c r="BL652" s="482">
        <f t="shared" si="1472"/>
        <v>30</v>
      </c>
      <c r="BM652" s="371"/>
      <c r="BN652" s="232">
        <f t="shared" si="1473"/>
        <v>30</v>
      </c>
      <c r="BO652" s="232" t="str">
        <f t="shared" si="1474"/>
        <v/>
      </c>
      <c r="BP652" s="232" t="str">
        <f t="shared" si="1475"/>
        <v/>
      </c>
      <c r="BQ652" s="232" t="str">
        <f t="shared" si="1496"/>
        <v/>
      </c>
      <c r="BR652" s="371"/>
      <c r="BS652" s="495"/>
      <c r="BT652" s="496"/>
      <c r="BU652" s="482" t="str">
        <f t="shared" si="1476"/>
        <v/>
      </c>
      <c r="BV652" s="371"/>
      <c r="BW652" s="232">
        <f t="shared" si="1477"/>
        <v>0</v>
      </c>
      <c r="BX652" s="232" t="str">
        <f t="shared" si="1478"/>
        <v/>
      </c>
      <c r="BY652" s="232" t="str">
        <f t="shared" si="1479"/>
        <v/>
      </c>
      <c r="BZ652" s="232" t="str">
        <f t="shared" si="1497"/>
        <v/>
      </c>
      <c r="CA652" s="371"/>
      <c r="CB652" s="501">
        <f t="shared" si="1480"/>
        <v>70</v>
      </c>
      <c r="CC652" s="502">
        <f t="shared" si="1481"/>
        <v>10</v>
      </c>
      <c r="CD652" s="503">
        <f t="shared" si="1482"/>
        <v>20</v>
      </c>
      <c r="CE652" s="371"/>
      <c r="CF652" s="232">
        <f t="shared" si="1483"/>
        <v>70</v>
      </c>
      <c r="CG652" s="232" t="str">
        <f t="shared" si="1484"/>
        <v/>
      </c>
      <c r="CH652" s="232" t="str">
        <f t="shared" si="1485"/>
        <v/>
      </c>
      <c r="CI652" s="232">
        <f t="shared" si="1498"/>
        <v>1</v>
      </c>
      <c r="CJ652" s="232"/>
      <c r="CK652" s="495">
        <v>80</v>
      </c>
      <c r="CL652" s="496">
        <v>10</v>
      </c>
      <c r="CM652" s="482">
        <f t="shared" si="1486"/>
        <v>10</v>
      </c>
      <c r="CN652" s="371"/>
      <c r="CO652" s="232">
        <f t="shared" si="1487"/>
        <v>80</v>
      </c>
      <c r="CP652" s="232" t="str">
        <f t="shared" si="1488"/>
        <v/>
      </c>
      <c r="CQ652" s="232" t="str">
        <f t="shared" si="1489"/>
        <v/>
      </c>
      <c r="CR652" s="232">
        <f t="shared" si="1499"/>
        <v>1</v>
      </c>
      <c r="CS652" s="232"/>
      <c r="CT652" s="371"/>
      <c r="CU652" s="300"/>
      <c r="CV652" s="246"/>
      <c r="CW652" s="264"/>
      <c r="CY652" s="172">
        <v>80</v>
      </c>
      <c r="CZ652" s="172">
        <v>10</v>
      </c>
      <c r="DA652" s="172">
        <v>10</v>
      </c>
    </row>
    <row r="653" spans="1:105" x14ac:dyDescent="0.2">
      <c r="A653" s="264"/>
      <c r="B653" s="264"/>
      <c r="C653" s="202"/>
      <c r="D653" s="271">
        <v>8</v>
      </c>
      <c r="E653" s="167" t="s">
        <v>891</v>
      </c>
      <c r="F653" s="469">
        <v>2</v>
      </c>
      <c r="G653" s="474"/>
      <c r="H653" s="475">
        <v>1</v>
      </c>
      <c r="I653" s="389" t="str">
        <f t="shared" si="1450"/>
        <v>x</v>
      </c>
      <c r="J653" s="390" t="str">
        <f t="shared" si="1451"/>
        <v/>
      </c>
      <c r="K653" s="391" t="str">
        <f t="shared" si="1452"/>
        <v/>
      </c>
      <c r="L653" s="900"/>
      <c r="M653" s="375"/>
      <c r="N653" s="379"/>
      <c r="O653" s="236"/>
      <c r="P653" s="236"/>
      <c r="Q653" s="483">
        <v>40</v>
      </c>
      <c r="R653" s="484">
        <v>30</v>
      </c>
      <c r="S653" s="485">
        <f t="shared" si="1490"/>
        <v>30</v>
      </c>
      <c r="T653" s="371"/>
      <c r="U653" s="232">
        <f t="shared" si="1453"/>
        <v>40</v>
      </c>
      <c r="V653" s="232" t="str">
        <f t="shared" si="1454"/>
        <v/>
      </c>
      <c r="W653" s="232" t="str">
        <f t="shared" si="1455"/>
        <v/>
      </c>
      <c r="X653" s="232">
        <f t="shared" si="1491"/>
        <v>1</v>
      </c>
      <c r="Y653" s="371"/>
      <c r="Z653" s="497">
        <v>80</v>
      </c>
      <c r="AA653" s="498">
        <v>10</v>
      </c>
      <c r="AB653" s="485">
        <f t="shared" si="1456"/>
        <v>10</v>
      </c>
      <c r="AC653" s="371"/>
      <c r="AD653" s="232">
        <f t="shared" si="1457"/>
        <v>80</v>
      </c>
      <c r="AE653" s="232" t="str">
        <f t="shared" si="1458"/>
        <v/>
      </c>
      <c r="AF653" s="232" t="str">
        <f t="shared" si="1459"/>
        <v/>
      </c>
      <c r="AG653" s="232">
        <f t="shared" si="1492"/>
        <v>1</v>
      </c>
      <c r="AH653" s="371"/>
      <c r="AI653" s="497">
        <v>40</v>
      </c>
      <c r="AJ653" s="498">
        <v>40</v>
      </c>
      <c r="AK653" s="485">
        <f t="shared" si="1460"/>
        <v>20</v>
      </c>
      <c r="AL653" s="371"/>
      <c r="AM653" s="232">
        <f t="shared" si="1461"/>
        <v>40</v>
      </c>
      <c r="AN653" s="232" t="str">
        <f t="shared" si="1462"/>
        <v/>
      </c>
      <c r="AO653" s="232" t="str">
        <f t="shared" si="1463"/>
        <v/>
      </c>
      <c r="AP653" s="232">
        <f t="shared" si="1493"/>
        <v>1</v>
      </c>
      <c r="AQ653" s="371"/>
      <c r="AR653" s="497">
        <v>60</v>
      </c>
      <c r="AS653" s="498">
        <v>30</v>
      </c>
      <c r="AT653" s="485">
        <f t="shared" si="1464"/>
        <v>10</v>
      </c>
      <c r="AU653" s="371"/>
      <c r="AV653" s="232">
        <f t="shared" si="1465"/>
        <v>60</v>
      </c>
      <c r="AW653" s="232" t="str">
        <f t="shared" si="1466"/>
        <v/>
      </c>
      <c r="AX653" s="232" t="str">
        <f t="shared" si="1467"/>
        <v/>
      </c>
      <c r="AY653" s="232">
        <f t="shared" si="1494"/>
        <v>1</v>
      </c>
      <c r="AZ653" s="371"/>
      <c r="BA653" s="497">
        <v>80</v>
      </c>
      <c r="BB653" s="498">
        <v>10</v>
      </c>
      <c r="BC653" s="485">
        <f t="shared" si="1468"/>
        <v>10</v>
      </c>
      <c r="BD653" s="371"/>
      <c r="BE653" s="232">
        <f t="shared" si="1469"/>
        <v>80</v>
      </c>
      <c r="BF653" s="232" t="str">
        <f t="shared" si="1470"/>
        <v/>
      </c>
      <c r="BG653" s="232" t="str">
        <f t="shared" si="1471"/>
        <v/>
      </c>
      <c r="BH653" s="232">
        <f t="shared" si="1495"/>
        <v>1</v>
      </c>
      <c r="BI653" s="371"/>
      <c r="BJ653" s="497">
        <v>50</v>
      </c>
      <c r="BK653" s="498">
        <v>30</v>
      </c>
      <c r="BL653" s="485">
        <f t="shared" si="1472"/>
        <v>20</v>
      </c>
      <c r="BM653" s="371"/>
      <c r="BN653" s="232">
        <f t="shared" si="1473"/>
        <v>50</v>
      </c>
      <c r="BO653" s="232" t="str">
        <f t="shared" si="1474"/>
        <v/>
      </c>
      <c r="BP653" s="232" t="str">
        <f t="shared" si="1475"/>
        <v/>
      </c>
      <c r="BQ653" s="232">
        <f t="shared" si="1496"/>
        <v>1</v>
      </c>
      <c r="BR653" s="371"/>
      <c r="BS653" s="497"/>
      <c r="BT653" s="498"/>
      <c r="BU653" s="485" t="str">
        <f t="shared" si="1476"/>
        <v/>
      </c>
      <c r="BV653" s="371"/>
      <c r="BW653" s="232">
        <f t="shared" si="1477"/>
        <v>0</v>
      </c>
      <c r="BX653" s="232" t="str">
        <f t="shared" si="1478"/>
        <v/>
      </c>
      <c r="BY653" s="232" t="str">
        <f t="shared" si="1479"/>
        <v/>
      </c>
      <c r="BZ653" s="232" t="str">
        <f t="shared" si="1497"/>
        <v/>
      </c>
      <c r="CA653" s="371"/>
      <c r="CB653" s="504">
        <f t="shared" si="1480"/>
        <v>60</v>
      </c>
      <c r="CC653" s="505">
        <f t="shared" si="1481"/>
        <v>20</v>
      </c>
      <c r="CD653" s="506">
        <f t="shared" si="1482"/>
        <v>20</v>
      </c>
      <c r="CE653" s="371"/>
      <c r="CF653" s="232">
        <f t="shared" si="1483"/>
        <v>60</v>
      </c>
      <c r="CG653" s="232" t="str">
        <f t="shared" si="1484"/>
        <v/>
      </c>
      <c r="CH653" s="232" t="str">
        <f t="shared" si="1485"/>
        <v/>
      </c>
      <c r="CI653" s="232">
        <f t="shared" si="1498"/>
        <v>1</v>
      </c>
      <c r="CJ653" s="232"/>
      <c r="CK653" s="497">
        <v>80</v>
      </c>
      <c r="CL653" s="498">
        <v>10</v>
      </c>
      <c r="CM653" s="485">
        <f t="shared" si="1486"/>
        <v>10</v>
      </c>
      <c r="CN653" s="371"/>
      <c r="CO653" s="232">
        <f t="shared" si="1487"/>
        <v>80</v>
      </c>
      <c r="CP653" s="232" t="str">
        <f t="shared" si="1488"/>
        <v/>
      </c>
      <c r="CQ653" s="232" t="str">
        <f t="shared" si="1489"/>
        <v/>
      </c>
      <c r="CR653" s="232">
        <f t="shared" si="1499"/>
        <v>1</v>
      </c>
      <c r="CS653" s="232"/>
      <c r="CT653" s="371"/>
      <c r="CU653" s="300"/>
      <c r="CV653" s="246"/>
      <c r="CW653" s="264"/>
      <c r="CY653" s="172">
        <v>50</v>
      </c>
      <c r="CZ653" s="172">
        <v>30</v>
      </c>
      <c r="DA653" s="172">
        <v>20</v>
      </c>
    </row>
    <row r="654" spans="1:105" ht="13.5" thickBot="1" x14ac:dyDescent="0.25">
      <c r="A654" s="264"/>
      <c r="B654" s="264"/>
      <c r="C654" s="202"/>
      <c r="D654" s="271">
        <v>9</v>
      </c>
      <c r="E654" s="168" t="s">
        <v>892</v>
      </c>
      <c r="F654" s="470">
        <v>1</v>
      </c>
      <c r="G654" s="476"/>
      <c r="H654" s="477">
        <v>1</v>
      </c>
      <c r="I654" s="392" t="str">
        <f t="shared" si="1450"/>
        <v/>
      </c>
      <c r="J654" s="393" t="str">
        <f t="shared" si="1451"/>
        <v>x</v>
      </c>
      <c r="K654" s="394" t="str">
        <f t="shared" si="1452"/>
        <v/>
      </c>
      <c r="L654" s="900"/>
      <c r="M654" s="375"/>
      <c r="N654" s="379"/>
      <c r="O654" s="236"/>
      <c r="P654" s="236"/>
      <c r="Q654" s="489">
        <v>40</v>
      </c>
      <c r="R654" s="490">
        <v>30</v>
      </c>
      <c r="S654" s="491">
        <f t="shared" si="1490"/>
        <v>30</v>
      </c>
      <c r="T654" s="371"/>
      <c r="U654" s="232" t="str">
        <f t="shared" si="1453"/>
        <v/>
      </c>
      <c r="V654" s="232">
        <f t="shared" si="1454"/>
        <v>30</v>
      </c>
      <c r="W654" s="232" t="str">
        <f t="shared" si="1455"/>
        <v/>
      </c>
      <c r="X654" s="232" t="str">
        <f t="shared" si="1491"/>
        <v/>
      </c>
      <c r="Y654" s="371"/>
      <c r="Z654" s="499">
        <v>80</v>
      </c>
      <c r="AA654" s="500">
        <v>10</v>
      </c>
      <c r="AB654" s="491">
        <f t="shared" si="1456"/>
        <v>10</v>
      </c>
      <c r="AC654" s="371"/>
      <c r="AD654" s="232" t="str">
        <f t="shared" si="1457"/>
        <v/>
      </c>
      <c r="AE654" s="232">
        <f t="shared" si="1458"/>
        <v>10</v>
      </c>
      <c r="AF654" s="232" t="str">
        <f t="shared" si="1459"/>
        <v/>
      </c>
      <c r="AG654" s="232" t="str">
        <f t="shared" si="1492"/>
        <v/>
      </c>
      <c r="AH654" s="371"/>
      <c r="AI654" s="499">
        <v>50</v>
      </c>
      <c r="AJ654" s="500">
        <v>30</v>
      </c>
      <c r="AK654" s="491">
        <f t="shared" si="1460"/>
        <v>20</v>
      </c>
      <c r="AL654" s="371"/>
      <c r="AM654" s="232" t="str">
        <f t="shared" si="1461"/>
        <v/>
      </c>
      <c r="AN654" s="232">
        <f t="shared" si="1462"/>
        <v>30</v>
      </c>
      <c r="AO654" s="232" t="str">
        <f t="shared" si="1463"/>
        <v/>
      </c>
      <c r="AP654" s="232" t="str">
        <f t="shared" si="1493"/>
        <v/>
      </c>
      <c r="AQ654" s="371"/>
      <c r="AR654" s="499">
        <v>60</v>
      </c>
      <c r="AS654" s="500">
        <v>30</v>
      </c>
      <c r="AT654" s="491">
        <f t="shared" si="1464"/>
        <v>10</v>
      </c>
      <c r="AU654" s="371"/>
      <c r="AV654" s="232" t="str">
        <f t="shared" si="1465"/>
        <v/>
      </c>
      <c r="AW654" s="232">
        <f t="shared" si="1466"/>
        <v>30</v>
      </c>
      <c r="AX654" s="232" t="str">
        <f t="shared" si="1467"/>
        <v/>
      </c>
      <c r="AY654" s="232" t="str">
        <f t="shared" si="1494"/>
        <v/>
      </c>
      <c r="AZ654" s="371"/>
      <c r="BA654" s="499">
        <v>80</v>
      </c>
      <c r="BB654" s="500">
        <v>10</v>
      </c>
      <c r="BC654" s="491">
        <f t="shared" si="1468"/>
        <v>10</v>
      </c>
      <c r="BD654" s="371"/>
      <c r="BE654" s="232" t="str">
        <f t="shared" si="1469"/>
        <v/>
      </c>
      <c r="BF654" s="232">
        <f>IF($J654="x",BB654,"")</f>
        <v>10</v>
      </c>
      <c r="BG654" s="232" t="str">
        <f t="shared" si="1471"/>
        <v/>
      </c>
      <c r="BH654" s="232" t="str">
        <f>IF((MAX(BE654,BF654,BG654))=0,"",IF((MAX(BE654,BF654,BG654))=(MAX(BA654,BB654,BC654)),1,""))</f>
        <v/>
      </c>
      <c r="BI654" s="371"/>
      <c r="BJ654" s="499">
        <v>20</v>
      </c>
      <c r="BK654" s="500">
        <v>20</v>
      </c>
      <c r="BL654" s="491">
        <f t="shared" si="1472"/>
        <v>60</v>
      </c>
      <c r="BM654" s="371"/>
      <c r="BN654" s="232" t="str">
        <f t="shared" si="1473"/>
        <v/>
      </c>
      <c r="BO654" s="232">
        <f t="shared" si="1474"/>
        <v>20</v>
      </c>
      <c r="BP654" s="232" t="str">
        <f t="shared" si="1475"/>
        <v/>
      </c>
      <c r="BQ654" s="232" t="str">
        <f t="shared" si="1496"/>
        <v/>
      </c>
      <c r="BR654" s="371"/>
      <c r="BS654" s="499"/>
      <c r="BT654" s="500"/>
      <c r="BU654" s="491" t="str">
        <f t="shared" si="1476"/>
        <v/>
      </c>
      <c r="BV654" s="371"/>
      <c r="BW654" s="232" t="str">
        <f t="shared" si="1477"/>
        <v/>
      </c>
      <c r="BX654" s="232">
        <f t="shared" si="1478"/>
        <v>0</v>
      </c>
      <c r="BY654" s="232" t="str">
        <f t="shared" si="1479"/>
        <v/>
      </c>
      <c r="BZ654" s="232" t="str">
        <f t="shared" si="1497"/>
        <v/>
      </c>
      <c r="CA654" s="371"/>
      <c r="CB654" s="507">
        <f t="shared" si="1480"/>
        <v>60</v>
      </c>
      <c r="CC654" s="508">
        <f>IFERROR(ROUNDDOWN((SUM(R654,AA654,AJ654,AS654,BB654,BK654,BT654)/SUM($Q654:$S654,$Z654:$AB654,$AI654:$AK654,$AR654:$AT654,$BA654:$BC654,$BJ654:$BL654,$BS654:$BU654))*100,-1),"")</f>
        <v>20</v>
      </c>
      <c r="CD654" s="509">
        <f t="shared" si="1482"/>
        <v>20</v>
      </c>
      <c r="CE654" s="371"/>
      <c r="CF654" s="232" t="str">
        <f t="shared" si="1483"/>
        <v/>
      </c>
      <c r="CG654" s="232">
        <f t="shared" si="1484"/>
        <v>20</v>
      </c>
      <c r="CH654" s="232" t="str">
        <f t="shared" si="1485"/>
        <v/>
      </c>
      <c r="CI654" s="232" t="str">
        <f t="shared" si="1498"/>
        <v/>
      </c>
      <c r="CJ654" s="232"/>
      <c r="CK654" s="499">
        <v>50</v>
      </c>
      <c r="CL654" s="500">
        <v>10</v>
      </c>
      <c r="CM654" s="491">
        <f t="shared" si="1486"/>
        <v>40</v>
      </c>
      <c r="CN654" s="371"/>
      <c r="CO654" s="232" t="str">
        <f t="shared" si="1487"/>
        <v/>
      </c>
      <c r="CP654" s="232">
        <f t="shared" si="1488"/>
        <v>10</v>
      </c>
      <c r="CQ654" s="232" t="str">
        <f t="shared" si="1489"/>
        <v/>
      </c>
      <c r="CR654" s="232" t="str">
        <f t="shared" si="1499"/>
        <v/>
      </c>
      <c r="CS654" s="232"/>
      <c r="CT654" s="371"/>
      <c r="CU654" s="300"/>
      <c r="CV654" s="246"/>
      <c r="CW654" s="264"/>
      <c r="CY654" s="172">
        <v>50</v>
      </c>
      <c r="CZ654" s="172">
        <v>30</v>
      </c>
      <c r="DA654" s="172">
        <v>20</v>
      </c>
    </row>
    <row r="655" spans="1:105" x14ac:dyDescent="0.2">
      <c r="A655" s="264"/>
      <c r="B655" s="264"/>
      <c r="C655" s="202"/>
      <c r="D655" s="271">
        <v>10</v>
      </c>
      <c r="E655" s="169" t="s">
        <v>893</v>
      </c>
      <c r="F655" s="471">
        <v>2</v>
      </c>
      <c r="G655" s="478"/>
      <c r="H655" s="479">
        <v>3</v>
      </c>
      <c r="I655" s="170" t="str">
        <f t="shared" si="1450"/>
        <v/>
      </c>
      <c r="J655" s="387" t="str">
        <f t="shared" si="1451"/>
        <v/>
      </c>
      <c r="K655" s="388" t="str">
        <f t="shared" si="1452"/>
        <v>x</v>
      </c>
      <c r="L655" s="900"/>
      <c r="M655" s="375"/>
      <c r="N655" s="379"/>
      <c r="O655" s="236"/>
      <c r="P655" s="236"/>
      <c r="Q655" s="492">
        <v>40</v>
      </c>
      <c r="R655" s="493">
        <v>30</v>
      </c>
      <c r="S655" s="494">
        <f t="shared" si="1490"/>
        <v>30</v>
      </c>
      <c r="T655" s="371"/>
      <c r="U655" s="232" t="str">
        <f t="shared" si="1453"/>
        <v/>
      </c>
      <c r="V655" s="232" t="str">
        <f t="shared" si="1454"/>
        <v/>
      </c>
      <c r="W655" s="232">
        <f t="shared" si="1455"/>
        <v>30</v>
      </c>
      <c r="X655" s="232" t="str">
        <f t="shared" si="1491"/>
        <v/>
      </c>
      <c r="Y655" s="371"/>
      <c r="Z655" s="495">
        <v>40</v>
      </c>
      <c r="AA655" s="496">
        <v>50</v>
      </c>
      <c r="AB655" s="494">
        <f t="shared" si="1456"/>
        <v>10</v>
      </c>
      <c r="AC655" s="371"/>
      <c r="AD655" s="232" t="str">
        <f t="shared" si="1457"/>
        <v/>
      </c>
      <c r="AE655" s="232" t="str">
        <f t="shared" si="1458"/>
        <v/>
      </c>
      <c r="AF655" s="232">
        <f t="shared" si="1459"/>
        <v>10</v>
      </c>
      <c r="AG655" s="232" t="str">
        <f t="shared" si="1492"/>
        <v/>
      </c>
      <c r="AH655" s="371"/>
      <c r="AI655" s="495">
        <v>40</v>
      </c>
      <c r="AJ655" s="496">
        <v>30</v>
      </c>
      <c r="AK655" s="494">
        <f t="shared" si="1460"/>
        <v>30</v>
      </c>
      <c r="AL655" s="371"/>
      <c r="AM655" s="232" t="str">
        <f t="shared" si="1461"/>
        <v/>
      </c>
      <c r="AN655" s="232" t="str">
        <f t="shared" si="1462"/>
        <v/>
      </c>
      <c r="AO655" s="232">
        <f t="shared" si="1463"/>
        <v>30</v>
      </c>
      <c r="AP655" s="232" t="str">
        <f t="shared" si="1493"/>
        <v/>
      </c>
      <c r="AQ655" s="371"/>
      <c r="AR655" s="495">
        <v>10</v>
      </c>
      <c r="AS655" s="496">
        <v>30</v>
      </c>
      <c r="AT655" s="494">
        <f t="shared" si="1464"/>
        <v>60</v>
      </c>
      <c r="AU655" s="371"/>
      <c r="AV655" s="232" t="str">
        <f t="shared" si="1465"/>
        <v/>
      </c>
      <c r="AW655" s="232" t="str">
        <f t="shared" si="1466"/>
        <v/>
      </c>
      <c r="AX655" s="232">
        <f t="shared" si="1467"/>
        <v>60</v>
      </c>
      <c r="AY655" s="232">
        <f t="shared" si="1494"/>
        <v>1</v>
      </c>
      <c r="AZ655" s="371"/>
      <c r="BA655" s="495">
        <v>10</v>
      </c>
      <c r="BB655" s="496">
        <v>10</v>
      </c>
      <c r="BC655" s="494">
        <f t="shared" si="1468"/>
        <v>80</v>
      </c>
      <c r="BD655" s="371"/>
      <c r="BE655" s="232" t="str">
        <f t="shared" si="1469"/>
        <v/>
      </c>
      <c r="BF655" s="232" t="str">
        <f>IF($J655="x",BB655,"")</f>
        <v/>
      </c>
      <c r="BG655" s="232">
        <f t="shared" si="1471"/>
        <v>80</v>
      </c>
      <c r="BH655" s="232">
        <f>IF((MAX(BE655,BF655,BG655))=0,"",IF((MAX(BE655,BF655,BG655))=(MAX(BA655,BB655,BC655)),1,""))</f>
        <v>1</v>
      </c>
      <c r="BI655" s="371"/>
      <c r="BJ655" s="495">
        <v>10</v>
      </c>
      <c r="BK655" s="496">
        <v>10</v>
      </c>
      <c r="BL655" s="494">
        <f t="shared" si="1472"/>
        <v>80</v>
      </c>
      <c r="BM655" s="371"/>
      <c r="BN655" s="232" t="str">
        <f t="shared" si="1473"/>
        <v/>
      </c>
      <c r="BO655" s="232" t="str">
        <f t="shared" si="1474"/>
        <v/>
      </c>
      <c r="BP655" s="232">
        <f t="shared" si="1475"/>
        <v>80</v>
      </c>
      <c r="BQ655" s="232">
        <f t="shared" si="1496"/>
        <v>1</v>
      </c>
      <c r="BR655" s="371"/>
      <c r="BS655" s="495"/>
      <c r="BT655" s="496"/>
      <c r="BU655" s="494" t="str">
        <f t="shared" si="1476"/>
        <v/>
      </c>
      <c r="BV655" s="371"/>
      <c r="BW655" s="232" t="str">
        <f t="shared" si="1477"/>
        <v/>
      </c>
      <c r="BX655" s="232" t="str">
        <f t="shared" si="1478"/>
        <v/>
      </c>
      <c r="BY655" s="232" t="str">
        <f t="shared" si="1479"/>
        <v/>
      </c>
      <c r="BZ655" s="232" t="str">
        <f t="shared" si="1497"/>
        <v/>
      </c>
      <c r="CA655" s="371"/>
      <c r="CB655" s="501">
        <f t="shared" si="1480"/>
        <v>30</v>
      </c>
      <c r="CC655" s="502">
        <f>IFERROR(ROUNDDOWN((SUM(R655,AA655,AJ655,AS655,BB655,BK655,BT655)/SUM($Q655:$S655,$Z655:$AB655,$AI655:$AK655,$AR655:$AT655,$BA655:$BC655,$BJ655:$BL655,$BS655:$BU655))*100,-1),"")</f>
        <v>20</v>
      </c>
      <c r="CD655" s="503">
        <f t="shared" si="1482"/>
        <v>50</v>
      </c>
      <c r="CE655" s="371"/>
      <c r="CF655" s="232" t="str">
        <f t="shared" si="1483"/>
        <v/>
      </c>
      <c r="CG655" s="232" t="str">
        <f t="shared" si="1484"/>
        <v/>
      </c>
      <c r="CH655" s="232">
        <f t="shared" si="1485"/>
        <v>50</v>
      </c>
      <c r="CI655" s="232">
        <f t="shared" si="1498"/>
        <v>1</v>
      </c>
      <c r="CJ655" s="232"/>
      <c r="CK655" s="495">
        <v>30</v>
      </c>
      <c r="CL655" s="496">
        <v>20</v>
      </c>
      <c r="CM655" s="494">
        <f t="shared" si="1486"/>
        <v>50</v>
      </c>
      <c r="CN655" s="371"/>
      <c r="CO655" s="232" t="str">
        <f t="shared" si="1487"/>
        <v/>
      </c>
      <c r="CP655" s="232" t="str">
        <f t="shared" si="1488"/>
        <v/>
      </c>
      <c r="CQ655" s="232">
        <f t="shared" si="1489"/>
        <v>50</v>
      </c>
      <c r="CR655" s="232">
        <f t="shared" si="1499"/>
        <v>1</v>
      </c>
      <c r="CS655" s="232"/>
      <c r="CT655" s="371"/>
      <c r="CU655" s="300"/>
      <c r="CV655" s="246"/>
      <c r="CW655" s="264"/>
      <c r="CY655" s="172">
        <v>40</v>
      </c>
      <c r="CZ655" s="172">
        <v>30</v>
      </c>
      <c r="DA655" s="172">
        <v>30</v>
      </c>
    </row>
    <row r="656" spans="1:105" x14ac:dyDescent="0.2">
      <c r="A656" s="264"/>
      <c r="B656" s="264"/>
      <c r="C656" s="202"/>
      <c r="D656" s="271">
        <v>11</v>
      </c>
      <c r="E656" s="167" t="s">
        <v>894</v>
      </c>
      <c r="F656" s="469">
        <v>2</v>
      </c>
      <c r="G656" s="474"/>
      <c r="H656" s="475">
        <v>3</v>
      </c>
      <c r="I656" s="389" t="str">
        <f t="shared" si="1450"/>
        <v/>
      </c>
      <c r="J656" s="390" t="str">
        <f t="shared" si="1451"/>
        <v/>
      </c>
      <c r="K656" s="391" t="str">
        <f t="shared" si="1452"/>
        <v>x</v>
      </c>
      <c r="L656" s="900"/>
      <c r="M656" s="375"/>
      <c r="N656" s="379"/>
      <c r="O656" s="236"/>
      <c r="P656" s="236"/>
      <c r="Q656" s="483">
        <v>60</v>
      </c>
      <c r="R656" s="484">
        <v>20</v>
      </c>
      <c r="S656" s="485">
        <f t="shared" si="1490"/>
        <v>20</v>
      </c>
      <c r="T656" s="371"/>
      <c r="U656" s="232" t="str">
        <f t="shared" si="1453"/>
        <v/>
      </c>
      <c r="V656" s="232" t="str">
        <f t="shared" si="1454"/>
        <v/>
      </c>
      <c r="W656" s="232">
        <f t="shared" si="1455"/>
        <v>20</v>
      </c>
      <c r="X656" s="232" t="str">
        <f t="shared" si="1491"/>
        <v/>
      </c>
      <c r="Y656" s="371"/>
      <c r="Z656" s="497">
        <v>80</v>
      </c>
      <c r="AA656" s="498">
        <v>10</v>
      </c>
      <c r="AB656" s="485">
        <f t="shared" si="1456"/>
        <v>10</v>
      </c>
      <c r="AC656" s="371"/>
      <c r="AD656" s="232" t="str">
        <f t="shared" si="1457"/>
        <v/>
      </c>
      <c r="AE656" s="232" t="str">
        <f t="shared" si="1458"/>
        <v/>
      </c>
      <c r="AF656" s="232">
        <f t="shared" si="1459"/>
        <v>10</v>
      </c>
      <c r="AG656" s="232" t="str">
        <f t="shared" si="1492"/>
        <v/>
      </c>
      <c r="AH656" s="371"/>
      <c r="AI656" s="497">
        <v>30</v>
      </c>
      <c r="AJ656" s="498">
        <v>30</v>
      </c>
      <c r="AK656" s="485">
        <f t="shared" si="1460"/>
        <v>40</v>
      </c>
      <c r="AL656" s="371"/>
      <c r="AM656" s="232" t="str">
        <f t="shared" si="1461"/>
        <v/>
      </c>
      <c r="AN656" s="232" t="str">
        <f t="shared" si="1462"/>
        <v/>
      </c>
      <c r="AO656" s="232">
        <f t="shared" si="1463"/>
        <v>40</v>
      </c>
      <c r="AP656" s="232">
        <f t="shared" si="1493"/>
        <v>1</v>
      </c>
      <c r="AQ656" s="371"/>
      <c r="AR656" s="497">
        <v>50</v>
      </c>
      <c r="AS656" s="498">
        <v>40</v>
      </c>
      <c r="AT656" s="485">
        <f t="shared" si="1464"/>
        <v>10</v>
      </c>
      <c r="AU656" s="371"/>
      <c r="AV656" s="232" t="str">
        <f t="shared" si="1465"/>
        <v/>
      </c>
      <c r="AW656" s="232" t="str">
        <f t="shared" si="1466"/>
        <v/>
      </c>
      <c r="AX656" s="232">
        <f t="shared" si="1467"/>
        <v>10</v>
      </c>
      <c r="AY656" s="232" t="str">
        <f t="shared" si="1494"/>
        <v/>
      </c>
      <c r="AZ656" s="371"/>
      <c r="BA656" s="497">
        <v>80</v>
      </c>
      <c r="BB656" s="498">
        <v>10</v>
      </c>
      <c r="BC656" s="485">
        <f>IF(BA656="","",100-SUM(BA656:BB656))</f>
        <v>10</v>
      </c>
      <c r="BD656" s="371"/>
      <c r="BE656" s="232" t="str">
        <f t="shared" si="1469"/>
        <v/>
      </c>
      <c r="BF656" s="232" t="str">
        <f>IF($J656="x",BB656,"")</f>
        <v/>
      </c>
      <c r="BG656" s="232">
        <f t="shared" si="1471"/>
        <v>10</v>
      </c>
      <c r="BH656" s="232" t="str">
        <f>IF((MAX(BE656,BF656,BG656))=0,"",IF((MAX(BE656,BF656,BG656))=(MAX(BA656,BB656,BC656)),1,""))</f>
        <v/>
      </c>
      <c r="BI656" s="371"/>
      <c r="BJ656" s="497">
        <v>20</v>
      </c>
      <c r="BK656" s="498">
        <v>60</v>
      </c>
      <c r="BL656" s="485">
        <f t="shared" si="1472"/>
        <v>20</v>
      </c>
      <c r="BM656" s="371"/>
      <c r="BN656" s="232" t="str">
        <f t="shared" si="1473"/>
        <v/>
      </c>
      <c r="BO656" s="232" t="str">
        <f t="shared" si="1474"/>
        <v/>
      </c>
      <c r="BP656" s="232">
        <f t="shared" si="1475"/>
        <v>20</v>
      </c>
      <c r="BQ656" s="232" t="str">
        <f t="shared" si="1496"/>
        <v/>
      </c>
      <c r="BR656" s="371"/>
      <c r="BS656" s="497"/>
      <c r="BT656" s="498"/>
      <c r="BU656" s="485" t="str">
        <f t="shared" si="1476"/>
        <v/>
      </c>
      <c r="BV656" s="371"/>
      <c r="BW656" s="232" t="str">
        <f t="shared" si="1477"/>
        <v/>
      </c>
      <c r="BX656" s="232" t="str">
        <f t="shared" si="1478"/>
        <v/>
      </c>
      <c r="BY656" s="232" t="str">
        <f t="shared" si="1479"/>
        <v/>
      </c>
      <c r="BZ656" s="232" t="str">
        <f t="shared" si="1497"/>
        <v/>
      </c>
      <c r="CA656" s="371"/>
      <c r="CB656" s="504">
        <f t="shared" si="1480"/>
        <v>60</v>
      </c>
      <c r="CC656" s="505">
        <f>IFERROR(ROUNDDOWN((SUM(R656,AA656,AJ656,AS656,BB656,BK656,BT656)/SUM($Q656:$S656,$Z656:$AB656,$AI656:$AK656,$AR656:$AT656,$BA656:$BC656,$BJ656:$BL656,$BS656:$BU656))*100,-1),"")</f>
        <v>20</v>
      </c>
      <c r="CD656" s="506">
        <f t="shared" si="1482"/>
        <v>20</v>
      </c>
      <c r="CE656" s="371"/>
      <c r="CF656" s="232" t="str">
        <f t="shared" si="1483"/>
        <v/>
      </c>
      <c r="CG656" s="232" t="str">
        <f t="shared" si="1484"/>
        <v/>
      </c>
      <c r="CH656" s="232">
        <f t="shared" si="1485"/>
        <v>20</v>
      </c>
      <c r="CI656" s="232" t="str">
        <f t="shared" si="1498"/>
        <v/>
      </c>
      <c r="CJ656" s="232"/>
      <c r="CK656" s="497">
        <v>60</v>
      </c>
      <c r="CL656" s="498">
        <v>20</v>
      </c>
      <c r="CM656" s="485">
        <f t="shared" si="1486"/>
        <v>20</v>
      </c>
      <c r="CN656" s="371"/>
      <c r="CO656" s="232" t="str">
        <f t="shared" si="1487"/>
        <v/>
      </c>
      <c r="CP656" s="232" t="str">
        <f t="shared" si="1488"/>
        <v/>
      </c>
      <c r="CQ656" s="232">
        <f t="shared" si="1489"/>
        <v>20</v>
      </c>
      <c r="CR656" s="232" t="str">
        <f t="shared" si="1499"/>
        <v/>
      </c>
      <c r="CS656" s="232"/>
      <c r="CT656" s="371"/>
      <c r="CU656" s="300"/>
      <c r="CV656" s="246"/>
      <c r="CW656" s="264"/>
      <c r="CY656" s="172">
        <v>60</v>
      </c>
      <c r="CZ656" s="172">
        <v>20</v>
      </c>
      <c r="DA656" s="172">
        <v>20</v>
      </c>
    </row>
    <row r="657" spans="1:105" ht="13.5" thickBot="1" x14ac:dyDescent="0.25">
      <c r="A657" s="264"/>
      <c r="B657" s="264"/>
      <c r="C657" s="202"/>
      <c r="D657" s="271">
        <v>12</v>
      </c>
      <c r="E657" s="168" t="s">
        <v>895</v>
      </c>
      <c r="F657" s="470">
        <v>1</v>
      </c>
      <c r="G657" s="476"/>
      <c r="H657" s="477">
        <v>3</v>
      </c>
      <c r="I657" s="392" t="str">
        <f t="shared" si="1450"/>
        <v/>
      </c>
      <c r="J657" s="393" t="str">
        <f t="shared" si="1451"/>
        <v/>
      </c>
      <c r="K657" s="394" t="str">
        <f t="shared" si="1452"/>
        <v>x</v>
      </c>
      <c r="L657" s="900"/>
      <c r="M657" s="375"/>
      <c r="N657" s="379"/>
      <c r="O657" s="236"/>
      <c r="P657" s="236"/>
      <c r="Q657" s="489">
        <v>50</v>
      </c>
      <c r="R657" s="490">
        <v>30</v>
      </c>
      <c r="S657" s="491">
        <f t="shared" si="1490"/>
        <v>20</v>
      </c>
      <c r="T657" s="371"/>
      <c r="U657" s="232" t="str">
        <f t="shared" si="1453"/>
        <v/>
      </c>
      <c r="V657" s="232" t="str">
        <f t="shared" si="1454"/>
        <v/>
      </c>
      <c r="W657" s="232">
        <f t="shared" si="1455"/>
        <v>20</v>
      </c>
      <c r="X657" s="232" t="str">
        <f t="shared" si="1491"/>
        <v/>
      </c>
      <c r="Y657" s="371"/>
      <c r="Z657" s="499">
        <v>80</v>
      </c>
      <c r="AA657" s="500">
        <v>10</v>
      </c>
      <c r="AB657" s="491">
        <f t="shared" si="1456"/>
        <v>10</v>
      </c>
      <c r="AC657" s="371"/>
      <c r="AD657" s="232" t="str">
        <f t="shared" si="1457"/>
        <v/>
      </c>
      <c r="AE657" s="232" t="str">
        <f t="shared" si="1458"/>
        <v/>
      </c>
      <c r="AF657" s="232">
        <f t="shared" si="1459"/>
        <v>10</v>
      </c>
      <c r="AG657" s="232" t="str">
        <f t="shared" si="1492"/>
        <v/>
      </c>
      <c r="AH657" s="371"/>
      <c r="AI657" s="499">
        <v>50</v>
      </c>
      <c r="AJ657" s="500">
        <v>30</v>
      </c>
      <c r="AK657" s="491">
        <f t="shared" si="1460"/>
        <v>20</v>
      </c>
      <c r="AL657" s="371"/>
      <c r="AM657" s="232" t="str">
        <f t="shared" si="1461"/>
        <v/>
      </c>
      <c r="AN657" s="232" t="str">
        <f t="shared" si="1462"/>
        <v/>
      </c>
      <c r="AO657" s="232">
        <f t="shared" si="1463"/>
        <v>20</v>
      </c>
      <c r="AP657" s="232" t="str">
        <f t="shared" si="1493"/>
        <v/>
      </c>
      <c r="AQ657" s="371"/>
      <c r="AR657" s="499">
        <v>30</v>
      </c>
      <c r="AS657" s="500">
        <v>30</v>
      </c>
      <c r="AT657" s="491">
        <f t="shared" si="1464"/>
        <v>40</v>
      </c>
      <c r="AU657" s="371"/>
      <c r="AV657" s="232" t="str">
        <f t="shared" si="1465"/>
        <v/>
      </c>
      <c r="AW657" s="232" t="str">
        <f t="shared" si="1466"/>
        <v/>
      </c>
      <c r="AX657" s="232">
        <f t="shared" si="1467"/>
        <v>40</v>
      </c>
      <c r="AY657" s="232">
        <f t="shared" si="1494"/>
        <v>1</v>
      </c>
      <c r="AZ657" s="371"/>
      <c r="BA657" s="499">
        <v>80</v>
      </c>
      <c r="BB657" s="500">
        <v>10</v>
      </c>
      <c r="BC657" s="491">
        <f t="shared" si="1468"/>
        <v>10</v>
      </c>
      <c r="BD657" s="371"/>
      <c r="BE657" s="232" t="str">
        <f t="shared" si="1469"/>
        <v/>
      </c>
      <c r="BF657" s="232" t="str">
        <f t="shared" si="1470"/>
        <v/>
      </c>
      <c r="BG657" s="232">
        <f t="shared" si="1471"/>
        <v>10</v>
      </c>
      <c r="BH657" s="232" t="str">
        <f t="shared" si="1495"/>
        <v/>
      </c>
      <c r="BI657" s="371"/>
      <c r="BJ657" s="499">
        <v>30</v>
      </c>
      <c r="BK657" s="500">
        <v>40</v>
      </c>
      <c r="BL657" s="491">
        <f t="shared" si="1472"/>
        <v>30</v>
      </c>
      <c r="BM657" s="371"/>
      <c r="BN657" s="232" t="str">
        <f t="shared" si="1473"/>
        <v/>
      </c>
      <c r="BO657" s="232" t="str">
        <f t="shared" si="1474"/>
        <v/>
      </c>
      <c r="BP657" s="232">
        <f t="shared" si="1475"/>
        <v>30</v>
      </c>
      <c r="BQ657" s="232" t="str">
        <f t="shared" si="1496"/>
        <v/>
      </c>
      <c r="BR657" s="371"/>
      <c r="BS657" s="499"/>
      <c r="BT657" s="500"/>
      <c r="BU657" s="491" t="str">
        <f t="shared" si="1476"/>
        <v/>
      </c>
      <c r="BV657" s="371"/>
      <c r="BW657" s="232" t="str">
        <f t="shared" si="1477"/>
        <v/>
      </c>
      <c r="BX657" s="232" t="str">
        <f t="shared" si="1478"/>
        <v/>
      </c>
      <c r="BY657" s="232" t="str">
        <f t="shared" si="1479"/>
        <v/>
      </c>
      <c r="BZ657" s="232" t="str">
        <f t="shared" si="1497"/>
        <v/>
      </c>
      <c r="CA657" s="371"/>
      <c r="CB657" s="507">
        <f t="shared" si="1480"/>
        <v>60</v>
      </c>
      <c r="CC657" s="508">
        <f t="shared" si="1481"/>
        <v>20</v>
      </c>
      <c r="CD657" s="509">
        <f t="shared" si="1482"/>
        <v>20</v>
      </c>
      <c r="CE657" s="371"/>
      <c r="CF657" s="232" t="str">
        <f t="shared" si="1483"/>
        <v/>
      </c>
      <c r="CG657" s="232" t="str">
        <f t="shared" si="1484"/>
        <v/>
      </c>
      <c r="CH657" s="232">
        <f t="shared" si="1485"/>
        <v>20</v>
      </c>
      <c r="CI657" s="232" t="str">
        <f t="shared" si="1498"/>
        <v/>
      </c>
      <c r="CJ657" s="232"/>
      <c r="CK657" s="499">
        <v>70</v>
      </c>
      <c r="CL657" s="500">
        <v>10</v>
      </c>
      <c r="CM657" s="491">
        <f t="shared" si="1486"/>
        <v>20</v>
      </c>
      <c r="CN657" s="371"/>
      <c r="CO657" s="232" t="str">
        <f t="shared" si="1487"/>
        <v/>
      </c>
      <c r="CP657" s="232" t="str">
        <f t="shared" si="1488"/>
        <v/>
      </c>
      <c r="CQ657" s="232">
        <f t="shared" si="1489"/>
        <v>20</v>
      </c>
      <c r="CR657" s="232" t="str">
        <f t="shared" si="1499"/>
        <v/>
      </c>
      <c r="CS657" s="232"/>
      <c r="CT657" s="371"/>
      <c r="CU657" s="300"/>
      <c r="CV657" s="246"/>
      <c r="CW657" s="264"/>
      <c r="CY657" s="172">
        <v>50</v>
      </c>
      <c r="CZ657" s="172">
        <v>30</v>
      </c>
      <c r="DA657" s="172">
        <v>20</v>
      </c>
    </row>
    <row r="658" spans="1:105" x14ac:dyDescent="0.2">
      <c r="A658" s="264"/>
      <c r="B658" s="264"/>
      <c r="C658" s="202"/>
      <c r="D658" s="272"/>
      <c r="E658" s="235"/>
      <c r="F658" s="395">
        <f>IF(SUM(F646:F657)=0,"",SUM(F646:F657))</f>
        <v>18</v>
      </c>
      <c r="G658" s="370" t="s">
        <v>49</v>
      </c>
      <c r="H658" s="396">
        <f>IF(SUM(H646:H657)=0,"",SUM(H646:H657))</f>
        <v>18</v>
      </c>
      <c r="I658" s="397">
        <f>IF(COUNTIF(I646:I657,"=x")=0,"",COUNTIF(I646:I657,"=x"))</f>
        <v>5</v>
      </c>
      <c r="J658" s="398">
        <f>IF(COUNTIF(J646:J657,"=x")=0,"",COUNTIF(J646:J657,"=x"))</f>
        <v>2</v>
      </c>
      <c r="K658" s="399">
        <f>IF(COUNTIF(K646:K657,"=x")=0,"",COUNTIF(K646:K657,"=x"))</f>
        <v>5</v>
      </c>
      <c r="L658" s="299"/>
      <c r="M658" s="375"/>
      <c r="N658" s="379"/>
      <c r="O658" s="236"/>
      <c r="P658" s="369"/>
      <c r="Q658" s="466">
        <f>SUM(U646:U657)</f>
        <v>300</v>
      </c>
      <c r="R658" s="466">
        <f>SUM(V646:V657)</f>
        <v>60</v>
      </c>
      <c r="S658" s="466">
        <f>SUM(W646:W657)</f>
        <v>180</v>
      </c>
      <c r="T658" s="368"/>
      <c r="U658" s="232"/>
      <c r="V658" s="232"/>
      <c r="W658" s="232"/>
      <c r="X658" s="232"/>
      <c r="Y658" s="367"/>
      <c r="Z658" s="466">
        <f>SUM(AD646:AD657)</f>
        <v>360</v>
      </c>
      <c r="AA658" s="466">
        <f>SUM(AE646:AE657)</f>
        <v>20</v>
      </c>
      <c r="AB658" s="466">
        <f>SUM(AF646:AF657)</f>
        <v>190</v>
      </c>
      <c r="AC658" s="368"/>
      <c r="AD658" s="232"/>
      <c r="AE658" s="232"/>
      <c r="AF658" s="232"/>
      <c r="AG658" s="232"/>
      <c r="AH658" s="367"/>
      <c r="AI658" s="466">
        <f>SUM(AM646:AM657)</f>
        <v>270</v>
      </c>
      <c r="AJ658" s="466">
        <f>SUM(AN646:AN657)</f>
        <v>50</v>
      </c>
      <c r="AK658" s="466">
        <f>SUM(AO646:AO657)</f>
        <v>220</v>
      </c>
      <c r="AL658" s="368"/>
      <c r="AM658" s="232"/>
      <c r="AN658" s="232"/>
      <c r="AO658" s="232"/>
      <c r="AP658" s="232"/>
      <c r="AQ658" s="367"/>
      <c r="AR658" s="466">
        <f>SUM(AV646:AV657)</f>
        <v>300</v>
      </c>
      <c r="AS658" s="466">
        <f>SUM(AW646:AW657)</f>
        <v>50</v>
      </c>
      <c r="AT658" s="466">
        <f>SUM(AX646:AX657)</f>
        <v>250</v>
      </c>
      <c r="AU658" s="368"/>
      <c r="AV658" s="232"/>
      <c r="AW658" s="232"/>
      <c r="AX658" s="232"/>
      <c r="AY658" s="232"/>
      <c r="AZ658" s="367"/>
      <c r="BA658" s="466">
        <f>SUM(BE646:BE657)</f>
        <v>330</v>
      </c>
      <c r="BB658" s="466">
        <f>SUM(BF646:BF657)</f>
        <v>20</v>
      </c>
      <c r="BC658" s="466">
        <f>SUM(BG646:BG657)</f>
        <v>260</v>
      </c>
      <c r="BD658" s="368"/>
      <c r="BE658" s="232"/>
      <c r="BF658" s="232"/>
      <c r="BG658" s="232"/>
      <c r="BH658" s="232"/>
      <c r="BI658" s="367"/>
      <c r="BJ658" s="466">
        <f>SUM(BN646:BN657)</f>
        <v>260</v>
      </c>
      <c r="BK658" s="466">
        <f>SUM(BO646:BO657)</f>
        <v>60</v>
      </c>
      <c r="BL658" s="466">
        <f>SUM(BP646:BP657)</f>
        <v>290</v>
      </c>
      <c r="BM658" s="368"/>
      <c r="BN658" s="232"/>
      <c r="BO658" s="232"/>
      <c r="BP658" s="232"/>
      <c r="BQ658" s="232"/>
      <c r="BR658" s="367"/>
      <c r="BS658" s="466">
        <f>SUM(BW646:BW657)</f>
        <v>0</v>
      </c>
      <c r="BT658" s="466">
        <f>SUM(BX646:BX657)</f>
        <v>0</v>
      </c>
      <c r="BU658" s="466">
        <f>SUM(BY646:BY657)</f>
        <v>0</v>
      </c>
      <c r="BV658" s="368"/>
      <c r="BW658" s="232"/>
      <c r="BX658" s="232"/>
      <c r="BY658" s="232"/>
      <c r="BZ658" s="232"/>
      <c r="CA658" s="369"/>
      <c r="CB658" s="466">
        <f>SUM(CF646:CF657)</f>
        <v>320</v>
      </c>
      <c r="CC658" s="466">
        <f>SUM(CG646:CG657)</f>
        <v>40</v>
      </c>
      <c r="CD658" s="466">
        <f>SUM(CH646:CH657)</f>
        <v>220</v>
      </c>
      <c r="CE658" s="368"/>
      <c r="CF658" s="232"/>
      <c r="CG658" s="232"/>
      <c r="CH658" s="232"/>
      <c r="CI658" s="232"/>
      <c r="CJ658" s="232"/>
      <c r="CK658" s="466">
        <f>SUM(CO646:CO657)</f>
        <v>320</v>
      </c>
      <c r="CL658" s="466">
        <f>SUM(CP646:CP657)</f>
        <v>30</v>
      </c>
      <c r="CM658" s="466">
        <f>SUM(CQ646:CQ657)</f>
        <v>250</v>
      </c>
      <c r="CN658" s="368"/>
      <c r="CO658" s="232"/>
      <c r="CP658" s="232"/>
      <c r="CQ658" s="232"/>
      <c r="CR658" s="232"/>
      <c r="CS658" s="232"/>
      <c r="CT658" s="232"/>
      <c r="CU658" s="300"/>
      <c r="CV658" s="246"/>
      <c r="CW658" s="265"/>
    </row>
    <row r="659" spans="1:105" ht="13.5" thickBot="1" x14ac:dyDescent="0.25">
      <c r="A659" s="264"/>
      <c r="B659" s="264"/>
      <c r="C659" s="202"/>
      <c r="D659" s="289"/>
      <c r="E659" s="282"/>
      <c r="F659" s="283"/>
      <c r="G659" s="282"/>
      <c r="H659" s="282"/>
      <c r="I659" s="282"/>
      <c r="J659" s="282"/>
      <c r="K659" s="282"/>
      <c r="L659" s="293"/>
      <c r="M659" s="301"/>
      <c r="N659" s="380"/>
      <c r="O659" s="376"/>
      <c r="P659" s="284"/>
      <c r="Q659" s="285"/>
      <c r="R659" s="285"/>
      <c r="S659" s="285"/>
      <c r="T659" s="286"/>
      <c r="U659" s="287"/>
      <c r="V659" s="287"/>
      <c r="W659" s="287"/>
      <c r="X659" s="287"/>
      <c r="Y659" s="284"/>
      <c r="Z659" s="285"/>
      <c r="AA659" s="285"/>
      <c r="AB659" s="285"/>
      <c r="AC659" s="286"/>
      <c r="AD659" s="287"/>
      <c r="AE659" s="287"/>
      <c r="AF659" s="287"/>
      <c r="AG659" s="288"/>
      <c r="AH659" s="284"/>
      <c r="AI659" s="285"/>
      <c r="AJ659" s="285"/>
      <c r="AK659" s="285"/>
      <c r="AL659" s="286"/>
      <c r="AM659" s="287"/>
      <c r="AN659" s="287"/>
      <c r="AO659" s="287"/>
      <c r="AP659" s="288"/>
      <c r="AQ659" s="284"/>
      <c r="AR659" s="285"/>
      <c r="AS659" s="285"/>
      <c r="AT659" s="285"/>
      <c r="AU659" s="286"/>
      <c r="AV659" s="287"/>
      <c r="AW659" s="287"/>
      <c r="AX659" s="287"/>
      <c r="AY659" s="288"/>
      <c r="AZ659" s="284"/>
      <c r="BA659" s="285"/>
      <c r="BB659" s="285"/>
      <c r="BC659" s="285"/>
      <c r="BD659" s="286"/>
      <c r="BE659" s="287"/>
      <c r="BF659" s="287"/>
      <c r="BG659" s="287"/>
      <c r="BH659" s="288"/>
      <c r="BI659" s="284"/>
      <c r="BJ659" s="284"/>
      <c r="BK659" s="284"/>
      <c r="BL659" s="284"/>
      <c r="BM659" s="284"/>
      <c r="BN659" s="284"/>
      <c r="BO659" s="284"/>
      <c r="BP659" s="284"/>
      <c r="BQ659" s="284"/>
      <c r="BR659" s="284"/>
      <c r="BS659" s="284"/>
      <c r="BT659" s="284"/>
      <c r="BU659" s="284"/>
      <c r="BV659" s="284"/>
      <c r="BW659" s="284"/>
      <c r="BX659" s="284"/>
      <c r="BY659" s="284"/>
      <c r="BZ659" s="284"/>
      <c r="CA659" s="284"/>
      <c r="CB659" s="284"/>
      <c r="CC659" s="284"/>
      <c r="CD659" s="284"/>
      <c r="CE659" s="284"/>
      <c r="CF659" s="284"/>
      <c r="CG659" s="284"/>
      <c r="CH659" s="284"/>
      <c r="CI659" s="284"/>
      <c r="CJ659" s="288"/>
      <c r="CK659" s="288"/>
      <c r="CL659" s="288"/>
      <c r="CM659" s="288"/>
      <c r="CN659" s="288"/>
      <c r="CO659" s="288"/>
      <c r="CP659" s="288"/>
      <c r="CQ659" s="288"/>
      <c r="CR659" s="288"/>
      <c r="CS659" s="288"/>
      <c r="CT659" s="282"/>
      <c r="CU659" s="294"/>
      <c r="CV659" s="246"/>
      <c r="CW659" s="265"/>
    </row>
    <row r="660" spans="1:105" ht="14.25" thickTop="1" thickBot="1" x14ac:dyDescent="0.25">
      <c r="A660" s="256"/>
      <c r="B660" s="256"/>
      <c r="C660" s="210"/>
      <c r="D660" s="211"/>
      <c r="E660" s="247"/>
      <c r="F660" s="248"/>
      <c r="G660" s="247"/>
      <c r="H660" s="247"/>
      <c r="I660" s="247"/>
      <c r="J660" s="247"/>
      <c r="K660" s="247"/>
      <c r="L660" s="249"/>
      <c r="M660" s="250"/>
      <c r="N660" s="250"/>
      <c r="O660" s="250"/>
      <c r="P660" s="250"/>
      <c r="Q660" s="247"/>
      <c r="R660" s="247"/>
      <c r="S660" s="247"/>
      <c r="T660" s="251"/>
      <c r="U660" s="252"/>
      <c r="V660" s="252"/>
      <c r="W660" s="252"/>
      <c r="X660" s="252"/>
      <c r="Y660" s="250"/>
      <c r="Z660" s="247"/>
      <c r="AA660" s="247"/>
      <c r="AB660" s="247"/>
      <c r="AC660" s="251"/>
      <c r="AD660" s="252"/>
      <c r="AE660" s="252"/>
      <c r="AF660" s="252"/>
      <c r="AG660" s="247"/>
      <c r="AH660" s="250"/>
      <c r="AI660" s="247"/>
      <c r="AJ660" s="247"/>
      <c r="AK660" s="247"/>
      <c r="AL660" s="251"/>
      <c r="AM660" s="252"/>
      <c r="AN660" s="252"/>
      <c r="AO660" s="252"/>
      <c r="AP660" s="253"/>
      <c r="AQ660" s="250"/>
      <c r="AR660" s="247"/>
      <c r="AS660" s="247"/>
      <c r="AT660" s="247"/>
      <c r="AU660" s="251"/>
      <c r="AV660" s="252"/>
      <c r="AW660" s="252"/>
      <c r="AX660" s="252"/>
      <c r="AY660" s="247"/>
      <c r="AZ660" s="250"/>
      <c r="BA660" s="247"/>
      <c r="BB660" s="247"/>
      <c r="BC660" s="247"/>
      <c r="BD660" s="251"/>
      <c r="BE660" s="252"/>
      <c r="BF660" s="252"/>
      <c r="BG660" s="252"/>
      <c r="BH660" s="247"/>
      <c r="BI660" s="250"/>
      <c r="BJ660" s="247"/>
      <c r="BK660" s="247"/>
      <c r="BL660" s="247"/>
      <c r="BM660" s="251"/>
      <c r="BN660" s="252"/>
      <c r="BO660" s="252"/>
      <c r="BP660" s="252"/>
      <c r="BQ660" s="247"/>
      <c r="BR660" s="212"/>
      <c r="BS660" s="247"/>
      <c r="BT660" s="247"/>
      <c r="BU660" s="247"/>
      <c r="BV660" s="250"/>
      <c r="BW660" s="252"/>
      <c r="BX660" s="252"/>
      <c r="BY660" s="252"/>
      <c r="BZ660" s="247"/>
      <c r="CA660" s="247"/>
      <c r="CB660" s="253"/>
      <c r="CC660" s="253"/>
      <c r="CD660" s="253"/>
      <c r="CE660" s="253"/>
      <c r="CF660" s="247"/>
      <c r="CG660" s="247"/>
      <c r="CH660" s="247"/>
      <c r="CI660" s="247"/>
      <c r="CJ660" s="247"/>
      <c r="CK660" s="247"/>
      <c r="CL660" s="247"/>
      <c r="CM660" s="247"/>
      <c r="CN660" s="247"/>
      <c r="CO660" s="247"/>
      <c r="CP660" s="247"/>
      <c r="CQ660" s="247"/>
      <c r="CR660" s="247"/>
      <c r="CS660" s="247"/>
      <c r="CT660" s="247"/>
      <c r="CU660" s="247"/>
      <c r="CV660" s="254"/>
      <c r="CW660" s="255"/>
    </row>
    <row r="661" spans="1:105" ht="14.25" thickTop="1" thickBot="1" x14ac:dyDescent="0.25">
      <c r="A661" s="255"/>
      <c r="B661" s="255"/>
      <c r="C661" s="255"/>
      <c r="D661" s="255"/>
      <c r="E661" s="255"/>
      <c r="F661" s="255"/>
      <c r="G661" s="255"/>
      <c r="H661" s="255"/>
      <c r="I661" s="255"/>
      <c r="J661" s="255"/>
      <c r="K661" s="255"/>
      <c r="L661" s="255"/>
      <c r="M661" s="255"/>
      <c r="N661" s="255"/>
      <c r="O661" s="255"/>
      <c r="P661" s="255"/>
      <c r="Q661" s="255"/>
      <c r="R661" s="255"/>
      <c r="S661" s="255"/>
      <c r="T661" s="255"/>
      <c r="U661" s="255"/>
      <c r="V661" s="255"/>
      <c r="W661" s="255"/>
      <c r="X661" s="255"/>
      <c r="Y661" s="255"/>
      <c r="Z661" s="255"/>
      <c r="AA661" s="255"/>
      <c r="AB661" s="255"/>
      <c r="AC661" s="255"/>
      <c r="AD661" s="255"/>
      <c r="AE661" s="255"/>
      <c r="AF661" s="255"/>
      <c r="AG661" s="255"/>
      <c r="AH661" s="255"/>
      <c r="AI661" s="255"/>
      <c r="AJ661" s="255"/>
      <c r="AK661" s="255"/>
      <c r="AL661" s="255"/>
      <c r="AM661" s="255"/>
      <c r="AN661" s="255"/>
      <c r="AO661" s="255"/>
      <c r="AP661" s="255"/>
      <c r="AQ661" s="255"/>
      <c r="AR661" s="255"/>
      <c r="AS661" s="255"/>
      <c r="AT661" s="255"/>
      <c r="AU661" s="255"/>
      <c r="AV661" s="255"/>
      <c r="AW661" s="255"/>
      <c r="AX661" s="255"/>
      <c r="AY661" s="255"/>
      <c r="AZ661" s="255"/>
      <c r="BA661" s="255"/>
      <c r="BB661" s="255"/>
      <c r="BC661" s="255"/>
      <c r="BD661" s="255"/>
      <c r="BE661" s="255"/>
      <c r="BF661" s="255"/>
      <c r="BG661" s="255"/>
      <c r="BH661" s="255"/>
      <c r="BI661" s="255"/>
      <c r="BJ661" s="255"/>
      <c r="BK661" s="255"/>
      <c r="BL661" s="255"/>
      <c r="BM661" s="255"/>
      <c r="BN661" s="255"/>
      <c r="BO661" s="255"/>
      <c r="BP661" s="255"/>
      <c r="BQ661" s="255"/>
      <c r="BR661" s="255"/>
      <c r="BS661" s="255"/>
      <c r="BT661" s="255"/>
      <c r="BU661" s="255"/>
      <c r="BV661" s="255"/>
      <c r="BW661" s="255"/>
      <c r="BX661" s="255"/>
      <c r="BY661" s="255"/>
      <c r="BZ661" s="255"/>
      <c r="CA661" s="255"/>
      <c r="CB661" s="436"/>
      <c r="CC661" s="436"/>
      <c r="CD661" s="436"/>
      <c r="CE661" s="436"/>
      <c r="CF661" s="255"/>
      <c r="CG661" s="255"/>
      <c r="CH661" s="255"/>
      <c r="CI661" s="255"/>
      <c r="CJ661" s="255"/>
      <c r="CK661" s="255"/>
      <c r="CL661" s="255"/>
      <c r="CM661" s="255"/>
      <c r="CN661" s="255"/>
      <c r="CO661" s="255"/>
      <c r="CP661" s="255"/>
      <c r="CQ661" s="255"/>
      <c r="CR661" s="255"/>
      <c r="CS661" s="255"/>
      <c r="CT661" s="255"/>
      <c r="CU661" s="255"/>
      <c r="CV661" s="255"/>
      <c r="CW661" s="255"/>
    </row>
    <row r="662" spans="1:105" ht="21" thickTop="1" x14ac:dyDescent="0.3">
      <c r="A662" s="256"/>
      <c r="B662" s="256"/>
      <c r="C662" s="190"/>
      <c r="D662" s="191"/>
      <c r="E662" s="866" t="str">
        <f>E2</f>
        <v>STPS 2026</v>
      </c>
      <c r="F662" s="267"/>
      <c r="G662" s="267"/>
      <c r="H662" s="267"/>
      <c r="I662" s="192"/>
      <c r="J662" s="192"/>
      <c r="K662" s="192"/>
      <c r="L662" s="193"/>
      <c r="M662" s="192"/>
      <c r="N662" s="192"/>
      <c r="O662" s="192"/>
      <c r="P662" s="194"/>
      <c r="Q662" s="192"/>
      <c r="R662" s="192"/>
      <c r="S662" s="192"/>
      <c r="T662" s="195"/>
      <c r="U662" s="196"/>
      <c r="V662" s="196"/>
      <c r="W662" s="196"/>
      <c r="X662" s="196"/>
      <c r="Y662" s="194"/>
      <c r="Z662" s="192"/>
      <c r="AA662" s="192"/>
      <c r="AB662" s="192"/>
      <c r="AC662" s="195"/>
      <c r="AD662" s="196"/>
      <c r="AE662" s="196"/>
      <c r="AF662" s="196"/>
      <c r="AG662" s="197"/>
      <c r="AH662" s="194"/>
      <c r="AI662" s="192"/>
      <c r="AJ662" s="237"/>
      <c r="AK662" s="237"/>
      <c r="AL662" s="198"/>
      <c r="AM662" s="238"/>
      <c r="AN662" s="238"/>
      <c r="AO662" s="238"/>
      <c r="AP662" s="197"/>
      <c r="AQ662" s="239"/>
      <c r="AR662" s="240"/>
      <c r="AS662" s="199"/>
      <c r="AT662" s="200"/>
      <c r="AU662" s="198"/>
      <c r="AV662" s="196"/>
      <c r="AW662" s="196"/>
      <c r="AX662" s="196"/>
      <c r="AY662" s="197"/>
      <c r="AZ662" s="239"/>
      <c r="BA662" s="240"/>
      <c r="BB662" s="200"/>
      <c r="BC662" s="237"/>
      <c r="BD662" s="241"/>
      <c r="BE662" s="196"/>
      <c r="BF662" s="196"/>
      <c r="BG662" s="196"/>
      <c r="BH662" s="197"/>
      <c r="BI662" s="242"/>
      <c r="BJ662" s="237"/>
      <c r="BK662" s="237"/>
      <c r="BL662" s="237"/>
      <c r="BM662" s="241"/>
      <c r="BN662" s="196"/>
      <c r="BO662" s="196"/>
      <c r="BP662" s="196"/>
      <c r="BQ662" s="197"/>
      <c r="BR662" s="201"/>
      <c r="BS662" s="237"/>
      <c r="BT662" s="237"/>
      <c r="BU662" s="237"/>
      <c r="BV662" s="242"/>
      <c r="BW662" s="237"/>
      <c r="BX662" s="237"/>
      <c r="BY662" s="237"/>
      <c r="BZ662" s="237"/>
      <c r="CA662" s="237"/>
      <c r="CB662" s="437"/>
      <c r="CC662" s="437"/>
      <c r="CD662" s="437"/>
      <c r="CE662" s="437"/>
      <c r="CF662" s="237"/>
      <c r="CG662" s="237"/>
      <c r="CH662" s="237"/>
      <c r="CI662" s="237"/>
      <c r="CJ662" s="197"/>
      <c r="CK662" s="197"/>
      <c r="CL662" s="197"/>
      <c r="CM662" s="197"/>
      <c r="CN662" s="197"/>
      <c r="CO662" s="197"/>
      <c r="CP662" s="197"/>
      <c r="CQ662" s="197"/>
      <c r="CR662" s="197"/>
      <c r="CS662" s="197"/>
      <c r="CT662" s="401"/>
      <c r="CU662" s="237"/>
      <c r="CV662" s="243"/>
      <c r="CW662" s="255"/>
    </row>
    <row r="663" spans="1:105" ht="13.5" thickBot="1" x14ac:dyDescent="0.25">
      <c r="A663" s="256"/>
      <c r="B663" s="256"/>
      <c r="C663" s="202"/>
      <c r="D663" s="188"/>
      <c r="E663" s="266" t="str">
        <f>E3</f>
        <v>Skorgen Tippelag</v>
      </c>
      <c r="F663" s="406"/>
      <c r="G663" s="406"/>
      <c r="H663" s="406"/>
      <c r="I663" s="406"/>
      <c r="J663" s="406"/>
      <c r="K663" s="406"/>
      <c r="L663" s="406"/>
      <c r="M663" s="406"/>
      <c r="N663" s="406"/>
      <c r="O663" s="406"/>
      <c r="P663" s="406"/>
      <c r="Q663" s="406"/>
      <c r="R663" s="406"/>
      <c r="S663" s="406"/>
      <c r="T663" s="406"/>
      <c r="U663" s="406"/>
      <c r="V663" s="406"/>
      <c r="W663" s="406"/>
      <c r="X663" s="406"/>
      <c r="Y663" s="406"/>
      <c r="Z663" s="406"/>
      <c r="AA663" s="406"/>
      <c r="AB663" s="406"/>
      <c r="AC663" s="406"/>
      <c r="AD663" s="406"/>
      <c r="AE663" s="406"/>
      <c r="AF663" s="406"/>
      <c r="AG663" s="406"/>
      <c r="AH663" s="406"/>
      <c r="AI663" s="406"/>
      <c r="AJ663" s="406"/>
      <c r="AK663" s="406"/>
      <c r="AL663" s="406"/>
      <c r="AM663" s="406"/>
      <c r="AN663" s="406"/>
      <c r="AO663" s="406"/>
      <c r="AP663" s="406"/>
      <c r="AQ663" s="406"/>
      <c r="AR663" s="406"/>
      <c r="AS663" s="406"/>
      <c r="AT663" s="406"/>
      <c r="AU663" s="406"/>
      <c r="AV663" s="406"/>
      <c r="AW663" s="406"/>
      <c r="AX663" s="406"/>
      <c r="AY663" s="406"/>
      <c r="AZ663" s="406"/>
      <c r="BA663" s="406"/>
      <c r="BB663" s="406"/>
      <c r="BC663" s="406"/>
      <c r="BD663" s="406"/>
      <c r="BE663" s="406"/>
      <c r="BF663" s="406"/>
      <c r="BG663" s="406"/>
      <c r="BH663" s="406"/>
      <c r="BI663" s="406"/>
      <c r="BJ663" s="406"/>
      <c r="BK663" s="406"/>
      <c r="BL663" s="406"/>
      <c r="BM663" s="406"/>
      <c r="BN663" s="406"/>
      <c r="BO663" s="406"/>
      <c r="BP663" s="406"/>
      <c r="BQ663" s="406"/>
      <c r="BR663" s="406"/>
      <c r="BS663" s="406"/>
      <c r="BT663" s="406"/>
      <c r="BU663" s="406"/>
      <c r="BV663" s="406"/>
      <c r="BW663" s="406"/>
      <c r="BX663" s="406"/>
      <c r="BY663" s="406"/>
      <c r="BZ663" s="406"/>
      <c r="CA663" s="406"/>
      <c r="CB663" s="438"/>
      <c r="CC663" s="438"/>
      <c r="CD663" s="438"/>
      <c r="CE663" s="438"/>
      <c r="CF663" s="406"/>
      <c r="CG663" s="406"/>
      <c r="CH663" s="406"/>
      <c r="CI663" s="406"/>
      <c r="CJ663" s="406"/>
      <c r="CK663" s="406"/>
      <c r="CL663" s="406"/>
      <c r="CM663" s="406"/>
      <c r="CN663" s="366"/>
      <c r="CO663" s="366"/>
      <c r="CP663" s="366"/>
      <c r="CQ663" s="366"/>
      <c r="CR663" s="366"/>
      <c r="CS663" s="366"/>
      <c r="CT663" s="187"/>
      <c r="CU663" s="310"/>
      <c r="CV663" s="246"/>
      <c r="CW663" s="255"/>
    </row>
    <row r="664" spans="1:105" ht="18.75" thickTop="1" x14ac:dyDescent="0.2">
      <c r="A664" s="256"/>
      <c r="B664" s="256"/>
      <c r="C664" s="209"/>
      <c r="D664" s="290"/>
      <c r="E664" s="273"/>
      <c r="F664" s="274"/>
      <c r="G664" s="273"/>
      <c r="H664" s="273"/>
      <c r="I664" s="803" t="s">
        <v>39</v>
      </c>
      <c r="J664" s="805"/>
      <c r="K664" s="805"/>
      <c r="L664" s="291"/>
      <c r="M664" s="302"/>
      <c r="N664" s="242"/>
      <c r="O664" s="275"/>
      <c r="P664" s="275"/>
      <c r="Q664" s="808">
        <f>IF($F668="","",SUM(Q680:S680)-S666)</f>
        <v>460</v>
      </c>
      <c r="R664" s="808"/>
      <c r="S664" s="808"/>
      <c r="T664" s="276"/>
      <c r="U664" s="277"/>
      <c r="V664" s="277"/>
      <c r="W664" s="277"/>
      <c r="X664" s="277"/>
      <c r="Y664" s="275"/>
      <c r="Z664" s="808">
        <f>IF($F668="","",SUM(Z680:AB680)-AB666)</f>
        <v>610</v>
      </c>
      <c r="AA664" s="808"/>
      <c r="AB664" s="808"/>
      <c r="AC664" s="276"/>
      <c r="AD664" s="277"/>
      <c r="AE664" s="277"/>
      <c r="AF664" s="277"/>
      <c r="AG664" s="273"/>
      <c r="AH664" s="275"/>
      <c r="AI664" s="808">
        <f>IF($F668="","",SUM(AI680:AK680)-AK666)</f>
        <v>430</v>
      </c>
      <c r="AJ664" s="808"/>
      <c r="AK664" s="808"/>
      <c r="AL664" s="276"/>
      <c r="AM664" s="277"/>
      <c r="AN664" s="277"/>
      <c r="AO664" s="277"/>
      <c r="AP664" s="273"/>
      <c r="AQ664" s="275"/>
      <c r="AR664" s="808">
        <f>IF($F668="","",SUM(AR680:AT680)-AT666)</f>
        <v>550</v>
      </c>
      <c r="AS664" s="808"/>
      <c r="AT664" s="808"/>
      <c r="AU664" s="278"/>
      <c r="AV664" s="277"/>
      <c r="AW664" s="277"/>
      <c r="AX664" s="277"/>
      <c r="AY664" s="279"/>
      <c r="AZ664" s="280"/>
      <c r="BA664" s="808">
        <f>IF($F668="","",SUM(BA680:BC680)-BC666)</f>
        <v>420</v>
      </c>
      <c r="BB664" s="808"/>
      <c r="BC664" s="808"/>
      <c r="BD664" s="278"/>
      <c r="BE664" s="277"/>
      <c r="BF664" s="277"/>
      <c r="BG664" s="277"/>
      <c r="BH664" s="279"/>
      <c r="BI664" s="280"/>
      <c r="BJ664" s="808">
        <f>IF($F668="","",SUM(BJ680:BL680)-BL666)</f>
        <v>510</v>
      </c>
      <c r="BK664" s="808"/>
      <c r="BL664" s="808"/>
      <c r="BM664" s="278"/>
      <c r="BN664" s="277"/>
      <c r="BO664" s="277"/>
      <c r="BP664" s="277"/>
      <c r="BQ664" s="279"/>
      <c r="BR664" s="281"/>
      <c r="BS664" s="808">
        <f>IF($F668="","",SUM(BS680:BU680)-BU666)</f>
        <v>330</v>
      </c>
      <c r="BT664" s="808"/>
      <c r="BU664" s="808"/>
      <c r="BV664" s="280"/>
      <c r="BW664" s="279"/>
      <c r="BX664" s="279"/>
      <c r="BY664" s="279"/>
      <c r="BZ664" s="279"/>
      <c r="CA664" s="281"/>
      <c r="CB664" s="808">
        <f>IF($F668="","",SUM(CB680:CD680)-CD666)</f>
        <v>490</v>
      </c>
      <c r="CC664" s="808"/>
      <c r="CD664" s="808"/>
      <c r="CE664" s="280"/>
      <c r="CF664" s="279"/>
      <c r="CG664" s="279"/>
      <c r="CH664" s="279"/>
      <c r="CI664" s="279"/>
      <c r="CJ664" s="273"/>
      <c r="CK664" s="808">
        <f>IF($F668="","",SUM(CK680:CM680))</f>
        <v>480</v>
      </c>
      <c r="CL664" s="808"/>
      <c r="CM664" s="808"/>
      <c r="CN664" s="280"/>
      <c r="CO664" s="279"/>
      <c r="CP664" s="279"/>
      <c r="CQ664" s="279"/>
      <c r="CR664" s="273"/>
      <c r="CS664" s="273"/>
      <c r="CT664" s="273"/>
      <c r="CU664" s="292"/>
      <c r="CV664" s="246"/>
      <c r="CW664" s="255"/>
    </row>
    <row r="665" spans="1:105" x14ac:dyDescent="0.2">
      <c r="A665" s="256"/>
      <c r="B665" s="256"/>
      <c r="C665" s="209"/>
      <c r="D665" s="916">
        <v>18</v>
      </c>
      <c r="E665" s="588">
        <v>46144</v>
      </c>
      <c r="F665" s="213"/>
      <c r="G665" s="214"/>
      <c r="H665" s="214"/>
      <c r="I665" s="804">
        <f>IF(ISERROR(AVERAGE(Q664,Z664,AI664,AR664,BA664,BJ664,BS664,CB664,CK664)),"",AVERAGE(Q664,Z664,AI664,AR664,BA664,BJ664,BS664,CB664,CK664))</f>
        <v>475.55555555555554</v>
      </c>
      <c r="J665" s="806"/>
      <c r="K665" s="806"/>
      <c r="L665" s="295"/>
      <c r="M665" s="372"/>
      <c r="N665" s="245"/>
      <c r="O665" s="215"/>
      <c r="P665" s="215"/>
      <c r="Q665" s="710">
        <f>IF(Q664="","",Q664/Data!$X$1)</f>
        <v>0.38333333333333336</v>
      </c>
      <c r="R665" s="710"/>
      <c r="S665" s="711">
        <f>IF(SUM(X668:X679)=0,"",SUM(X668:X679))</f>
        <v>4</v>
      </c>
      <c r="T665" s="216"/>
      <c r="U665" s="217"/>
      <c r="V665" s="217"/>
      <c r="W665" s="217"/>
      <c r="X665" s="217"/>
      <c r="Y665" s="215"/>
      <c r="Z665" s="710">
        <f>IF(Z664="","",Z664/Data!$X$1)</f>
        <v>0.5083333333333333</v>
      </c>
      <c r="AA665" s="710"/>
      <c r="AB665" s="711">
        <f>IF(SUM(AG668:AG679)=0,"",SUM(AG668:AG679))</f>
        <v>7</v>
      </c>
      <c r="AC665" s="216"/>
      <c r="AD665" s="217"/>
      <c r="AE665" s="217"/>
      <c r="AF665" s="217"/>
      <c r="AG665" s="217"/>
      <c r="AH665" s="215"/>
      <c r="AI665" s="710">
        <f>IF(AI664="","",AI664/Data!$X$1)</f>
        <v>0.35833333333333334</v>
      </c>
      <c r="AJ665" s="710"/>
      <c r="AK665" s="711">
        <f>IF(SUM(AP668:AP679)=0,"",SUM(AP668:AP679))</f>
        <v>5</v>
      </c>
      <c r="AL665" s="216"/>
      <c r="AM665" s="217"/>
      <c r="AN665" s="217"/>
      <c r="AO665" s="217"/>
      <c r="AP665" s="217"/>
      <c r="AQ665" s="215"/>
      <c r="AR665" s="710">
        <f>IF(AR664="","",AR664/Data!$X$1)</f>
        <v>0.45833333333333331</v>
      </c>
      <c r="AS665" s="710"/>
      <c r="AT665" s="711">
        <f>IF(SUM(AY668:AY679)=0,"",SUM(AY668:AY679))</f>
        <v>8</v>
      </c>
      <c r="AU665" s="218"/>
      <c r="AV665" s="217"/>
      <c r="AW665" s="217"/>
      <c r="AX665" s="217"/>
      <c r="AY665" s="217"/>
      <c r="AZ665" s="219"/>
      <c r="BA665" s="710">
        <f>IF(BA664="","",BA664/Data!$X$1)</f>
        <v>0.35</v>
      </c>
      <c r="BB665" s="710"/>
      <c r="BC665" s="711">
        <f>IF(SUM(BH668:BH679)=0,"",SUM(BH668:BH679))</f>
        <v>5</v>
      </c>
      <c r="BD665" s="218"/>
      <c r="BE665" s="217"/>
      <c r="BF665" s="217"/>
      <c r="BG665" s="217"/>
      <c r="BH665" s="217"/>
      <c r="BI665" s="219"/>
      <c r="BJ665" s="710">
        <f>IF(BJ664="","",BJ664/Data!$X$1)</f>
        <v>0.42499999999999999</v>
      </c>
      <c r="BK665" s="710"/>
      <c r="BL665" s="711">
        <f>IF(SUM(BQ668:BQ679)=0,"",SUM(BQ668:BQ679))</f>
        <v>5</v>
      </c>
      <c r="BM665" s="218"/>
      <c r="BN665" s="217"/>
      <c r="BO665" s="217"/>
      <c r="BP665" s="217"/>
      <c r="BQ665" s="217"/>
      <c r="BR665" s="220"/>
      <c r="BS665" s="710">
        <f>IF(BS664="","",BS664/Data!$X$1)</f>
        <v>0.27500000000000002</v>
      </c>
      <c r="BT665" s="710"/>
      <c r="BU665" s="711">
        <f>IF(SUM(BZ668:BZ679)=0,"",SUM(BZ668:BZ679))</f>
        <v>4</v>
      </c>
      <c r="BV665" s="219"/>
      <c r="BW665" s="217"/>
      <c r="BX665" s="217"/>
      <c r="BY665" s="217"/>
      <c r="BZ665" s="217"/>
      <c r="CA665" s="220"/>
      <c r="CB665" s="710">
        <f>IF(CB664="","",CB664/Data!$X$1)</f>
        <v>0.40833333333333333</v>
      </c>
      <c r="CC665" s="710"/>
      <c r="CD665" s="711">
        <f>IF(SUM(CI668:CI679)=0,"",SUM(CI668:CI679))</f>
        <v>7</v>
      </c>
      <c r="CE665" s="219"/>
      <c r="CF665" s="217"/>
      <c r="CG665" s="217"/>
      <c r="CH665" s="217"/>
      <c r="CI665" s="217"/>
      <c r="CJ665" s="217"/>
      <c r="CK665" s="710">
        <f>IF(CK664="","",CK664/Data!$X$1)</f>
        <v>0.4</v>
      </c>
      <c r="CL665" s="710"/>
      <c r="CM665" s="711">
        <f>IF(SUM(CR668:CR679)=0,"",SUM(CR668:CR679))</f>
        <v>8</v>
      </c>
      <c r="CN665" s="219"/>
      <c r="CO665" s="217"/>
      <c r="CP665" s="217"/>
      <c r="CQ665" s="217"/>
      <c r="CR665" s="217"/>
      <c r="CS665" s="217"/>
      <c r="CT665" s="217"/>
      <c r="CU665" s="296"/>
      <c r="CV665" s="246"/>
      <c r="CW665" s="255"/>
    </row>
    <row r="666" spans="1:105" ht="13.5" thickBot="1" x14ac:dyDescent="0.25">
      <c r="A666" s="256"/>
      <c r="B666" s="256"/>
      <c r="C666" s="209"/>
      <c r="D666" s="269">
        <f>D644+1</f>
        <v>31</v>
      </c>
      <c r="E666" s="402" t="str">
        <f>IF(E665="","Sett inn dato over her",TEXT(E665,"dddd"))</f>
        <v>lørdag</v>
      </c>
      <c r="F666" s="221"/>
      <c r="G666" s="222"/>
      <c r="H666" s="222"/>
      <c r="I666" s="802"/>
      <c r="J666" s="807"/>
      <c r="K666" s="807"/>
      <c r="L666" s="297"/>
      <c r="M666" s="373"/>
      <c r="N666" s="377"/>
      <c r="O666" s="222"/>
      <c r="P666" s="222"/>
      <c r="Q666" s="385" t="str">
        <f>Data!$E$11</f>
        <v>AHH</v>
      </c>
      <c r="R666" s="386">
        <f>IF($F679="","",RANK(Q664,$Q664:$CL664))</f>
        <v>6</v>
      </c>
      <c r="S666" s="510"/>
      <c r="T666" s="216">
        <v>0</v>
      </c>
      <c r="U666" s="217"/>
      <c r="V666" s="217"/>
      <c r="W666" s="217"/>
      <c r="X666" s="217"/>
      <c r="Y666" s="215"/>
      <c r="Z666" s="385" t="str">
        <f>Data!$E$12</f>
        <v>RB</v>
      </c>
      <c r="AA666" s="386">
        <f>IF($F679="","",RANK(Z664,$Q664:$CL664))</f>
        <v>1</v>
      </c>
      <c r="AB666" s="510"/>
      <c r="AC666" s="216"/>
      <c r="AD666" s="217"/>
      <c r="AE666" s="217"/>
      <c r="AF666" s="217"/>
      <c r="AG666" s="217"/>
      <c r="AH666" s="215"/>
      <c r="AI666" s="385" t="str">
        <f>Data!$E$13</f>
        <v>EB</v>
      </c>
      <c r="AJ666" s="386">
        <f>IF($F679="","",RANK(AI664,$Q664:$CL664))</f>
        <v>7</v>
      </c>
      <c r="AK666" s="510"/>
      <c r="AL666" s="216"/>
      <c r="AM666" s="217"/>
      <c r="AN666" s="217"/>
      <c r="AO666" s="217"/>
      <c r="AP666" s="217"/>
      <c r="AQ666" s="215"/>
      <c r="AR666" s="346" t="str">
        <f>Data!$E$14</f>
        <v>KAF</v>
      </c>
      <c r="AS666" s="386">
        <f>IF($F679="","",RANK(AR664,$Q664:$CL664))</f>
        <v>2</v>
      </c>
      <c r="AT666" s="510"/>
      <c r="AU666" s="216"/>
      <c r="AV666" s="217"/>
      <c r="AW666" s="217"/>
      <c r="AX666" s="217"/>
      <c r="AY666" s="217"/>
      <c r="AZ666" s="215"/>
      <c r="BA666" s="346" t="str">
        <f>Data!$E$15</f>
        <v>ØG</v>
      </c>
      <c r="BB666" s="386">
        <f>IF($F679="","",RANK(BA664,$Q664:$CL664))</f>
        <v>8</v>
      </c>
      <c r="BC666" s="510">
        <v>50</v>
      </c>
      <c r="BD666" s="216"/>
      <c r="BE666" s="217"/>
      <c r="BF666" s="217"/>
      <c r="BG666" s="217"/>
      <c r="BH666" s="217"/>
      <c r="BI666" s="215"/>
      <c r="BJ666" s="346" t="str">
        <f>Data!$E$16</f>
        <v>JH</v>
      </c>
      <c r="BK666" s="386">
        <f>IF($F679="","",RANK(BJ664,$Q664:$CL664))</f>
        <v>3</v>
      </c>
      <c r="BL666" s="510"/>
      <c r="BM666" s="216"/>
      <c r="BN666" s="217"/>
      <c r="BO666" s="217"/>
      <c r="BP666" s="217"/>
      <c r="BQ666" s="217"/>
      <c r="BR666" s="223"/>
      <c r="BS666" s="346" t="str">
        <f>Data!$E$17</f>
        <v>TOH</v>
      </c>
      <c r="BT666" s="386">
        <f>IF($F679="","",RANK(BS664,$Q664:$CL664))</f>
        <v>9</v>
      </c>
      <c r="BU666" s="510">
        <v>50</v>
      </c>
      <c r="BV666" s="215"/>
      <c r="BW666" s="217"/>
      <c r="BX666" s="217"/>
      <c r="BY666" s="217"/>
      <c r="BZ666" s="217"/>
      <c r="CA666" s="223"/>
      <c r="CB666" s="346" t="s">
        <v>26</v>
      </c>
      <c r="CC666" s="386">
        <f>IF($F679="","",RANK(CB664,$Q664:$CM664))</f>
        <v>4</v>
      </c>
      <c r="CD666" s="511"/>
      <c r="CE666" s="215"/>
      <c r="CF666" s="217"/>
      <c r="CG666" s="217"/>
      <c r="CH666" s="217"/>
      <c r="CI666" s="217"/>
      <c r="CJ666" s="217"/>
      <c r="CK666" s="346" t="s">
        <v>27</v>
      </c>
      <c r="CL666" s="386">
        <f>IF($F679="","",RANK(CK664,$Q664:$CM664))</f>
        <v>5</v>
      </c>
      <c r="CM666" s="798"/>
      <c r="CN666" s="215"/>
      <c r="CO666" s="217"/>
      <c r="CP666" s="217"/>
      <c r="CQ666" s="217"/>
      <c r="CR666" s="217"/>
      <c r="CS666" s="217"/>
      <c r="CT666" s="217"/>
      <c r="CU666" s="296"/>
      <c r="CV666" s="246"/>
      <c r="CW666" s="255"/>
    </row>
    <row r="667" spans="1:105" ht="13.5" thickBot="1" x14ac:dyDescent="0.25">
      <c r="A667" s="264"/>
      <c r="B667" s="264"/>
      <c r="C667" s="202"/>
      <c r="D667" s="270"/>
      <c r="E667" s="224"/>
      <c r="F667" s="225"/>
      <c r="G667" s="226"/>
      <c r="H667" s="226"/>
      <c r="I667" s="227" t="s">
        <v>45</v>
      </c>
      <c r="J667" s="228" t="s">
        <v>46</v>
      </c>
      <c r="K667" s="229" t="s">
        <v>47</v>
      </c>
      <c r="L667" s="298"/>
      <c r="M667" s="374"/>
      <c r="N667" s="378"/>
      <c r="O667" s="230"/>
      <c r="P667" s="230"/>
      <c r="Q667" s="227" t="s">
        <v>45</v>
      </c>
      <c r="R667" s="228" t="s">
        <v>46</v>
      </c>
      <c r="S667" s="229" t="s">
        <v>47</v>
      </c>
      <c r="T667" s="231"/>
      <c r="U667" s="232"/>
      <c r="V667" s="232"/>
      <c r="W667" s="232"/>
      <c r="X667" s="232"/>
      <c r="Y667" s="230"/>
      <c r="Z667" s="227" t="s">
        <v>45</v>
      </c>
      <c r="AA667" s="228" t="s">
        <v>46</v>
      </c>
      <c r="AB667" s="229" t="s">
        <v>47</v>
      </c>
      <c r="AC667" s="231"/>
      <c r="AD667" s="232"/>
      <c r="AE667" s="232"/>
      <c r="AF667" s="232"/>
      <c r="AG667" s="232"/>
      <c r="AH667" s="230"/>
      <c r="AI667" s="227" t="s">
        <v>45</v>
      </c>
      <c r="AJ667" s="228" t="s">
        <v>46</v>
      </c>
      <c r="AK667" s="229" t="s">
        <v>47</v>
      </c>
      <c r="AL667" s="231"/>
      <c r="AM667" s="232"/>
      <c r="AN667" s="232"/>
      <c r="AO667" s="232"/>
      <c r="AP667" s="232"/>
      <c r="AQ667" s="230"/>
      <c r="AR667" s="227" t="s">
        <v>45</v>
      </c>
      <c r="AS667" s="228" t="s">
        <v>46</v>
      </c>
      <c r="AT667" s="229" t="s">
        <v>47</v>
      </c>
      <c r="AU667" s="231"/>
      <c r="AV667" s="232"/>
      <c r="AW667" s="232"/>
      <c r="AX667" s="232"/>
      <c r="AY667" s="232"/>
      <c r="AZ667" s="230"/>
      <c r="BA667" s="227" t="s">
        <v>45</v>
      </c>
      <c r="BB667" s="228" t="s">
        <v>46</v>
      </c>
      <c r="BC667" s="229" t="s">
        <v>47</v>
      </c>
      <c r="BD667" s="231"/>
      <c r="BE667" s="232"/>
      <c r="BF667" s="232"/>
      <c r="BG667" s="232"/>
      <c r="BH667" s="232"/>
      <c r="BI667" s="230"/>
      <c r="BJ667" s="227" t="s">
        <v>45</v>
      </c>
      <c r="BK667" s="228" t="s">
        <v>46</v>
      </c>
      <c r="BL667" s="229" t="s">
        <v>47</v>
      </c>
      <c r="BM667" s="231"/>
      <c r="BN667" s="232"/>
      <c r="BO667" s="232"/>
      <c r="BP667" s="232"/>
      <c r="BQ667" s="232"/>
      <c r="BR667" s="230"/>
      <c r="BS667" s="227" t="s">
        <v>45</v>
      </c>
      <c r="BT667" s="228" t="s">
        <v>46</v>
      </c>
      <c r="BU667" s="229" t="s">
        <v>47</v>
      </c>
      <c r="BV667" s="231"/>
      <c r="BW667" s="232"/>
      <c r="BX667" s="232"/>
      <c r="BY667" s="232"/>
      <c r="BZ667" s="233"/>
      <c r="CA667" s="230"/>
      <c r="CB667" s="227" t="s">
        <v>45</v>
      </c>
      <c r="CC667" s="228" t="s">
        <v>46</v>
      </c>
      <c r="CD667" s="229" t="s">
        <v>47</v>
      </c>
      <c r="CE667" s="231"/>
      <c r="CF667" s="232"/>
      <c r="CG667" s="232"/>
      <c r="CH667" s="232"/>
      <c r="CI667" s="232"/>
      <c r="CJ667" s="232"/>
      <c r="CK667" s="227" t="s">
        <v>45</v>
      </c>
      <c r="CL667" s="228" t="s">
        <v>46</v>
      </c>
      <c r="CM667" s="229" t="s">
        <v>47</v>
      </c>
      <c r="CN667" s="231"/>
      <c r="CO667" s="232"/>
      <c r="CP667" s="232"/>
      <c r="CQ667" s="232"/>
      <c r="CR667" s="232"/>
      <c r="CS667" s="232"/>
      <c r="CT667" s="234"/>
      <c r="CU667" s="296"/>
      <c r="CV667" s="246"/>
      <c r="CW667" s="265"/>
    </row>
    <row r="668" spans="1:105" x14ac:dyDescent="0.2">
      <c r="A668" s="264"/>
      <c r="B668" s="264"/>
      <c r="C668" s="202"/>
      <c r="D668" s="271">
        <v>1</v>
      </c>
      <c r="E668" s="166" t="s">
        <v>897</v>
      </c>
      <c r="F668" s="468">
        <v>3</v>
      </c>
      <c r="G668" s="472"/>
      <c r="H668" s="473">
        <v>1</v>
      </c>
      <c r="I668" s="170" t="str">
        <f t="shared" ref="I668:I679" si="1500">IF($F668&gt;$H668,"x","")</f>
        <v>x</v>
      </c>
      <c r="J668" s="387" t="str">
        <f t="shared" ref="J668:J679" si="1501">IF(F668&lt;&gt;"",IF(H668&lt;&gt;"",IF(F668=H668,"x",""),""),"")</f>
        <v/>
      </c>
      <c r="K668" s="388" t="str">
        <f t="shared" ref="K668:K679" si="1502">IF($F668&lt;$H668,"x","")</f>
        <v/>
      </c>
      <c r="L668" s="299"/>
      <c r="M668" s="375"/>
      <c r="N668" s="379"/>
      <c r="O668" s="236"/>
      <c r="P668" s="236"/>
      <c r="Q668" s="480">
        <v>80</v>
      </c>
      <c r="R668" s="481">
        <v>10</v>
      </c>
      <c r="S668" s="482">
        <f>IF(Q668="","",100-SUM(Q668:R668))</f>
        <v>10</v>
      </c>
      <c r="T668" s="371"/>
      <c r="U668" s="232">
        <f t="shared" ref="U668:U679" si="1503">IF($I668="x",Q668,"")</f>
        <v>80</v>
      </c>
      <c r="V668" s="232" t="str">
        <f t="shared" ref="V668:V679" si="1504">IF($J668="x",R668,"")</f>
        <v/>
      </c>
      <c r="W668" s="232" t="str">
        <f t="shared" ref="W668:W679" si="1505">IF($K668="x",S668,"")</f>
        <v/>
      </c>
      <c r="X668" s="232">
        <f>IF((MAX(U668,V668,W668))=0,"",IF((MAX(U668,V668,W668))=(MAX(Q668,R668,S668)),1,""))</f>
        <v>1</v>
      </c>
      <c r="Y668" s="371"/>
      <c r="Z668" s="495">
        <v>80</v>
      </c>
      <c r="AA668" s="496">
        <v>10</v>
      </c>
      <c r="AB668" s="482">
        <f t="shared" ref="AB668:AB679" si="1506">IF(Z668="","",100-SUM(Z668:AA668))</f>
        <v>10</v>
      </c>
      <c r="AC668" s="371"/>
      <c r="AD668" s="232">
        <f t="shared" ref="AD668:AD679" si="1507">IF($I668="x",Z668,"")</f>
        <v>80</v>
      </c>
      <c r="AE668" s="232" t="str">
        <f t="shared" ref="AE668:AE679" si="1508">IF($J668="x",AA668,"")</f>
        <v/>
      </c>
      <c r="AF668" s="232" t="str">
        <f t="shared" ref="AF668:AF679" si="1509">IF($K668="x",AB668,"")</f>
        <v/>
      </c>
      <c r="AG668" s="232">
        <f>IF((MAX(AD668,AE668,AF668))=0,"",IF((MAX(AD668,AE668,AF668))=(MAX(Z668,AA668,AB668)),1,""))</f>
        <v>1</v>
      </c>
      <c r="AH668" s="371"/>
      <c r="AI668" s="495">
        <v>80</v>
      </c>
      <c r="AJ668" s="496">
        <v>10</v>
      </c>
      <c r="AK668" s="482">
        <f t="shared" ref="AK668:AK679" si="1510">IF(AI668="","",100-SUM(AI668:AJ668))</f>
        <v>10</v>
      </c>
      <c r="AL668" s="371"/>
      <c r="AM668" s="232">
        <f t="shared" ref="AM668:AM679" si="1511">IF($I668="x",AI668,"")</f>
        <v>80</v>
      </c>
      <c r="AN668" s="232" t="str">
        <f t="shared" ref="AN668:AN679" si="1512">IF($J668="x",AJ668,"")</f>
        <v/>
      </c>
      <c r="AO668" s="232" t="str">
        <f t="shared" ref="AO668:AO679" si="1513">IF($K668="x",AK668,"")</f>
        <v/>
      </c>
      <c r="AP668" s="232">
        <f>IF((MAX(AM668,AN668,AO668))=0,"",IF((MAX(AM668,AN668,AO668))=(MAX(AI668,AJ668,AK668)),1,""))</f>
        <v>1</v>
      </c>
      <c r="AQ668" s="371"/>
      <c r="AR668" s="495">
        <v>80</v>
      </c>
      <c r="AS668" s="496">
        <v>10</v>
      </c>
      <c r="AT668" s="482">
        <f t="shared" ref="AT668:AT679" si="1514">IF(AR668="","",100-SUM(AR668:AS668))</f>
        <v>10</v>
      </c>
      <c r="AU668" s="371"/>
      <c r="AV668" s="232">
        <f t="shared" ref="AV668:AV679" si="1515">IF($I668="x",AR668,"")</f>
        <v>80</v>
      </c>
      <c r="AW668" s="232" t="str">
        <f t="shared" ref="AW668:AW679" si="1516">IF($J668="x",AS668,"")</f>
        <v/>
      </c>
      <c r="AX668" s="232" t="str">
        <f t="shared" ref="AX668:AX679" si="1517">IF($K668="x",AT668,"")</f>
        <v/>
      </c>
      <c r="AY668" s="232">
        <f>IF((MAX(AV668,AW668,AX668))=0,"",IF((MAX(AV668,AW668,AX668))=(MAX(AR668,AS668,AT668)),1,""))</f>
        <v>1</v>
      </c>
      <c r="AZ668" s="371"/>
      <c r="BA668" s="495">
        <v>10</v>
      </c>
      <c r="BB668" s="496">
        <v>10</v>
      </c>
      <c r="BC668" s="482">
        <f t="shared" ref="BC668:BC679" si="1518">IF(BA668="","",100-SUM(BA668:BB668))</f>
        <v>80</v>
      </c>
      <c r="BD668" s="371"/>
      <c r="BE668" s="232">
        <f t="shared" ref="BE668:BE679" si="1519">IF($I668="x",BA668,"")</f>
        <v>10</v>
      </c>
      <c r="BF668" s="232" t="str">
        <f t="shared" ref="BF668:BF679" si="1520">IF($J668="x",BB668,"")</f>
        <v/>
      </c>
      <c r="BG668" s="232" t="str">
        <f t="shared" ref="BG668:BG679" si="1521">IF($K668="x",BC668,"")</f>
        <v/>
      </c>
      <c r="BH668" s="232" t="str">
        <f>IF((MAX(BE668,BF668,BG668))=0,"",IF((MAX(BE668,BF668,BG668))=(MAX(BA668,BB668,BC668)),1,""))</f>
        <v/>
      </c>
      <c r="BI668" s="371"/>
      <c r="BJ668" s="495">
        <v>80</v>
      </c>
      <c r="BK668" s="496">
        <v>10</v>
      </c>
      <c r="BL668" s="482">
        <f t="shared" ref="BL668:BL679" si="1522">IF(BJ668="","",100-SUM(BJ668:BK668))</f>
        <v>10</v>
      </c>
      <c r="BM668" s="371"/>
      <c r="BN668" s="232">
        <f t="shared" ref="BN668:BN679" si="1523">IF($I668="x",BJ668,"")</f>
        <v>80</v>
      </c>
      <c r="BO668" s="232" t="str">
        <f t="shared" ref="BO668:BO679" si="1524">IF($J668="x",BK668,"")</f>
        <v/>
      </c>
      <c r="BP668" s="232" t="str">
        <f t="shared" ref="BP668:BP679" si="1525">IF($K668="x",BL668,"")</f>
        <v/>
      </c>
      <c r="BQ668" s="232">
        <f>IF((MAX(BN668,BO668,BP668))=0,"",IF((MAX(BN668,BO668,BP668))=(MAX(BJ668,BK668,BL668)),1,""))</f>
        <v>1</v>
      </c>
      <c r="BR668" s="371"/>
      <c r="BS668" s="495">
        <v>50</v>
      </c>
      <c r="BT668" s="496">
        <v>20</v>
      </c>
      <c r="BU668" s="482">
        <f t="shared" ref="BU668:BU679" si="1526">IF(BS668="","",100-SUM(BS668:BT668))</f>
        <v>30</v>
      </c>
      <c r="BV668" s="371"/>
      <c r="BW668" s="232">
        <f t="shared" ref="BW668:BW679" si="1527">IF($I668="x",BS668,"")</f>
        <v>50</v>
      </c>
      <c r="BX668" s="232" t="str">
        <f t="shared" ref="BX668:BX679" si="1528">IF($J668="x",BT668,"")</f>
        <v/>
      </c>
      <c r="BY668" s="232" t="str">
        <f t="shared" ref="BY668:BY679" si="1529">IF($K668="x",BU668,"")</f>
        <v/>
      </c>
      <c r="BZ668" s="232">
        <f>IF((MAX(BW668,BX668,BY668))=0,"",IF((MAX(BW668,BX668,BY668))=(MAX(BS668,BT668,BU668)),1,""))</f>
        <v>1</v>
      </c>
      <c r="CA668" s="371"/>
      <c r="CB668" s="501">
        <f t="shared" ref="CB668:CB679" si="1530">IFERROR(ROUNDUP((SUM(Q668,Z668,AI668,AR668,BA668,BJ668,BS668)/SUM($Q668:$S668,$Z668:$AB668,$AI668:$AK668,$AR668:$AT668,$BA668:$BC668,$BJ668:$BL668,$BS668:$BU668))*100,-1),"")</f>
        <v>70</v>
      </c>
      <c r="CC668" s="502">
        <f t="shared" ref="CC668:CC679" si="1531">IFERROR(ROUNDDOWN((SUM(R668,AA668,AJ668,AS668,BB668,BK668,BT668)/SUM($Q668:$S668,$Z668:$AB668,$AI668:$AK668,$AR668:$AT668,$BA668:$BC668,$BJ668:$BL668,$BS668:$BU668))*100,-1),"")</f>
        <v>10</v>
      </c>
      <c r="CD668" s="503">
        <f t="shared" ref="CD668:CD679" si="1532">IF(CB668="","",100-SUM(CB668:CC668))</f>
        <v>20</v>
      </c>
      <c r="CE668" s="371"/>
      <c r="CF668" s="232">
        <f t="shared" ref="CF668:CF679" si="1533">IF($I668="x",CB668,"")</f>
        <v>70</v>
      </c>
      <c r="CG668" s="232" t="str">
        <f t="shared" ref="CG668:CG679" si="1534">IF($J668="x",CC668,"")</f>
        <v/>
      </c>
      <c r="CH668" s="232" t="str">
        <f t="shared" ref="CH668:CH679" si="1535">IF($K668="x",CD668,"")</f>
        <v/>
      </c>
      <c r="CI668" s="232">
        <f>IF((MAX(CF668,CG668,CH668))=0,"",IF((MAX(CF668,CG668,CH668))=(MAX(CB668,CC668,CD668)),1,""))</f>
        <v>1</v>
      </c>
      <c r="CJ668" s="232"/>
      <c r="CK668" s="495">
        <v>80</v>
      </c>
      <c r="CL668" s="496">
        <v>10</v>
      </c>
      <c r="CM668" s="482">
        <f t="shared" ref="CM668:CM679" si="1536">IF(CK668="","",100-SUM(CK668:CL668))</f>
        <v>10</v>
      </c>
      <c r="CN668" s="371"/>
      <c r="CO668" s="232">
        <f t="shared" ref="CO668:CO679" si="1537">IF($I668="x",CK668,"")</f>
        <v>80</v>
      </c>
      <c r="CP668" s="232" t="str">
        <f t="shared" ref="CP668:CP679" si="1538">IF($J668="x",CL668,"")</f>
        <v/>
      </c>
      <c r="CQ668" s="232" t="str">
        <f t="shared" ref="CQ668:CQ679" si="1539">IF($K668="x",CM668,"")</f>
        <v/>
      </c>
      <c r="CR668" s="232">
        <f>IF((MAX(CO668,CP668,CQ668))=0,"",IF((MAX(CO668,CP668,CQ668))=(MAX(CK668,CL668,CM668)),1,""))</f>
        <v>1</v>
      </c>
      <c r="CS668" s="232"/>
      <c r="CT668" s="371"/>
      <c r="CU668" s="296"/>
      <c r="CV668" s="246"/>
      <c r="CW668" s="264"/>
    </row>
    <row r="669" spans="1:105" x14ac:dyDescent="0.2">
      <c r="A669" s="264"/>
      <c r="B669" s="264"/>
      <c r="C669" s="202"/>
      <c r="D669" s="271">
        <v>2</v>
      </c>
      <c r="E669" s="167" t="s">
        <v>898</v>
      </c>
      <c r="F669" s="469">
        <v>3</v>
      </c>
      <c r="G669" s="474"/>
      <c r="H669" s="475">
        <v>0</v>
      </c>
      <c r="I669" s="389" t="str">
        <f t="shared" si="1500"/>
        <v>x</v>
      </c>
      <c r="J669" s="390" t="str">
        <f t="shared" si="1501"/>
        <v/>
      </c>
      <c r="K669" s="391" t="str">
        <f t="shared" si="1502"/>
        <v/>
      </c>
      <c r="L669" s="299"/>
      <c r="M669" s="375"/>
      <c r="N669" s="379"/>
      <c r="O669" s="236"/>
      <c r="P669" s="236"/>
      <c r="Q669" s="483">
        <v>80</v>
      </c>
      <c r="R669" s="484">
        <v>10</v>
      </c>
      <c r="S669" s="485">
        <f t="shared" ref="S669:S679" si="1540">IF(Q669="","",100-SUM(Q669:R669))</f>
        <v>10</v>
      </c>
      <c r="T669" s="371"/>
      <c r="U669" s="232">
        <f t="shared" si="1503"/>
        <v>80</v>
      </c>
      <c r="V669" s="232" t="str">
        <f t="shared" si="1504"/>
        <v/>
      </c>
      <c r="W669" s="232" t="str">
        <f t="shared" si="1505"/>
        <v/>
      </c>
      <c r="X669" s="232">
        <f t="shared" ref="X669:X679" si="1541">IF((MAX(U669,V669,W669))=0,"",IF((MAX(U669,V669,W669))=(MAX(Q669,R669,S669)),1,""))</f>
        <v>1</v>
      </c>
      <c r="Y669" s="371"/>
      <c r="Z669" s="497">
        <v>80</v>
      </c>
      <c r="AA669" s="498">
        <v>10</v>
      </c>
      <c r="AB669" s="485">
        <f t="shared" si="1506"/>
        <v>10</v>
      </c>
      <c r="AC669" s="371"/>
      <c r="AD669" s="232">
        <f t="shared" si="1507"/>
        <v>80</v>
      </c>
      <c r="AE669" s="232" t="str">
        <f t="shared" si="1508"/>
        <v/>
      </c>
      <c r="AF669" s="232" t="str">
        <f t="shared" si="1509"/>
        <v/>
      </c>
      <c r="AG669" s="232">
        <f t="shared" ref="AG669:AG679" si="1542">IF((MAX(AD669,AE669,AF669))=0,"",IF((MAX(AD669,AE669,AF669))=(MAX(Z669,AA669,AB669)),1,""))</f>
        <v>1</v>
      </c>
      <c r="AH669" s="371"/>
      <c r="AI669" s="497">
        <v>70</v>
      </c>
      <c r="AJ669" s="498">
        <v>20</v>
      </c>
      <c r="AK669" s="485">
        <f t="shared" si="1510"/>
        <v>10</v>
      </c>
      <c r="AL669" s="371"/>
      <c r="AM669" s="232">
        <f t="shared" si="1511"/>
        <v>70</v>
      </c>
      <c r="AN669" s="232" t="str">
        <f t="shared" si="1512"/>
        <v/>
      </c>
      <c r="AO669" s="232" t="str">
        <f t="shared" si="1513"/>
        <v/>
      </c>
      <c r="AP669" s="232">
        <f t="shared" ref="AP669:AP679" si="1543">IF((MAX(AM669,AN669,AO669))=0,"",IF((MAX(AM669,AN669,AO669))=(MAX(AI669,AJ669,AK669)),1,""))</f>
        <v>1</v>
      </c>
      <c r="AQ669" s="371"/>
      <c r="AR669" s="497">
        <v>80</v>
      </c>
      <c r="AS669" s="498">
        <v>10</v>
      </c>
      <c r="AT669" s="485">
        <f t="shared" si="1514"/>
        <v>10</v>
      </c>
      <c r="AU669" s="371"/>
      <c r="AV669" s="232">
        <f t="shared" si="1515"/>
        <v>80</v>
      </c>
      <c r="AW669" s="232" t="str">
        <f t="shared" si="1516"/>
        <v/>
      </c>
      <c r="AX669" s="232" t="str">
        <f t="shared" si="1517"/>
        <v/>
      </c>
      <c r="AY669" s="232">
        <f t="shared" ref="AY669:AY679" si="1544">IF((MAX(AV669,AW669,AX669))=0,"",IF((MAX(AV669,AW669,AX669))=(MAX(AR669,AS669,AT669)),1,""))</f>
        <v>1</v>
      </c>
      <c r="AZ669" s="371"/>
      <c r="BA669" s="497">
        <v>80</v>
      </c>
      <c r="BB669" s="498">
        <v>10</v>
      </c>
      <c r="BC669" s="485">
        <f t="shared" si="1518"/>
        <v>10</v>
      </c>
      <c r="BD669" s="371"/>
      <c r="BE669" s="232">
        <f t="shared" si="1519"/>
        <v>80</v>
      </c>
      <c r="BF669" s="232" t="str">
        <f t="shared" si="1520"/>
        <v/>
      </c>
      <c r="BG669" s="232" t="str">
        <f t="shared" si="1521"/>
        <v/>
      </c>
      <c r="BH669" s="232">
        <f t="shared" ref="BH669:BH679" si="1545">IF((MAX(BE669,BF669,BG669))=0,"",IF((MAX(BE669,BF669,BG669))=(MAX(BA669,BB669,BC669)),1,""))</f>
        <v>1</v>
      </c>
      <c r="BI669" s="371"/>
      <c r="BJ669" s="497">
        <v>80</v>
      </c>
      <c r="BK669" s="498">
        <v>10</v>
      </c>
      <c r="BL669" s="485">
        <f t="shared" si="1522"/>
        <v>10</v>
      </c>
      <c r="BM669" s="371"/>
      <c r="BN669" s="232">
        <f t="shared" si="1523"/>
        <v>80</v>
      </c>
      <c r="BO669" s="232" t="str">
        <f t="shared" si="1524"/>
        <v/>
      </c>
      <c r="BP669" s="232" t="str">
        <f t="shared" si="1525"/>
        <v/>
      </c>
      <c r="BQ669" s="232">
        <f t="shared" ref="BQ669:BQ679" si="1546">IF((MAX(BN669,BO669,BP669))=0,"",IF((MAX(BN669,BO669,BP669))=(MAX(BJ669,BK669,BL669)),1,""))</f>
        <v>1</v>
      </c>
      <c r="BR669" s="371"/>
      <c r="BS669" s="497">
        <v>70</v>
      </c>
      <c r="BT669" s="498">
        <v>20</v>
      </c>
      <c r="BU669" s="485">
        <f t="shared" si="1526"/>
        <v>10</v>
      </c>
      <c r="BV669" s="371"/>
      <c r="BW669" s="232">
        <f t="shared" si="1527"/>
        <v>70</v>
      </c>
      <c r="BX669" s="232" t="str">
        <f t="shared" si="1528"/>
        <v/>
      </c>
      <c r="BY669" s="232" t="str">
        <f t="shared" si="1529"/>
        <v/>
      </c>
      <c r="BZ669" s="232">
        <f t="shared" ref="BZ669:BZ679" si="1547">IF((MAX(BW669,BX669,BY669))=0,"",IF((MAX(BW669,BX669,BY669))=(MAX(BS669,BT669,BU669)),1,""))</f>
        <v>1</v>
      </c>
      <c r="CA669" s="371"/>
      <c r="CB669" s="504">
        <f t="shared" si="1530"/>
        <v>80</v>
      </c>
      <c r="CC669" s="505">
        <f t="shared" si="1531"/>
        <v>10</v>
      </c>
      <c r="CD669" s="506">
        <f t="shared" si="1532"/>
        <v>10</v>
      </c>
      <c r="CE669" s="371"/>
      <c r="CF669" s="232">
        <f t="shared" si="1533"/>
        <v>80</v>
      </c>
      <c r="CG669" s="232" t="str">
        <f t="shared" si="1534"/>
        <v/>
      </c>
      <c r="CH669" s="232" t="str">
        <f t="shared" si="1535"/>
        <v/>
      </c>
      <c r="CI669" s="232">
        <f t="shared" ref="CI669:CI679" si="1548">IF((MAX(CF669,CG669,CH669))=0,"",IF((MAX(CF669,CG669,CH669))=(MAX(CB669,CC669,CD669)),1,""))</f>
        <v>1</v>
      </c>
      <c r="CJ669" s="232"/>
      <c r="CK669" s="497">
        <v>80</v>
      </c>
      <c r="CL669" s="498">
        <v>10</v>
      </c>
      <c r="CM669" s="485">
        <f t="shared" si="1536"/>
        <v>10</v>
      </c>
      <c r="CN669" s="371"/>
      <c r="CO669" s="232">
        <f t="shared" si="1537"/>
        <v>80</v>
      </c>
      <c r="CP669" s="232" t="str">
        <f t="shared" si="1538"/>
        <v/>
      </c>
      <c r="CQ669" s="232" t="str">
        <f t="shared" si="1539"/>
        <v/>
      </c>
      <c r="CR669" s="232">
        <f t="shared" ref="CR669:CR679" si="1549">IF((MAX(CO669,CP669,CQ669))=0,"",IF((MAX(CO669,CP669,CQ669))=(MAX(CK669,CL669,CM669)),1,""))</f>
        <v>1</v>
      </c>
      <c r="CS669" s="232"/>
      <c r="CT669" s="371"/>
      <c r="CU669" s="296"/>
      <c r="CV669" s="246"/>
      <c r="CW669" s="264"/>
    </row>
    <row r="670" spans="1:105" ht="13.5" thickBot="1" x14ac:dyDescent="0.25">
      <c r="A670" s="264"/>
      <c r="B670" s="264"/>
      <c r="C670" s="202"/>
      <c r="D670" s="271">
        <v>3</v>
      </c>
      <c r="E670" s="168" t="s">
        <v>899</v>
      </c>
      <c r="F670" s="470">
        <v>3</v>
      </c>
      <c r="G670" s="476"/>
      <c r="H670" s="477">
        <v>0</v>
      </c>
      <c r="I670" s="392" t="str">
        <f t="shared" si="1500"/>
        <v>x</v>
      </c>
      <c r="J670" s="393" t="str">
        <f t="shared" si="1501"/>
        <v/>
      </c>
      <c r="K670" s="394" t="str">
        <f t="shared" si="1502"/>
        <v/>
      </c>
      <c r="L670" s="299"/>
      <c r="M670" s="375"/>
      <c r="N670" s="379"/>
      <c r="O670" s="236"/>
      <c r="P670" s="236"/>
      <c r="Q670" s="486">
        <v>20</v>
      </c>
      <c r="R670" s="487">
        <v>30</v>
      </c>
      <c r="S670" s="488">
        <f t="shared" si="1540"/>
        <v>50</v>
      </c>
      <c r="T670" s="371"/>
      <c r="U670" s="232">
        <f t="shared" si="1503"/>
        <v>20</v>
      </c>
      <c r="V670" s="232" t="str">
        <f t="shared" si="1504"/>
        <v/>
      </c>
      <c r="W670" s="232" t="str">
        <f t="shared" si="1505"/>
        <v/>
      </c>
      <c r="X670" s="232" t="str">
        <f t="shared" si="1541"/>
        <v/>
      </c>
      <c r="Y670" s="371"/>
      <c r="Z670" s="499">
        <v>80</v>
      </c>
      <c r="AA670" s="500">
        <v>10</v>
      </c>
      <c r="AB670" s="488">
        <f t="shared" si="1506"/>
        <v>10</v>
      </c>
      <c r="AC670" s="371"/>
      <c r="AD670" s="232">
        <f t="shared" si="1507"/>
        <v>80</v>
      </c>
      <c r="AE670" s="232" t="str">
        <f t="shared" si="1508"/>
        <v/>
      </c>
      <c r="AF670" s="232" t="str">
        <f t="shared" si="1509"/>
        <v/>
      </c>
      <c r="AG670" s="232">
        <f t="shared" si="1542"/>
        <v>1</v>
      </c>
      <c r="AH670" s="371"/>
      <c r="AI670" s="499">
        <v>50</v>
      </c>
      <c r="AJ670" s="500">
        <v>30</v>
      </c>
      <c r="AK670" s="488">
        <f t="shared" si="1510"/>
        <v>20</v>
      </c>
      <c r="AL670" s="371"/>
      <c r="AM670" s="232">
        <f t="shared" si="1511"/>
        <v>50</v>
      </c>
      <c r="AN670" s="232" t="str">
        <f t="shared" si="1512"/>
        <v/>
      </c>
      <c r="AO670" s="232" t="str">
        <f t="shared" si="1513"/>
        <v/>
      </c>
      <c r="AP670" s="232">
        <f t="shared" si="1543"/>
        <v>1</v>
      </c>
      <c r="AQ670" s="371"/>
      <c r="AR670" s="499">
        <v>40</v>
      </c>
      <c r="AS670" s="500">
        <v>50</v>
      </c>
      <c r="AT670" s="488">
        <f t="shared" si="1514"/>
        <v>10</v>
      </c>
      <c r="AU670" s="371"/>
      <c r="AV670" s="232">
        <f t="shared" si="1515"/>
        <v>40</v>
      </c>
      <c r="AW670" s="232" t="str">
        <f t="shared" si="1516"/>
        <v/>
      </c>
      <c r="AX670" s="232" t="str">
        <f t="shared" si="1517"/>
        <v/>
      </c>
      <c r="AY670" s="232" t="str">
        <f t="shared" si="1544"/>
        <v/>
      </c>
      <c r="AZ670" s="371"/>
      <c r="BA670" s="499">
        <v>80</v>
      </c>
      <c r="BB670" s="500">
        <v>10</v>
      </c>
      <c r="BC670" s="488">
        <f t="shared" si="1518"/>
        <v>10</v>
      </c>
      <c r="BD670" s="371"/>
      <c r="BE670" s="232">
        <f t="shared" si="1519"/>
        <v>80</v>
      </c>
      <c r="BF670" s="232" t="str">
        <f t="shared" si="1520"/>
        <v/>
      </c>
      <c r="BG670" s="232" t="str">
        <f t="shared" si="1521"/>
        <v/>
      </c>
      <c r="BH670" s="232">
        <f t="shared" si="1545"/>
        <v>1</v>
      </c>
      <c r="BI670" s="371"/>
      <c r="BJ670" s="499">
        <v>30</v>
      </c>
      <c r="BK670" s="500">
        <v>40</v>
      </c>
      <c r="BL670" s="488">
        <f t="shared" si="1522"/>
        <v>30</v>
      </c>
      <c r="BM670" s="371"/>
      <c r="BN670" s="232">
        <f t="shared" si="1523"/>
        <v>30</v>
      </c>
      <c r="BO670" s="232" t="str">
        <f t="shared" si="1524"/>
        <v/>
      </c>
      <c r="BP670" s="232" t="str">
        <f t="shared" si="1525"/>
        <v/>
      </c>
      <c r="BQ670" s="232" t="str">
        <f t="shared" si="1546"/>
        <v/>
      </c>
      <c r="BR670" s="371"/>
      <c r="BS670" s="499">
        <v>40</v>
      </c>
      <c r="BT670" s="500">
        <v>30</v>
      </c>
      <c r="BU670" s="488">
        <f t="shared" si="1526"/>
        <v>30</v>
      </c>
      <c r="BV670" s="371"/>
      <c r="BW670" s="232">
        <f t="shared" si="1527"/>
        <v>40</v>
      </c>
      <c r="BX670" s="232" t="str">
        <f t="shared" si="1528"/>
        <v/>
      </c>
      <c r="BY670" s="232" t="str">
        <f t="shared" si="1529"/>
        <v/>
      </c>
      <c r="BZ670" s="232">
        <f t="shared" si="1547"/>
        <v>1</v>
      </c>
      <c r="CA670" s="371"/>
      <c r="CB670" s="507">
        <f t="shared" si="1530"/>
        <v>50</v>
      </c>
      <c r="CC670" s="508">
        <f t="shared" si="1531"/>
        <v>20</v>
      </c>
      <c r="CD670" s="509">
        <f t="shared" si="1532"/>
        <v>30</v>
      </c>
      <c r="CE670" s="371"/>
      <c r="CF670" s="232">
        <f t="shared" si="1533"/>
        <v>50</v>
      </c>
      <c r="CG670" s="232" t="str">
        <f t="shared" si="1534"/>
        <v/>
      </c>
      <c r="CH670" s="232" t="str">
        <f t="shared" si="1535"/>
        <v/>
      </c>
      <c r="CI670" s="232">
        <f t="shared" si="1548"/>
        <v>1</v>
      </c>
      <c r="CJ670" s="232"/>
      <c r="CK670" s="499">
        <v>40</v>
      </c>
      <c r="CL670" s="500">
        <v>40</v>
      </c>
      <c r="CM670" s="488">
        <f t="shared" si="1536"/>
        <v>20</v>
      </c>
      <c r="CN670" s="371"/>
      <c r="CO670" s="232">
        <f t="shared" si="1537"/>
        <v>40</v>
      </c>
      <c r="CP670" s="232" t="str">
        <f t="shared" si="1538"/>
        <v/>
      </c>
      <c r="CQ670" s="232" t="str">
        <f t="shared" si="1539"/>
        <v/>
      </c>
      <c r="CR670" s="232">
        <f t="shared" si="1549"/>
        <v>1</v>
      </c>
      <c r="CS670" s="232"/>
      <c r="CT670" s="371"/>
      <c r="CU670" s="296"/>
      <c r="CV670" s="246"/>
      <c r="CW670" s="264"/>
    </row>
    <row r="671" spans="1:105" x14ac:dyDescent="0.2">
      <c r="A671" s="264"/>
      <c r="B671" s="264"/>
      <c r="C671" s="202"/>
      <c r="D671" s="271">
        <v>4</v>
      </c>
      <c r="E671" s="166" t="s">
        <v>900</v>
      </c>
      <c r="F671" s="468">
        <v>3</v>
      </c>
      <c r="G671" s="472"/>
      <c r="H671" s="473">
        <v>1</v>
      </c>
      <c r="I671" s="170" t="str">
        <f t="shared" si="1500"/>
        <v>x</v>
      </c>
      <c r="J671" s="387" t="str">
        <f t="shared" si="1501"/>
        <v/>
      </c>
      <c r="K671" s="388" t="str">
        <f t="shared" si="1502"/>
        <v/>
      </c>
      <c r="L671" s="299"/>
      <c r="M671" s="375"/>
      <c r="N671" s="379"/>
      <c r="O671" s="236"/>
      <c r="P671" s="236"/>
      <c r="Q671" s="480">
        <v>10</v>
      </c>
      <c r="R671" s="481">
        <v>80</v>
      </c>
      <c r="S671" s="482">
        <f t="shared" si="1540"/>
        <v>10</v>
      </c>
      <c r="T671" s="371"/>
      <c r="U671" s="232">
        <f t="shared" si="1503"/>
        <v>10</v>
      </c>
      <c r="V671" s="232" t="str">
        <f t="shared" si="1504"/>
        <v/>
      </c>
      <c r="W671" s="232" t="str">
        <f t="shared" si="1505"/>
        <v/>
      </c>
      <c r="X671" s="232" t="str">
        <f t="shared" si="1541"/>
        <v/>
      </c>
      <c r="Y671" s="371"/>
      <c r="Z671" s="495">
        <v>10</v>
      </c>
      <c r="AA671" s="496">
        <v>10</v>
      </c>
      <c r="AB671" s="482">
        <f t="shared" si="1506"/>
        <v>80</v>
      </c>
      <c r="AC671" s="371"/>
      <c r="AD671" s="232">
        <f t="shared" si="1507"/>
        <v>10</v>
      </c>
      <c r="AE671" s="232" t="str">
        <f t="shared" si="1508"/>
        <v/>
      </c>
      <c r="AF671" s="232" t="str">
        <f t="shared" si="1509"/>
        <v/>
      </c>
      <c r="AG671" s="232" t="str">
        <f t="shared" si="1542"/>
        <v/>
      </c>
      <c r="AH671" s="371"/>
      <c r="AI671" s="495">
        <v>30</v>
      </c>
      <c r="AJ671" s="496">
        <v>40</v>
      </c>
      <c r="AK671" s="482">
        <f t="shared" si="1510"/>
        <v>30</v>
      </c>
      <c r="AL671" s="371"/>
      <c r="AM671" s="232">
        <f t="shared" si="1511"/>
        <v>30</v>
      </c>
      <c r="AN671" s="232" t="str">
        <f t="shared" si="1512"/>
        <v/>
      </c>
      <c r="AO671" s="232" t="str">
        <f t="shared" si="1513"/>
        <v/>
      </c>
      <c r="AP671" s="232" t="str">
        <f t="shared" si="1543"/>
        <v/>
      </c>
      <c r="AQ671" s="371"/>
      <c r="AR671" s="495">
        <v>10</v>
      </c>
      <c r="AS671" s="496">
        <v>30</v>
      </c>
      <c r="AT671" s="482">
        <f t="shared" si="1514"/>
        <v>60</v>
      </c>
      <c r="AU671" s="371"/>
      <c r="AV671" s="232">
        <f t="shared" si="1515"/>
        <v>10</v>
      </c>
      <c r="AW671" s="232" t="str">
        <f t="shared" si="1516"/>
        <v/>
      </c>
      <c r="AX671" s="232" t="str">
        <f t="shared" si="1517"/>
        <v/>
      </c>
      <c r="AY671" s="232" t="str">
        <f t="shared" si="1544"/>
        <v/>
      </c>
      <c r="AZ671" s="371"/>
      <c r="BA671" s="495">
        <v>80</v>
      </c>
      <c r="BB671" s="496">
        <v>10</v>
      </c>
      <c r="BC671" s="482">
        <f t="shared" si="1518"/>
        <v>10</v>
      </c>
      <c r="BD671" s="371"/>
      <c r="BE671" s="232">
        <f t="shared" si="1519"/>
        <v>80</v>
      </c>
      <c r="BF671" s="232" t="str">
        <f t="shared" si="1520"/>
        <v/>
      </c>
      <c r="BG671" s="232" t="str">
        <f t="shared" si="1521"/>
        <v/>
      </c>
      <c r="BH671" s="232">
        <f t="shared" si="1545"/>
        <v>1</v>
      </c>
      <c r="BI671" s="371"/>
      <c r="BJ671" s="495">
        <v>10</v>
      </c>
      <c r="BK671" s="496">
        <v>10</v>
      </c>
      <c r="BL671" s="482">
        <f t="shared" si="1522"/>
        <v>80</v>
      </c>
      <c r="BM671" s="371"/>
      <c r="BN671" s="232">
        <f t="shared" si="1523"/>
        <v>10</v>
      </c>
      <c r="BO671" s="232" t="str">
        <f t="shared" si="1524"/>
        <v/>
      </c>
      <c r="BP671" s="232" t="str">
        <f t="shared" si="1525"/>
        <v/>
      </c>
      <c r="BQ671" s="232" t="str">
        <f t="shared" si="1546"/>
        <v/>
      </c>
      <c r="BR671" s="371"/>
      <c r="BS671" s="495">
        <v>20</v>
      </c>
      <c r="BT671" s="496">
        <v>30</v>
      </c>
      <c r="BU671" s="482">
        <f t="shared" si="1526"/>
        <v>50</v>
      </c>
      <c r="BV671" s="371"/>
      <c r="BW671" s="232">
        <f t="shared" si="1527"/>
        <v>20</v>
      </c>
      <c r="BX671" s="232" t="str">
        <f t="shared" si="1528"/>
        <v/>
      </c>
      <c r="BY671" s="232" t="str">
        <f t="shared" si="1529"/>
        <v/>
      </c>
      <c r="BZ671" s="232" t="str">
        <f t="shared" si="1547"/>
        <v/>
      </c>
      <c r="CA671" s="371"/>
      <c r="CB671" s="501">
        <f t="shared" si="1530"/>
        <v>30</v>
      </c>
      <c r="CC671" s="502">
        <f t="shared" si="1531"/>
        <v>30</v>
      </c>
      <c r="CD671" s="503">
        <f t="shared" si="1532"/>
        <v>40</v>
      </c>
      <c r="CE671" s="371"/>
      <c r="CF671" s="232">
        <f t="shared" si="1533"/>
        <v>30</v>
      </c>
      <c r="CG671" s="232" t="str">
        <f t="shared" si="1534"/>
        <v/>
      </c>
      <c r="CH671" s="232" t="str">
        <f t="shared" si="1535"/>
        <v/>
      </c>
      <c r="CI671" s="232" t="str">
        <f t="shared" si="1548"/>
        <v/>
      </c>
      <c r="CJ671" s="232"/>
      <c r="CK671" s="495">
        <v>20</v>
      </c>
      <c r="CL671" s="496">
        <v>30</v>
      </c>
      <c r="CM671" s="482">
        <f t="shared" si="1536"/>
        <v>50</v>
      </c>
      <c r="CN671" s="371"/>
      <c r="CO671" s="232">
        <f t="shared" si="1537"/>
        <v>20</v>
      </c>
      <c r="CP671" s="232" t="str">
        <f t="shared" si="1538"/>
        <v/>
      </c>
      <c r="CQ671" s="232" t="str">
        <f t="shared" si="1539"/>
        <v/>
      </c>
      <c r="CR671" s="232" t="str">
        <f t="shared" si="1549"/>
        <v/>
      </c>
      <c r="CS671" s="232"/>
      <c r="CT671" s="371"/>
      <c r="CU671" s="296"/>
      <c r="CV671" s="246"/>
      <c r="CW671" s="264"/>
    </row>
    <row r="672" spans="1:105" x14ac:dyDescent="0.2">
      <c r="A672" s="264"/>
      <c r="B672" s="264"/>
      <c r="C672" s="202"/>
      <c r="D672" s="271">
        <v>5</v>
      </c>
      <c r="E672" s="167" t="s">
        <v>901</v>
      </c>
      <c r="F672" s="469">
        <v>1</v>
      </c>
      <c r="G672" s="474"/>
      <c r="H672" s="475">
        <v>1</v>
      </c>
      <c r="I672" s="389" t="str">
        <f t="shared" si="1500"/>
        <v/>
      </c>
      <c r="J672" s="390" t="str">
        <f t="shared" si="1501"/>
        <v>x</v>
      </c>
      <c r="K672" s="391" t="str">
        <f t="shared" si="1502"/>
        <v/>
      </c>
      <c r="L672" s="299"/>
      <c r="M672" s="375"/>
      <c r="N672" s="379"/>
      <c r="O672" s="236"/>
      <c r="P672" s="236"/>
      <c r="Q672" s="483">
        <v>10</v>
      </c>
      <c r="R672" s="484">
        <v>20</v>
      </c>
      <c r="S672" s="485">
        <f t="shared" si="1540"/>
        <v>70</v>
      </c>
      <c r="T672" s="371"/>
      <c r="U672" s="232" t="str">
        <f t="shared" si="1503"/>
        <v/>
      </c>
      <c r="V672" s="232">
        <f t="shared" si="1504"/>
        <v>20</v>
      </c>
      <c r="W672" s="232" t="str">
        <f t="shared" si="1505"/>
        <v/>
      </c>
      <c r="X672" s="232" t="str">
        <f t="shared" si="1541"/>
        <v/>
      </c>
      <c r="Y672" s="371"/>
      <c r="Z672" s="497">
        <v>10</v>
      </c>
      <c r="AA672" s="498">
        <v>10</v>
      </c>
      <c r="AB672" s="485">
        <f t="shared" si="1506"/>
        <v>80</v>
      </c>
      <c r="AC672" s="371"/>
      <c r="AD672" s="232" t="str">
        <f t="shared" si="1507"/>
        <v/>
      </c>
      <c r="AE672" s="232">
        <f t="shared" si="1508"/>
        <v>10</v>
      </c>
      <c r="AF672" s="232" t="str">
        <f t="shared" si="1509"/>
        <v/>
      </c>
      <c r="AG672" s="232" t="str">
        <f t="shared" si="1542"/>
        <v/>
      </c>
      <c r="AH672" s="371"/>
      <c r="AI672" s="497">
        <v>20</v>
      </c>
      <c r="AJ672" s="498">
        <v>10</v>
      </c>
      <c r="AK672" s="485">
        <f t="shared" si="1510"/>
        <v>70</v>
      </c>
      <c r="AL672" s="371"/>
      <c r="AM672" s="232" t="str">
        <f t="shared" si="1511"/>
        <v/>
      </c>
      <c r="AN672" s="232">
        <f t="shared" si="1512"/>
        <v>10</v>
      </c>
      <c r="AO672" s="232" t="str">
        <f t="shared" si="1513"/>
        <v/>
      </c>
      <c r="AP672" s="232" t="str">
        <f t="shared" si="1543"/>
        <v/>
      </c>
      <c r="AQ672" s="371"/>
      <c r="AR672" s="497">
        <v>30</v>
      </c>
      <c r="AS672" s="498">
        <v>30</v>
      </c>
      <c r="AT672" s="485">
        <f t="shared" si="1514"/>
        <v>40</v>
      </c>
      <c r="AU672" s="371"/>
      <c r="AV672" s="232" t="str">
        <f t="shared" si="1515"/>
        <v/>
      </c>
      <c r="AW672" s="232">
        <f t="shared" si="1516"/>
        <v>30</v>
      </c>
      <c r="AX672" s="232" t="str">
        <f t="shared" si="1517"/>
        <v/>
      </c>
      <c r="AY672" s="232" t="str">
        <f t="shared" si="1544"/>
        <v/>
      </c>
      <c r="AZ672" s="371"/>
      <c r="BA672" s="497">
        <v>80</v>
      </c>
      <c r="BB672" s="498">
        <v>10</v>
      </c>
      <c r="BC672" s="485">
        <f t="shared" si="1518"/>
        <v>10</v>
      </c>
      <c r="BD672" s="371"/>
      <c r="BE672" s="232" t="str">
        <f t="shared" si="1519"/>
        <v/>
      </c>
      <c r="BF672" s="232">
        <f t="shared" si="1520"/>
        <v>10</v>
      </c>
      <c r="BG672" s="232" t="str">
        <f t="shared" si="1521"/>
        <v/>
      </c>
      <c r="BH672" s="232" t="str">
        <f t="shared" si="1545"/>
        <v/>
      </c>
      <c r="BI672" s="371"/>
      <c r="BJ672" s="497">
        <v>10</v>
      </c>
      <c r="BK672" s="498">
        <v>10</v>
      </c>
      <c r="BL672" s="485">
        <f t="shared" si="1522"/>
        <v>80</v>
      </c>
      <c r="BM672" s="371"/>
      <c r="BN672" s="232" t="str">
        <f t="shared" si="1523"/>
        <v/>
      </c>
      <c r="BO672" s="232">
        <f t="shared" si="1524"/>
        <v>10</v>
      </c>
      <c r="BP672" s="232" t="str">
        <f t="shared" si="1525"/>
        <v/>
      </c>
      <c r="BQ672" s="232" t="str">
        <f t="shared" si="1546"/>
        <v/>
      </c>
      <c r="BR672" s="371"/>
      <c r="BS672" s="497">
        <v>30</v>
      </c>
      <c r="BT672" s="498">
        <v>30</v>
      </c>
      <c r="BU672" s="485">
        <f t="shared" si="1526"/>
        <v>40</v>
      </c>
      <c r="BV672" s="371"/>
      <c r="BW672" s="232" t="str">
        <f t="shared" si="1527"/>
        <v/>
      </c>
      <c r="BX672" s="232">
        <f t="shared" si="1528"/>
        <v>30</v>
      </c>
      <c r="BY672" s="232" t="str">
        <f t="shared" si="1529"/>
        <v/>
      </c>
      <c r="BZ672" s="232" t="str">
        <f t="shared" si="1547"/>
        <v/>
      </c>
      <c r="CA672" s="371"/>
      <c r="CB672" s="504">
        <f t="shared" si="1530"/>
        <v>30</v>
      </c>
      <c r="CC672" s="505">
        <f t="shared" si="1531"/>
        <v>10</v>
      </c>
      <c r="CD672" s="506">
        <f t="shared" si="1532"/>
        <v>60</v>
      </c>
      <c r="CE672" s="371"/>
      <c r="CF672" s="232" t="str">
        <f t="shared" si="1533"/>
        <v/>
      </c>
      <c r="CG672" s="232">
        <f t="shared" si="1534"/>
        <v>10</v>
      </c>
      <c r="CH672" s="232" t="str">
        <f t="shared" si="1535"/>
        <v/>
      </c>
      <c r="CI672" s="232" t="str">
        <f t="shared" si="1548"/>
        <v/>
      </c>
      <c r="CJ672" s="232"/>
      <c r="CK672" s="497">
        <v>10</v>
      </c>
      <c r="CL672" s="498">
        <v>10</v>
      </c>
      <c r="CM672" s="485">
        <f t="shared" si="1536"/>
        <v>80</v>
      </c>
      <c r="CN672" s="371"/>
      <c r="CO672" s="232" t="str">
        <f t="shared" si="1537"/>
        <v/>
      </c>
      <c r="CP672" s="232">
        <f t="shared" si="1538"/>
        <v>10</v>
      </c>
      <c r="CQ672" s="232" t="str">
        <f t="shared" si="1539"/>
        <v/>
      </c>
      <c r="CR672" s="232" t="str">
        <f t="shared" si="1549"/>
        <v/>
      </c>
      <c r="CS672" s="232"/>
      <c r="CT672" s="371"/>
      <c r="CU672" s="296"/>
      <c r="CV672" s="246"/>
      <c r="CW672" s="264"/>
    </row>
    <row r="673" spans="1:101" ht="13.5" thickBot="1" x14ac:dyDescent="0.25">
      <c r="A673" s="264"/>
      <c r="B673" s="264"/>
      <c r="C673" s="202"/>
      <c r="D673" s="271">
        <v>6</v>
      </c>
      <c r="E673" s="168" t="s">
        <v>902</v>
      </c>
      <c r="F673" s="470">
        <v>0</v>
      </c>
      <c r="G673" s="476"/>
      <c r="H673" s="477">
        <v>4</v>
      </c>
      <c r="I673" s="392" t="str">
        <f t="shared" si="1500"/>
        <v/>
      </c>
      <c r="J673" s="393" t="str">
        <f t="shared" si="1501"/>
        <v/>
      </c>
      <c r="K673" s="394" t="str">
        <f t="shared" si="1502"/>
        <v>x</v>
      </c>
      <c r="L673" s="299"/>
      <c r="M673" s="375"/>
      <c r="N673" s="379"/>
      <c r="O673" s="236"/>
      <c r="P673" s="236"/>
      <c r="Q673" s="489">
        <v>50</v>
      </c>
      <c r="R673" s="490">
        <v>40</v>
      </c>
      <c r="S673" s="491">
        <f t="shared" si="1540"/>
        <v>10</v>
      </c>
      <c r="T673" s="371"/>
      <c r="U673" s="232" t="str">
        <f t="shared" si="1503"/>
        <v/>
      </c>
      <c r="V673" s="232" t="str">
        <f t="shared" si="1504"/>
        <v/>
      </c>
      <c r="W673" s="232">
        <f t="shared" si="1505"/>
        <v>10</v>
      </c>
      <c r="X673" s="232" t="str">
        <f t="shared" si="1541"/>
        <v/>
      </c>
      <c r="Y673" s="371"/>
      <c r="Z673" s="499">
        <v>10</v>
      </c>
      <c r="AA673" s="500">
        <v>10</v>
      </c>
      <c r="AB673" s="491">
        <f t="shared" si="1506"/>
        <v>80</v>
      </c>
      <c r="AC673" s="371"/>
      <c r="AD673" s="232" t="str">
        <f t="shared" si="1507"/>
        <v/>
      </c>
      <c r="AE673" s="232" t="str">
        <f t="shared" si="1508"/>
        <v/>
      </c>
      <c r="AF673" s="232">
        <f t="shared" si="1509"/>
        <v>80</v>
      </c>
      <c r="AG673" s="232">
        <f t="shared" si="1542"/>
        <v>1</v>
      </c>
      <c r="AH673" s="371"/>
      <c r="AI673" s="499">
        <v>30</v>
      </c>
      <c r="AJ673" s="500">
        <v>30</v>
      </c>
      <c r="AK673" s="491">
        <f t="shared" si="1510"/>
        <v>40</v>
      </c>
      <c r="AL673" s="371"/>
      <c r="AM673" s="232" t="str">
        <f t="shared" si="1511"/>
        <v/>
      </c>
      <c r="AN673" s="232" t="str">
        <f t="shared" si="1512"/>
        <v/>
      </c>
      <c r="AO673" s="232">
        <f t="shared" si="1513"/>
        <v>40</v>
      </c>
      <c r="AP673" s="232">
        <f t="shared" si="1543"/>
        <v>1</v>
      </c>
      <c r="AQ673" s="371"/>
      <c r="AR673" s="499">
        <v>10</v>
      </c>
      <c r="AS673" s="500">
        <v>40</v>
      </c>
      <c r="AT673" s="491">
        <f t="shared" si="1514"/>
        <v>50</v>
      </c>
      <c r="AU673" s="371"/>
      <c r="AV673" s="232" t="str">
        <f t="shared" si="1515"/>
        <v/>
      </c>
      <c r="AW673" s="232" t="str">
        <f t="shared" si="1516"/>
        <v/>
      </c>
      <c r="AX673" s="232">
        <f t="shared" si="1517"/>
        <v>50</v>
      </c>
      <c r="AY673" s="232">
        <f t="shared" si="1544"/>
        <v>1</v>
      </c>
      <c r="AZ673" s="371"/>
      <c r="BA673" s="499">
        <v>10</v>
      </c>
      <c r="BB673" s="500">
        <v>10</v>
      </c>
      <c r="BC673" s="491">
        <f t="shared" si="1518"/>
        <v>80</v>
      </c>
      <c r="BD673" s="371"/>
      <c r="BE673" s="232" t="str">
        <f t="shared" si="1519"/>
        <v/>
      </c>
      <c r="BF673" s="232" t="str">
        <f t="shared" si="1520"/>
        <v/>
      </c>
      <c r="BG673" s="232">
        <f t="shared" si="1521"/>
        <v>80</v>
      </c>
      <c r="BH673" s="232">
        <f t="shared" si="1545"/>
        <v>1</v>
      </c>
      <c r="BI673" s="371"/>
      <c r="BJ673" s="499">
        <v>20</v>
      </c>
      <c r="BK673" s="500">
        <v>50</v>
      </c>
      <c r="BL673" s="491">
        <f t="shared" si="1522"/>
        <v>30</v>
      </c>
      <c r="BM673" s="371"/>
      <c r="BN673" s="232" t="str">
        <f t="shared" si="1523"/>
        <v/>
      </c>
      <c r="BO673" s="232" t="str">
        <f t="shared" si="1524"/>
        <v/>
      </c>
      <c r="BP673" s="232">
        <f t="shared" si="1525"/>
        <v>30</v>
      </c>
      <c r="BQ673" s="232" t="str">
        <f t="shared" si="1546"/>
        <v/>
      </c>
      <c r="BR673" s="371"/>
      <c r="BS673" s="499">
        <v>50</v>
      </c>
      <c r="BT673" s="500">
        <v>40</v>
      </c>
      <c r="BU673" s="491">
        <f t="shared" si="1526"/>
        <v>10</v>
      </c>
      <c r="BV673" s="371"/>
      <c r="BW673" s="232" t="str">
        <f t="shared" si="1527"/>
        <v/>
      </c>
      <c r="BX673" s="232" t="str">
        <f t="shared" si="1528"/>
        <v/>
      </c>
      <c r="BY673" s="232">
        <f t="shared" si="1529"/>
        <v>10</v>
      </c>
      <c r="BZ673" s="232" t="str">
        <f t="shared" si="1547"/>
        <v/>
      </c>
      <c r="CA673" s="371"/>
      <c r="CB673" s="507">
        <f t="shared" si="1530"/>
        <v>30</v>
      </c>
      <c r="CC673" s="508">
        <f t="shared" si="1531"/>
        <v>30</v>
      </c>
      <c r="CD673" s="509">
        <f t="shared" si="1532"/>
        <v>40</v>
      </c>
      <c r="CE673" s="371"/>
      <c r="CF673" s="232" t="str">
        <f t="shared" si="1533"/>
        <v/>
      </c>
      <c r="CG673" s="232" t="str">
        <f t="shared" si="1534"/>
        <v/>
      </c>
      <c r="CH673" s="232">
        <f t="shared" si="1535"/>
        <v>40</v>
      </c>
      <c r="CI673" s="232">
        <f t="shared" si="1548"/>
        <v>1</v>
      </c>
      <c r="CJ673" s="232"/>
      <c r="CK673" s="499">
        <v>10</v>
      </c>
      <c r="CL673" s="500">
        <v>30</v>
      </c>
      <c r="CM673" s="491">
        <f t="shared" si="1536"/>
        <v>60</v>
      </c>
      <c r="CN673" s="371"/>
      <c r="CO673" s="232" t="str">
        <f t="shared" si="1537"/>
        <v/>
      </c>
      <c r="CP673" s="232" t="str">
        <f t="shared" si="1538"/>
        <v/>
      </c>
      <c r="CQ673" s="232">
        <f t="shared" si="1539"/>
        <v>60</v>
      </c>
      <c r="CR673" s="232">
        <f t="shared" si="1549"/>
        <v>1</v>
      </c>
      <c r="CS673" s="232"/>
      <c r="CT673" s="371"/>
      <c r="CU673" s="296"/>
      <c r="CV673" s="246"/>
      <c r="CW673" s="264"/>
    </row>
    <row r="674" spans="1:101" x14ac:dyDescent="0.2">
      <c r="A674" s="264"/>
      <c r="B674" s="264"/>
      <c r="C674" s="202"/>
      <c r="D674" s="271">
        <v>7</v>
      </c>
      <c r="E674" s="166" t="s">
        <v>903</v>
      </c>
      <c r="F674" s="468">
        <v>1</v>
      </c>
      <c r="G674" s="472"/>
      <c r="H674" s="473">
        <v>3</v>
      </c>
      <c r="I674" s="170" t="str">
        <f t="shared" si="1500"/>
        <v/>
      </c>
      <c r="J674" s="387" t="str">
        <f t="shared" si="1501"/>
        <v/>
      </c>
      <c r="K674" s="388" t="str">
        <f t="shared" si="1502"/>
        <v>x</v>
      </c>
      <c r="L674" s="299"/>
      <c r="M674" s="375"/>
      <c r="N674" s="379"/>
      <c r="O674" s="236"/>
      <c r="P674" s="236"/>
      <c r="Q674" s="480">
        <v>10</v>
      </c>
      <c r="R674" s="481">
        <v>10</v>
      </c>
      <c r="S674" s="482">
        <f t="shared" si="1540"/>
        <v>80</v>
      </c>
      <c r="T674" s="371"/>
      <c r="U674" s="232" t="str">
        <f t="shared" si="1503"/>
        <v/>
      </c>
      <c r="V674" s="232" t="str">
        <f t="shared" si="1504"/>
        <v/>
      </c>
      <c r="W674" s="232">
        <f t="shared" si="1505"/>
        <v>80</v>
      </c>
      <c r="X674" s="232">
        <f t="shared" si="1541"/>
        <v>1</v>
      </c>
      <c r="Y674" s="371"/>
      <c r="Z674" s="495">
        <v>10</v>
      </c>
      <c r="AA674" s="496">
        <v>10</v>
      </c>
      <c r="AB674" s="482">
        <f t="shared" si="1506"/>
        <v>80</v>
      </c>
      <c r="AC674" s="371"/>
      <c r="AD674" s="232" t="str">
        <f t="shared" si="1507"/>
        <v/>
      </c>
      <c r="AE674" s="232" t="str">
        <f t="shared" si="1508"/>
        <v/>
      </c>
      <c r="AF674" s="232">
        <f t="shared" si="1509"/>
        <v>80</v>
      </c>
      <c r="AG674" s="232">
        <f t="shared" si="1542"/>
        <v>1</v>
      </c>
      <c r="AH674" s="371"/>
      <c r="AI674" s="495">
        <v>40</v>
      </c>
      <c r="AJ674" s="496">
        <v>20</v>
      </c>
      <c r="AK674" s="482">
        <f t="shared" si="1510"/>
        <v>40</v>
      </c>
      <c r="AL674" s="371"/>
      <c r="AM674" s="232" t="str">
        <f t="shared" si="1511"/>
        <v/>
      </c>
      <c r="AN674" s="232" t="str">
        <f t="shared" si="1512"/>
        <v/>
      </c>
      <c r="AO674" s="232">
        <f t="shared" si="1513"/>
        <v>40</v>
      </c>
      <c r="AP674" s="232">
        <f t="shared" si="1543"/>
        <v>1</v>
      </c>
      <c r="AQ674" s="371"/>
      <c r="AR674" s="495">
        <v>20</v>
      </c>
      <c r="AS674" s="496">
        <v>40</v>
      </c>
      <c r="AT674" s="482">
        <f t="shared" si="1514"/>
        <v>40</v>
      </c>
      <c r="AU674" s="371"/>
      <c r="AV674" s="232" t="str">
        <f t="shared" si="1515"/>
        <v/>
      </c>
      <c r="AW674" s="232" t="str">
        <f t="shared" si="1516"/>
        <v/>
      </c>
      <c r="AX674" s="232">
        <f t="shared" si="1517"/>
        <v>40</v>
      </c>
      <c r="AY674" s="232">
        <f t="shared" si="1544"/>
        <v>1</v>
      </c>
      <c r="AZ674" s="371"/>
      <c r="BA674" s="495">
        <v>80</v>
      </c>
      <c r="BB674" s="496">
        <v>10</v>
      </c>
      <c r="BC674" s="482">
        <f t="shared" si="1518"/>
        <v>10</v>
      </c>
      <c r="BD674" s="371"/>
      <c r="BE674" s="232" t="str">
        <f t="shared" si="1519"/>
        <v/>
      </c>
      <c r="BF674" s="232" t="str">
        <f t="shared" si="1520"/>
        <v/>
      </c>
      <c r="BG674" s="232">
        <f t="shared" si="1521"/>
        <v>10</v>
      </c>
      <c r="BH674" s="232" t="str">
        <f t="shared" si="1545"/>
        <v/>
      </c>
      <c r="BI674" s="371"/>
      <c r="BJ674" s="495">
        <v>30</v>
      </c>
      <c r="BK674" s="496">
        <v>60</v>
      </c>
      <c r="BL674" s="482">
        <f t="shared" si="1522"/>
        <v>10</v>
      </c>
      <c r="BM674" s="371"/>
      <c r="BN674" s="232" t="str">
        <f t="shared" si="1523"/>
        <v/>
      </c>
      <c r="BO674" s="232" t="str">
        <f t="shared" si="1524"/>
        <v/>
      </c>
      <c r="BP674" s="232">
        <f t="shared" si="1525"/>
        <v>10</v>
      </c>
      <c r="BQ674" s="232" t="str">
        <f t="shared" si="1546"/>
        <v/>
      </c>
      <c r="BR674" s="371"/>
      <c r="BS674" s="495">
        <v>60</v>
      </c>
      <c r="BT674" s="496">
        <v>20</v>
      </c>
      <c r="BU674" s="482">
        <f t="shared" si="1526"/>
        <v>20</v>
      </c>
      <c r="BV674" s="371"/>
      <c r="BW674" s="232" t="str">
        <f t="shared" si="1527"/>
        <v/>
      </c>
      <c r="BX674" s="232" t="str">
        <f t="shared" si="1528"/>
        <v/>
      </c>
      <c r="BY674" s="232">
        <f t="shared" si="1529"/>
        <v>20</v>
      </c>
      <c r="BZ674" s="232" t="str">
        <f t="shared" si="1547"/>
        <v/>
      </c>
      <c r="CA674" s="371"/>
      <c r="CB674" s="501">
        <f t="shared" si="1530"/>
        <v>40</v>
      </c>
      <c r="CC674" s="502">
        <f t="shared" si="1531"/>
        <v>20</v>
      </c>
      <c r="CD674" s="503">
        <f t="shared" si="1532"/>
        <v>40</v>
      </c>
      <c r="CE674" s="371"/>
      <c r="CF674" s="232" t="str">
        <f t="shared" si="1533"/>
        <v/>
      </c>
      <c r="CG674" s="232" t="str">
        <f t="shared" si="1534"/>
        <v/>
      </c>
      <c r="CH674" s="232">
        <f t="shared" si="1535"/>
        <v>40</v>
      </c>
      <c r="CI674" s="232">
        <f t="shared" si="1548"/>
        <v>1</v>
      </c>
      <c r="CJ674" s="232"/>
      <c r="CK674" s="495">
        <v>20</v>
      </c>
      <c r="CL674" s="496">
        <v>40</v>
      </c>
      <c r="CM674" s="482">
        <f t="shared" si="1536"/>
        <v>40</v>
      </c>
      <c r="CN674" s="371"/>
      <c r="CO674" s="232" t="str">
        <f t="shared" si="1537"/>
        <v/>
      </c>
      <c r="CP674" s="232" t="str">
        <f t="shared" si="1538"/>
        <v/>
      </c>
      <c r="CQ674" s="232">
        <f t="shared" si="1539"/>
        <v>40</v>
      </c>
      <c r="CR674" s="232">
        <f t="shared" si="1549"/>
        <v>1</v>
      </c>
      <c r="CS674" s="232"/>
      <c r="CT674" s="371"/>
      <c r="CU674" s="300"/>
      <c r="CV674" s="246"/>
      <c r="CW674" s="264"/>
    </row>
    <row r="675" spans="1:101" x14ac:dyDescent="0.2">
      <c r="A675" s="264"/>
      <c r="B675" s="264"/>
      <c r="C675" s="202"/>
      <c r="D675" s="271">
        <v>8</v>
      </c>
      <c r="E675" s="167" t="s">
        <v>904</v>
      </c>
      <c r="F675" s="469">
        <v>2</v>
      </c>
      <c r="G675" s="474"/>
      <c r="H675" s="475">
        <v>3</v>
      </c>
      <c r="I675" s="389" t="str">
        <f t="shared" si="1500"/>
        <v/>
      </c>
      <c r="J675" s="390" t="str">
        <f t="shared" si="1501"/>
        <v/>
      </c>
      <c r="K675" s="391" t="str">
        <f t="shared" si="1502"/>
        <v>x</v>
      </c>
      <c r="L675" s="299"/>
      <c r="M675" s="375"/>
      <c r="N675" s="379"/>
      <c r="O675" s="236"/>
      <c r="P675" s="236"/>
      <c r="Q675" s="483">
        <v>20</v>
      </c>
      <c r="R675" s="484">
        <v>60</v>
      </c>
      <c r="S675" s="485">
        <f t="shared" si="1540"/>
        <v>20</v>
      </c>
      <c r="T675" s="371"/>
      <c r="U675" s="232" t="str">
        <f t="shared" si="1503"/>
        <v/>
      </c>
      <c r="V675" s="232" t="str">
        <f t="shared" si="1504"/>
        <v/>
      </c>
      <c r="W675" s="232">
        <f t="shared" si="1505"/>
        <v>20</v>
      </c>
      <c r="X675" s="232" t="str">
        <f t="shared" si="1541"/>
        <v/>
      </c>
      <c r="Y675" s="371"/>
      <c r="Z675" s="497">
        <v>80</v>
      </c>
      <c r="AA675" s="498">
        <v>10</v>
      </c>
      <c r="AB675" s="485">
        <f t="shared" si="1506"/>
        <v>10</v>
      </c>
      <c r="AC675" s="371"/>
      <c r="AD675" s="232" t="str">
        <f t="shared" si="1507"/>
        <v/>
      </c>
      <c r="AE675" s="232" t="str">
        <f t="shared" si="1508"/>
        <v/>
      </c>
      <c r="AF675" s="232">
        <f t="shared" si="1509"/>
        <v>10</v>
      </c>
      <c r="AG675" s="232" t="str">
        <f t="shared" si="1542"/>
        <v/>
      </c>
      <c r="AH675" s="371"/>
      <c r="AI675" s="497">
        <v>70</v>
      </c>
      <c r="AJ675" s="498">
        <v>10</v>
      </c>
      <c r="AK675" s="485">
        <f t="shared" si="1510"/>
        <v>20</v>
      </c>
      <c r="AL675" s="371"/>
      <c r="AM675" s="232" t="str">
        <f t="shared" si="1511"/>
        <v/>
      </c>
      <c r="AN675" s="232" t="str">
        <f t="shared" si="1512"/>
        <v/>
      </c>
      <c r="AO675" s="232">
        <f t="shared" si="1513"/>
        <v>20</v>
      </c>
      <c r="AP675" s="232" t="str">
        <f t="shared" si="1543"/>
        <v/>
      </c>
      <c r="AQ675" s="371"/>
      <c r="AR675" s="497">
        <v>50</v>
      </c>
      <c r="AS675" s="498">
        <v>40</v>
      </c>
      <c r="AT675" s="485">
        <f t="shared" si="1514"/>
        <v>10</v>
      </c>
      <c r="AU675" s="371"/>
      <c r="AV675" s="232" t="str">
        <f t="shared" si="1515"/>
        <v/>
      </c>
      <c r="AW675" s="232" t="str">
        <f t="shared" si="1516"/>
        <v/>
      </c>
      <c r="AX675" s="232">
        <f t="shared" si="1517"/>
        <v>10</v>
      </c>
      <c r="AY675" s="232" t="str">
        <f t="shared" si="1544"/>
        <v/>
      </c>
      <c r="AZ675" s="371"/>
      <c r="BA675" s="497">
        <v>80</v>
      </c>
      <c r="BB675" s="498">
        <v>10</v>
      </c>
      <c r="BC675" s="485">
        <f t="shared" si="1518"/>
        <v>10</v>
      </c>
      <c r="BD675" s="371"/>
      <c r="BE675" s="232" t="str">
        <f t="shared" si="1519"/>
        <v/>
      </c>
      <c r="BF675" s="232" t="str">
        <f t="shared" si="1520"/>
        <v/>
      </c>
      <c r="BG675" s="232">
        <f t="shared" si="1521"/>
        <v>10</v>
      </c>
      <c r="BH675" s="232" t="str">
        <f t="shared" si="1545"/>
        <v/>
      </c>
      <c r="BI675" s="371"/>
      <c r="BJ675" s="497">
        <v>30</v>
      </c>
      <c r="BK675" s="498">
        <v>40</v>
      </c>
      <c r="BL675" s="485">
        <f t="shared" si="1522"/>
        <v>30</v>
      </c>
      <c r="BM675" s="371"/>
      <c r="BN675" s="232" t="str">
        <f t="shared" si="1523"/>
        <v/>
      </c>
      <c r="BO675" s="232" t="str">
        <f t="shared" si="1524"/>
        <v/>
      </c>
      <c r="BP675" s="232">
        <f t="shared" si="1525"/>
        <v>30</v>
      </c>
      <c r="BQ675" s="232" t="str">
        <f t="shared" si="1546"/>
        <v/>
      </c>
      <c r="BR675" s="371"/>
      <c r="BS675" s="497">
        <v>40</v>
      </c>
      <c r="BT675" s="498">
        <v>40</v>
      </c>
      <c r="BU675" s="485">
        <f t="shared" si="1526"/>
        <v>20</v>
      </c>
      <c r="BV675" s="371"/>
      <c r="BW675" s="232" t="str">
        <f t="shared" si="1527"/>
        <v/>
      </c>
      <c r="BX675" s="232" t="str">
        <f t="shared" si="1528"/>
        <v/>
      </c>
      <c r="BY675" s="232">
        <f t="shared" si="1529"/>
        <v>20</v>
      </c>
      <c r="BZ675" s="232" t="str">
        <f t="shared" si="1547"/>
        <v/>
      </c>
      <c r="CA675" s="371"/>
      <c r="CB675" s="504">
        <f t="shared" si="1530"/>
        <v>60</v>
      </c>
      <c r="CC675" s="505">
        <f t="shared" si="1531"/>
        <v>30</v>
      </c>
      <c r="CD675" s="506">
        <f t="shared" si="1532"/>
        <v>10</v>
      </c>
      <c r="CE675" s="371"/>
      <c r="CF675" s="232" t="str">
        <f t="shared" si="1533"/>
        <v/>
      </c>
      <c r="CG675" s="232" t="str">
        <f t="shared" si="1534"/>
        <v/>
      </c>
      <c r="CH675" s="232">
        <f t="shared" si="1535"/>
        <v>10</v>
      </c>
      <c r="CI675" s="232" t="str">
        <f t="shared" si="1548"/>
        <v/>
      </c>
      <c r="CJ675" s="232"/>
      <c r="CK675" s="497">
        <v>60</v>
      </c>
      <c r="CL675" s="498">
        <v>30</v>
      </c>
      <c r="CM675" s="485">
        <f t="shared" si="1536"/>
        <v>10</v>
      </c>
      <c r="CN675" s="371"/>
      <c r="CO675" s="232" t="str">
        <f t="shared" si="1537"/>
        <v/>
      </c>
      <c r="CP675" s="232" t="str">
        <f t="shared" si="1538"/>
        <v/>
      </c>
      <c r="CQ675" s="232">
        <f t="shared" si="1539"/>
        <v>10</v>
      </c>
      <c r="CR675" s="232" t="str">
        <f t="shared" si="1549"/>
        <v/>
      </c>
      <c r="CS675" s="232"/>
      <c r="CT675" s="371"/>
      <c r="CU675" s="300"/>
      <c r="CV675" s="246"/>
      <c r="CW675" s="264"/>
    </row>
    <row r="676" spans="1:101" ht="13.5" thickBot="1" x14ac:dyDescent="0.25">
      <c r="A676" s="264"/>
      <c r="B676" s="264"/>
      <c r="C676" s="202"/>
      <c r="D676" s="271">
        <v>9</v>
      </c>
      <c r="E676" s="168" t="s">
        <v>905</v>
      </c>
      <c r="F676" s="470">
        <v>1</v>
      </c>
      <c r="G676" s="476"/>
      <c r="H676" s="477">
        <v>2</v>
      </c>
      <c r="I676" s="392" t="str">
        <f t="shared" si="1500"/>
        <v/>
      </c>
      <c r="J676" s="393" t="str">
        <f t="shared" si="1501"/>
        <v/>
      </c>
      <c r="K676" s="394" t="str">
        <f t="shared" si="1502"/>
        <v>x</v>
      </c>
      <c r="L676" s="299"/>
      <c r="M676" s="375"/>
      <c r="N676" s="379"/>
      <c r="O676" s="236"/>
      <c r="P676" s="236"/>
      <c r="Q676" s="489">
        <v>50</v>
      </c>
      <c r="R676" s="490">
        <v>10</v>
      </c>
      <c r="S676" s="491">
        <f t="shared" si="1540"/>
        <v>40</v>
      </c>
      <c r="T676" s="371"/>
      <c r="U676" s="232" t="str">
        <f t="shared" si="1503"/>
        <v/>
      </c>
      <c r="V676" s="232" t="str">
        <f t="shared" si="1504"/>
        <v/>
      </c>
      <c r="W676" s="232">
        <f t="shared" si="1505"/>
        <v>40</v>
      </c>
      <c r="X676" s="232" t="str">
        <f t="shared" si="1541"/>
        <v/>
      </c>
      <c r="Y676" s="371"/>
      <c r="Z676" s="499">
        <v>10</v>
      </c>
      <c r="AA676" s="500">
        <v>10</v>
      </c>
      <c r="AB676" s="491">
        <f t="shared" si="1506"/>
        <v>80</v>
      </c>
      <c r="AC676" s="371"/>
      <c r="AD676" s="232" t="str">
        <f t="shared" si="1507"/>
        <v/>
      </c>
      <c r="AE676" s="232" t="str">
        <f t="shared" si="1508"/>
        <v/>
      </c>
      <c r="AF676" s="232">
        <f t="shared" si="1509"/>
        <v>80</v>
      </c>
      <c r="AG676" s="232">
        <f t="shared" si="1542"/>
        <v>1</v>
      </c>
      <c r="AH676" s="371"/>
      <c r="AI676" s="499">
        <v>40</v>
      </c>
      <c r="AJ676" s="500">
        <v>30</v>
      </c>
      <c r="AK676" s="491">
        <f t="shared" si="1510"/>
        <v>30</v>
      </c>
      <c r="AL676" s="371"/>
      <c r="AM676" s="232" t="str">
        <f t="shared" si="1511"/>
        <v/>
      </c>
      <c r="AN676" s="232" t="str">
        <f t="shared" si="1512"/>
        <v/>
      </c>
      <c r="AO676" s="232">
        <f t="shared" si="1513"/>
        <v>30</v>
      </c>
      <c r="AP676" s="232" t="str">
        <f t="shared" si="1543"/>
        <v/>
      </c>
      <c r="AQ676" s="371"/>
      <c r="AR676" s="499">
        <v>10</v>
      </c>
      <c r="AS676" s="500">
        <v>40</v>
      </c>
      <c r="AT676" s="491">
        <f t="shared" si="1514"/>
        <v>50</v>
      </c>
      <c r="AU676" s="371"/>
      <c r="AV676" s="232" t="str">
        <f t="shared" si="1515"/>
        <v/>
      </c>
      <c r="AW676" s="232" t="str">
        <f t="shared" si="1516"/>
        <v/>
      </c>
      <c r="AX676" s="232">
        <f t="shared" si="1517"/>
        <v>50</v>
      </c>
      <c r="AY676" s="232">
        <f t="shared" si="1544"/>
        <v>1</v>
      </c>
      <c r="AZ676" s="371"/>
      <c r="BA676" s="499">
        <v>80</v>
      </c>
      <c r="BB676" s="500">
        <v>10</v>
      </c>
      <c r="BC676" s="491">
        <f t="shared" si="1518"/>
        <v>10</v>
      </c>
      <c r="BD676" s="371"/>
      <c r="BE676" s="232" t="str">
        <f t="shared" si="1519"/>
        <v/>
      </c>
      <c r="BF676" s="232" t="str">
        <f t="shared" si="1520"/>
        <v/>
      </c>
      <c r="BG676" s="232">
        <f t="shared" si="1521"/>
        <v>10</v>
      </c>
      <c r="BH676" s="232" t="str">
        <f t="shared" si="1545"/>
        <v/>
      </c>
      <c r="BI676" s="371"/>
      <c r="BJ676" s="499">
        <v>30</v>
      </c>
      <c r="BK676" s="500">
        <v>40</v>
      </c>
      <c r="BL676" s="491">
        <f t="shared" si="1522"/>
        <v>30</v>
      </c>
      <c r="BM676" s="371"/>
      <c r="BN676" s="232" t="str">
        <f t="shared" si="1523"/>
        <v/>
      </c>
      <c r="BO676" s="232" t="str">
        <f t="shared" si="1524"/>
        <v/>
      </c>
      <c r="BP676" s="232">
        <f t="shared" si="1525"/>
        <v>30</v>
      </c>
      <c r="BQ676" s="232" t="str">
        <f t="shared" si="1546"/>
        <v/>
      </c>
      <c r="BR676" s="371"/>
      <c r="BS676" s="499">
        <v>10</v>
      </c>
      <c r="BT676" s="500">
        <v>50</v>
      </c>
      <c r="BU676" s="491">
        <f t="shared" si="1526"/>
        <v>40</v>
      </c>
      <c r="BV676" s="371"/>
      <c r="BW676" s="232" t="str">
        <f t="shared" si="1527"/>
        <v/>
      </c>
      <c r="BX676" s="232" t="str">
        <f t="shared" si="1528"/>
        <v/>
      </c>
      <c r="BY676" s="232">
        <f t="shared" si="1529"/>
        <v>40</v>
      </c>
      <c r="BZ676" s="232" t="str">
        <f t="shared" si="1547"/>
        <v/>
      </c>
      <c r="CA676" s="371"/>
      <c r="CB676" s="507">
        <f t="shared" si="1530"/>
        <v>40</v>
      </c>
      <c r="CC676" s="508">
        <f t="shared" si="1531"/>
        <v>20</v>
      </c>
      <c r="CD676" s="509">
        <f t="shared" si="1532"/>
        <v>40</v>
      </c>
      <c r="CE676" s="371"/>
      <c r="CF676" s="232" t="str">
        <f t="shared" si="1533"/>
        <v/>
      </c>
      <c r="CG676" s="232" t="str">
        <f t="shared" si="1534"/>
        <v/>
      </c>
      <c r="CH676" s="232">
        <f t="shared" si="1535"/>
        <v>40</v>
      </c>
      <c r="CI676" s="232">
        <f t="shared" si="1548"/>
        <v>1</v>
      </c>
      <c r="CJ676" s="232"/>
      <c r="CK676" s="499">
        <v>20</v>
      </c>
      <c r="CL676" s="500">
        <v>40</v>
      </c>
      <c r="CM676" s="491">
        <f t="shared" si="1536"/>
        <v>40</v>
      </c>
      <c r="CN676" s="371"/>
      <c r="CO676" s="232" t="str">
        <f t="shared" si="1537"/>
        <v/>
      </c>
      <c r="CP676" s="232" t="str">
        <f t="shared" si="1538"/>
        <v/>
      </c>
      <c r="CQ676" s="232">
        <f t="shared" si="1539"/>
        <v>40</v>
      </c>
      <c r="CR676" s="232">
        <f t="shared" si="1549"/>
        <v>1</v>
      </c>
      <c r="CS676" s="232"/>
      <c r="CT676" s="371"/>
      <c r="CU676" s="300"/>
      <c r="CV676" s="246"/>
      <c r="CW676" s="264"/>
    </row>
    <row r="677" spans="1:101" x14ac:dyDescent="0.2">
      <c r="A677" s="264"/>
      <c r="B677" s="264"/>
      <c r="C677" s="202"/>
      <c r="D677" s="271">
        <v>10</v>
      </c>
      <c r="E677" s="169" t="s">
        <v>906</v>
      </c>
      <c r="F677" s="471">
        <v>2</v>
      </c>
      <c r="G677" s="478"/>
      <c r="H677" s="479">
        <v>2</v>
      </c>
      <c r="I677" s="170" t="str">
        <f t="shared" si="1500"/>
        <v/>
      </c>
      <c r="J677" s="387" t="str">
        <f t="shared" si="1501"/>
        <v>x</v>
      </c>
      <c r="K677" s="388" t="str">
        <f t="shared" si="1502"/>
        <v/>
      </c>
      <c r="L677" s="299"/>
      <c r="M677" s="375"/>
      <c r="N677" s="379"/>
      <c r="O677" s="236"/>
      <c r="P677" s="236"/>
      <c r="Q677" s="492">
        <v>80</v>
      </c>
      <c r="R677" s="493">
        <v>10</v>
      </c>
      <c r="S677" s="494">
        <f t="shared" si="1540"/>
        <v>10</v>
      </c>
      <c r="T677" s="371"/>
      <c r="U677" s="232" t="str">
        <f t="shared" si="1503"/>
        <v/>
      </c>
      <c r="V677" s="232">
        <f t="shared" si="1504"/>
        <v>10</v>
      </c>
      <c r="W677" s="232" t="str">
        <f t="shared" si="1505"/>
        <v/>
      </c>
      <c r="X677" s="232" t="str">
        <f t="shared" si="1541"/>
        <v/>
      </c>
      <c r="Y677" s="371"/>
      <c r="Z677" s="495">
        <v>80</v>
      </c>
      <c r="AA677" s="496">
        <v>10</v>
      </c>
      <c r="AB677" s="494">
        <f t="shared" si="1506"/>
        <v>10</v>
      </c>
      <c r="AC677" s="371"/>
      <c r="AD677" s="232" t="str">
        <f t="shared" si="1507"/>
        <v/>
      </c>
      <c r="AE677" s="232">
        <f t="shared" si="1508"/>
        <v>10</v>
      </c>
      <c r="AF677" s="232" t="str">
        <f t="shared" si="1509"/>
        <v/>
      </c>
      <c r="AG677" s="232" t="str">
        <f t="shared" si="1542"/>
        <v/>
      </c>
      <c r="AH677" s="371"/>
      <c r="AI677" s="495">
        <v>80</v>
      </c>
      <c r="AJ677" s="496">
        <v>10</v>
      </c>
      <c r="AK677" s="494">
        <f t="shared" si="1510"/>
        <v>10</v>
      </c>
      <c r="AL677" s="371"/>
      <c r="AM677" s="232" t="str">
        <f t="shared" si="1511"/>
        <v/>
      </c>
      <c r="AN677" s="232">
        <f t="shared" si="1512"/>
        <v>10</v>
      </c>
      <c r="AO677" s="232" t="str">
        <f t="shared" si="1513"/>
        <v/>
      </c>
      <c r="AP677" s="232" t="str">
        <f t="shared" si="1543"/>
        <v/>
      </c>
      <c r="AQ677" s="371"/>
      <c r="AR677" s="495">
        <v>10</v>
      </c>
      <c r="AS677" s="496">
        <v>50</v>
      </c>
      <c r="AT677" s="494">
        <f t="shared" si="1514"/>
        <v>40</v>
      </c>
      <c r="AU677" s="371"/>
      <c r="AV677" s="232" t="str">
        <f t="shared" si="1515"/>
        <v/>
      </c>
      <c r="AW677" s="232">
        <f t="shared" si="1516"/>
        <v>50</v>
      </c>
      <c r="AX677" s="232" t="str">
        <f t="shared" si="1517"/>
        <v/>
      </c>
      <c r="AY677" s="232">
        <f t="shared" si="1544"/>
        <v>1</v>
      </c>
      <c r="AZ677" s="371"/>
      <c r="BA677" s="495">
        <v>80</v>
      </c>
      <c r="BB677" s="496">
        <v>10</v>
      </c>
      <c r="BC677" s="494">
        <f t="shared" si="1518"/>
        <v>10</v>
      </c>
      <c r="BD677" s="371"/>
      <c r="BE677" s="232" t="str">
        <f t="shared" si="1519"/>
        <v/>
      </c>
      <c r="BF677" s="232">
        <f t="shared" si="1520"/>
        <v>10</v>
      </c>
      <c r="BG677" s="232" t="str">
        <f t="shared" si="1521"/>
        <v/>
      </c>
      <c r="BH677" s="232" t="str">
        <f t="shared" si="1545"/>
        <v/>
      </c>
      <c r="BI677" s="371"/>
      <c r="BJ677" s="495">
        <v>30</v>
      </c>
      <c r="BK677" s="496">
        <v>40</v>
      </c>
      <c r="BL677" s="494">
        <f t="shared" si="1522"/>
        <v>30</v>
      </c>
      <c r="BM677" s="371"/>
      <c r="BN677" s="232" t="str">
        <f t="shared" si="1523"/>
        <v/>
      </c>
      <c r="BO677" s="232">
        <f t="shared" si="1524"/>
        <v>40</v>
      </c>
      <c r="BP677" s="232" t="str">
        <f t="shared" si="1525"/>
        <v/>
      </c>
      <c r="BQ677" s="232">
        <f t="shared" si="1546"/>
        <v>1</v>
      </c>
      <c r="BR677" s="371"/>
      <c r="BS677" s="495">
        <v>70</v>
      </c>
      <c r="BT677" s="496">
        <v>10</v>
      </c>
      <c r="BU677" s="494">
        <f t="shared" si="1526"/>
        <v>20</v>
      </c>
      <c r="BV677" s="371"/>
      <c r="BW677" s="232" t="str">
        <f t="shared" si="1527"/>
        <v/>
      </c>
      <c r="BX677" s="232">
        <f t="shared" si="1528"/>
        <v>10</v>
      </c>
      <c r="BY677" s="232" t="str">
        <f t="shared" si="1529"/>
        <v/>
      </c>
      <c r="BZ677" s="232" t="str">
        <f t="shared" si="1547"/>
        <v/>
      </c>
      <c r="CA677" s="371"/>
      <c r="CB677" s="501">
        <f t="shared" si="1530"/>
        <v>70</v>
      </c>
      <c r="CC677" s="502">
        <f t="shared" si="1531"/>
        <v>20</v>
      </c>
      <c r="CD677" s="503">
        <f t="shared" si="1532"/>
        <v>10</v>
      </c>
      <c r="CE677" s="371"/>
      <c r="CF677" s="232" t="str">
        <f t="shared" si="1533"/>
        <v/>
      </c>
      <c r="CG677" s="232">
        <f t="shared" si="1534"/>
        <v>20</v>
      </c>
      <c r="CH677" s="232" t="str">
        <f t="shared" si="1535"/>
        <v/>
      </c>
      <c r="CI677" s="232" t="str">
        <f t="shared" si="1548"/>
        <v/>
      </c>
      <c r="CJ677" s="232"/>
      <c r="CK677" s="495">
        <v>20</v>
      </c>
      <c r="CL677" s="496">
        <v>40</v>
      </c>
      <c r="CM677" s="494">
        <f t="shared" si="1536"/>
        <v>40</v>
      </c>
      <c r="CN677" s="371"/>
      <c r="CO677" s="232" t="str">
        <f t="shared" si="1537"/>
        <v/>
      </c>
      <c r="CP677" s="232">
        <f t="shared" si="1538"/>
        <v>40</v>
      </c>
      <c r="CQ677" s="232" t="str">
        <f t="shared" si="1539"/>
        <v/>
      </c>
      <c r="CR677" s="232">
        <f t="shared" si="1549"/>
        <v>1</v>
      </c>
      <c r="CS677" s="232"/>
      <c r="CT677" s="371"/>
      <c r="CU677" s="300"/>
      <c r="CV677" s="246"/>
      <c r="CW677" s="264"/>
    </row>
    <row r="678" spans="1:101" x14ac:dyDescent="0.2">
      <c r="A678" s="264"/>
      <c r="B678" s="264"/>
      <c r="C678" s="202"/>
      <c r="D678" s="271">
        <v>11</v>
      </c>
      <c r="E678" s="167" t="s">
        <v>907</v>
      </c>
      <c r="F678" s="469">
        <v>0</v>
      </c>
      <c r="G678" s="474"/>
      <c r="H678" s="475">
        <v>1</v>
      </c>
      <c r="I678" s="389" t="str">
        <f t="shared" si="1500"/>
        <v/>
      </c>
      <c r="J678" s="390" t="str">
        <f t="shared" si="1501"/>
        <v/>
      </c>
      <c r="K678" s="391" t="str">
        <f t="shared" si="1502"/>
        <v>x</v>
      </c>
      <c r="L678" s="299"/>
      <c r="M678" s="375"/>
      <c r="N678" s="379"/>
      <c r="O678" s="236"/>
      <c r="P678" s="236"/>
      <c r="Q678" s="483">
        <v>60</v>
      </c>
      <c r="R678" s="484">
        <v>30</v>
      </c>
      <c r="S678" s="485">
        <f t="shared" si="1540"/>
        <v>10</v>
      </c>
      <c r="T678" s="371"/>
      <c r="U678" s="232" t="str">
        <f t="shared" si="1503"/>
        <v/>
      </c>
      <c r="V678" s="232" t="str">
        <f t="shared" si="1504"/>
        <v/>
      </c>
      <c r="W678" s="232">
        <f t="shared" si="1505"/>
        <v>10</v>
      </c>
      <c r="X678" s="232" t="str">
        <f t="shared" si="1541"/>
        <v/>
      </c>
      <c r="Y678" s="371"/>
      <c r="Z678" s="497">
        <v>80</v>
      </c>
      <c r="AA678" s="498">
        <v>10</v>
      </c>
      <c r="AB678" s="485">
        <f t="shared" si="1506"/>
        <v>10</v>
      </c>
      <c r="AC678" s="371"/>
      <c r="AD678" s="232" t="str">
        <f t="shared" si="1507"/>
        <v/>
      </c>
      <c r="AE678" s="232" t="str">
        <f t="shared" si="1508"/>
        <v/>
      </c>
      <c r="AF678" s="232">
        <f t="shared" si="1509"/>
        <v>10</v>
      </c>
      <c r="AG678" s="232" t="str">
        <f t="shared" si="1542"/>
        <v/>
      </c>
      <c r="AH678" s="371"/>
      <c r="AI678" s="497">
        <v>60</v>
      </c>
      <c r="AJ678" s="498">
        <v>20</v>
      </c>
      <c r="AK678" s="485">
        <f t="shared" si="1510"/>
        <v>20</v>
      </c>
      <c r="AL678" s="371"/>
      <c r="AM678" s="232" t="str">
        <f t="shared" si="1511"/>
        <v/>
      </c>
      <c r="AN678" s="232" t="str">
        <f t="shared" si="1512"/>
        <v/>
      </c>
      <c r="AO678" s="232">
        <f t="shared" si="1513"/>
        <v>20</v>
      </c>
      <c r="AP678" s="232" t="str">
        <f t="shared" si="1543"/>
        <v/>
      </c>
      <c r="AQ678" s="371"/>
      <c r="AR678" s="497">
        <v>10</v>
      </c>
      <c r="AS678" s="498">
        <v>30</v>
      </c>
      <c r="AT678" s="485">
        <f t="shared" si="1514"/>
        <v>60</v>
      </c>
      <c r="AU678" s="371"/>
      <c r="AV678" s="232" t="str">
        <f t="shared" si="1515"/>
        <v/>
      </c>
      <c r="AW678" s="232" t="str">
        <f t="shared" si="1516"/>
        <v/>
      </c>
      <c r="AX678" s="232">
        <f t="shared" si="1517"/>
        <v>60</v>
      </c>
      <c r="AY678" s="232">
        <f t="shared" si="1544"/>
        <v>1</v>
      </c>
      <c r="AZ678" s="371"/>
      <c r="BA678" s="497">
        <v>80</v>
      </c>
      <c r="BB678" s="498">
        <v>10</v>
      </c>
      <c r="BC678" s="485">
        <f t="shared" si="1518"/>
        <v>10</v>
      </c>
      <c r="BD678" s="371"/>
      <c r="BE678" s="232" t="str">
        <f t="shared" si="1519"/>
        <v/>
      </c>
      <c r="BF678" s="232" t="str">
        <f t="shared" si="1520"/>
        <v/>
      </c>
      <c r="BG678" s="232">
        <f t="shared" si="1521"/>
        <v>10</v>
      </c>
      <c r="BH678" s="232" t="str">
        <f t="shared" si="1545"/>
        <v/>
      </c>
      <c r="BI678" s="371"/>
      <c r="BJ678" s="497">
        <v>10</v>
      </c>
      <c r="BK678" s="498">
        <v>10</v>
      </c>
      <c r="BL678" s="485">
        <f t="shared" si="1522"/>
        <v>80</v>
      </c>
      <c r="BM678" s="371"/>
      <c r="BN678" s="232" t="str">
        <f t="shared" si="1523"/>
        <v/>
      </c>
      <c r="BO678" s="232" t="str">
        <f t="shared" si="1524"/>
        <v/>
      </c>
      <c r="BP678" s="232">
        <f t="shared" si="1525"/>
        <v>80</v>
      </c>
      <c r="BQ678" s="232">
        <f t="shared" si="1546"/>
        <v>1</v>
      </c>
      <c r="BR678" s="371"/>
      <c r="BS678" s="497">
        <v>50</v>
      </c>
      <c r="BT678" s="498">
        <v>30</v>
      </c>
      <c r="BU678" s="485">
        <f t="shared" si="1526"/>
        <v>20</v>
      </c>
      <c r="BV678" s="371"/>
      <c r="BW678" s="232" t="str">
        <f t="shared" si="1527"/>
        <v/>
      </c>
      <c r="BX678" s="232" t="str">
        <f t="shared" si="1528"/>
        <v/>
      </c>
      <c r="BY678" s="232">
        <f t="shared" si="1529"/>
        <v>20</v>
      </c>
      <c r="BZ678" s="232" t="str">
        <f t="shared" si="1547"/>
        <v/>
      </c>
      <c r="CA678" s="371"/>
      <c r="CB678" s="504">
        <f t="shared" si="1530"/>
        <v>50</v>
      </c>
      <c r="CC678" s="505">
        <f t="shared" si="1531"/>
        <v>20</v>
      </c>
      <c r="CD678" s="506">
        <f t="shared" si="1532"/>
        <v>30</v>
      </c>
      <c r="CE678" s="371"/>
      <c r="CF678" s="232" t="str">
        <f t="shared" si="1533"/>
        <v/>
      </c>
      <c r="CG678" s="232" t="str">
        <f t="shared" si="1534"/>
        <v/>
      </c>
      <c r="CH678" s="232">
        <f t="shared" si="1535"/>
        <v>30</v>
      </c>
      <c r="CI678" s="232" t="str">
        <f t="shared" si="1548"/>
        <v/>
      </c>
      <c r="CJ678" s="232"/>
      <c r="CK678" s="497">
        <v>60</v>
      </c>
      <c r="CL678" s="498">
        <v>30</v>
      </c>
      <c r="CM678" s="485">
        <f t="shared" si="1536"/>
        <v>10</v>
      </c>
      <c r="CN678" s="371"/>
      <c r="CO678" s="232" t="str">
        <f t="shared" si="1537"/>
        <v/>
      </c>
      <c r="CP678" s="232" t="str">
        <f t="shared" si="1538"/>
        <v/>
      </c>
      <c r="CQ678" s="232">
        <f t="shared" si="1539"/>
        <v>10</v>
      </c>
      <c r="CR678" s="232" t="str">
        <f t="shared" si="1549"/>
        <v/>
      </c>
      <c r="CS678" s="232"/>
      <c r="CT678" s="371"/>
      <c r="CU678" s="300"/>
      <c r="CV678" s="246"/>
      <c r="CW678" s="264"/>
    </row>
    <row r="679" spans="1:101" ht="13.5" thickBot="1" x14ac:dyDescent="0.25">
      <c r="A679" s="264"/>
      <c r="B679" s="264"/>
      <c r="C679" s="202"/>
      <c r="D679" s="271">
        <v>12</v>
      </c>
      <c r="E679" s="168" t="s">
        <v>908</v>
      </c>
      <c r="F679" s="470">
        <v>1</v>
      </c>
      <c r="G679" s="476"/>
      <c r="H679" s="477">
        <v>0</v>
      </c>
      <c r="I679" s="392" t="str">
        <f t="shared" si="1500"/>
        <v>x</v>
      </c>
      <c r="J679" s="393" t="str">
        <f t="shared" si="1501"/>
        <v/>
      </c>
      <c r="K679" s="394" t="str">
        <f t="shared" si="1502"/>
        <v/>
      </c>
      <c r="L679" s="299"/>
      <c r="M679" s="375"/>
      <c r="N679" s="379"/>
      <c r="O679" s="236"/>
      <c r="P679" s="236"/>
      <c r="Q679" s="489">
        <v>80</v>
      </c>
      <c r="R679" s="490">
        <v>10</v>
      </c>
      <c r="S679" s="491">
        <f t="shared" si="1540"/>
        <v>10</v>
      </c>
      <c r="T679" s="371"/>
      <c r="U679" s="232">
        <f t="shared" si="1503"/>
        <v>80</v>
      </c>
      <c r="V679" s="232" t="str">
        <f t="shared" si="1504"/>
        <v/>
      </c>
      <c r="W679" s="232" t="str">
        <f t="shared" si="1505"/>
        <v/>
      </c>
      <c r="X679" s="232">
        <f t="shared" si="1541"/>
        <v>1</v>
      </c>
      <c r="Y679" s="371"/>
      <c r="Z679" s="499">
        <v>80</v>
      </c>
      <c r="AA679" s="500">
        <v>10</v>
      </c>
      <c r="AB679" s="491">
        <f t="shared" si="1506"/>
        <v>10</v>
      </c>
      <c r="AC679" s="371"/>
      <c r="AD679" s="232">
        <f t="shared" si="1507"/>
        <v>80</v>
      </c>
      <c r="AE679" s="232" t="str">
        <f t="shared" si="1508"/>
        <v/>
      </c>
      <c r="AF679" s="232" t="str">
        <f t="shared" si="1509"/>
        <v/>
      </c>
      <c r="AG679" s="232">
        <f t="shared" si="1542"/>
        <v>1</v>
      </c>
      <c r="AH679" s="371"/>
      <c r="AI679" s="499">
        <v>30</v>
      </c>
      <c r="AJ679" s="500">
        <v>40</v>
      </c>
      <c r="AK679" s="491">
        <f t="shared" si="1510"/>
        <v>30</v>
      </c>
      <c r="AL679" s="371"/>
      <c r="AM679" s="232">
        <f t="shared" si="1511"/>
        <v>30</v>
      </c>
      <c r="AN679" s="232" t="str">
        <f t="shared" si="1512"/>
        <v/>
      </c>
      <c r="AO679" s="232" t="str">
        <f t="shared" si="1513"/>
        <v/>
      </c>
      <c r="AP679" s="232" t="str">
        <f t="shared" si="1543"/>
        <v/>
      </c>
      <c r="AQ679" s="371"/>
      <c r="AR679" s="499">
        <v>50</v>
      </c>
      <c r="AS679" s="500">
        <v>30</v>
      </c>
      <c r="AT679" s="491">
        <f t="shared" si="1514"/>
        <v>20</v>
      </c>
      <c r="AU679" s="371"/>
      <c r="AV679" s="232">
        <f t="shared" si="1515"/>
        <v>50</v>
      </c>
      <c r="AW679" s="232" t="str">
        <f t="shared" si="1516"/>
        <v/>
      </c>
      <c r="AX679" s="232" t="str">
        <f t="shared" si="1517"/>
        <v/>
      </c>
      <c r="AY679" s="232">
        <f t="shared" si="1544"/>
        <v>1</v>
      </c>
      <c r="AZ679" s="371"/>
      <c r="BA679" s="499">
        <v>80</v>
      </c>
      <c r="BB679" s="500">
        <v>10</v>
      </c>
      <c r="BC679" s="491">
        <f t="shared" si="1518"/>
        <v>10</v>
      </c>
      <c r="BD679" s="371"/>
      <c r="BE679" s="232">
        <f t="shared" si="1519"/>
        <v>80</v>
      </c>
      <c r="BF679" s="232" t="str">
        <f t="shared" si="1520"/>
        <v/>
      </c>
      <c r="BG679" s="232" t="str">
        <f t="shared" si="1521"/>
        <v/>
      </c>
      <c r="BH679" s="232">
        <f t="shared" si="1545"/>
        <v>1</v>
      </c>
      <c r="BI679" s="371"/>
      <c r="BJ679" s="499">
        <v>80</v>
      </c>
      <c r="BK679" s="500">
        <v>10</v>
      </c>
      <c r="BL679" s="491">
        <f t="shared" si="1522"/>
        <v>10</v>
      </c>
      <c r="BM679" s="371"/>
      <c r="BN679" s="232">
        <f t="shared" si="1523"/>
        <v>80</v>
      </c>
      <c r="BO679" s="232" t="str">
        <f t="shared" si="1524"/>
        <v/>
      </c>
      <c r="BP679" s="232" t="str">
        <f t="shared" si="1525"/>
        <v/>
      </c>
      <c r="BQ679" s="232">
        <f t="shared" si="1546"/>
        <v>1</v>
      </c>
      <c r="BR679" s="371"/>
      <c r="BS679" s="499">
        <v>50</v>
      </c>
      <c r="BT679" s="500">
        <v>10</v>
      </c>
      <c r="BU679" s="491">
        <f t="shared" si="1526"/>
        <v>40</v>
      </c>
      <c r="BV679" s="371"/>
      <c r="BW679" s="232">
        <f t="shared" si="1527"/>
        <v>50</v>
      </c>
      <c r="BX679" s="232" t="str">
        <f t="shared" si="1528"/>
        <v/>
      </c>
      <c r="BY679" s="232" t="str">
        <f t="shared" si="1529"/>
        <v/>
      </c>
      <c r="BZ679" s="232">
        <f t="shared" si="1547"/>
        <v>1</v>
      </c>
      <c r="CA679" s="371"/>
      <c r="CB679" s="507">
        <f t="shared" si="1530"/>
        <v>70</v>
      </c>
      <c r="CC679" s="508">
        <f t="shared" si="1531"/>
        <v>10</v>
      </c>
      <c r="CD679" s="509">
        <f t="shared" si="1532"/>
        <v>20</v>
      </c>
      <c r="CE679" s="371"/>
      <c r="CF679" s="232">
        <f t="shared" si="1533"/>
        <v>70</v>
      </c>
      <c r="CG679" s="232" t="str">
        <f t="shared" si="1534"/>
        <v/>
      </c>
      <c r="CH679" s="232" t="str">
        <f t="shared" si="1535"/>
        <v/>
      </c>
      <c r="CI679" s="232">
        <f t="shared" si="1548"/>
        <v>1</v>
      </c>
      <c r="CJ679" s="232"/>
      <c r="CK679" s="499">
        <v>50</v>
      </c>
      <c r="CL679" s="500">
        <v>40</v>
      </c>
      <c r="CM679" s="491">
        <f t="shared" si="1536"/>
        <v>10</v>
      </c>
      <c r="CN679" s="371"/>
      <c r="CO679" s="232">
        <f t="shared" si="1537"/>
        <v>50</v>
      </c>
      <c r="CP679" s="232" t="str">
        <f t="shared" si="1538"/>
        <v/>
      </c>
      <c r="CQ679" s="232" t="str">
        <f t="shared" si="1539"/>
        <v/>
      </c>
      <c r="CR679" s="232">
        <f t="shared" si="1549"/>
        <v>1</v>
      </c>
      <c r="CS679" s="232"/>
      <c r="CT679" s="371"/>
      <c r="CU679" s="300"/>
      <c r="CV679" s="246"/>
      <c r="CW679" s="264"/>
    </row>
    <row r="680" spans="1:101" x14ac:dyDescent="0.2">
      <c r="A680" s="264"/>
      <c r="B680" s="264"/>
      <c r="C680" s="202"/>
      <c r="D680" s="272"/>
      <c r="E680" s="235"/>
      <c r="F680" s="395">
        <f>IF(SUM(F668:F679)=0,"",SUM(F668:F679))</f>
        <v>20</v>
      </c>
      <c r="G680" s="370" t="s">
        <v>49</v>
      </c>
      <c r="H680" s="396">
        <f>IF(SUM(H668:H679)=0,"",SUM(H668:H679))</f>
        <v>18</v>
      </c>
      <c r="I680" s="397">
        <f>IF(COUNTIF(I668:I679,"=x")=0,"",COUNTIF(I668:I679,"=x"))</f>
        <v>5</v>
      </c>
      <c r="J680" s="398">
        <f>IF(COUNTIF(J668:J679,"=x")=0,"",COUNTIF(J668:J679,"=x"))</f>
        <v>2</v>
      </c>
      <c r="K680" s="399">
        <f>IF(COUNTIF(K668:K679,"=x")=0,"",COUNTIF(K668:K679,"=x"))</f>
        <v>5</v>
      </c>
      <c r="L680" s="299"/>
      <c r="M680" s="375"/>
      <c r="N680" s="379"/>
      <c r="O680" s="236"/>
      <c r="P680" s="369"/>
      <c r="Q680" s="466">
        <f>SUM(U668:U679)</f>
        <v>270</v>
      </c>
      <c r="R680" s="466">
        <f>SUM(V668:V679)</f>
        <v>30</v>
      </c>
      <c r="S680" s="466">
        <f>SUM(W668:W679)</f>
        <v>160</v>
      </c>
      <c r="T680" s="368"/>
      <c r="U680" s="232"/>
      <c r="V680" s="232"/>
      <c r="W680" s="232"/>
      <c r="X680" s="232"/>
      <c r="Y680" s="367"/>
      <c r="Z680" s="466">
        <f>SUM(AD668:AD679)</f>
        <v>330</v>
      </c>
      <c r="AA680" s="466">
        <f>SUM(AE668:AE679)</f>
        <v>20</v>
      </c>
      <c r="AB680" s="466">
        <f>SUM(AF668:AF679)</f>
        <v>260</v>
      </c>
      <c r="AC680" s="368"/>
      <c r="AD680" s="232"/>
      <c r="AE680" s="232"/>
      <c r="AF680" s="232"/>
      <c r="AG680" s="232"/>
      <c r="AH680" s="367"/>
      <c r="AI680" s="466">
        <f>SUM(AM668:AM679)</f>
        <v>260</v>
      </c>
      <c r="AJ680" s="466">
        <f>SUM(AN668:AN679)</f>
        <v>20</v>
      </c>
      <c r="AK680" s="466">
        <f>SUM(AO668:AO679)</f>
        <v>150</v>
      </c>
      <c r="AL680" s="368"/>
      <c r="AM680" s="232"/>
      <c r="AN680" s="232"/>
      <c r="AO680" s="232"/>
      <c r="AP680" s="232"/>
      <c r="AQ680" s="367"/>
      <c r="AR680" s="466">
        <f>SUM(AV668:AV679)</f>
        <v>260</v>
      </c>
      <c r="AS680" s="466">
        <f>SUM(AW668:AW679)</f>
        <v>80</v>
      </c>
      <c r="AT680" s="466">
        <f>SUM(AX668:AX679)</f>
        <v>210</v>
      </c>
      <c r="AU680" s="368"/>
      <c r="AV680" s="232"/>
      <c r="AW680" s="232"/>
      <c r="AX680" s="232"/>
      <c r="AY680" s="232"/>
      <c r="AZ680" s="367"/>
      <c r="BA680" s="466">
        <f>SUM(BE668:BE679)</f>
        <v>330</v>
      </c>
      <c r="BB680" s="466">
        <f>SUM(BF668:BF679)</f>
        <v>20</v>
      </c>
      <c r="BC680" s="466">
        <f>SUM(BG668:BG679)</f>
        <v>120</v>
      </c>
      <c r="BD680" s="368"/>
      <c r="BE680" s="232"/>
      <c r="BF680" s="232"/>
      <c r="BG680" s="232"/>
      <c r="BH680" s="232"/>
      <c r="BI680" s="367"/>
      <c r="BJ680" s="466">
        <f>SUM(BN668:BN679)</f>
        <v>280</v>
      </c>
      <c r="BK680" s="466">
        <f>SUM(BO668:BO679)</f>
        <v>50</v>
      </c>
      <c r="BL680" s="466">
        <f>SUM(BP668:BP679)</f>
        <v>180</v>
      </c>
      <c r="BM680" s="368"/>
      <c r="BN680" s="232"/>
      <c r="BO680" s="232"/>
      <c r="BP680" s="232"/>
      <c r="BQ680" s="232"/>
      <c r="BR680" s="367"/>
      <c r="BS680" s="466">
        <f>SUM(BW668:BW679)</f>
        <v>230</v>
      </c>
      <c r="BT680" s="466">
        <f>SUM(BX668:BX679)</f>
        <v>40</v>
      </c>
      <c r="BU680" s="466">
        <f>SUM(BY668:BY679)</f>
        <v>110</v>
      </c>
      <c r="BV680" s="368"/>
      <c r="BW680" s="232"/>
      <c r="BX680" s="232"/>
      <c r="BY680" s="232"/>
      <c r="BZ680" s="232"/>
      <c r="CA680" s="369"/>
      <c r="CB680" s="466">
        <f>SUM(CF668:CF679)</f>
        <v>300</v>
      </c>
      <c r="CC680" s="466">
        <f>SUM(CG668:CG679)</f>
        <v>30</v>
      </c>
      <c r="CD680" s="466">
        <f>SUM(CH668:CH679)</f>
        <v>160</v>
      </c>
      <c r="CE680" s="368"/>
      <c r="CF680" s="232"/>
      <c r="CG680" s="232"/>
      <c r="CH680" s="232"/>
      <c r="CI680" s="232"/>
      <c r="CJ680" s="232"/>
      <c r="CK680" s="466">
        <f>SUM(CO668:CO679)</f>
        <v>270</v>
      </c>
      <c r="CL680" s="466">
        <f>SUM(CP668:CP679)</f>
        <v>50</v>
      </c>
      <c r="CM680" s="466">
        <f>SUM(CQ668:CQ679)</f>
        <v>160</v>
      </c>
      <c r="CN680" s="368"/>
      <c r="CO680" s="232"/>
      <c r="CP680" s="232"/>
      <c r="CQ680" s="232"/>
      <c r="CR680" s="232"/>
      <c r="CS680" s="232"/>
      <c r="CT680" s="232"/>
      <c r="CU680" s="300"/>
      <c r="CV680" s="246"/>
      <c r="CW680" s="265"/>
    </row>
    <row r="681" spans="1:101" ht="13.5" thickBot="1" x14ac:dyDescent="0.25">
      <c r="A681" s="264"/>
      <c r="B681" s="264"/>
      <c r="C681" s="202"/>
      <c r="D681" s="289"/>
      <c r="E681" s="282"/>
      <c r="F681" s="283"/>
      <c r="G681" s="282"/>
      <c r="H681" s="282"/>
      <c r="I681" s="282"/>
      <c r="J681" s="282"/>
      <c r="K681" s="282"/>
      <c r="L681" s="293"/>
      <c r="M681" s="301"/>
      <c r="N681" s="380"/>
      <c r="O681" s="376"/>
      <c r="P681" s="284"/>
      <c r="Q681" s="285"/>
      <c r="R681" s="285"/>
      <c r="S681" s="285"/>
      <c r="T681" s="286"/>
      <c r="U681" s="287"/>
      <c r="V681" s="287"/>
      <c r="W681" s="287"/>
      <c r="X681" s="287"/>
      <c r="Y681" s="284"/>
      <c r="Z681" s="285"/>
      <c r="AA681" s="285"/>
      <c r="AB681" s="285"/>
      <c r="AC681" s="286"/>
      <c r="AD681" s="287"/>
      <c r="AE681" s="287"/>
      <c r="AF681" s="287"/>
      <c r="AG681" s="288"/>
      <c r="AH681" s="284"/>
      <c r="AI681" s="285"/>
      <c r="AJ681" s="285"/>
      <c r="AK681" s="285"/>
      <c r="AL681" s="286"/>
      <c r="AM681" s="287"/>
      <c r="AN681" s="287"/>
      <c r="AO681" s="287"/>
      <c r="AP681" s="288"/>
      <c r="AQ681" s="284"/>
      <c r="AR681" s="285"/>
      <c r="AS681" s="285"/>
      <c r="AT681" s="285"/>
      <c r="AU681" s="286"/>
      <c r="AV681" s="287"/>
      <c r="AW681" s="287"/>
      <c r="AX681" s="287"/>
      <c r="AY681" s="288"/>
      <c r="AZ681" s="284"/>
      <c r="BA681" s="285"/>
      <c r="BB681" s="285"/>
      <c r="BC681" s="285"/>
      <c r="BD681" s="286"/>
      <c r="BE681" s="287"/>
      <c r="BF681" s="287"/>
      <c r="BG681" s="287"/>
      <c r="BH681" s="288"/>
      <c r="BI681" s="284"/>
      <c r="BJ681" s="284"/>
      <c r="BK681" s="284"/>
      <c r="BL681" s="284"/>
      <c r="BM681" s="284"/>
      <c r="BN681" s="284"/>
      <c r="BO681" s="284"/>
      <c r="BP681" s="284"/>
      <c r="BQ681" s="284"/>
      <c r="BR681" s="284"/>
      <c r="BS681" s="284"/>
      <c r="BT681" s="284"/>
      <c r="BU681" s="284"/>
      <c r="BV681" s="284"/>
      <c r="BW681" s="284"/>
      <c r="BX681" s="284"/>
      <c r="BY681" s="284"/>
      <c r="BZ681" s="284"/>
      <c r="CA681" s="284"/>
      <c r="CB681" s="284"/>
      <c r="CC681" s="284"/>
      <c r="CD681" s="284"/>
      <c r="CE681" s="284"/>
      <c r="CF681" s="284"/>
      <c r="CG681" s="284"/>
      <c r="CH681" s="284"/>
      <c r="CI681" s="284"/>
      <c r="CJ681" s="288"/>
      <c r="CK681" s="288"/>
      <c r="CL681" s="288"/>
      <c r="CM681" s="288"/>
      <c r="CN681" s="288"/>
      <c r="CO681" s="288"/>
      <c r="CP681" s="288"/>
      <c r="CQ681" s="288"/>
      <c r="CR681" s="288"/>
      <c r="CS681" s="288"/>
      <c r="CT681" s="282"/>
      <c r="CU681" s="294"/>
      <c r="CV681" s="246"/>
      <c r="CW681" s="265"/>
    </row>
    <row r="682" spans="1:101" ht="14.25" thickTop="1" thickBot="1" x14ac:dyDescent="0.25">
      <c r="A682" s="256"/>
      <c r="B682" s="256"/>
      <c r="C682" s="210"/>
      <c r="D682" s="211"/>
      <c r="E682" s="247"/>
      <c r="F682" s="248"/>
      <c r="G682" s="247"/>
      <c r="H682" s="247"/>
      <c r="I682" s="247"/>
      <c r="J682" s="247"/>
      <c r="K682" s="247"/>
      <c r="L682" s="249"/>
      <c r="M682" s="250"/>
      <c r="N682" s="250"/>
      <c r="O682" s="250"/>
      <c r="P682" s="250"/>
      <c r="Q682" s="247"/>
      <c r="R682" s="247"/>
      <c r="S682" s="247"/>
      <c r="T682" s="251"/>
      <c r="U682" s="252"/>
      <c r="V682" s="252"/>
      <c r="W682" s="252"/>
      <c r="X682" s="252"/>
      <c r="Y682" s="250"/>
      <c r="Z682" s="247"/>
      <c r="AA682" s="247"/>
      <c r="AB682" s="247"/>
      <c r="AC682" s="251"/>
      <c r="AD682" s="252"/>
      <c r="AE682" s="252"/>
      <c r="AF682" s="252"/>
      <c r="AG682" s="247"/>
      <c r="AH682" s="250"/>
      <c r="AI682" s="247"/>
      <c r="AJ682" s="247"/>
      <c r="AK682" s="247"/>
      <c r="AL682" s="251"/>
      <c r="AM682" s="252"/>
      <c r="AN682" s="252"/>
      <c r="AO682" s="252"/>
      <c r="AP682" s="253"/>
      <c r="AQ682" s="250"/>
      <c r="AR682" s="247"/>
      <c r="AS682" s="247"/>
      <c r="AT682" s="247"/>
      <c r="AU682" s="251"/>
      <c r="AV682" s="252"/>
      <c r="AW682" s="252"/>
      <c r="AX682" s="252"/>
      <c r="AY682" s="247"/>
      <c r="AZ682" s="250"/>
      <c r="BA682" s="247"/>
      <c r="BB682" s="247"/>
      <c r="BC682" s="247"/>
      <c r="BD682" s="251"/>
      <c r="BE682" s="252"/>
      <c r="BF682" s="252"/>
      <c r="BG682" s="252"/>
      <c r="BH682" s="247"/>
      <c r="BI682" s="250"/>
      <c r="BJ682" s="247"/>
      <c r="BK682" s="247"/>
      <c r="BL682" s="247"/>
      <c r="BM682" s="251"/>
      <c r="BN682" s="252"/>
      <c r="BO682" s="252"/>
      <c r="BP682" s="252"/>
      <c r="BQ682" s="247"/>
      <c r="BR682" s="212"/>
      <c r="BS682" s="247"/>
      <c r="BT682" s="247"/>
      <c r="BU682" s="247"/>
      <c r="BV682" s="250"/>
      <c r="BW682" s="252"/>
      <c r="BX682" s="252"/>
      <c r="BY682" s="252"/>
      <c r="BZ682" s="247"/>
      <c r="CA682" s="247"/>
      <c r="CB682" s="253"/>
      <c r="CC682" s="253"/>
      <c r="CD682" s="253"/>
      <c r="CE682" s="253"/>
      <c r="CF682" s="247"/>
      <c r="CG682" s="247"/>
      <c r="CH682" s="247"/>
      <c r="CI682" s="247"/>
      <c r="CJ682" s="247"/>
      <c r="CK682" s="247"/>
      <c r="CL682" s="247"/>
      <c r="CM682" s="247"/>
      <c r="CN682" s="247"/>
      <c r="CO682" s="247"/>
      <c r="CP682" s="247"/>
      <c r="CQ682" s="247"/>
      <c r="CR682" s="247"/>
      <c r="CS682" s="247"/>
      <c r="CT682" s="247"/>
      <c r="CU682" s="247"/>
      <c r="CV682" s="254"/>
      <c r="CW682" s="255"/>
    </row>
    <row r="683" spans="1:101" ht="14.25" thickTop="1" thickBot="1" x14ac:dyDescent="0.25">
      <c r="A683" s="255"/>
      <c r="B683" s="255"/>
      <c r="C683" s="255"/>
      <c r="D683" s="255"/>
      <c r="E683" s="255"/>
      <c r="F683" s="255"/>
      <c r="G683" s="255"/>
      <c r="H683" s="255"/>
      <c r="I683" s="255"/>
      <c r="J683" s="255"/>
      <c r="K683" s="255"/>
      <c r="L683" s="255"/>
      <c r="M683" s="255"/>
      <c r="N683" s="255"/>
      <c r="O683" s="255"/>
      <c r="P683" s="255"/>
      <c r="Q683" s="255"/>
      <c r="R683" s="255"/>
      <c r="S683" s="255"/>
      <c r="T683" s="255"/>
      <c r="U683" s="255"/>
      <c r="V683" s="255"/>
      <c r="W683" s="255"/>
      <c r="X683" s="255"/>
      <c r="Y683" s="255"/>
      <c r="Z683" s="255"/>
      <c r="AA683" s="255"/>
      <c r="AB683" s="255"/>
      <c r="AC683" s="255"/>
      <c r="AD683" s="255"/>
      <c r="AE683" s="255"/>
      <c r="AF683" s="255"/>
      <c r="AG683" s="255"/>
      <c r="AH683" s="255"/>
      <c r="AI683" s="255"/>
      <c r="AJ683" s="255"/>
      <c r="AK683" s="255"/>
      <c r="AL683" s="255"/>
      <c r="AM683" s="255"/>
      <c r="AN683" s="255"/>
      <c r="AO683" s="255"/>
      <c r="AP683" s="255"/>
      <c r="AQ683" s="255"/>
      <c r="AR683" s="255"/>
      <c r="AS683" s="255"/>
      <c r="AT683" s="255"/>
      <c r="AU683" s="255"/>
      <c r="AV683" s="255"/>
      <c r="AW683" s="255"/>
      <c r="AX683" s="255"/>
      <c r="AY683" s="255"/>
      <c r="AZ683" s="255"/>
      <c r="BA683" s="255"/>
      <c r="BB683" s="255"/>
      <c r="BC683" s="255"/>
      <c r="BD683" s="255"/>
      <c r="BE683" s="255"/>
      <c r="BF683" s="255"/>
      <c r="BG683" s="255"/>
      <c r="BH683" s="255"/>
      <c r="BI683" s="255"/>
      <c r="BJ683" s="255"/>
      <c r="BK683" s="255"/>
      <c r="BL683" s="255"/>
      <c r="BM683" s="255"/>
      <c r="BN683" s="255"/>
      <c r="BO683" s="255"/>
      <c r="BP683" s="255"/>
      <c r="BQ683" s="255"/>
      <c r="BR683" s="255"/>
      <c r="BS683" s="255"/>
      <c r="BT683" s="255"/>
      <c r="BU683" s="255"/>
      <c r="BV683" s="255"/>
      <c r="BW683" s="255"/>
      <c r="BX683" s="255"/>
      <c r="BY683" s="255"/>
      <c r="BZ683" s="255"/>
      <c r="CA683" s="255"/>
      <c r="CB683" s="436"/>
      <c r="CC683" s="436"/>
      <c r="CD683" s="436"/>
      <c r="CE683" s="436"/>
      <c r="CF683" s="255"/>
      <c r="CG683" s="255"/>
      <c r="CH683" s="255"/>
      <c r="CI683" s="255"/>
      <c r="CJ683" s="255"/>
      <c r="CK683" s="255"/>
      <c r="CL683" s="255"/>
      <c r="CM683" s="255"/>
      <c r="CN683" s="255"/>
      <c r="CO683" s="255"/>
      <c r="CP683" s="255"/>
      <c r="CQ683" s="255"/>
      <c r="CR683" s="255"/>
      <c r="CS683" s="255"/>
      <c r="CT683" s="255"/>
      <c r="CU683" s="255"/>
      <c r="CV683" s="255"/>
      <c r="CW683" s="255"/>
    </row>
    <row r="684" spans="1:101" ht="21" thickTop="1" x14ac:dyDescent="0.3">
      <c r="A684" s="256"/>
      <c r="B684" s="256"/>
      <c r="C684" s="190"/>
      <c r="D684" s="191"/>
      <c r="E684" s="866" t="str">
        <f>E2</f>
        <v>STPS 2026</v>
      </c>
      <c r="F684" s="267"/>
      <c r="G684" s="267"/>
      <c r="H684" s="267"/>
      <c r="I684" s="192"/>
      <c r="J684" s="192"/>
      <c r="K684" s="192"/>
      <c r="L684" s="193"/>
      <c r="M684" s="192"/>
      <c r="N684" s="192"/>
      <c r="O684" s="192"/>
      <c r="P684" s="194"/>
      <c r="Q684" s="192"/>
      <c r="R684" s="192"/>
      <c r="S684" s="192"/>
      <c r="T684" s="195"/>
      <c r="U684" s="196"/>
      <c r="V684" s="196"/>
      <c r="W684" s="196"/>
      <c r="X684" s="196"/>
      <c r="Y684" s="194"/>
      <c r="Z684" s="192"/>
      <c r="AA684" s="192"/>
      <c r="AB684" s="192"/>
      <c r="AC684" s="195"/>
      <c r="AD684" s="196"/>
      <c r="AE684" s="196"/>
      <c r="AF684" s="196"/>
      <c r="AG684" s="197"/>
      <c r="AH684" s="194"/>
      <c r="AI684" s="192"/>
      <c r="AJ684" s="237"/>
      <c r="AK684" s="237"/>
      <c r="AL684" s="198"/>
      <c r="AM684" s="238"/>
      <c r="AN684" s="238"/>
      <c r="AO684" s="238"/>
      <c r="AP684" s="197"/>
      <c r="AQ684" s="239"/>
      <c r="AR684" s="240"/>
      <c r="AS684" s="199"/>
      <c r="AT684" s="200"/>
      <c r="AU684" s="198"/>
      <c r="AV684" s="196"/>
      <c r="AW684" s="196"/>
      <c r="AX684" s="196"/>
      <c r="AY684" s="197"/>
      <c r="AZ684" s="239"/>
      <c r="BA684" s="240"/>
      <c r="BB684" s="200"/>
      <c r="BC684" s="237"/>
      <c r="BD684" s="241"/>
      <c r="BE684" s="196"/>
      <c r="BF684" s="196"/>
      <c r="BG684" s="196"/>
      <c r="BH684" s="197"/>
      <c r="BI684" s="242"/>
      <c r="BJ684" s="237"/>
      <c r="BK684" s="237"/>
      <c r="BL684" s="237"/>
      <c r="BM684" s="241"/>
      <c r="BN684" s="196"/>
      <c r="BO684" s="196"/>
      <c r="BP684" s="196"/>
      <c r="BQ684" s="197"/>
      <c r="BR684" s="201"/>
      <c r="BS684" s="237"/>
      <c r="BT684" s="237"/>
      <c r="BU684" s="237"/>
      <c r="BV684" s="242"/>
      <c r="BW684" s="237"/>
      <c r="BX684" s="237"/>
      <c r="BY684" s="237"/>
      <c r="BZ684" s="237"/>
      <c r="CA684" s="237"/>
      <c r="CB684" s="437"/>
      <c r="CC684" s="437"/>
      <c r="CD684" s="437"/>
      <c r="CE684" s="437"/>
      <c r="CF684" s="237"/>
      <c r="CG684" s="237"/>
      <c r="CH684" s="237"/>
      <c r="CI684" s="237"/>
      <c r="CJ684" s="197"/>
      <c r="CK684" s="197"/>
      <c r="CL684" s="197"/>
      <c r="CM684" s="197"/>
      <c r="CN684" s="197"/>
      <c r="CO684" s="197"/>
      <c r="CP684" s="197"/>
      <c r="CQ684" s="197"/>
      <c r="CR684" s="197"/>
      <c r="CS684" s="197"/>
      <c r="CT684" s="401"/>
      <c r="CU684" s="237"/>
      <c r="CV684" s="243"/>
      <c r="CW684" s="255"/>
    </row>
    <row r="685" spans="1:101" ht="13.5" thickBot="1" x14ac:dyDescent="0.25">
      <c r="A685" s="256"/>
      <c r="B685" s="256"/>
      <c r="C685" s="202"/>
      <c r="D685" s="188"/>
      <c r="E685" s="266" t="str">
        <f>E3</f>
        <v>Skorgen Tippelag</v>
      </c>
      <c r="F685" s="406"/>
      <c r="G685" s="406"/>
      <c r="H685" s="406"/>
      <c r="I685" s="406"/>
      <c r="J685" s="406"/>
      <c r="K685" s="406"/>
      <c r="L685" s="406"/>
      <c r="M685" s="406"/>
      <c r="N685" s="406"/>
      <c r="O685" s="406"/>
      <c r="P685" s="406"/>
      <c r="Q685" s="406"/>
      <c r="R685" s="406"/>
      <c r="S685" s="406"/>
      <c r="T685" s="406"/>
      <c r="U685" s="406"/>
      <c r="V685" s="406"/>
      <c r="W685" s="406"/>
      <c r="X685" s="406"/>
      <c r="Y685" s="406"/>
      <c r="Z685" s="406"/>
      <c r="AA685" s="406"/>
      <c r="AB685" s="406"/>
      <c r="AC685" s="406"/>
      <c r="AD685" s="406"/>
      <c r="AE685" s="406"/>
      <c r="AF685" s="406"/>
      <c r="AG685" s="406"/>
      <c r="AH685" s="406"/>
      <c r="AI685" s="406"/>
      <c r="AJ685" s="406"/>
      <c r="AK685" s="406"/>
      <c r="AL685" s="406"/>
      <c r="AM685" s="406"/>
      <c r="AN685" s="406"/>
      <c r="AO685" s="406"/>
      <c r="AP685" s="406"/>
      <c r="AQ685" s="406"/>
      <c r="AR685" s="406"/>
      <c r="AS685" s="406"/>
      <c r="AT685" s="406"/>
      <c r="AU685" s="406"/>
      <c r="AV685" s="406"/>
      <c r="AW685" s="406"/>
      <c r="AX685" s="406"/>
      <c r="AY685" s="406"/>
      <c r="AZ685" s="406"/>
      <c r="BA685" s="406"/>
      <c r="BB685" s="406"/>
      <c r="BC685" s="406"/>
      <c r="BD685" s="406"/>
      <c r="BE685" s="406"/>
      <c r="BF685" s="406"/>
      <c r="BG685" s="406"/>
      <c r="BH685" s="406"/>
      <c r="BI685" s="406"/>
      <c r="BJ685" s="406"/>
      <c r="BK685" s="406"/>
      <c r="BL685" s="406"/>
      <c r="BM685" s="406"/>
      <c r="BN685" s="406"/>
      <c r="BO685" s="406"/>
      <c r="BP685" s="406"/>
      <c r="BQ685" s="406"/>
      <c r="BR685" s="406"/>
      <c r="BS685" s="406"/>
      <c r="BT685" s="406"/>
      <c r="BU685" s="406"/>
      <c r="BV685" s="406"/>
      <c r="BW685" s="406"/>
      <c r="BX685" s="406"/>
      <c r="BY685" s="406"/>
      <c r="BZ685" s="406"/>
      <c r="CA685" s="406"/>
      <c r="CB685" s="438"/>
      <c r="CC685" s="438"/>
      <c r="CD685" s="438"/>
      <c r="CE685" s="438"/>
      <c r="CF685" s="406"/>
      <c r="CG685" s="406"/>
      <c r="CH685" s="406"/>
      <c r="CI685" s="406"/>
      <c r="CJ685" s="406"/>
      <c r="CK685" s="406"/>
      <c r="CL685" s="406"/>
      <c r="CM685" s="406"/>
      <c r="CN685" s="366"/>
      <c r="CO685" s="366"/>
      <c r="CP685" s="366"/>
      <c r="CQ685" s="366"/>
      <c r="CR685" s="366"/>
      <c r="CS685" s="366"/>
      <c r="CT685" s="187"/>
      <c r="CU685" s="310"/>
      <c r="CV685" s="246"/>
      <c r="CW685" s="255"/>
    </row>
    <row r="686" spans="1:101" ht="18.75" thickTop="1" x14ac:dyDescent="0.2">
      <c r="A686" s="256"/>
      <c r="B686" s="256"/>
      <c r="C686" s="209"/>
      <c r="D686" s="290"/>
      <c r="E686" s="273"/>
      <c r="F686" s="274"/>
      <c r="G686" s="273"/>
      <c r="H686" s="273"/>
      <c r="I686" s="803" t="s">
        <v>39</v>
      </c>
      <c r="J686" s="805"/>
      <c r="K686" s="805"/>
      <c r="L686" s="291"/>
      <c r="M686" s="302"/>
      <c r="N686" s="242"/>
      <c r="O686" s="275"/>
      <c r="P686" s="275"/>
      <c r="Q686" s="808">
        <f>IF($F690="","",SUM(Q702:S702)-S688)</f>
        <v>570</v>
      </c>
      <c r="R686" s="808"/>
      <c r="S686" s="808"/>
      <c r="T686" s="276"/>
      <c r="U686" s="277"/>
      <c r="V686" s="277"/>
      <c r="W686" s="277"/>
      <c r="X686" s="277"/>
      <c r="Y686" s="275"/>
      <c r="Z686" s="808">
        <f>IF($F690="","",SUM(Z702:AB702)-AB688)</f>
        <v>600</v>
      </c>
      <c r="AA686" s="808"/>
      <c r="AB686" s="808"/>
      <c r="AC686" s="276"/>
      <c r="AD686" s="277"/>
      <c r="AE686" s="277"/>
      <c r="AF686" s="277"/>
      <c r="AG686" s="273"/>
      <c r="AH686" s="275"/>
      <c r="AI686" s="808">
        <f>IF($F690="","",SUM(AI702:AK702)-AK688)</f>
        <v>560</v>
      </c>
      <c r="AJ686" s="808"/>
      <c r="AK686" s="808"/>
      <c r="AL686" s="276"/>
      <c r="AM686" s="277"/>
      <c r="AN686" s="277"/>
      <c r="AO686" s="277"/>
      <c r="AP686" s="273"/>
      <c r="AQ686" s="275"/>
      <c r="AR686" s="808">
        <f>IF($F690="","",SUM(AR702:AT702)-AT688)</f>
        <v>560</v>
      </c>
      <c r="AS686" s="808"/>
      <c r="AT686" s="808"/>
      <c r="AU686" s="278"/>
      <c r="AV686" s="277"/>
      <c r="AW686" s="277"/>
      <c r="AX686" s="277"/>
      <c r="AY686" s="279"/>
      <c r="AZ686" s="280"/>
      <c r="BA686" s="808">
        <f>IF($F690="","",SUM(BA702:BC702)-BC688)</f>
        <v>470</v>
      </c>
      <c r="BB686" s="808"/>
      <c r="BC686" s="808"/>
      <c r="BD686" s="278"/>
      <c r="BE686" s="277"/>
      <c r="BF686" s="277"/>
      <c r="BG686" s="277"/>
      <c r="BH686" s="279"/>
      <c r="BI686" s="280"/>
      <c r="BJ686" s="808">
        <f>IF($F690="","",SUM(BJ702:BL702)-BL688)</f>
        <v>640</v>
      </c>
      <c r="BK686" s="808"/>
      <c r="BL686" s="808"/>
      <c r="BM686" s="278"/>
      <c r="BN686" s="277"/>
      <c r="BO686" s="277"/>
      <c r="BP686" s="277"/>
      <c r="BQ686" s="279"/>
      <c r="BR686" s="281"/>
      <c r="BS686" s="808">
        <f>IF($F690="","",SUM(BS702:BU702)-BU688)</f>
        <v>570</v>
      </c>
      <c r="BT686" s="808"/>
      <c r="BU686" s="808"/>
      <c r="BV686" s="280"/>
      <c r="BW686" s="279"/>
      <c r="BX686" s="279"/>
      <c r="BY686" s="279"/>
      <c r="BZ686" s="279"/>
      <c r="CA686" s="281"/>
      <c r="CB686" s="808">
        <f>IF($F690="","",SUM(CB702:CD702)-CD688)</f>
        <v>560</v>
      </c>
      <c r="CC686" s="808"/>
      <c r="CD686" s="808"/>
      <c r="CE686" s="280"/>
      <c r="CF686" s="279"/>
      <c r="CG686" s="279"/>
      <c r="CH686" s="279"/>
      <c r="CI686" s="279"/>
      <c r="CJ686" s="273"/>
      <c r="CK686" s="808">
        <f>IF($F690="","",SUM(CK702:CM702))</f>
        <v>530</v>
      </c>
      <c r="CL686" s="808"/>
      <c r="CM686" s="808"/>
      <c r="CN686" s="280"/>
      <c r="CO686" s="279"/>
      <c r="CP686" s="279"/>
      <c r="CQ686" s="279"/>
      <c r="CR686" s="273"/>
      <c r="CS686" s="273"/>
      <c r="CT686" s="273"/>
      <c r="CU686" s="292"/>
      <c r="CV686" s="246"/>
      <c r="CW686" s="255"/>
    </row>
    <row r="687" spans="1:101" x14ac:dyDescent="0.2">
      <c r="A687" s="256"/>
      <c r="B687" s="256"/>
      <c r="C687" s="209"/>
      <c r="D687" s="916">
        <v>19</v>
      </c>
      <c r="E687" s="588">
        <f>IF(D687="","",DATE($D$3,1,1)+(D687-1)*7+(6-WEEKDAY(DATE($D$3,1,1),2)))</f>
        <v>46151</v>
      </c>
      <c r="F687" s="213"/>
      <c r="G687" s="214"/>
      <c r="H687" s="214"/>
      <c r="I687" s="804">
        <f>IF(ISERROR(AVERAGE(Q686,Z686,AI686,AR686,BA686,BJ686,BS686,CB686,CK686)),"",AVERAGE(Q686,Z686,AI686,AR686,BA686,BJ686,BS686,CB686,CK686))</f>
        <v>562.22222222222217</v>
      </c>
      <c r="J687" s="806"/>
      <c r="K687" s="806"/>
      <c r="L687" s="295"/>
      <c r="M687" s="372"/>
      <c r="N687" s="245"/>
      <c r="O687" s="215"/>
      <c r="P687" s="215"/>
      <c r="Q687" s="710">
        <f>IF(Q686="","",Q686/Data!$X$1)</f>
        <v>0.47499999999999998</v>
      </c>
      <c r="R687" s="710"/>
      <c r="S687" s="711">
        <f>IF(SUM(X690:X701)=0,"",SUM(X690:X701))</f>
        <v>7</v>
      </c>
      <c r="T687" s="216"/>
      <c r="U687" s="217"/>
      <c r="V687" s="217"/>
      <c r="W687" s="217"/>
      <c r="X687" s="217"/>
      <c r="Y687" s="215"/>
      <c r="Z687" s="710">
        <f>IF(Z686="","",Z686/Data!$X$1)</f>
        <v>0.5</v>
      </c>
      <c r="AA687" s="710"/>
      <c r="AB687" s="711">
        <f>IF(SUM(AG690:AG701)=0,"",SUM(AG690:AG701))</f>
        <v>6</v>
      </c>
      <c r="AC687" s="216"/>
      <c r="AD687" s="217"/>
      <c r="AE687" s="217"/>
      <c r="AF687" s="217"/>
      <c r="AG687" s="217"/>
      <c r="AH687" s="215"/>
      <c r="AI687" s="710">
        <f>IF(AI686="","",AI686/Data!$X$1)</f>
        <v>0.46666666666666667</v>
      </c>
      <c r="AJ687" s="710"/>
      <c r="AK687" s="711">
        <f>IF(SUM(AP690:AP701)=0,"",SUM(AP690:AP701))</f>
        <v>7</v>
      </c>
      <c r="AL687" s="216"/>
      <c r="AM687" s="217"/>
      <c r="AN687" s="217"/>
      <c r="AO687" s="217"/>
      <c r="AP687" s="217"/>
      <c r="AQ687" s="215"/>
      <c r="AR687" s="710">
        <f>IF(AR686="","",AR686/Data!$X$1)</f>
        <v>0.46666666666666667</v>
      </c>
      <c r="AS687" s="710"/>
      <c r="AT687" s="711">
        <f>IF(SUM(AY690:AY701)=0,"",SUM(AY690:AY701))</f>
        <v>7</v>
      </c>
      <c r="AU687" s="218"/>
      <c r="AV687" s="217"/>
      <c r="AW687" s="217"/>
      <c r="AX687" s="217"/>
      <c r="AY687" s="217"/>
      <c r="AZ687" s="219"/>
      <c r="BA687" s="710">
        <f>IF(BA686="","",BA686/Data!$X$1)</f>
        <v>0.39166666666666666</v>
      </c>
      <c r="BB687" s="710"/>
      <c r="BC687" s="711">
        <f>IF(SUM(BH690:BH701)=0,"",SUM(BH690:BH701))</f>
        <v>5</v>
      </c>
      <c r="BD687" s="218"/>
      <c r="BE687" s="217"/>
      <c r="BF687" s="217"/>
      <c r="BG687" s="217"/>
      <c r="BH687" s="217"/>
      <c r="BI687" s="219"/>
      <c r="BJ687" s="710">
        <f>IF(BJ686="","",BJ686/Data!$X$1)</f>
        <v>0.53333333333333333</v>
      </c>
      <c r="BK687" s="710"/>
      <c r="BL687" s="711">
        <f>IF(SUM(BQ690:BQ701)=0,"",SUM(BQ690:BQ701))</f>
        <v>8</v>
      </c>
      <c r="BM687" s="218"/>
      <c r="BN687" s="217"/>
      <c r="BO687" s="217"/>
      <c r="BP687" s="217"/>
      <c r="BQ687" s="217"/>
      <c r="BR687" s="220"/>
      <c r="BS687" s="710">
        <f>IF(BS686="","",BS686/Data!$X$1)</f>
        <v>0.47499999999999998</v>
      </c>
      <c r="BT687" s="710"/>
      <c r="BU687" s="711">
        <f>IF(SUM(BZ690:BZ701)=0,"",SUM(BZ690:BZ701))</f>
        <v>7</v>
      </c>
      <c r="BV687" s="219"/>
      <c r="BW687" s="217"/>
      <c r="BX687" s="217"/>
      <c r="BY687" s="217"/>
      <c r="BZ687" s="217"/>
      <c r="CA687" s="220"/>
      <c r="CB687" s="710">
        <f>IF(CB686="","",CB686/Data!$X$1)</f>
        <v>0.46666666666666667</v>
      </c>
      <c r="CC687" s="710"/>
      <c r="CD687" s="711">
        <f>IF(SUM(CI690:CI701)=0,"",SUM(CI690:CI701))</f>
        <v>7</v>
      </c>
      <c r="CE687" s="219"/>
      <c r="CF687" s="217"/>
      <c r="CG687" s="217"/>
      <c r="CH687" s="217"/>
      <c r="CI687" s="217"/>
      <c r="CJ687" s="217"/>
      <c r="CK687" s="710">
        <f>IF(CK686="","",CK686/Data!$X$1)</f>
        <v>0.44166666666666665</v>
      </c>
      <c r="CL687" s="710"/>
      <c r="CM687" s="711">
        <f>IF(SUM(CR690:CR701)=0,"",SUM(CR690:CR701))</f>
        <v>7</v>
      </c>
      <c r="CN687" s="219"/>
      <c r="CO687" s="217"/>
      <c r="CP687" s="217"/>
      <c r="CQ687" s="217"/>
      <c r="CR687" s="217"/>
      <c r="CS687" s="217"/>
      <c r="CT687" s="217"/>
      <c r="CU687" s="296"/>
      <c r="CV687" s="246"/>
      <c r="CW687" s="255"/>
    </row>
    <row r="688" spans="1:101" ht="13.5" thickBot="1" x14ac:dyDescent="0.25">
      <c r="A688" s="256"/>
      <c r="B688" s="256"/>
      <c r="C688" s="209"/>
      <c r="D688" s="269">
        <f>D666+1</f>
        <v>32</v>
      </c>
      <c r="E688" s="402" t="str">
        <f>IF(E687="","Sett inn dato over her",TEXT(E687,"dddd"))</f>
        <v>lørdag</v>
      </c>
      <c r="F688" s="221"/>
      <c r="G688" s="222"/>
      <c r="H688" s="222"/>
      <c r="I688" s="802"/>
      <c r="J688" s="807"/>
      <c r="K688" s="807"/>
      <c r="L688" s="297"/>
      <c r="M688" s="373"/>
      <c r="N688" s="377"/>
      <c r="O688" s="222"/>
      <c r="P688" s="222"/>
      <c r="Q688" s="385" t="str">
        <f>Data!$E$11</f>
        <v>AHH</v>
      </c>
      <c r="R688" s="386">
        <f>IF($F701="","",RANK(Q686,$Q686:$CL686))</f>
        <v>3</v>
      </c>
      <c r="S688" s="510"/>
      <c r="T688" s="216">
        <v>0</v>
      </c>
      <c r="U688" s="217"/>
      <c r="V688" s="217"/>
      <c r="W688" s="217"/>
      <c r="X688" s="217"/>
      <c r="Y688" s="215"/>
      <c r="Z688" s="385" t="str">
        <f>Data!$E$12</f>
        <v>RB</v>
      </c>
      <c r="AA688" s="386">
        <f>IF($F701="","",RANK(Z686,$Q686:$CL686))</f>
        <v>2</v>
      </c>
      <c r="AB688" s="510"/>
      <c r="AC688" s="216"/>
      <c r="AD688" s="217"/>
      <c r="AE688" s="217"/>
      <c r="AF688" s="217"/>
      <c r="AG688" s="217"/>
      <c r="AH688" s="215"/>
      <c r="AI688" s="385" t="str">
        <f>Data!$E$13</f>
        <v>EB</v>
      </c>
      <c r="AJ688" s="386">
        <f>IF($F701="","",RANK(AI686,$Q686:$CL686))</f>
        <v>5</v>
      </c>
      <c r="AK688" s="510"/>
      <c r="AL688" s="216"/>
      <c r="AM688" s="217"/>
      <c r="AN688" s="217"/>
      <c r="AO688" s="217"/>
      <c r="AP688" s="217"/>
      <c r="AQ688" s="215"/>
      <c r="AR688" s="346" t="str">
        <f>Data!$E$14</f>
        <v>KAF</v>
      </c>
      <c r="AS688" s="386">
        <f>IF($F701="","",RANK(AR686,$Q686:$CL686))</f>
        <v>5</v>
      </c>
      <c r="AT688" s="510"/>
      <c r="AU688" s="216"/>
      <c r="AV688" s="217"/>
      <c r="AW688" s="217"/>
      <c r="AX688" s="217"/>
      <c r="AY688" s="217"/>
      <c r="AZ688" s="215"/>
      <c r="BA688" s="346" t="str">
        <f>Data!$E$15</f>
        <v>ØG</v>
      </c>
      <c r="BB688" s="386">
        <f>IF($F701="","",RANK(BA686,$Q686:$CL686))</f>
        <v>9</v>
      </c>
      <c r="BC688" s="510"/>
      <c r="BD688" s="216"/>
      <c r="BE688" s="217"/>
      <c r="BF688" s="217"/>
      <c r="BG688" s="217"/>
      <c r="BH688" s="217"/>
      <c r="BI688" s="215"/>
      <c r="BJ688" s="346" t="str">
        <f>Data!$E$16</f>
        <v>JH</v>
      </c>
      <c r="BK688" s="386">
        <f>IF($F701="","",RANK(BJ686,$Q686:$CL686))</f>
        <v>1</v>
      </c>
      <c r="BL688" s="510"/>
      <c r="BM688" s="216"/>
      <c r="BN688" s="217"/>
      <c r="BO688" s="217"/>
      <c r="BP688" s="217"/>
      <c r="BQ688" s="217"/>
      <c r="BR688" s="223"/>
      <c r="BS688" s="346" t="str">
        <f>Data!$E$17</f>
        <v>TOH</v>
      </c>
      <c r="BT688" s="386">
        <f>IF($F701="","",RANK(BS686,$Q686:$CL686))</f>
        <v>3</v>
      </c>
      <c r="BU688" s="510"/>
      <c r="BV688" s="215"/>
      <c r="BW688" s="217"/>
      <c r="BX688" s="217"/>
      <c r="BY688" s="217"/>
      <c r="BZ688" s="217"/>
      <c r="CA688" s="223"/>
      <c r="CB688" s="346" t="s">
        <v>26</v>
      </c>
      <c r="CC688" s="386">
        <f>IF($F701="","",RANK(CB686,$Q686:$CM686))</f>
        <v>5</v>
      </c>
      <c r="CD688" s="511"/>
      <c r="CE688" s="215"/>
      <c r="CF688" s="217"/>
      <c r="CG688" s="217"/>
      <c r="CH688" s="217"/>
      <c r="CI688" s="217"/>
      <c r="CJ688" s="217"/>
      <c r="CK688" s="346" t="s">
        <v>27</v>
      </c>
      <c r="CL688" s="386">
        <f>IF($F701="","",RANK(CK686,$Q686:$CM686))</f>
        <v>8</v>
      </c>
      <c r="CM688" s="798"/>
      <c r="CN688" s="215"/>
      <c r="CO688" s="217"/>
      <c r="CP688" s="217"/>
      <c r="CQ688" s="217"/>
      <c r="CR688" s="217"/>
      <c r="CS688" s="217"/>
      <c r="CT688" s="217"/>
      <c r="CU688" s="296"/>
      <c r="CV688" s="246"/>
      <c r="CW688" s="255"/>
    </row>
    <row r="689" spans="1:101" ht="13.5" thickBot="1" x14ac:dyDescent="0.25">
      <c r="A689" s="264"/>
      <c r="B689" s="264"/>
      <c r="C689" s="202"/>
      <c r="D689" s="270"/>
      <c r="E689" s="224"/>
      <c r="F689" s="225"/>
      <c r="G689" s="226"/>
      <c r="H689" s="226"/>
      <c r="I689" s="227" t="s">
        <v>45</v>
      </c>
      <c r="J689" s="228" t="s">
        <v>46</v>
      </c>
      <c r="K689" s="229" t="s">
        <v>47</v>
      </c>
      <c r="L689" s="298"/>
      <c r="M689" s="374"/>
      <c r="N689" s="378"/>
      <c r="O689" s="230"/>
      <c r="P689" s="230"/>
      <c r="Q689" s="227" t="s">
        <v>45</v>
      </c>
      <c r="R689" s="228" t="s">
        <v>46</v>
      </c>
      <c r="S689" s="229" t="s">
        <v>47</v>
      </c>
      <c r="T689" s="231"/>
      <c r="U689" s="232"/>
      <c r="V689" s="232"/>
      <c r="W689" s="232"/>
      <c r="X689" s="232"/>
      <c r="Y689" s="230"/>
      <c r="Z689" s="227" t="s">
        <v>45</v>
      </c>
      <c r="AA689" s="228" t="s">
        <v>46</v>
      </c>
      <c r="AB689" s="229" t="s">
        <v>47</v>
      </c>
      <c r="AC689" s="231"/>
      <c r="AD689" s="232"/>
      <c r="AE689" s="232"/>
      <c r="AF689" s="232"/>
      <c r="AG689" s="232"/>
      <c r="AH689" s="230"/>
      <c r="AI689" s="227" t="s">
        <v>45</v>
      </c>
      <c r="AJ689" s="228" t="s">
        <v>46</v>
      </c>
      <c r="AK689" s="229" t="s">
        <v>47</v>
      </c>
      <c r="AL689" s="231"/>
      <c r="AM689" s="232"/>
      <c r="AN689" s="232"/>
      <c r="AO689" s="232"/>
      <c r="AP689" s="232"/>
      <c r="AQ689" s="230"/>
      <c r="AR689" s="227" t="s">
        <v>45</v>
      </c>
      <c r="AS689" s="228" t="s">
        <v>46</v>
      </c>
      <c r="AT689" s="229" t="s">
        <v>47</v>
      </c>
      <c r="AU689" s="231"/>
      <c r="AV689" s="232"/>
      <c r="AW689" s="232"/>
      <c r="AX689" s="232"/>
      <c r="AY689" s="232"/>
      <c r="AZ689" s="230"/>
      <c r="BA689" s="227" t="s">
        <v>45</v>
      </c>
      <c r="BB689" s="228" t="s">
        <v>46</v>
      </c>
      <c r="BC689" s="229" t="s">
        <v>47</v>
      </c>
      <c r="BD689" s="231"/>
      <c r="BE689" s="232"/>
      <c r="BF689" s="232"/>
      <c r="BG689" s="232"/>
      <c r="BH689" s="232"/>
      <c r="BI689" s="230"/>
      <c r="BJ689" s="227" t="s">
        <v>45</v>
      </c>
      <c r="BK689" s="228" t="s">
        <v>46</v>
      </c>
      <c r="BL689" s="229" t="s">
        <v>47</v>
      </c>
      <c r="BM689" s="231"/>
      <c r="BN689" s="232"/>
      <c r="BO689" s="232"/>
      <c r="BP689" s="232"/>
      <c r="BQ689" s="232"/>
      <c r="BR689" s="230"/>
      <c r="BS689" s="227" t="s">
        <v>45</v>
      </c>
      <c r="BT689" s="228" t="s">
        <v>46</v>
      </c>
      <c r="BU689" s="229" t="s">
        <v>47</v>
      </c>
      <c r="BV689" s="231"/>
      <c r="BW689" s="232"/>
      <c r="BX689" s="232"/>
      <c r="BY689" s="232"/>
      <c r="BZ689" s="233"/>
      <c r="CA689" s="230"/>
      <c r="CB689" s="227" t="s">
        <v>45</v>
      </c>
      <c r="CC689" s="228" t="s">
        <v>46</v>
      </c>
      <c r="CD689" s="229" t="s">
        <v>47</v>
      </c>
      <c r="CE689" s="231"/>
      <c r="CF689" s="232"/>
      <c r="CG689" s="232"/>
      <c r="CH689" s="232"/>
      <c r="CI689" s="232"/>
      <c r="CJ689" s="232"/>
      <c r="CK689" s="227" t="s">
        <v>45</v>
      </c>
      <c r="CL689" s="228" t="s">
        <v>46</v>
      </c>
      <c r="CM689" s="229" t="s">
        <v>47</v>
      </c>
      <c r="CN689" s="231"/>
      <c r="CO689" s="232"/>
      <c r="CP689" s="232"/>
      <c r="CQ689" s="232"/>
      <c r="CR689" s="232"/>
      <c r="CS689" s="232"/>
      <c r="CT689" s="234"/>
      <c r="CU689" s="296"/>
      <c r="CV689" s="246"/>
      <c r="CW689" s="265"/>
    </row>
    <row r="690" spans="1:101" x14ac:dyDescent="0.2">
      <c r="A690" s="264"/>
      <c r="B690" s="264"/>
      <c r="C690" s="202"/>
      <c r="D690" s="271">
        <v>1</v>
      </c>
      <c r="E690" s="166" t="s">
        <v>909</v>
      </c>
      <c r="F690" s="468">
        <v>2</v>
      </c>
      <c r="G690" s="472"/>
      <c r="H690" s="473">
        <v>2</v>
      </c>
      <c r="I690" s="170" t="str">
        <f t="shared" ref="I690:I701" si="1550">IF($F690&gt;$H690,"x","")</f>
        <v/>
      </c>
      <c r="J690" s="387" t="str">
        <f t="shared" ref="J690:J701" si="1551">IF(F690&lt;&gt;"",IF(H690&lt;&gt;"",IF(F690=H690,"x",""),""),"")</f>
        <v>x</v>
      </c>
      <c r="K690" s="388" t="str">
        <f t="shared" ref="K690:K701" si="1552">IF($F690&lt;$H690,"x","")</f>
        <v/>
      </c>
      <c r="L690" s="299"/>
      <c r="M690" s="375"/>
      <c r="N690" s="379"/>
      <c r="O690" s="236"/>
      <c r="P690" s="236"/>
      <c r="Q690" s="480">
        <v>60</v>
      </c>
      <c r="R690" s="481">
        <v>20</v>
      </c>
      <c r="S690" s="482">
        <f>IF(Q690="","",100-SUM(Q690:R690))</f>
        <v>20</v>
      </c>
      <c r="T690" s="371"/>
      <c r="U690" s="232" t="str">
        <f t="shared" ref="U690:U701" si="1553">IF($I690="x",Q690,"")</f>
        <v/>
      </c>
      <c r="V690" s="232">
        <f t="shared" ref="V690:V701" si="1554">IF($J690="x",R690,"")</f>
        <v>20</v>
      </c>
      <c r="W690" s="232" t="str">
        <f t="shared" ref="W690:W701" si="1555">IF($K690="x",S690,"")</f>
        <v/>
      </c>
      <c r="X690" s="232" t="str">
        <f>IF((MAX(U690,V690,W690))=0,"",IF((MAX(U690,V690,W690))=(MAX(Q690,R690,S690)),1,""))</f>
        <v/>
      </c>
      <c r="Y690" s="371"/>
      <c r="Z690" s="495">
        <v>80</v>
      </c>
      <c r="AA690" s="496">
        <v>10</v>
      </c>
      <c r="AB690" s="482">
        <f t="shared" ref="AB690:AB701" si="1556">IF(Z690="","",100-SUM(Z690:AA690))</f>
        <v>10</v>
      </c>
      <c r="AC690" s="371"/>
      <c r="AD690" s="232" t="str">
        <f t="shared" ref="AD690:AD701" si="1557">IF($I690="x",Z690,"")</f>
        <v/>
      </c>
      <c r="AE690" s="232">
        <f t="shared" ref="AE690:AE701" si="1558">IF($J690="x",AA690,"")</f>
        <v>10</v>
      </c>
      <c r="AF690" s="232" t="str">
        <f t="shared" ref="AF690:AF701" si="1559">IF($K690="x",AB690,"")</f>
        <v/>
      </c>
      <c r="AG690" s="232" t="str">
        <f>IF((MAX(AD690,AE690,AF690))=0,"",IF((MAX(AD690,AE690,AF690))=(MAX(Z690,AA690,AB690)),1,""))</f>
        <v/>
      </c>
      <c r="AH690" s="371"/>
      <c r="AI690" s="495">
        <v>80</v>
      </c>
      <c r="AJ690" s="496">
        <v>10</v>
      </c>
      <c r="AK690" s="482">
        <f t="shared" ref="AK690:AK701" si="1560">IF(AI690="","",100-SUM(AI690:AJ690))</f>
        <v>10</v>
      </c>
      <c r="AL690" s="371"/>
      <c r="AM690" s="232" t="str">
        <f t="shared" ref="AM690:AM701" si="1561">IF($I690="x",AI690,"")</f>
        <v/>
      </c>
      <c r="AN690" s="232">
        <f t="shared" ref="AN690:AN701" si="1562">IF($J690="x",AJ690,"")</f>
        <v>10</v>
      </c>
      <c r="AO690" s="232" t="str">
        <f t="shared" ref="AO690:AO701" si="1563">IF($K690="x",AK690,"")</f>
        <v/>
      </c>
      <c r="AP690" s="232" t="str">
        <f>IF((MAX(AM690,AN690,AO690))=0,"",IF((MAX(AM690,AN690,AO690))=(MAX(AI690,AJ690,AK690)),1,""))</f>
        <v/>
      </c>
      <c r="AQ690" s="371"/>
      <c r="AR690" s="495">
        <v>80</v>
      </c>
      <c r="AS690" s="496">
        <v>10</v>
      </c>
      <c r="AT690" s="482">
        <f t="shared" ref="AT690:AT701" si="1564">IF(AR690="","",100-SUM(AR690:AS690))</f>
        <v>10</v>
      </c>
      <c r="AU690" s="371"/>
      <c r="AV690" s="232" t="str">
        <f t="shared" ref="AV690:AV701" si="1565">IF($I690="x",AR690,"")</f>
        <v/>
      </c>
      <c r="AW690" s="232">
        <f t="shared" ref="AW690:AW701" si="1566">IF($J690="x",AS690,"")</f>
        <v>10</v>
      </c>
      <c r="AX690" s="232" t="str">
        <f t="shared" ref="AX690:AX701" si="1567">IF($K690="x",AT690,"")</f>
        <v/>
      </c>
      <c r="AY690" s="232" t="str">
        <f>IF((MAX(AV690,AW690,AX690))=0,"",IF((MAX(AV690,AW690,AX690))=(MAX(AR690,AS690,AT690)),1,""))</f>
        <v/>
      </c>
      <c r="AZ690" s="371"/>
      <c r="BA690" s="495">
        <v>80</v>
      </c>
      <c r="BB690" s="496">
        <v>10</v>
      </c>
      <c r="BC690" s="482">
        <f t="shared" ref="BC690:BC701" si="1568">IF(BA690="","",100-SUM(BA690:BB690))</f>
        <v>10</v>
      </c>
      <c r="BD690" s="371"/>
      <c r="BE690" s="232" t="str">
        <f t="shared" ref="BE690:BE701" si="1569">IF($I690="x",BA690,"")</f>
        <v/>
      </c>
      <c r="BF690" s="232">
        <f t="shared" ref="BF690:BF701" si="1570">IF($J690="x",BB690,"")</f>
        <v>10</v>
      </c>
      <c r="BG690" s="232" t="str">
        <f t="shared" ref="BG690:BG701" si="1571">IF($K690="x",BC690,"")</f>
        <v/>
      </c>
      <c r="BH690" s="232" t="str">
        <f>IF((MAX(BE690,BF690,BG690))=0,"",IF((MAX(BE690,BF690,BG690))=(MAX(BA690,BB690,BC690)),1,""))</f>
        <v/>
      </c>
      <c r="BI690" s="371"/>
      <c r="BJ690" s="495">
        <v>80</v>
      </c>
      <c r="BK690" s="496">
        <v>10</v>
      </c>
      <c r="BL690" s="482">
        <f t="shared" ref="BL690:BL701" si="1572">IF(BJ690="","",100-SUM(BJ690:BK690))</f>
        <v>10</v>
      </c>
      <c r="BM690" s="371"/>
      <c r="BN690" s="232" t="str">
        <f t="shared" ref="BN690:BN701" si="1573">IF($I690="x",BJ690,"")</f>
        <v/>
      </c>
      <c r="BO690" s="232">
        <f t="shared" ref="BO690:BO701" si="1574">IF($J690="x",BK690,"")</f>
        <v>10</v>
      </c>
      <c r="BP690" s="232" t="str">
        <f t="shared" ref="BP690:BP701" si="1575">IF($K690="x",BL690,"")</f>
        <v/>
      </c>
      <c r="BQ690" s="232" t="str">
        <f>IF((MAX(BN690,BO690,BP690))=0,"",IF((MAX(BN690,BO690,BP690))=(MAX(BJ690,BK690,BL690)),1,""))</f>
        <v/>
      </c>
      <c r="BR690" s="371"/>
      <c r="BS690" s="495">
        <v>30</v>
      </c>
      <c r="BT690" s="496">
        <v>20</v>
      </c>
      <c r="BU690" s="482">
        <f t="shared" ref="BU690:BU701" si="1576">IF(BS690="","",100-SUM(BS690:BT690))</f>
        <v>50</v>
      </c>
      <c r="BV690" s="371"/>
      <c r="BW690" s="232" t="str">
        <f t="shared" ref="BW690:BW701" si="1577">IF($I690="x",BS690,"")</f>
        <v/>
      </c>
      <c r="BX690" s="232">
        <f t="shared" ref="BX690:BX701" si="1578">IF($J690="x",BT690,"")</f>
        <v>20</v>
      </c>
      <c r="BY690" s="232" t="str">
        <f t="shared" ref="BY690:BY701" si="1579">IF($K690="x",BU690,"")</f>
        <v/>
      </c>
      <c r="BZ690" s="232" t="str">
        <f>IF((MAX(BW690,BX690,BY690))=0,"",IF((MAX(BW690,BX690,BY690))=(MAX(BS690,BT690,BU690)),1,""))</f>
        <v/>
      </c>
      <c r="CA690" s="371"/>
      <c r="CB690" s="501">
        <f t="shared" ref="CB690:CB701" si="1580">IFERROR(ROUNDUP((SUM(Q690,Z690,AI690,AR690,BA690,BJ690,BS690)/SUM($Q690:$S690,$Z690:$AB690,$AI690:$AK690,$AR690:$AT690,$BA690:$BC690,$BJ690:$BL690,$BS690:$BU690))*100,-1),"")</f>
        <v>70</v>
      </c>
      <c r="CC690" s="502">
        <f t="shared" ref="CC690:CC701" si="1581">IFERROR(ROUNDDOWN((SUM(R690,AA690,AJ690,AS690,BB690,BK690,BT690)/SUM($Q690:$S690,$Z690:$AB690,$AI690:$AK690,$AR690:$AT690,$BA690:$BC690,$BJ690:$BL690,$BS690:$BU690))*100,-1),"")</f>
        <v>10</v>
      </c>
      <c r="CD690" s="503">
        <f t="shared" ref="CD690:CD701" si="1582">IF(CB690="","",100-SUM(CB690:CC690))</f>
        <v>20</v>
      </c>
      <c r="CE690" s="371"/>
      <c r="CF690" s="232" t="str">
        <f t="shared" ref="CF690:CF701" si="1583">IF($I690="x",CB690,"")</f>
        <v/>
      </c>
      <c r="CG690" s="232">
        <f t="shared" ref="CG690:CG701" si="1584">IF($J690="x",CC690,"")</f>
        <v>10</v>
      </c>
      <c r="CH690" s="232" t="str">
        <f t="shared" ref="CH690:CH701" si="1585">IF($K690="x",CD690,"")</f>
        <v/>
      </c>
      <c r="CI690" s="232" t="str">
        <f>IF((MAX(CF690,CG690,CH690))=0,"",IF((MAX(CF690,CG690,CH690))=(MAX(CB690,CC690,CD690)),1,""))</f>
        <v/>
      </c>
      <c r="CJ690" s="232"/>
      <c r="CK690" s="495">
        <v>80</v>
      </c>
      <c r="CL690" s="496">
        <v>10</v>
      </c>
      <c r="CM690" s="482">
        <f t="shared" ref="CM690:CM701" si="1586">IF(CK690="","",100-SUM(CK690:CL690))</f>
        <v>10</v>
      </c>
      <c r="CN690" s="371"/>
      <c r="CO690" s="232" t="str">
        <f t="shared" ref="CO690:CO701" si="1587">IF($I690="x",CK690,"")</f>
        <v/>
      </c>
      <c r="CP690" s="232">
        <f t="shared" ref="CP690:CP701" si="1588">IF($J690="x",CL690,"")</f>
        <v>10</v>
      </c>
      <c r="CQ690" s="232" t="str">
        <f t="shared" ref="CQ690:CQ701" si="1589">IF($K690="x",CM690,"")</f>
        <v/>
      </c>
      <c r="CR690" s="232" t="str">
        <f>IF((MAX(CO690,CP690,CQ690))=0,"",IF((MAX(CO690,CP690,CQ690))=(MAX(CK690,CL690,CM690)),1,""))</f>
        <v/>
      </c>
      <c r="CS690" s="232"/>
      <c r="CT690" s="371"/>
      <c r="CU690" s="296"/>
      <c r="CV690" s="246"/>
      <c r="CW690" s="264"/>
    </row>
    <row r="691" spans="1:101" x14ac:dyDescent="0.2">
      <c r="A691" s="264"/>
      <c r="B691" s="264"/>
      <c r="C691" s="202"/>
      <c r="D691" s="271">
        <v>2</v>
      </c>
      <c r="E691" s="167" t="s">
        <v>910</v>
      </c>
      <c r="F691" s="469">
        <v>3</v>
      </c>
      <c r="G691" s="474"/>
      <c r="H691" s="475">
        <v>0</v>
      </c>
      <c r="I691" s="389" t="str">
        <f t="shared" si="1550"/>
        <v>x</v>
      </c>
      <c r="J691" s="390" t="str">
        <f t="shared" si="1551"/>
        <v/>
      </c>
      <c r="K691" s="391" t="str">
        <f t="shared" si="1552"/>
        <v/>
      </c>
      <c r="L691" s="299"/>
      <c r="M691" s="375"/>
      <c r="N691" s="379"/>
      <c r="O691" s="236"/>
      <c r="P691" s="236"/>
      <c r="Q691" s="483">
        <v>80</v>
      </c>
      <c r="R691" s="484">
        <v>10</v>
      </c>
      <c r="S691" s="485">
        <f t="shared" ref="S691:S701" si="1590">IF(Q691="","",100-SUM(Q691:R691))</f>
        <v>10</v>
      </c>
      <c r="T691" s="371"/>
      <c r="U691" s="232">
        <f t="shared" si="1553"/>
        <v>80</v>
      </c>
      <c r="V691" s="232" t="str">
        <f t="shared" si="1554"/>
        <v/>
      </c>
      <c r="W691" s="232" t="str">
        <f t="shared" si="1555"/>
        <v/>
      </c>
      <c r="X691" s="232">
        <f t="shared" ref="X691:X701" si="1591">IF((MAX(U691,V691,W691))=0,"",IF((MAX(U691,V691,W691))=(MAX(Q691,R691,S691)),1,""))</f>
        <v>1</v>
      </c>
      <c r="Y691" s="371"/>
      <c r="Z691" s="497">
        <v>80</v>
      </c>
      <c r="AA691" s="498">
        <v>10</v>
      </c>
      <c r="AB691" s="485">
        <f t="shared" si="1556"/>
        <v>10</v>
      </c>
      <c r="AC691" s="371"/>
      <c r="AD691" s="232">
        <f t="shared" si="1557"/>
        <v>80</v>
      </c>
      <c r="AE691" s="232" t="str">
        <f t="shared" si="1558"/>
        <v/>
      </c>
      <c r="AF691" s="232" t="str">
        <f t="shared" si="1559"/>
        <v/>
      </c>
      <c r="AG691" s="232">
        <f t="shared" ref="AG691:AG701" si="1592">IF((MAX(AD691,AE691,AF691))=0,"",IF((MAX(AD691,AE691,AF691))=(MAX(Z691,AA691,AB691)),1,""))</f>
        <v>1</v>
      </c>
      <c r="AH691" s="371"/>
      <c r="AI691" s="497">
        <v>70</v>
      </c>
      <c r="AJ691" s="498">
        <v>20</v>
      </c>
      <c r="AK691" s="485">
        <f t="shared" si="1560"/>
        <v>10</v>
      </c>
      <c r="AL691" s="371"/>
      <c r="AM691" s="232">
        <f t="shared" si="1561"/>
        <v>70</v>
      </c>
      <c r="AN691" s="232" t="str">
        <f t="shared" si="1562"/>
        <v/>
      </c>
      <c r="AO691" s="232" t="str">
        <f t="shared" si="1563"/>
        <v/>
      </c>
      <c r="AP691" s="232">
        <f t="shared" ref="AP691:AP701" si="1593">IF((MAX(AM691,AN691,AO691))=0,"",IF((MAX(AM691,AN691,AO691))=(MAX(AI691,AJ691,AK691)),1,""))</f>
        <v>1</v>
      </c>
      <c r="AQ691" s="371"/>
      <c r="AR691" s="497">
        <v>80</v>
      </c>
      <c r="AS691" s="498">
        <v>10</v>
      </c>
      <c r="AT691" s="485">
        <f t="shared" si="1564"/>
        <v>10</v>
      </c>
      <c r="AU691" s="371"/>
      <c r="AV691" s="232">
        <f t="shared" si="1565"/>
        <v>80</v>
      </c>
      <c r="AW691" s="232" t="str">
        <f t="shared" si="1566"/>
        <v/>
      </c>
      <c r="AX691" s="232" t="str">
        <f t="shared" si="1567"/>
        <v/>
      </c>
      <c r="AY691" s="232">
        <f t="shared" ref="AY691:AY701" si="1594">IF((MAX(AV691,AW691,AX691))=0,"",IF((MAX(AV691,AW691,AX691))=(MAX(AR691,AS691,AT691)),1,""))</f>
        <v>1</v>
      </c>
      <c r="AZ691" s="371"/>
      <c r="BA691" s="497">
        <v>80</v>
      </c>
      <c r="BB691" s="498">
        <v>10</v>
      </c>
      <c r="BC691" s="485">
        <f t="shared" si="1568"/>
        <v>10</v>
      </c>
      <c r="BD691" s="371"/>
      <c r="BE691" s="232">
        <f t="shared" si="1569"/>
        <v>80</v>
      </c>
      <c r="BF691" s="232" t="str">
        <f t="shared" si="1570"/>
        <v/>
      </c>
      <c r="BG691" s="232" t="str">
        <f t="shared" si="1571"/>
        <v/>
      </c>
      <c r="BH691" s="232">
        <f t="shared" ref="BH691:BH701" si="1595">IF((MAX(BE691,BF691,BG691))=0,"",IF((MAX(BE691,BF691,BG691))=(MAX(BA691,BB691,BC691)),1,""))</f>
        <v>1</v>
      </c>
      <c r="BI691" s="371"/>
      <c r="BJ691" s="497">
        <v>80</v>
      </c>
      <c r="BK691" s="498">
        <v>10</v>
      </c>
      <c r="BL691" s="485">
        <f t="shared" si="1572"/>
        <v>10</v>
      </c>
      <c r="BM691" s="371"/>
      <c r="BN691" s="232">
        <f t="shared" si="1573"/>
        <v>80</v>
      </c>
      <c r="BO691" s="232" t="str">
        <f t="shared" si="1574"/>
        <v/>
      </c>
      <c r="BP691" s="232" t="str">
        <f t="shared" si="1575"/>
        <v/>
      </c>
      <c r="BQ691" s="232">
        <f t="shared" ref="BQ691:BQ701" si="1596">IF((MAX(BN691,BO691,BP691))=0,"",IF((MAX(BN691,BO691,BP691))=(MAX(BJ691,BK691,BL691)),1,""))</f>
        <v>1</v>
      </c>
      <c r="BR691" s="371"/>
      <c r="BS691" s="497">
        <v>70</v>
      </c>
      <c r="BT691" s="498">
        <v>10</v>
      </c>
      <c r="BU691" s="485">
        <f t="shared" si="1576"/>
        <v>20</v>
      </c>
      <c r="BV691" s="371"/>
      <c r="BW691" s="232">
        <f t="shared" si="1577"/>
        <v>70</v>
      </c>
      <c r="BX691" s="232" t="str">
        <f t="shared" si="1578"/>
        <v/>
      </c>
      <c r="BY691" s="232" t="str">
        <f t="shared" si="1579"/>
        <v/>
      </c>
      <c r="BZ691" s="232">
        <f t="shared" ref="BZ691:BZ701" si="1597">IF((MAX(BW691,BX691,BY691))=0,"",IF((MAX(BW691,BX691,BY691))=(MAX(BS691,BT691,BU691)),1,""))</f>
        <v>1</v>
      </c>
      <c r="CA691" s="371"/>
      <c r="CB691" s="504">
        <f t="shared" si="1580"/>
        <v>80</v>
      </c>
      <c r="CC691" s="505">
        <f t="shared" si="1581"/>
        <v>10</v>
      </c>
      <c r="CD691" s="506">
        <f t="shared" si="1582"/>
        <v>10</v>
      </c>
      <c r="CE691" s="371"/>
      <c r="CF691" s="232">
        <f t="shared" si="1583"/>
        <v>80</v>
      </c>
      <c r="CG691" s="232" t="str">
        <f t="shared" si="1584"/>
        <v/>
      </c>
      <c r="CH691" s="232" t="str">
        <f t="shared" si="1585"/>
        <v/>
      </c>
      <c r="CI691" s="232">
        <f t="shared" ref="CI691:CI701" si="1598">IF((MAX(CF691,CG691,CH691))=0,"",IF((MAX(CF691,CG691,CH691))=(MAX(CB691,CC691,CD691)),1,""))</f>
        <v>1</v>
      </c>
      <c r="CJ691" s="232"/>
      <c r="CK691" s="497">
        <v>80</v>
      </c>
      <c r="CL691" s="498">
        <v>10</v>
      </c>
      <c r="CM691" s="485">
        <f t="shared" si="1586"/>
        <v>10</v>
      </c>
      <c r="CN691" s="371"/>
      <c r="CO691" s="232">
        <f t="shared" si="1587"/>
        <v>80</v>
      </c>
      <c r="CP691" s="232" t="str">
        <f t="shared" si="1588"/>
        <v/>
      </c>
      <c r="CQ691" s="232" t="str">
        <f t="shared" si="1589"/>
        <v/>
      </c>
      <c r="CR691" s="232">
        <f t="shared" ref="CR691:CR701" si="1599">IF((MAX(CO691,CP691,CQ691))=0,"",IF((MAX(CO691,CP691,CQ691))=(MAX(CK691,CL691,CM691)),1,""))</f>
        <v>1</v>
      </c>
      <c r="CS691" s="232"/>
      <c r="CT691" s="371"/>
      <c r="CU691" s="296"/>
      <c r="CV691" s="246"/>
      <c r="CW691" s="264"/>
    </row>
    <row r="692" spans="1:101" ht="13.5" thickBot="1" x14ac:dyDescent="0.25">
      <c r="A692" s="264"/>
      <c r="B692" s="264"/>
      <c r="C692" s="202"/>
      <c r="D692" s="271">
        <v>3</v>
      </c>
      <c r="E692" s="168" t="s">
        <v>911</v>
      </c>
      <c r="F692" s="470">
        <v>0</v>
      </c>
      <c r="G692" s="476"/>
      <c r="H692" s="477">
        <v>0</v>
      </c>
      <c r="I692" s="392" t="str">
        <f t="shared" si="1550"/>
        <v/>
      </c>
      <c r="J692" s="393" t="str">
        <f t="shared" si="1551"/>
        <v>x</v>
      </c>
      <c r="K692" s="394" t="str">
        <f t="shared" si="1552"/>
        <v/>
      </c>
      <c r="L692" s="299"/>
      <c r="M692" s="375"/>
      <c r="N692" s="379"/>
      <c r="O692" s="236"/>
      <c r="P692" s="236"/>
      <c r="Q692" s="486">
        <v>20</v>
      </c>
      <c r="R692" s="487">
        <v>20</v>
      </c>
      <c r="S692" s="488">
        <f t="shared" si="1590"/>
        <v>60</v>
      </c>
      <c r="T692" s="371"/>
      <c r="U692" s="232" t="str">
        <f t="shared" si="1553"/>
        <v/>
      </c>
      <c r="V692" s="232">
        <f t="shared" si="1554"/>
        <v>20</v>
      </c>
      <c r="W692" s="232" t="str">
        <f t="shared" si="1555"/>
        <v/>
      </c>
      <c r="X692" s="232" t="str">
        <f t="shared" si="1591"/>
        <v/>
      </c>
      <c r="Y692" s="371"/>
      <c r="Z692" s="499">
        <v>10</v>
      </c>
      <c r="AA692" s="500">
        <v>10</v>
      </c>
      <c r="AB692" s="488">
        <f t="shared" si="1556"/>
        <v>80</v>
      </c>
      <c r="AC692" s="371"/>
      <c r="AD692" s="232" t="str">
        <f t="shared" si="1557"/>
        <v/>
      </c>
      <c r="AE692" s="232">
        <f t="shared" si="1558"/>
        <v>10</v>
      </c>
      <c r="AF692" s="232" t="str">
        <f t="shared" si="1559"/>
        <v/>
      </c>
      <c r="AG692" s="232" t="str">
        <f t="shared" si="1592"/>
        <v/>
      </c>
      <c r="AH692" s="371"/>
      <c r="AI692" s="499">
        <v>30</v>
      </c>
      <c r="AJ692" s="500">
        <v>30</v>
      </c>
      <c r="AK692" s="488">
        <f t="shared" si="1560"/>
        <v>40</v>
      </c>
      <c r="AL692" s="371"/>
      <c r="AM692" s="232" t="str">
        <f t="shared" si="1561"/>
        <v/>
      </c>
      <c r="AN692" s="232">
        <f t="shared" si="1562"/>
        <v>30</v>
      </c>
      <c r="AO692" s="232" t="str">
        <f t="shared" si="1563"/>
        <v/>
      </c>
      <c r="AP692" s="232" t="str">
        <f t="shared" si="1593"/>
        <v/>
      </c>
      <c r="AQ692" s="371"/>
      <c r="AR692" s="499">
        <v>10</v>
      </c>
      <c r="AS692" s="500">
        <v>10</v>
      </c>
      <c r="AT692" s="488">
        <f t="shared" si="1564"/>
        <v>80</v>
      </c>
      <c r="AU692" s="371"/>
      <c r="AV692" s="232" t="str">
        <f t="shared" si="1565"/>
        <v/>
      </c>
      <c r="AW692" s="232">
        <f t="shared" si="1566"/>
        <v>10</v>
      </c>
      <c r="AX692" s="232" t="str">
        <f t="shared" si="1567"/>
        <v/>
      </c>
      <c r="AY692" s="232" t="str">
        <f t="shared" si="1594"/>
        <v/>
      </c>
      <c r="AZ692" s="371"/>
      <c r="BA692" s="499">
        <v>10</v>
      </c>
      <c r="BB692" s="500">
        <v>10</v>
      </c>
      <c r="BC692" s="488">
        <f t="shared" si="1568"/>
        <v>80</v>
      </c>
      <c r="BD692" s="371"/>
      <c r="BE692" s="232" t="str">
        <f t="shared" si="1569"/>
        <v/>
      </c>
      <c r="BF692" s="232">
        <f t="shared" si="1570"/>
        <v>10</v>
      </c>
      <c r="BG692" s="232" t="str">
        <f t="shared" si="1571"/>
        <v/>
      </c>
      <c r="BH692" s="232" t="str">
        <f t="shared" si="1595"/>
        <v/>
      </c>
      <c r="BI692" s="371"/>
      <c r="BJ692" s="499">
        <v>10</v>
      </c>
      <c r="BK692" s="500">
        <v>10</v>
      </c>
      <c r="BL692" s="488">
        <f t="shared" si="1572"/>
        <v>80</v>
      </c>
      <c r="BM692" s="371"/>
      <c r="BN692" s="232" t="str">
        <f t="shared" si="1573"/>
        <v/>
      </c>
      <c r="BO692" s="232">
        <f t="shared" si="1574"/>
        <v>10</v>
      </c>
      <c r="BP692" s="232" t="str">
        <f t="shared" si="1575"/>
        <v/>
      </c>
      <c r="BQ692" s="232" t="str">
        <f t="shared" si="1596"/>
        <v/>
      </c>
      <c r="BR692" s="371"/>
      <c r="BS692" s="499">
        <v>20</v>
      </c>
      <c r="BT692" s="500">
        <v>20</v>
      </c>
      <c r="BU692" s="488">
        <f t="shared" si="1576"/>
        <v>60</v>
      </c>
      <c r="BV692" s="371"/>
      <c r="BW692" s="232" t="str">
        <f t="shared" si="1577"/>
        <v/>
      </c>
      <c r="BX692" s="232">
        <f t="shared" si="1578"/>
        <v>20</v>
      </c>
      <c r="BY692" s="232" t="str">
        <f t="shared" si="1579"/>
        <v/>
      </c>
      <c r="BZ692" s="232" t="str">
        <f t="shared" si="1597"/>
        <v/>
      </c>
      <c r="CA692" s="371"/>
      <c r="CB692" s="507">
        <f t="shared" si="1580"/>
        <v>20</v>
      </c>
      <c r="CC692" s="508">
        <f t="shared" si="1581"/>
        <v>10</v>
      </c>
      <c r="CD692" s="509">
        <f t="shared" si="1582"/>
        <v>70</v>
      </c>
      <c r="CE692" s="371"/>
      <c r="CF692" s="232" t="str">
        <f t="shared" si="1583"/>
        <v/>
      </c>
      <c r="CG692" s="232">
        <f t="shared" si="1584"/>
        <v>10</v>
      </c>
      <c r="CH692" s="232" t="str">
        <f t="shared" si="1585"/>
        <v/>
      </c>
      <c r="CI692" s="232" t="str">
        <f t="shared" si="1598"/>
        <v/>
      </c>
      <c r="CJ692" s="232"/>
      <c r="CK692" s="499">
        <v>10</v>
      </c>
      <c r="CL692" s="500">
        <v>30</v>
      </c>
      <c r="CM692" s="488">
        <f t="shared" si="1586"/>
        <v>60</v>
      </c>
      <c r="CN692" s="371"/>
      <c r="CO692" s="232" t="str">
        <f t="shared" si="1587"/>
        <v/>
      </c>
      <c r="CP692" s="232">
        <f t="shared" si="1588"/>
        <v>30</v>
      </c>
      <c r="CQ692" s="232" t="str">
        <f t="shared" si="1589"/>
        <v/>
      </c>
      <c r="CR692" s="232" t="str">
        <f t="shared" si="1599"/>
        <v/>
      </c>
      <c r="CS692" s="232"/>
      <c r="CT692" s="371"/>
      <c r="CU692" s="296"/>
      <c r="CV692" s="246"/>
      <c r="CW692" s="264"/>
    </row>
    <row r="693" spans="1:101" x14ac:dyDescent="0.2">
      <c r="A693" s="264"/>
      <c r="B693" s="264"/>
      <c r="C693" s="202"/>
      <c r="D693" s="271">
        <v>4</v>
      </c>
      <c r="E693" s="166" t="s">
        <v>912</v>
      </c>
      <c r="F693" s="468">
        <v>0</v>
      </c>
      <c r="G693" s="472"/>
      <c r="H693" s="473">
        <v>1</v>
      </c>
      <c r="I693" s="170" t="str">
        <f t="shared" si="1550"/>
        <v/>
      </c>
      <c r="J693" s="387" t="str">
        <f t="shared" si="1551"/>
        <v/>
      </c>
      <c r="K693" s="388" t="str">
        <f t="shared" si="1552"/>
        <v>x</v>
      </c>
      <c r="L693" s="299"/>
      <c r="M693" s="375"/>
      <c r="N693" s="379"/>
      <c r="O693" s="236"/>
      <c r="P693" s="236"/>
      <c r="Q693" s="480">
        <v>40</v>
      </c>
      <c r="R693" s="481">
        <v>30</v>
      </c>
      <c r="S693" s="482">
        <f t="shared" si="1590"/>
        <v>30</v>
      </c>
      <c r="T693" s="371"/>
      <c r="U693" s="232" t="str">
        <f t="shared" si="1553"/>
        <v/>
      </c>
      <c r="V693" s="232" t="str">
        <f t="shared" si="1554"/>
        <v/>
      </c>
      <c r="W693" s="232">
        <f t="shared" si="1555"/>
        <v>30</v>
      </c>
      <c r="X693" s="232" t="str">
        <f t="shared" si="1591"/>
        <v/>
      </c>
      <c r="Y693" s="371"/>
      <c r="Z693" s="495">
        <v>10</v>
      </c>
      <c r="AA693" s="496">
        <v>50</v>
      </c>
      <c r="AB693" s="482">
        <f t="shared" si="1556"/>
        <v>40</v>
      </c>
      <c r="AC693" s="371"/>
      <c r="AD693" s="232" t="str">
        <f t="shared" si="1557"/>
        <v/>
      </c>
      <c r="AE693" s="232" t="str">
        <f t="shared" si="1558"/>
        <v/>
      </c>
      <c r="AF693" s="232">
        <f t="shared" si="1559"/>
        <v>40</v>
      </c>
      <c r="AG693" s="232" t="str">
        <f t="shared" si="1592"/>
        <v/>
      </c>
      <c r="AH693" s="371"/>
      <c r="AI693" s="495">
        <v>70</v>
      </c>
      <c r="AJ693" s="496">
        <v>20</v>
      </c>
      <c r="AK693" s="482">
        <f t="shared" si="1560"/>
        <v>10</v>
      </c>
      <c r="AL693" s="371"/>
      <c r="AM693" s="232" t="str">
        <f t="shared" si="1561"/>
        <v/>
      </c>
      <c r="AN693" s="232" t="str">
        <f t="shared" si="1562"/>
        <v/>
      </c>
      <c r="AO693" s="232">
        <f t="shared" si="1563"/>
        <v>10</v>
      </c>
      <c r="AP693" s="232" t="str">
        <f t="shared" si="1593"/>
        <v/>
      </c>
      <c r="AQ693" s="371"/>
      <c r="AR693" s="495">
        <v>10</v>
      </c>
      <c r="AS693" s="496">
        <v>30</v>
      </c>
      <c r="AT693" s="482">
        <f t="shared" si="1564"/>
        <v>60</v>
      </c>
      <c r="AU693" s="371"/>
      <c r="AV693" s="232" t="str">
        <f t="shared" si="1565"/>
        <v/>
      </c>
      <c r="AW693" s="232" t="str">
        <f t="shared" si="1566"/>
        <v/>
      </c>
      <c r="AX693" s="232">
        <f t="shared" si="1567"/>
        <v>60</v>
      </c>
      <c r="AY693" s="232">
        <f t="shared" si="1594"/>
        <v>1</v>
      </c>
      <c r="AZ693" s="371"/>
      <c r="BA693" s="495">
        <v>80</v>
      </c>
      <c r="BB693" s="496">
        <v>10</v>
      </c>
      <c r="BC693" s="482">
        <f t="shared" si="1568"/>
        <v>10</v>
      </c>
      <c r="BD693" s="371"/>
      <c r="BE693" s="232" t="str">
        <f t="shared" si="1569"/>
        <v/>
      </c>
      <c r="BF693" s="232" t="str">
        <f t="shared" si="1570"/>
        <v/>
      </c>
      <c r="BG693" s="232">
        <f t="shared" si="1571"/>
        <v>10</v>
      </c>
      <c r="BH693" s="232" t="str">
        <f t="shared" si="1595"/>
        <v/>
      </c>
      <c r="BI693" s="371"/>
      <c r="BJ693" s="495">
        <v>10</v>
      </c>
      <c r="BK693" s="496">
        <v>10</v>
      </c>
      <c r="BL693" s="482">
        <f t="shared" si="1572"/>
        <v>80</v>
      </c>
      <c r="BM693" s="371"/>
      <c r="BN693" s="232" t="str">
        <f t="shared" si="1573"/>
        <v/>
      </c>
      <c r="BO693" s="232" t="str">
        <f t="shared" si="1574"/>
        <v/>
      </c>
      <c r="BP693" s="232">
        <f t="shared" si="1575"/>
        <v>80</v>
      </c>
      <c r="BQ693" s="232">
        <f t="shared" si="1596"/>
        <v>1</v>
      </c>
      <c r="BR693" s="371"/>
      <c r="BS693" s="495">
        <v>40</v>
      </c>
      <c r="BT693" s="496">
        <v>30</v>
      </c>
      <c r="BU693" s="482">
        <f t="shared" si="1576"/>
        <v>30</v>
      </c>
      <c r="BV693" s="371"/>
      <c r="BW693" s="232" t="str">
        <f t="shared" si="1577"/>
        <v/>
      </c>
      <c r="BX693" s="232" t="str">
        <f t="shared" si="1578"/>
        <v/>
      </c>
      <c r="BY693" s="232">
        <f t="shared" si="1579"/>
        <v>30</v>
      </c>
      <c r="BZ693" s="232" t="str">
        <f t="shared" si="1597"/>
        <v/>
      </c>
      <c r="CA693" s="371"/>
      <c r="CB693" s="501">
        <f t="shared" si="1580"/>
        <v>40</v>
      </c>
      <c r="CC693" s="502">
        <f t="shared" si="1581"/>
        <v>20</v>
      </c>
      <c r="CD693" s="503">
        <f t="shared" si="1582"/>
        <v>40</v>
      </c>
      <c r="CE693" s="371"/>
      <c r="CF693" s="232" t="str">
        <f t="shared" si="1583"/>
        <v/>
      </c>
      <c r="CG693" s="232" t="str">
        <f t="shared" si="1584"/>
        <v/>
      </c>
      <c r="CH693" s="232">
        <f t="shared" si="1585"/>
        <v>40</v>
      </c>
      <c r="CI693" s="232">
        <f t="shared" si="1598"/>
        <v>1</v>
      </c>
      <c r="CJ693" s="232"/>
      <c r="CK693" s="495">
        <v>60</v>
      </c>
      <c r="CL693" s="496">
        <v>30</v>
      </c>
      <c r="CM693" s="482">
        <f t="shared" si="1586"/>
        <v>10</v>
      </c>
      <c r="CN693" s="371"/>
      <c r="CO693" s="232" t="str">
        <f t="shared" si="1587"/>
        <v/>
      </c>
      <c r="CP693" s="232" t="str">
        <f t="shared" si="1588"/>
        <v/>
      </c>
      <c r="CQ693" s="232">
        <f t="shared" si="1589"/>
        <v>10</v>
      </c>
      <c r="CR693" s="232" t="str">
        <f t="shared" si="1599"/>
        <v/>
      </c>
      <c r="CS693" s="232"/>
      <c r="CT693" s="371"/>
      <c r="CU693" s="296"/>
      <c r="CV693" s="246"/>
      <c r="CW693" s="264"/>
    </row>
    <row r="694" spans="1:101" x14ac:dyDescent="0.2">
      <c r="A694" s="264"/>
      <c r="B694" s="264"/>
      <c r="C694" s="202"/>
      <c r="D694" s="271">
        <v>5</v>
      </c>
      <c r="E694" s="167" t="s">
        <v>913</v>
      </c>
      <c r="F694" s="469">
        <v>3</v>
      </c>
      <c r="G694" s="474"/>
      <c r="H694" s="475">
        <v>0</v>
      </c>
      <c r="I694" s="389" t="str">
        <f t="shared" si="1550"/>
        <v>x</v>
      </c>
      <c r="J694" s="390" t="str">
        <f t="shared" si="1551"/>
        <v/>
      </c>
      <c r="K694" s="391" t="str">
        <f t="shared" si="1552"/>
        <v/>
      </c>
      <c r="L694" s="299"/>
      <c r="M694" s="375"/>
      <c r="N694" s="379"/>
      <c r="O694" s="236"/>
      <c r="P694" s="236"/>
      <c r="Q694" s="483">
        <v>80</v>
      </c>
      <c r="R694" s="484">
        <v>10</v>
      </c>
      <c r="S694" s="485">
        <f t="shared" si="1590"/>
        <v>10</v>
      </c>
      <c r="T694" s="371"/>
      <c r="U694" s="232">
        <f t="shared" si="1553"/>
        <v>80</v>
      </c>
      <c r="V694" s="232" t="str">
        <f t="shared" si="1554"/>
        <v/>
      </c>
      <c r="W694" s="232" t="str">
        <f t="shared" si="1555"/>
        <v/>
      </c>
      <c r="X694" s="232">
        <f t="shared" si="1591"/>
        <v>1</v>
      </c>
      <c r="Y694" s="371"/>
      <c r="Z694" s="497">
        <v>80</v>
      </c>
      <c r="AA694" s="498">
        <v>10</v>
      </c>
      <c r="AB694" s="485">
        <f t="shared" si="1556"/>
        <v>10</v>
      </c>
      <c r="AC694" s="371"/>
      <c r="AD694" s="232">
        <f t="shared" si="1557"/>
        <v>80</v>
      </c>
      <c r="AE694" s="232" t="str">
        <f t="shared" si="1558"/>
        <v/>
      </c>
      <c r="AF694" s="232" t="str">
        <f t="shared" si="1559"/>
        <v/>
      </c>
      <c r="AG694" s="232">
        <f t="shared" si="1592"/>
        <v>1</v>
      </c>
      <c r="AH694" s="371"/>
      <c r="AI694" s="497">
        <v>80</v>
      </c>
      <c r="AJ694" s="498">
        <v>10</v>
      </c>
      <c r="AK694" s="485">
        <f t="shared" si="1560"/>
        <v>10</v>
      </c>
      <c r="AL694" s="371"/>
      <c r="AM694" s="232">
        <f t="shared" si="1561"/>
        <v>80</v>
      </c>
      <c r="AN694" s="232" t="str">
        <f t="shared" si="1562"/>
        <v/>
      </c>
      <c r="AO694" s="232" t="str">
        <f t="shared" si="1563"/>
        <v/>
      </c>
      <c r="AP694" s="232">
        <f t="shared" si="1593"/>
        <v>1</v>
      </c>
      <c r="AQ694" s="371"/>
      <c r="AR694" s="497">
        <v>60</v>
      </c>
      <c r="AS694" s="498">
        <v>30</v>
      </c>
      <c r="AT694" s="485">
        <f t="shared" si="1564"/>
        <v>10</v>
      </c>
      <c r="AU694" s="371"/>
      <c r="AV694" s="232">
        <f t="shared" si="1565"/>
        <v>60</v>
      </c>
      <c r="AW694" s="232" t="str">
        <f t="shared" si="1566"/>
        <v/>
      </c>
      <c r="AX694" s="232" t="str">
        <f t="shared" si="1567"/>
        <v/>
      </c>
      <c r="AY694" s="232">
        <f t="shared" si="1594"/>
        <v>1</v>
      </c>
      <c r="AZ694" s="371"/>
      <c r="BA694" s="497">
        <v>80</v>
      </c>
      <c r="BB694" s="498">
        <v>10</v>
      </c>
      <c r="BC694" s="485">
        <f t="shared" si="1568"/>
        <v>10</v>
      </c>
      <c r="BD694" s="371"/>
      <c r="BE694" s="232">
        <f t="shared" si="1569"/>
        <v>80</v>
      </c>
      <c r="BF694" s="232" t="str">
        <f t="shared" si="1570"/>
        <v/>
      </c>
      <c r="BG694" s="232" t="str">
        <f t="shared" si="1571"/>
        <v/>
      </c>
      <c r="BH694" s="232">
        <f t="shared" si="1595"/>
        <v>1</v>
      </c>
      <c r="BI694" s="371"/>
      <c r="BJ694" s="497">
        <v>80</v>
      </c>
      <c r="BK694" s="498">
        <v>10</v>
      </c>
      <c r="BL694" s="485">
        <f t="shared" si="1572"/>
        <v>10</v>
      </c>
      <c r="BM694" s="371"/>
      <c r="BN694" s="232">
        <f t="shared" si="1573"/>
        <v>80</v>
      </c>
      <c r="BO694" s="232" t="str">
        <f t="shared" si="1574"/>
        <v/>
      </c>
      <c r="BP694" s="232" t="str">
        <f t="shared" si="1575"/>
        <v/>
      </c>
      <c r="BQ694" s="232">
        <f t="shared" si="1596"/>
        <v>1</v>
      </c>
      <c r="BR694" s="371"/>
      <c r="BS694" s="497">
        <v>80</v>
      </c>
      <c r="BT694" s="498">
        <v>10</v>
      </c>
      <c r="BU694" s="485">
        <f t="shared" si="1576"/>
        <v>10</v>
      </c>
      <c r="BV694" s="371"/>
      <c r="BW694" s="232">
        <f t="shared" si="1577"/>
        <v>80</v>
      </c>
      <c r="BX694" s="232" t="str">
        <f t="shared" si="1578"/>
        <v/>
      </c>
      <c r="BY694" s="232" t="str">
        <f t="shared" si="1579"/>
        <v/>
      </c>
      <c r="BZ694" s="232">
        <f t="shared" si="1597"/>
        <v>1</v>
      </c>
      <c r="CA694" s="371"/>
      <c r="CB694" s="504">
        <f t="shared" si="1580"/>
        <v>80</v>
      </c>
      <c r="CC694" s="505">
        <f t="shared" si="1581"/>
        <v>10</v>
      </c>
      <c r="CD694" s="506">
        <f t="shared" si="1582"/>
        <v>10</v>
      </c>
      <c r="CE694" s="371"/>
      <c r="CF694" s="232">
        <f t="shared" si="1583"/>
        <v>80</v>
      </c>
      <c r="CG694" s="232" t="str">
        <f t="shared" si="1584"/>
        <v/>
      </c>
      <c r="CH694" s="232" t="str">
        <f t="shared" si="1585"/>
        <v/>
      </c>
      <c r="CI694" s="232">
        <f t="shared" si="1598"/>
        <v>1</v>
      </c>
      <c r="CJ694" s="232"/>
      <c r="CK694" s="497">
        <v>70</v>
      </c>
      <c r="CL694" s="498">
        <v>20</v>
      </c>
      <c r="CM694" s="485">
        <f t="shared" si="1586"/>
        <v>10</v>
      </c>
      <c r="CN694" s="371"/>
      <c r="CO694" s="232">
        <f t="shared" si="1587"/>
        <v>70</v>
      </c>
      <c r="CP694" s="232" t="str">
        <f t="shared" si="1588"/>
        <v/>
      </c>
      <c r="CQ694" s="232" t="str">
        <f t="shared" si="1589"/>
        <v/>
      </c>
      <c r="CR694" s="232">
        <f t="shared" si="1599"/>
        <v>1</v>
      </c>
      <c r="CS694" s="232"/>
      <c r="CT694" s="371"/>
      <c r="CU694" s="296"/>
      <c r="CV694" s="246"/>
      <c r="CW694" s="264"/>
    </row>
    <row r="695" spans="1:101" ht="13.5" thickBot="1" x14ac:dyDescent="0.25">
      <c r="A695" s="264"/>
      <c r="B695" s="264"/>
      <c r="C695" s="202"/>
      <c r="D695" s="271">
        <v>6</v>
      </c>
      <c r="E695" s="168" t="s">
        <v>914</v>
      </c>
      <c r="F695" s="470">
        <v>3</v>
      </c>
      <c r="G695" s="476"/>
      <c r="H695" s="477">
        <v>3</v>
      </c>
      <c r="I695" s="392" t="str">
        <f t="shared" si="1550"/>
        <v/>
      </c>
      <c r="J695" s="393" t="str">
        <f t="shared" si="1551"/>
        <v>x</v>
      </c>
      <c r="K695" s="394" t="str">
        <f t="shared" si="1552"/>
        <v/>
      </c>
      <c r="L695" s="299"/>
      <c r="M695" s="375"/>
      <c r="N695" s="379"/>
      <c r="O695" s="236"/>
      <c r="P695" s="236"/>
      <c r="Q695" s="489">
        <v>40</v>
      </c>
      <c r="R695" s="490">
        <v>30</v>
      </c>
      <c r="S695" s="491">
        <f t="shared" si="1590"/>
        <v>30</v>
      </c>
      <c r="T695" s="371"/>
      <c r="U695" s="232" t="str">
        <f t="shared" si="1553"/>
        <v/>
      </c>
      <c r="V695" s="232">
        <f t="shared" si="1554"/>
        <v>30</v>
      </c>
      <c r="W695" s="232" t="str">
        <f t="shared" si="1555"/>
        <v/>
      </c>
      <c r="X695" s="232" t="str">
        <f t="shared" si="1591"/>
        <v/>
      </c>
      <c r="Y695" s="371"/>
      <c r="Z695" s="499">
        <v>80</v>
      </c>
      <c r="AA695" s="500">
        <v>10</v>
      </c>
      <c r="AB695" s="491">
        <f t="shared" si="1556"/>
        <v>10</v>
      </c>
      <c r="AC695" s="371"/>
      <c r="AD695" s="232" t="str">
        <f t="shared" si="1557"/>
        <v/>
      </c>
      <c r="AE695" s="232">
        <f t="shared" si="1558"/>
        <v>10</v>
      </c>
      <c r="AF695" s="232" t="str">
        <f t="shared" si="1559"/>
        <v/>
      </c>
      <c r="AG695" s="232" t="str">
        <f t="shared" si="1592"/>
        <v/>
      </c>
      <c r="AH695" s="371"/>
      <c r="AI695" s="499">
        <v>30</v>
      </c>
      <c r="AJ695" s="500">
        <v>40</v>
      </c>
      <c r="AK695" s="491">
        <f t="shared" si="1560"/>
        <v>30</v>
      </c>
      <c r="AL695" s="371"/>
      <c r="AM695" s="232" t="str">
        <f t="shared" si="1561"/>
        <v/>
      </c>
      <c r="AN695" s="232">
        <f t="shared" si="1562"/>
        <v>40</v>
      </c>
      <c r="AO695" s="232" t="str">
        <f t="shared" si="1563"/>
        <v/>
      </c>
      <c r="AP695" s="232">
        <f t="shared" si="1593"/>
        <v>1</v>
      </c>
      <c r="AQ695" s="371"/>
      <c r="AR695" s="499">
        <v>20</v>
      </c>
      <c r="AS695" s="500">
        <v>30</v>
      </c>
      <c r="AT695" s="491">
        <f t="shared" si="1564"/>
        <v>50</v>
      </c>
      <c r="AU695" s="371"/>
      <c r="AV695" s="232" t="str">
        <f t="shared" si="1565"/>
        <v/>
      </c>
      <c r="AW695" s="232">
        <f t="shared" si="1566"/>
        <v>30</v>
      </c>
      <c r="AX695" s="232" t="str">
        <f t="shared" si="1567"/>
        <v/>
      </c>
      <c r="AY695" s="232" t="str">
        <f t="shared" si="1594"/>
        <v/>
      </c>
      <c r="AZ695" s="371"/>
      <c r="BA695" s="499">
        <v>80</v>
      </c>
      <c r="BB695" s="500">
        <v>10</v>
      </c>
      <c r="BC695" s="491">
        <f t="shared" si="1568"/>
        <v>10</v>
      </c>
      <c r="BD695" s="371"/>
      <c r="BE695" s="232" t="str">
        <f t="shared" si="1569"/>
        <v/>
      </c>
      <c r="BF695" s="232">
        <f t="shared" si="1570"/>
        <v>10</v>
      </c>
      <c r="BG695" s="232" t="str">
        <f t="shared" si="1571"/>
        <v/>
      </c>
      <c r="BH695" s="232" t="str">
        <f t="shared" si="1595"/>
        <v/>
      </c>
      <c r="BI695" s="371"/>
      <c r="BJ695" s="499">
        <v>30</v>
      </c>
      <c r="BK695" s="500">
        <v>40</v>
      </c>
      <c r="BL695" s="491">
        <f t="shared" si="1572"/>
        <v>30</v>
      </c>
      <c r="BM695" s="371"/>
      <c r="BN695" s="232" t="str">
        <f t="shared" si="1573"/>
        <v/>
      </c>
      <c r="BO695" s="232">
        <f t="shared" si="1574"/>
        <v>40</v>
      </c>
      <c r="BP695" s="232" t="str">
        <f t="shared" si="1575"/>
        <v/>
      </c>
      <c r="BQ695" s="232">
        <f t="shared" si="1596"/>
        <v>1</v>
      </c>
      <c r="BR695" s="371"/>
      <c r="BS695" s="499">
        <v>50</v>
      </c>
      <c r="BT695" s="500">
        <v>20</v>
      </c>
      <c r="BU695" s="491">
        <f t="shared" si="1576"/>
        <v>30</v>
      </c>
      <c r="BV695" s="371"/>
      <c r="BW695" s="232" t="str">
        <f t="shared" si="1577"/>
        <v/>
      </c>
      <c r="BX695" s="232">
        <f t="shared" si="1578"/>
        <v>20</v>
      </c>
      <c r="BY695" s="232" t="str">
        <f t="shared" si="1579"/>
        <v/>
      </c>
      <c r="BZ695" s="232" t="str">
        <f t="shared" si="1597"/>
        <v/>
      </c>
      <c r="CA695" s="371"/>
      <c r="CB695" s="507">
        <f t="shared" si="1580"/>
        <v>50</v>
      </c>
      <c r="CC695" s="508">
        <f t="shared" si="1581"/>
        <v>20</v>
      </c>
      <c r="CD695" s="509">
        <f t="shared" si="1582"/>
        <v>30</v>
      </c>
      <c r="CE695" s="371"/>
      <c r="CF695" s="232" t="str">
        <f t="shared" si="1583"/>
        <v/>
      </c>
      <c r="CG695" s="232">
        <f t="shared" si="1584"/>
        <v>20</v>
      </c>
      <c r="CH695" s="232" t="str">
        <f t="shared" si="1585"/>
        <v/>
      </c>
      <c r="CI695" s="232" t="str">
        <f t="shared" si="1598"/>
        <v/>
      </c>
      <c r="CJ695" s="232"/>
      <c r="CK695" s="499">
        <v>30</v>
      </c>
      <c r="CL695" s="500">
        <v>40</v>
      </c>
      <c r="CM695" s="491">
        <f t="shared" si="1586"/>
        <v>30</v>
      </c>
      <c r="CN695" s="371"/>
      <c r="CO695" s="232" t="str">
        <f t="shared" si="1587"/>
        <v/>
      </c>
      <c r="CP695" s="232">
        <f t="shared" si="1588"/>
        <v>40</v>
      </c>
      <c r="CQ695" s="232" t="str">
        <f t="shared" si="1589"/>
        <v/>
      </c>
      <c r="CR695" s="232">
        <f t="shared" si="1599"/>
        <v>1</v>
      </c>
      <c r="CS695" s="232"/>
      <c r="CT695" s="371"/>
      <c r="CU695" s="296"/>
      <c r="CV695" s="246"/>
      <c r="CW695" s="264"/>
    </row>
    <row r="696" spans="1:101" x14ac:dyDescent="0.2">
      <c r="A696" s="264"/>
      <c r="B696" s="264"/>
      <c r="C696" s="202"/>
      <c r="D696" s="271">
        <v>7</v>
      </c>
      <c r="E696" s="166" t="s">
        <v>915</v>
      </c>
      <c r="F696" s="468">
        <v>0</v>
      </c>
      <c r="G696" s="472"/>
      <c r="H696" s="473">
        <v>1</v>
      </c>
      <c r="I696" s="170" t="str">
        <f t="shared" si="1550"/>
        <v/>
      </c>
      <c r="J696" s="387" t="str">
        <f t="shared" si="1551"/>
        <v/>
      </c>
      <c r="K696" s="388" t="str">
        <f t="shared" si="1552"/>
        <v>x</v>
      </c>
      <c r="L696" s="299"/>
      <c r="M696" s="375"/>
      <c r="N696" s="379"/>
      <c r="O696" s="236"/>
      <c r="P696" s="236"/>
      <c r="Q696" s="480">
        <v>60</v>
      </c>
      <c r="R696" s="481">
        <v>20</v>
      </c>
      <c r="S696" s="482">
        <f t="shared" si="1590"/>
        <v>20</v>
      </c>
      <c r="T696" s="371"/>
      <c r="U696" s="232" t="str">
        <f t="shared" si="1553"/>
        <v/>
      </c>
      <c r="V696" s="232" t="str">
        <f t="shared" si="1554"/>
        <v/>
      </c>
      <c r="W696" s="232">
        <f t="shared" si="1555"/>
        <v>20</v>
      </c>
      <c r="X696" s="232" t="str">
        <f t="shared" si="1591"/>
        <v/>
      </c>
      <c r="Y696" s="371"/>
      <c r="Z696" s="495">
        <v>80</v>
      </c>
      <c r="AA696" s="496">
        <v>10</v>
      </c>
      <c r="AB696" s="482">
        <f t="shared" si="1556"/>
        <v>10</v>
      </c>
      <c r="AC696" s="371"/>
      <c r="AD696" s="232" t="str">
        <f t="shared" si="1557"/>
        <v/>
      </c>
      <c r="AE696" s="232" t="str">
        <f t="shared" si="1558"/>
        <v/>
      </c>
      <c r="AF696" s="232">
        <f t="shared" si="1559"/>
        <v>10</v>
      </c>
      <c r="AG696" s="232" t="str">
        <f t="shared" si="1592"/>
        <v/>
      </c>
      <c r="AH696" s="371"/>
      <c r="AI696" s="495">
        <v>70</v>
      </c>
      <c r="AJ696" s="496">
        <v>10</v>
      </c>
      <c r="AK696" s="482">
        <f t="shared" si="1560"/>
        <v>20</v>
      </c>
      <c r="AL696" s="371"/>
      <c r="AM696" s="232" t="str">
        <f t="shared" si="1561"/>
        <v/>
      </c>
      <c r="AN696" s="232" t="str">
        <f t="shared" si="1562"/>
        <v/>
      </c>
      <c r="AO696" s="232">
        <f t="shared" si="1563"/>
        <v>20</v>
      </c>
      <c r="AP696" s="232" t="str">
        <f t="shared" si="1593"/>
        <v/>
      </c>
      <c r="AQ696" s="371"/>
      <c r="AR696" s="495">
        <v>50</v>
      </c>
      <c r="AS696" s="496">
        <v>20</v>
      </c>
      <c r="AT696" s="482">
        <f t="shared" si="1564"/>
        <v>30</v>
      </c>
      <c r="AU696" s="371"/>
      <c r="AV696" s="232" t="str">
        <f t="shared" si="1565"/>
        <v/>
      </c>
      <c r="AW696" s="232" t="str">
        <f t="shared" si="1566"/>
        <v/>
      </c>
      <c r="AX696" s="232">
        <f t="shared" si="1567"/>
        <v>30</v>
      </c>
      <c r="AY696" s="232" t="str">
        <f t="shared" si="1594"/>
        <v/>
      </c>
      <c r="AZ696" s="371"/>
      <c r="BA696" s="495">
        <v>80</v>
      </c>
      <c r="BB696" s="496">
        <v>10</v>
      </c>
      <c r="BC696" s="482">
        <f t="shared" si="1568"/>
        <v>10</v>
      </c>
      <c r="BD696" s="371"/>
      <c r="BE696" s="232" t="str">
        <f t="shared" si="1569"/>
        <v/>
      </c>
      <c r="BF696" s="232" t="str">
        <f t="shared" si="1570"/>
        <v/>
      </c>
      <c r="BG696" s="232">
        <f t="shared" si="1571"/>
        <v>10</v>
      </c>
      <c r="BH696" s="232" t="str">
        <f t="shared" si="1595"/>
        <v/>
      </c>
      <c r="BI696" s="371"/>
      <c r="BJ696" s="495">
        <v>80</v>
      </c>
      <c r="BK696" s="496">
        <v>10</v>
      </c>
      <c r="BL696" s="482">
        <f t="shared" si="1572"/>
        <v>10</v>
      </c>
      <c r="BM696" s="371"/>
      <c r="BN696" s="232" t="str">
        <f t="shared" si="1573"/>
        <v/>
      </c>
      <c r="BO696" s="232" t="str">
        <f t="shared" si="1574"/>
        <v/>
      </c>
      <c r="BP696" s="232">
        <f t="shared" si="1575"/>
        <v>10</v>
      </c>
      <c r="BQ696" s="232" t="str">
        <f t="shared" si="1596"/>
        <v/>
      </c>
      <c r="BR696" s="371"/>
      <c r="BS696" s="495">
        <v>60</v>
      </c>
      <c r="BT696" s="496">
        <v>20</v>
      </c>
      <c r="BU696" s="482">
        <f t="shared" si="1576"/>
        <v>20</v>
      </c>
      <c r="BV696" s="371"/>
      <c r="BW696" s="232" t="str">
        <f t="shared" si="1577"/>
        <v/>
      </c>
      <c r="BX696" s="232" t="str">
        <f t="shared" si="1578"/>
        <v/>
      </c>
      <c r="BY696" s="232">
        <f t="shared" si="1579"/>
        <v>20</v>
      </c>
      <c r="BZ696" s="232" t="str">
        <f t="shared" si="1597"/>
        <v/>
      </c>
      <c r="CA696" s="371"/>
      <c r="CB696" s="501">
        <f t="shared" si="1580"/>
        <v>70</v>
      </c>
      <c r="CC696" s="502">
        <f t="shared" si="1581"/>
        <v>10</v>
      </c>
      <c r="CD696" s="503">
        <f t="shared" si="1582"/>
        <v>20</v>
      </c>
      <c r="CE696" s="371"/>
      <c r="CF696" s="232" t="str">
        <f t="shared" si="1583"/>
        <v/>
      </c>
      <c r="CG696" s="232" t="str">
        <f t="shared" si="1584"/>
        <v/>
      </c>
      <c r="CH696" s="232">
        <f t="shared" si="1585"/>
        <v>20</v>
      </c>
      <c r="CI696" s="232" t="str">
        <f t="shared" si="1598"/>
        <v/>
      </c>
      <c r="CJ696" s="232"/>
      <c r="CK696" s="495">
        <v>60</v>
      </c>
      <c r="CL696" s="496">
        <v>30</v>
      </c>
      <c r="CM696" s="482">
        <f t="shared" si="1586"/>
        <v>10</v>
      </c>
      <c r="CN696" s="371"/>
      <c r="CO696" s="232" t="str">
        <f t="shared" si="1587"/>
        <v/>
      </c>
      <c r="CP696" s="232" t="str">
        <f t="shared" si="1588"/>
        <v/>
      </c>
      <c r="CQ696" s="232">
        <f t="shared" si="1589"/>
        <v>10</v>
      </c>
      <c r="CR696" s="232" t="str">
        <f t="shared" si="1599"/>
        <v/>
      </c>
      <c r="CS696" s="232"/>
      <c r="CT696" s="371"/>
      <c r="CU696" s="300"/>
      <c r="CV696" s="246"/>
      <c r="CW696" s="264"/>
    </row>
    <row r="697" spans="1:101" x14ac:dyDescent="0.2">
      <c r="A697" s="264"/>
      <c r="B697" s="264"/>
      <c r="C697" s="202"/>
      <c r="D697" s="271">
        <v>8</v>
      </c>
      <c r="E697" s="167" t="s">
        <v>916</v>
      </c>
      <c r="F697" s="469">
        <v>2</v>
      </c>
      <c r="G697" s="474"/>
      <c r="H697" s="475">
        <v>1</v>
      </c>
      <c r="I697" s="389" t="str">
        <f t="shared" si="1550"/>
        <v>x</v>
      </c>
      <c r="J697" s="390" t="str">
        <f t="shared" si="1551"/>
        <v/>
      </c>
      <c r="K697" s="391" t="str">
        <f t="shared" si="1552"/>
        <v/>
      </c>
      <c r="L697" s="299"/>
      <c r="M697" s="375"/>
      <c r="N697" s="379"/>
      <c r="O697" s="236"/>
      <c r="P697" s="236"/>
      <c r="Q697" s="483">
        <v>50</v>
      </c>
      <c r="R697" s="484">
        <v>30</v>
      </c>
      <c r="S697" s="485">
        <f t="shared" si="1590"/>
        <v>20</v>
      </c>
      <c r="T697" s="371"/>
      <c r="U697" s="232">
        <f t="shared" si="1553"/>
        <v>50</v>
      </c>
      <c r="V697" s="232" t="str">
        <f t="shared" si="1554"/>
        <v/>
      </c>
      <c r="W697" s="232" t="str">
        <f t="shared" si="1555"/>
        <v/>
      </c>
      <c r="X697" s="232">
        <f t="shared" si="1591"/>
        <v>1</v>
      </c>
      <c r="Y697" s="371"/>
      <c r="Z697" s="497">
        <v>80</v>
      </c>
      <c r="AA697" s="498">
        <v>10</v>
      </c>
      <c r="AB697" s="485">
        <f t="shared" si="1556"/>
        <v>10</v>
      </c>
      <c r="AC697" s="371"/>
      <c r="AD697" s="232">
        <f t="shared" si="1557"/>
        <v>80</v>
      </c>
      <c r="AE697" s="232" t="str">
        <f t="shared" si="1558"/>
        <v/>
      </c>
      <c r="AF697" s="232" t="str">
        <f t="shared" si="1559"/>
        <v/>
      </c>
      <c r="AG697" s="232">
        <f t="shared" si="1592"/>
        <v>1</v>
      </c>
      <c r="AH697" s="371"/>
      <c r="AI697" s="497">
        <v>60</v>
      </c>
      <c r="AJ697" s="498">
        <v>20</v>
      </c>
      <c r="AK697" s="485">
        <f t="shared" si="1560"/>
        <v>20</v>
      </c>
      <c r="AL697" s="371"/>
      <c r="AM697" s="232">
        <f t="shared" si="1561"/>
        <v>60</v>
      </c>
      <c r="AN697" s="232" t="str">
        <f t="shared" si="1562"/>
        <v/>
      </c>
      <c r="AO697" s="232" t="str">
        <f t="shared" si="1563"/>
        <v/>
      </c>
      <c r="AP697" s="232">
        <f t="shared" si="1593"/>
        <v>1</v>
      </c>
      <c r="AQ697" s="371"/>
      <c r="AR697" s="497">
        <v>50</v>
      </c>
      <c r="AS697" s="498">
        <v>30</v>
      </c>
      <c r="AT697" s="485">
        <f t="shared" si="1564"/>
        <v>20</v>
      </c>
      <c r="AU697" s="371"/>
      <c r="AV697" s="232">
        <f t="shared" si="1565"/>
        <v>50</v>
      </c>
      <c r="AW697" s="232" t="str">
        <f t="shared" si="1566"/>
        <v/>
      </c>
      <c r="AX697" s="232" t="str">
        <f t="shared" si="1567"/>
        <v/>
      </c>
      <c r="AY697" s="232">
        <f t="shared" si="1594"/>
        <v>1</v>
      </c>
      <c r="AZ697" s="371"/>
      <c r="BA697" s="497">
        <v>10</v>
      </c>
      <c r="BB697" s="498">
        <v>10</v>
      </c>
      <c r="BC697" s="485">
        <f t="shared" si="1568"/>
        <v>80</v>
      </c>
      <c r="BD697" s="371"/>
      <c r="BE697" s="232">
        <f t="shared" si="1569"/>
        <v>10</v>
      </c>
      <c r="BF697" s="232" t="str">
        <f t="shared" si="1570"/>
        <v/>
      </c>
      <c r="BG697" s="232" t="str">
        <f t="shared" si="1571"/>
        <v/>
      </c>
      <c r="BH697" s="232" t="str">
        <f t="shared" si="1595"/>
        <v/>
      </c>
      <c r="BI697" s="371"/>
      <c r="BJ697" s="497">
        <v>80</v>
      </c>
      <c r="BK697" s="498">
        <v>10</v>
      </c>
      <c r="BL697" s="485">
        <f t="shared" si="1572"/>
        <v>10</v>
      </c>
      <c r="BM697" s="371"/>
      <c r="BN697" s="232">
        <f t="shared" si="1573"/>
        <v>80</v>
      </c>
      <c r="BO697" s="232" t="str">
        <f t="shared" si="1574"/>
        <v/>
      </c>
      <c r="BP697" s="232" t="str">
        <f t="shared" si="1575"/>
        <v/>
      </c>
      <c r="BQ697" s="232">
        <f t="shared" si="1596"/>
        <v>1</v>
      </c>
      <c r="BR697" s="371"/>
      <c r="BS697" s="497">
        <v>50</v>
      </c>
      <c r="BT697" s="498">
        <v>10</v>
      </c>
      <c r="BU697" s="485">
        <f t="shared" si="1576"/>
        <v>40</v>
      </c>
      <c r="BV697" s="371"/>
      <c r="BW697" s="232">
        <f t="shared" si="1577"/>
        <v>50</v>
      </c>
      <c r="BX697" s="232" t="str">
        <f t="shared" si="1578"/>
        <v/>
      </c>
      <c r="BY697" s="232" t="str">
        <f t="shared" si="1579"/>
        <v/>
      </c>
      <c r="BZ697" s="232">
        <f t="shared" si="1597"/>
        <v>1</v>
      </c>
      <c r="CA697" s="371"/>
      <c r="CB697" s="504">
        <f t="shared" si="1580"/>
        <v>60</v>
      </c>
      <c r="CC697" s="505">
        <f t="shared" si="1581"/>
        <v>10</v>
      </c>
      <c r="CD697" s="506">
        <f t="shared" si="1582"/>
        <v>30</v>
      </c>
      <c r="CE697" s="371"/>
      <c r="CF697" s="232">
        <f t="shared" si="1583"/>
        <v>60</v>
      </c>
      <c r="CG697" s="232" t="str">
        <f t="shared" si="1584"/>
        <v/>
      </c>
      <c r="CH697" s="232" t="str">
        <f t="shared" si="1585"/>
        <v/>
      </c>
      <c r="CI697" s="232">
        <f t="shared" si="1598"/>
        <v>1</v>
      </c>
      <c r="CJ697" s="232"/>
      <c r="CK697" s="497">
        <v>50</v>
      </c>
      <c r="CL697" s="498">
        <v>30</v>
      </c>
      <c r="CM697" s="485">
        <f t="shared" si="1586"/>
        <v>20</v>
      </c>
      <c r="CN697" s="371"/>
      <c r="CO697" s="232">
        <f t="shared" si="1587"/>
        <v>50</v>
      </c>
      <c r="CP697" s="232" t="str">
        <f t="shared" si="1588"/>
        <v/>
      </c>
      <c r="CQ697" s="232" t="str">
        <f t="shared" si="1589"/>
        <v/>
      </c>
      <c r="CR697" s="232">
        <f t="shared" si="1599"/>
        <v>1</v>
      </c>
      <c r="CS697" s="232"/>
      <c r="CT697" s="371"/>
      <c r="CU697" s="300"/>
      <c r="CV697" s="246"/>
      <c r="CW697" s="264"/>
    </row>
    <row r="698" spans="1:101" ht="13.5" thickBot="1" x14ac:dyDescent="0.25">
      <c r="A698" s="264"/>
      <c r="B698" s="264"/>
      <c r="C698" s="202"/>
      <c r="D698" s="271">
        <v>9</v>
      </c>
      <c r="E698" s="168" t="s">
        <v>917</v>
      </c>
      <c r="F698" s="470">
        <v>0</v>
      </c>
      <c r="G698" s="476"/>
      <c r="H698" s="477">
        <v>1</v>
      </c>
      <c r="I698" s="392" t="str">
        <f t="shared" si="1550"/>
        <v/>
      </c>
      <c r="J698" s="393" t="str">
        <f t="shared" si="1551"/>
        <v/>
      </c>
      <c r="K698" s="394" t="str">
        <f t="shared" si="1552"/>
        <v>x</v>
      </c>
      <c r="L698" s="299"/>
      <c r="M698" s="375"/>
      <c r="N698" s="379"/>
      <c r="O698" s="236"/>
      <c r="P698" s="236"/>
      <c r="Q698" s="489">
        <v>10</v>
      </c>
      <c r="R698" s="490">
        <v>20</v>
      </c>
      <c r="S698" s="491">
        <f t="shared" si="1590"/>
        <v>70</v>
      </c>
      <c r="T698" s="371"/>
      <c r="U698" s="232" t="str">
        <f t="shared" si="1553"/>
        <v/>
      </c>
      <c r="V698" s="232" t="str">
        <f t="shared" si="1554"/>
        <v/>
      </c>
      <c r="W698" s="232">
        <f t="shared" si="1555"/>
        <v>70</v>
      </c>
      <c r="X698" s="232">
        <f t="shared" si="1591"/>
        <v>1</v>
      </c>
      <c r="Y698" s="371"/>
      <c r="Z698" s="499">
        <v>10</v>
      </c>
      <c r="AA698" s="500">
        <v>10</v>
      </c>
      <c r="AB698" s="491">
        <f t="shared" si="1556"/>
        <v>80</v>
      </c>
      <c r="AC698" s="371"/>
      <c r="AD698" s="232" t="str">
        <f t="shared" si="1557"/>
        <v/>
      </c>
      <c r="AE698" s="232" t="str">
        <f t="shared" si="1558"/>
        <v/>
      </c>
      <c r="AF698" s="232">
        <f t="shared" si="1559"/>
        <v>80</v>
      </c>
      <c r="AG698" s="232">
        <f t="shared" si="1592"/>
        <v>1</v>
      </c>
      <c r="AH698" s="371"/>
      <c r="AI698" s="499">
        <v>20</v>
      </c>
      <c r="AJ698" s="500">
        <v>20</v>
      </c>
      <c r="AK698" s="491">
        <f t="shared" si="1560"/>
        <v>60</v>
      </c>
      <c r="AL698" s="371"/>
      <c r="AM698" s="232" t="str">
        <f t="shared" si="1561"/>
        <v/>
      </c>
      <c r="AN698" s="232" t="str">
        <f t="shared" si="1562"/>
        <v/>
      </c>
      <c r="AO698" s="232">
        <f t="shared" si="1563"/>
        <v>60</v>
      </c>
      <c r="AP698" s="232">
        <f t="shared" si="1593"/>
        <v>1</v>
      </c>
      <c r="AQ698" s="371"/>
      <c r="AR698" s="499">
        <v>10</v>
      </c>
      <c r="AS698" s="500">
        <v>30</v>
      </c>
      <c r="AT698" s="491">
        <f t="shared" si="1564"/>
        <v>60</v>
      </c>
      <c r="AU698" s="371"/>
      <c r="AV698" s="232" t="str">
        <f t="shared" si="1565"/>
        <v/>
      </c>
      <c r="AW698" s="232" t="str">
        <f t="shared" si="1566"/>
        <v/>
      </c>
      <c r="AX698" s="232">
        <f t="shared" si="1567"/>
        <v>60</v>
      </c>
      <c r="AY698" s="232">
        <f t="shared" si="1594"/>
        <v>1</v>
      </c>
      <c r="AZ698" s="371"/>
      <c r="BA698" s="499">
        <v>10</v>
      </c>
      <c r="BB698" s="500">
        <v>10</v>
      </c>
      <c r="BC698" s="491">
        <f t="shared" si="1568"/>
        <v>80</v>
      </c>
      <c r="BD698" s="371"/>
      <c r="BE698" s="232" t="str">
        <f t="shared" si="1569"/>
        <v/>
      </c>
      <c r="BF698" s="232" t="str">
        <f t="shared" si="1570"/>
        <v/>
      </c>
      <c r="BG698" s="232">
        <f t="shared" si="1571"/>
        <v>80</v>
      </c>
      <c r="BH698" s="232">
        <f t="shared" si="1595"/>
        <v>1</v>
      </c>
      <c r="BI698" s="371"/>
      <c r="BJ698" s="499">
        <v>10</v>
      </c>
      <c r="BK698" s="500">
        <v>10</v>
      </c>
      <c r="BL698" s="491">
        <f t="shared" si="1572"/>
        <v>80</v>
      </c>
      <c r="BM698" s="371"/>
      <c r="BN698" s="232" t="str">
        <f t="shared" si="1573"/>
        <v/>
      </c>
      <c r="BO698" s="232" t="str">
        <f t="shared" si="1574"/>
        <v/>
      </c>
      <c r="BP698" s="232">
        <f t="shared" si="1575"/>
        <v>80</v>
      </c>
      <c r="BQ698" s="232">
        <f t="shared" si="1596"/>
        <v>1</v>
      </c>
      <c r="BR698" s="371"/>
      <c r="BS698" s="499">
        <v>10</v>
      </c>
      <c r="BT698" s="500">
        <v>10</v>
      </c>
      <c r="BU698" s="491">
        <f t="shared" si="1576"/>
        <v>80</v>
      </c>
      <c r="BV698" s="371"/>
      <c r="BW698" s="232" t="str">
        <f t="shared" si="1577"/>
        <v/>
      </c>
      <c r="BX698" s="232" t="str">
        <f t="shared" si="1578"/>
        <v/>
      </c>
      <c r="BY698" s="232">
        <f t="shared" si="1579"/>
        <v>80</v>
      </c>
      <c r="BZ698" s="232">
        <f t="shared" si="1597"/>
        <v>1</v>
      </c>
      <c r="CA698" s="371"/>
      <c r="CB698" s="507">
        <f t="shared" si="1580"/>
        <v>20</v>
      </c>
      <c r="CC698" s="508">
        <f t="shared" si="1581"/>
        <v>10</v>
      </c>
      <c r="CD698" s="509">
        <f t="shared" si="1582"/>
        <v>70</v>
      </c>
      <c r="CE698" s="371"/>
      <c r="CF698" s="232" t="str">
        <f t="shared" si="1583"/>
        <v/>
      </c>
      <c r="CG698" s="232" t="str">
        <f t="shared" si="1584"/>
        <v/>
      </c>
      <c r="CH698" s="232">
        <f t="shared" si="1585"/>
        <v>70</v>
      </c>
      <c r="CI698" s="232">
        <f t="shared" si="1598"/>
        <v>1</v>
      </c>
      <c r="CJ698" s="232"/>
      <c r="CK698" s="499">
        <v>10</v>
      </c>
      <c r="CL698" s="500">
        <v>30</v>
      </c>
      <c r="CM698" s="491">
        <f t="shared" si="1586"/>
        <v>60</v>
      </c>
      <c r="CN698" s="371"/>
      <c r="CO698" s="232" t="str">
        <f t="shared" si="1587"/>
        <v/>
      </c>
      <c r="CP698" s="232" t="str">
        <f t="shared" si="1588"/>
        <v/>
      </c>
      <c r="CQ698" s="232">
        <f t="shared" si="1589"/>
        <v>60</v>
      </c>
      <c r="CR698" s="232">
        <f t="shared" si="1599"/>
        <v>1</v>
      </c>
      <c r="CS698" s="232"/>
      <c r="CT698" s="371"/>
      <c r="CU698" s="300"/>
      <c r="CV698" s="246"/>
      <c r="CW698" s="264"/>
    </row>
    <row r="699" spans="1:101" x14ac:dyDescent="0.2">
      <c r="A699" s="264"/>
      <c r="B699" s="264"/>
      <c r="C699" s="202"/>
      <c r="D699" s="271">
        <v>10</v>
      </c>
      <c r="E699" s="169" t="s">
        <v>918</v>
      </c>
      <c r="F699" s="471">
        <v>0</v>
      </c>
      <c r="G699" s="478"/>
      <c r="H699" s="479">
        <v>3</v>
      </c>
      <c r="I699" s="170" t="str">
        <f t="shared" si="1550"/>
        <v/>
      </c>
      <c r="J699" s="387" t="str">
        <f t="shared" si="1551"/>
        <v/>
      </c>
      <c r="K699" s="388" t="str">
        <f t="shared" si="1552"/>
        <v>x</v>
      </c>
      <c r="L699" s="299"/>
      <c r="M699" s="375"/>
      <c r="N699" s="379"/>
      <c r="O699" s="236"/>
      <c r="P699" s="236"/>
      <c r="Q699" s="492">
        <v>20</v>
      </c>
      <c r="R699" s="493">
        <v>20</v>
      </c>
      <c r="S699" s="494">
        <f t="shared" si="1590"/>
        <v>60</v>
      </c>
      <c r="T699" s="371"/>
      <c r="U699" s="232" t="str">
        <f t="shared" si="1553"/>
        <v/>
      </c>
      <c r="V699" s="232" t="str">
        <f t="shared" si="1554"/>
        <v/>
      </c>
      <c r="W699" s="232">
        <f t="shared" si="1555"/>
        <v>60</v>
      </c>
      <c r="X699" s="232">
        <f t="shared" si="1591"/>
        <v>1</v>
      </c>
      <c r="Y699" s="371"/>
      <c r="Z699" s="495">
        <v>10</v>
      </c>
      <c r="AA699" s="496">
        <v>10</v>
      </c>
      <c r="AB699" s="494">
        <f t="shared" si="1556"/>
        <v>80</v>
      </c>
      <c r="AC699" s="371"/>
      <c r="AD699" s="232" t="str">
        <f t="shared" si="1557"/>
        <v/>
      </c>
      <c r="AE699" s="232" t="str">
        <f t="shared" si="1558"/>
        <v/>
      </c>
      <c r="AF699" s="232">
        <f t="shared" si="1559"/>
        <v>80</v>
      </c>
      <c r="AG699" s="232">
        <f t="shared" si="1592"/>
        <v>1</v>
      </c>
      <c r="AH699" s="371"/>
      <c r="AI699" s="495">
        <v>10</v>
      </c>
      <c r="AJ699" s="496">
        <v>10</v>
      </c>
      <c r="AK699" s="494">
        <f t="shared" si="1560"/>
        <v>80</v>
      </c>
      <c r="AL699" s="371"/>
      <c r="AM699" s="232" t="str">
        <f t="shared" si="1561"/>
        <v/>
      </c>
      <c r="AN699" s="232" t="str">
        <f t="shared" si="1562"/>
        <v/>
      </c>
      <c r="AO699" s="232">
        <f t="shared" si="1563"/>
        <v>80</v>
      </c>
      <c r="AP699" s="232">
        <f t="shared" si="1593"/>
        <v>1</v>
      </c>
      <c r="AQ699" s="371"/>
      <c r="AR699" s="495">
        <v>10</v>
      </c>
      <c r="AS699" s="496">
        <v>30</v>
      </c>
      <c r="AT699" s="494">
        <f t="shared" si="1564"/>
        <v>60</v>
      </c>
      <c r="AU699" s="371"/>
      <c r="AV699" s="232" t="str">
        <f t="shared" si="1565"/>
        <v/>
      </c>
      <c r="AW699" s="232" t="str">
        <f t="shared" si="1566"/>
        <v/>
      </c>
      <c r="AX699" s="232">
        <f t="shared" si="1567"/>
        <v>60</v>
      </c>
      <c r="AY699" s="232">
        <f t="shared" si="1594"/>
        <v>1</v>
      </c>
      <c r="AZ699" s="371"/>
      <c r="BA699" s="495">
        <v>10</v>
      </c>
      <c r="BB699" s="496">
        <v>10</v>
      </c>
      <c r="BC699" s="494">
        <f t="shared" si="1568"/>
        <v>80</v>
      </c>
      <c r="BD699" s="371"/>
      <c r="BE699" s="232" t="str">
        <f t="shared" si="1569"/>
        <v/>
      </c>
      <c r="BF699" s="232" t="str">
        <f t="shared" si="1570"/>
        <v/>
      </c>
      <c r="BG699" s="232">
        <f t="shared" si="1571"/>
        <v>80</v>
      </c>
      <c r="BH699" s="232">
        <f t="shared" si="1595"/>
        <v>1</v>
      </c>
      <c r="BI699" s="371"/>
      <c r="BJ699" s="495">
        <v>10</v>
      </c>
      <c r="BK699" s="496">
        <v>10</v>
      </c>
      <c r="BL699" s="494">
        <f t="shared" si="1572"/>
        <v>80</v>
      </c>
      <c r="BM699" s="371"/>
      <c r="BN699" s="232" t="str">
        <f t="shared" si="1573"/>
        <v/>
      </c>
      <c r="BO699" s="232" t="str">
        <f t="shared" si="1574"/>
        <v/>
      </c>
      <c r="BP699" s="232">
        <f t="shared" si="1575"/>
        <v>80</v>
      </c>
      <c r="BQ699" s="232">
        <f t="shared" si="1596"/>
        <v>1</v>
      </c>
      <c r="BR699" s="371"/>
      <c r="BS699" s="495">
        <v>20</v>
      </c>
      <c r="BT699" s="496">
        <v>20</v>
      </c>
      <c r="BU699" s="494">
        <f t="shared" si="1576"/>
        <v>60</v>
      </c>
      <c r="BV699" s="371"/>
      <c r="BW699" s="232" t="str">
        <f t="shared" si="1577"/>
        <v/>
      </c>
      <c r="BX699" s="232" t="str">
        <f t="shared" si="1578"/>
        <v/>
      </c>
      <c r="BY699" s="232">
        <f t="shared" si="1579"/>
        <v>60</v>
      </c>
      <c r="BZ699" s="232">
        <f t="shared" si="1597"/>
        <v>1</v>
      </c>
      <c r="CA699" s="371"/>
      <c r="CB699" s="501">
        <f t="shared" si="1580"/>
        <v>20</v>
      </c>
      <c r="CC699" s="502">
        <f t="shared" si="1581"/>
        <v>10</v>
      </c>
      <c r="CD699" s="503">
        <f t="shared" si="1582"/>
        <v>70</v>
      </c>
      <c r="CE699" s="371"/>
      <c r="CF699" s="232" t="str">
        <f t="shared" si="1583"/>
        <v/>
      </c>
      <c r="CG699" s="232" t="str">
        <f t="shared" si="1584"/>
        <v/>
      </c>
      <c r="CH699" s="232">
        <f t="shared" si="1585"/>
        <v>70</v>
      </c>
      <c r="CI699" s="232">
        <f t="shared" si="1598"/>
        <v>1</v>
      </c>
      <c r="CJ699" s="232"/>
      <c r="CK699" s="495">
        <v>10</v>
      </c>
      <c r="CL699" s="496">
        <v>30</v>
      </c>
      <c r="CM699" s="494">
        <f t="shared" si="1586"/>
        <v>60</v>
      </c>
      <c r="CN699" s="371"/>
      <c r="CO699" s="232" t="str">
        <f t="shared" si="1587"/>
        <v/>
      </c>
      <c r="CP699" s="232" t="str">
        <f t="shared" si="1588"/>
        <v/>
      </c>
      <c r="CQ699" s="232">
        <f t="shared" si="1589"/>
        <v>60</v>
      </c>
      <c r="CR699" s="232">
        <f t="shared" si="1599"/>
        <v>1</v>
      </c>
      <c r="CS699" s="232"/>
      <c r="CT699" s="371"/>
      <c r="CU699" s="300"/>
      <c r="CV699" s="246"/>
      <c r="CW699" s="264"/>
    </row>
    <row r="700" spans="1:101" x14ac:dyDescent="0.2">
      <c r="A700" s="264"/>
      <c r="B700" s="264"/>
      <c r="C700" s="202"/>
      <c r="D700" s="271">
        <v>11</v>
      </c>
      <c r="E700" s="167" t="s">
        <v>919</v>
      </c>
      <c r="F700" s="469">
        <v>0</v>
      </c>
      <c r="G700" s="474"/>
      <c r="H700" s="475">
        <v>1</v>
      </c>
      <c r="I700" s="389" t="str">
        <f t="shared" si="1550"/>
        <v/>
      </c>
      <c r="J700" s="390" t="str">
        <f t="shared" si="1551"/>
        <v/>
      </c>
      <c r="K700" s="391" t="str">
        <f t="shared" si="1552"/>
        <v>x</v>
      </c>
      <c r="L700" s="299"/>
      <c r="M700" s="375"/>
      <c r="N700" s="379"/>
      <c r="O700" s="236"/>
      <c r="P700" s="236"/>
      <c r="Q700" s="483">
        <v>10</v>
      </c>
      <c r="R700" s="484">
        <v>20</v>
      </c>
      <c r="S700" s="485">
        <f t="shared" si="1590"/>
        <v>70</v>
      </c>
      <c r="T700" s="371"/>
      <c r="U700" s="232" t="str">
        <f t="shared" si="1553"/>
        <v/>
      </c>
      <c r="V700" s="232" t="str">
        <f t="shared" si="1554"/>
        <v/>
      </c>
      <c r="W700" s="232">
        <f t="shared" si="1555"/>
        <v>70</v>
      </c>
      <c r="X700" s="232">
        <f t="shared" si="1591"/>
        <v>1</v>
      </c>
      <c r="Y700" s="371"/>
      <c r="Z700" s="497">
        <v>10</v>
      </c>
      <c r="AA700" s="498">
        <v>10</v>
      </c>
      <c r="AB700" s="485">
        <f t="shared" si="1556"/>
        <v>80</v>
      </c>
      <c r="AC700" s="371"/>
      <c r="AD700" s="232" t="str">
        <f t="shared" si="1557"/>
        <v/>
      </c>
      <c r="AE700" s="232" t="str">
        <f t="shared" si="1558"/>
        <v/>
      </c>
      <c r="AF700" s="232">
        <f t="shared" si="1559"/>
        <v>80</v>
      </c>
      <c r="AG700" s="232">
        <f t="shared" si="1592"/>
        <v>1</v>
      </c>
      <c r="AH700" s="371"/>
      <c r="AI700" s="497">
        <v>10</v>
      </c>
      <c r="AJ700" s="498">
        <v>10</v>
      </c>
      <c r="AK700" s="485">
        <f t="shared" si="1560"/>
        <v>80</v>
      </c>
      <c r="AL700" s="371"/>
      <c r="AM700" s="232" t="str">
        <f t="shared" si="1561"/>
        <v/>
      </c>
      <c r="AN700" s="232" t="str">
        <f t="shared" si="1562"/>
        <v/>
      </c>
      <c r="AO700" s="232">
        <f t="shared" si="1563"/>
        <v>80</v>
      </c>
      <c r="AP700" s="232">
        <f t="shared" si="1593"/>
        <v>1</v>
      </c>
      <c r="AQ700" s="371"/>
      <c r="AR700" s="497">
        <v>10</v>
      </c>
      <c r="AS700" s="498">
        <v>10</v>
      </c>
      <c r="AT700" s="485">
        <f t="shared" si="1564"/>
        <v>80</v>
      </c>
      <c r="AU700" s="371"/>
      <c r="AV700" s="232" t="str">
        <f t="shared" si="1565"/>
        <v/>
      </c>
      <c r="AW700" s="232" t="str">
        <f t="shared" si="1566"/>
        <v/>
      </c>
      <c r="AX700" s="232">
        <f t="shared" si="1567"/>
        <v>80</v>
      </c>
      <c r="AY700" s="232">
        <f t="shared" si="1594"/>
        <v>1</v>
      </c>
      <c r="AZ700" s="371"/>
      <c r="BA700" s="497">
        <v>10</v>
      </c>
      <c r="BB700" s="498">
        <v>10</v>
      </c>
      <c r="BC700" s="485">
        <f t="shared" si="1568"/>
        <v>80</v>
      </c>
      <c r="BD700" s="371"/>
      <c r="BE700" s="232" t="str">
        <f t="shared" si="1569"/>
        <v/>
      </c>
      <c r="BF700" s="232" t="str">
        <f t="shared" si="1570"/>
        <v/>
      </c>
      <c r="BG700" s="232">
        <f t="shared" si="1571"/>
        <v>80</v>
      </c>
      <c r="BH700" s="232">
        <f t="shared" si="1595"/>
        <v>1</v>
      </c>
      <c r="BI700" s="371"/>
      <c r="BJ700" s="497">
        <v>10</v>
      </c>
      <c r="BK700" s="498">
        <v>10</v>
      </c>
      <c r="BL700" s="485">
        <f t="shared" si="1572"/>
        <v>80</v>
      </c>
      <c r="BM700" s="371"/>
      <c r="BN700" s="232" t="str">
        <f t="shared" si="1573"/>
        <v/>
      </c>
      <c r="BO700" s="232" t="str">
        <f t="shared" si="1574"/>
        <v/>
      </c>
      <c r="BP700" s="232">
        <f t="shared" si="1575"/>
        <v>80</v>
      </c>
      <c r="BQ700" s="232">
        <f t="shared" si="1596"/>
        <v>1</v>
      </c>
      <c r="BR700" s="371"/>
      <c r="BS700" s="497">
        <v>10</v>
      </c>
      <c r="BT700" s="498">
        <v>10</v>
      </c>
      <c r="BU700" s="485">
        <f t="shared" si="1576"/>
        <v>80</v>
      </c>
      <c r="BV700" s="371"/>
      <c r="BW700" s="232" t="str">
        <f t="shared" si="1577"/>
        <v/>
      </c>
      <c r="BX700" s="232" t="str">
        <f t="shared" si="1578"/>
        <v/>
      </c>
      <c r="BY700" s="232">
        <f t="shared" si="1579"/>
        <v>80</v>
      </c>
      <c r="BZ700" s="232">
        <f t="shared" si="1597"/>
        <v>1</v>
      </c>
      <c r="CA700" s="371"/>
      <c r="CB700" s="504">
        <f t="shared" si="1580"/>
        <v>10</v>
      </c>
      <c r="CC700" s="505">
        <f t="shared" si="1581"/>
        <v>10</v>
      </c>
      <c r="CD700" s="506">
        <f t="shared" si="1582"/>
        <v>80</v>
      </c>
      <c r="CE700" s="371"/>
      <c r="CF700" s="232" t="str">
        <f t="shared" si="1583"/>
        <v/>
      </c>
      <c r="CG700" s="232" t="str">
        <f t="shared" si="1584"/>
        <v/>
      </c>
      <c r="CH700" s="232">
        <f t="shared" si="1585"/>
        <v>80</v>
      </c>
      <c r="CI700" s="232">
        <f t="shared" si="1598"/>
        <v>1</v>
      </c>
      <c r="CJ700" s="232"/>
      <c r="CK700" s="497">
        <v>10</v>
      </c>
      <c r="CL700" s="498">
        <v>10</v>
      </c>
      <c r="CM700" s="485">
        <f t="shared" si="1586"/>
        <v>80</v>
      </c>
      <c r="CN700" s="371"/>
      <c r="CO700" s="232" t="str">
        <f t="shared" si="1587"/>
        <v/>
      </c>
      <c r="CP700" s="232" t="str">
        <f t="shared" si="1588"/>
        <v/>
      </c>
      <c r="CQ700" s="232">
        <f t="shared" si="1589"/>
        <v>80</v>
      </c>
      <c r="CR700" s="232">
        <f t="shared" si="1599"/>
        <v>1</v>
      </c>
      <c r="CS700" s="232"/>
      <c r="CT700" s="371"/>
      <c r="CU700" s="300"/>
      <c r="CV700" s="246"/>
      <c r="CW700" s="264"/>
    </row>
    <row r="701" spans="1:101" ht="13.5" thickBot="1" x14ac:dyDescent="0.25">
      <c r="A701" s="264"/>
      <c r="B701" s="264"/>
      <c r="C701" s="202"/>
      <c r="D701" s="271">
        <v>12</v>
      </c>
      <c r="E701" s="168" t="s">
        <v>920</v>
      </c>
      <c r="F701" s="470">
        <v>1</v>
      </c>
      <c r="G701" s="476"/>
      <c r="H701" s="477">
        <v>3</v>
      </c>
      <c r="I701" s="392" t="str">
        <f t="shared" si="1550"/>
        <v/>
      </c>
      <c r="J701" s="393" t="str">
        <f t="shared" si="1551"/>
        <v/>
      </c>
      <c r="K701" s="394" t="str">
        <f t="shared" si="1552"/>
        <v>x</v>
      </c>
      <c r="L701" s="299"/>
      <c r="M701" s="375"/>
      <c r="N701" s="379"/>
      <c r="O701" s="236"/>
      <c r="P701" s="236"/>
      <c r="Q701" s="489">
        <v>30</v>
      </c>
      <c r="R701" s="490">
        <v>30</v>
      </c>
      <c r="S701" s="491">
        <f t="shared" si="1590"/>
        <v>40</v>
      </c>
      <c r="T701" s="371"/>
      <c r="U701" s="232" t="str">
        <f t="shared" si="1553"/>
        <v/>
      </c>
      <c r="V701" s="232" t="str">
        <f t="shared" si="1554"/>
        <v/>
      </c>
      <c r="W701" s="232">
        <f t="shared" si="1555"/>
        <v>40</v>
      </c>
      <c r="X701" s="232">
        <f t="shared" si="1591"/>
        <v>1</v>
      </c>
      <c r="Y701" s="371"/>
      <c r="Z701" s="499">
        <v>10</v>
      </c>
      <c r="AA701" s="500">
        <v>50</v>
      </c>
      <c r="AB701" s="491">
        <f t="shared" si="1556"/>
        <v>40</v>
      </c>
      <c r="AC701" s="371"/>
      <c r="AD701" s="232" t="str">
        <f t="shared" si="1557"/>
        <v/>
      </c>
      <c r="AE701" s="232" t="str">
        <f t="shared" si="1558"/>
        <v/>
      </c>
      <c r="AF701" s="232">
        <f t="shared" si="1559"/>
        <v>40</v>
      </c>
      <c r="AG701" s="232" t="str">
        <f t="shared" si="1592"/>
        <v/>
      </c>
      <c r="AH701" s="371"/>
      <c r="AI701" s="499">
        <v>40</v>
      </c>
      <c r="AJ701" s="500">
        <v>40</v>
      </c>
      <c r="AK701" s="491">
        <f t="shared" si="1560"/>
        <v>20</v>
      </c>
      <c r="AL701" s="371"/>
      <c r="AM701" s="232" t="str">
        <f t="shared" si="1561"/>
        <v/>
      </c>
      <c r="AN701" s="232" t="str">
        <f t="shared" si="1562"/>
        <v/>
      </c>
      <c r="AO701" s="232">
        <f t="shared" si="1563"/>
        <v>20</v>
      </c>
      <c r="AP701" s="232" t="str">
        <f t="shared" si="1593"/>
        <v/>
      </c>
      <c r="AQ701" s="371"/>
      <c r="AR701" s="499">
        <v>30</v>
      </c>
      <c r="AS701" s="500">
        <v>40</v>
      </c>
      <c r="AT701" s="491">
        <f t="shared" si="1564"/>
        <v>30</v>
      </c>
      <c r="AU701" s="371"/>
      <c r="AV701" s="232" t="str">
        <f t="shared" si="1565"/>
        <v/>
      </c>
      <c r="AW701" s="232" t="str">
        <f t="shared" si="1566"/>
        <v/>
      </c>
      <c r="AX701" s="232">
        <f t="shared" si="1567"/>
        <v>30</v>
      </c>
      <c r="AY701" s="232" t="str">
        <f t="shared" si="1594"/>
        <v/>
      </c>
      <c r="AZ701" s="371"/>
      <c r="BA701" s="499">
        <v>80</v>
      </c>
      <c r="BB701" s="500">
        <v>10</v>
      </c>
      <c r="BC701" s="491">
        <f t="shared" si="1568"/>
        <v>10</v>
      </c>
      <c r="BD701" s="371"/>
      <c r="BE701" s="232" t="str">
        <f t="shared" si="1569"/>
        <v/>
      </c>
      <c r="BF701" s="232" t="str">
        <f t="shared" si="1570"/>
        <v/>
      </c>
      <c r="BG701" s="232">
        <f t="shared" si="1571"/>
        <v>10</v>
      </c>
      <c r="BH701" s="232" t="str">
        <f t="shared" si="1595"/>
        <v/>
      </c>
      <c r="BI701" s="371"/>
      <c r="BJ701" s="499">
        <v>80</v>
      </c>
      <c r="BK701" s="500">
        <v>10</v>
      </c>
      <c r="BL701" s="491">
        <f t="shared" si="1572"/>
        <v>10</v>
      </c>
      <c r="BM701" s="371"/>
      <c r="BN701" s="232" t="str">
        <f t="shared" si="1573"/>
        <v/>
      </c>
      <c r="BO701" s="232" t="str">
        <f t="shared" si="1574"/>
        <v/>
      </c>
      <c r="BP701" s="232">
        <f t="shared" si="1575"/>
        <v>10</v>
      </c>
      <c r="BQ701" s="232" t="str">
        <f t="shared" si="1596"/>
        <v/>
      </c>
      <c r="BR701" s="371"/>
      <c r="BS701" s="499">
        <v>30</v>
      </c>
      <c r="BT701" s="500">
        <v>30</v>
      </c>
      <c r="BU701" s="491">
        <f t="shared" si="1576"/>
        <v>40</v>
      </c>
      <c r="BV701" s="371"/>
      <c r="BW701" s="232" t="str">
        <f t="shared" si="1577"/>
        <v/>
      </c>
      <c r="BX701" s="232" t="str">
        <f t="shared" si="1578"/>
        <v/>
      </c>
      <c r="BY701" s="232">
        <f t="shared" si="1579"/>
        <v>40</v>
      </c>
      <c r="BZ701" s="232">
        <f t="shared" si="1597"/>
        <v>1</v>
      </c>
      <c r="CA701" s="371"/>
      <c r="CB701" s="507">
        <f t="shared" si="1580"/>
        <v>50</v>
      </c>
      <c r="CC701" s="508">
        <f t="shared" si="1581"/>
        <v>30</v>
      </c>
      <c r="CD701" s="509">
        <f t="shared" si="1582"/>
        <v>20</v>
      </c>
      <c r="CE701" s="371"/>
      <c r="CF701" s="232" t="str">
        <f t="shared" si="1583"/>
        <v/>
      </c>
      <c r="CG701" s="232" t="str">
        <f t="shared" si="1584"/>
        <v/>
      </c>
      <c r="CH701" s="232">
        <f t="shared" si="1585"/>
        <v>20</v>
      </c>
      <c r="CI701" s="232" t="str">
        <f t="shared" si="1598"/>
        <v/>
      </c>
      <c r="CJ701" s="232"/>
      <c r="CK701" s="499">
        <v>30</v>
      </c>
      <c r="CL701" s="500">
        <v>40</v>
      </c>
      <c r="CM701" s="491">
        <f t="shared" si="1586"/>
        <v>30</v>
      </c>
      <c r="CN701" s="371"/>
      <c r="CO701" s="232" t="str">
        <f t="shared" si="1587"/>
        <v/>
      </c>
      <c r="CP701" s="232" t="str">
        <f t="shared" si="1588"/>
        <v/>
      </c>
      <c r="CQ701" s="232">
        <f t="shared" si="1589"/>
        <v>30</v>
      </c>
      <c r="CR701" s="232" t="str">
        <f t="shared" si="1599"/>
        <v/>
      </c>
      <c r="CS701" s="232"/>
      <c r="CT701" s="371"/>
      <c r="CU701" s="300"/>
      <c r="CV701" s="246"/>
      <c r="CW701" s="264"/>
    </row>
    <row r="702" spans="1:101" x14ac:dyDescent="0.2">
      <c r="A702" s="264"/>
      <c r="B702" s="264"/>
      <c r="C702" s="202"/>
      <c r="D702" s="272"/>
      <c r="E702" s="235"/>
      <c r="F702" s="395">
        <f>IF(SUM(F690:F701)=0,"",SUM(F690:F701))</f>
        <v>14</v>
      </c>
      <c r="G702" s="370" t="s">
        <v>49</v>
      </c>
      <c r="H702" s="396">
        <f>IF(SUM(H690:H701)=0,"",SUM(H690:H701))</f>
        <v>16</v>
      </c>
      <c r="I702" s="397">
        <f>IF(COUNTIF(I690:I701,"=x")=0,"",COUNTIF(I690:I701,"=x"))</f>
        <v>3</v>
      </c>
      <c r="J702" s="398">
        <f>IF(COUNTIF(J690:J701,"=x")=0,"",COUNTIF(J690:J701,"=x"))</f>
        <v>3</v>
      </c>
      <c r="K702" s="399">
        <f>IF(COUNTIF(K690:K701,"=x")=0,"",COUNTIF(K690:K701,"=x"))</f>
        <v>6</v>
      </c>
      <c r="L702" s="299"/>
      <c r="M702" s="375"/>
      <c r="N702" s="379"/>
      <c r="O702" s="236"/>
      <c r="P702" s="369"/>
      <c r="Q702" s="466">
        <f>SUM(U690:U701)</f>
        <v>210</v>
      </c>
      <c r="R702" s="466">
        <f>SUM(V690:V701)</f>
        <v>70</v>
      </c>
      <c r="S702" s="466">
        <f>SUM(W690:W701)</f>
        <v>290</v>
      </c>
      <c r="T702" s="368"/>
      <c r="U702" s="232"/>
      <c r="V702" s="232"/>
      <c r="W702" s="232"/>
      <c r="X702" s="232"/>
      <c r="Y702" s="367"/>
      <c r="Z702" s="466">
        <f>SUM(AD690:AD701)</f>
        <v>240</v>
      </c>
      <c r="AA702" s="466">
        <f>SUM(AE690:AE701)</f>
        <v>30</v>
      </c>
      <c r="AB702" s="466">
        <f>SUM(AF690:AF701)</f>
        <v>330</v>
      </c>
      <c r="AC702" s="368"/>
      <c r="AD702" s="232"/>
      <c r="AE702" s="232"/>
      <c r="AF702" s="232"/>
      <c r="AG702" s="232"/>
      <c r="AH702" s="367"/>
      <c r="AI702" s="466">
        <f>SUM(AM690:AM701)</f>
        <v>210</v>
      </c>
      <c r="AJ702" s="466">
        <f>SUM(AN690:AN701)</f>
        <v>80</v>
      </c>
      <c r="AK702" s="466">
        <f>SUM(AO690:AO701)</f>
        <v>270</v>
      </c>
      <c r="AL702" s="368"/>
      <c r="AM702" s="232"/>
      <c r="AN702" s="232"/>
      <c r="AO702" s="232"/>
      <c r="AP702" s="232"/>
      <c r="AQ702" s="367"/>
      <c r="AR702" s="466">
        <f>SUM(AV690:AV701)</f>
        <v>190</v>
      </c>
      <c r="AS702" s="466">
        <f>SUM(AW690:AW701)</f>
        <v>50</v>
      </c>
      <c r="AT702" s="466">
        <f>SUM(AX690:AX701)</f>
        <v>320</v>
      </c>
      <c r="AU702" s="368"/>
      <c r="AV702" s="232"/>
      <c r="AW702" s="232"/>
      <c r="AX702" s="232"/>
      <c r="AY702" s="232"/>
      <c r="AZ702" s="367"/>
      <c r="BA702" s="466">
        <f>SUM(BE690:BE701)</f>
        <v>170</v>
      </c>
      <c r="BB702" s="466">
        <f>SUM(BF690:BF701)</f>
        <v>30</v>
      </c>
      <c r="BC702" s="466">
        <f>SUM(BG690:BG701)</f>
        <v>270</v>
      </c>
      <c r="BD702" s="368"/>
      <c r="BE702" s="232"/>
      <c r="BF702" s="232"/>
      <c r="BG702" s="232"/>
      <c r="BH702" s="232"/>
      <c r="BI702" s="367"/>
      <c r="BJ702" s="466">
        <f>SUM(BN690:BN701)</f>
        <v>240</v>
      </c>
      <c r="BK702" s="466">
        <f>SUM(BO690:BO701)</f>
        <v>60</v>
      </c>
      <c r="BL702" s="466">
        <f>SUM(BP690:BP701)</f>
        <v>340</v>
      </c>
      <c r="BM702" s="368"/>
      <c r="BN702" s="232"/>
      <c r="BO702" s="232"/>
      <c r="BP702" s="232"/>
      <c r="BQ702" s="232"/>
      <c r="BR702" s="367"/>
      <c r="BS702" s="466">
        <f>SUM(BW690:BW701)</f>
        <v>200</v>
      </c>
      <c r="BT702" s="466">
        <f>SUM(BX690:BX701)</f>
        <v>60</v>
      </c>
      <c r="BU702" s="466">
        <f>SUM(BY690:BY701)</f>
        <v>310</v>
      </c>
      <c r="BV702" s="368"/>
      <c r="BW702" s="232"/>
      <c r="BX702" s="232"/>
      <c r="BY702" s="232"/>
      <c r="BZ702" s="232"/>
      <c r="CA702" s="369"/>
      <c r="CB702" s="466">
        <f>SUM(CF690:CF701)</f>
        <v>220</v>
      </c>
      <c r="CC702" s="466">
        <f>SUM(CG690:CG701)</f>
        <v>40</v>
      </c>
      <c r="CD702" s="466">
        <f>SUM(CH690:CH701)</f>
        <v>300</v>
      </c>
      <c r="CE702" s="368"/>
      <c r="CF702" s="232"/>
      <c r="CG702" s="232"/>
      <c r="CH702" s="232"/>
      <c r="CI702" s="232"/>
      <c r="CJ702" s="232"/>
      <c r="CK702" s="466">
        <f>SUM(CO690:CO701)</f>
        <v>200</v>
      </c>
      <c r="CL702" s="466">
        <f>SUM(CP690:CP701)</f>
        <v>80</v>
      </c>
      <c r="CM702" s="466">
        <f>SUM(CQ690:CQ701)</f>
        <v>250</v>
      </c>
      <c r="CN702" s="368"/>
      <c r="CO702" s="232"/>
      <c r="CP702" s="232"/>
      <c r="CQ702" s="232"/>
      <c r="CR702" s="232"/>
      <c r="CS702" s="232"/>
      <c r="CT702" s="232"/>
      <c r="CU702" s="300"/>
      <c r="CV702" s="246"/>
      <c r="CW702" s="265"/>
    </row>
    <row r="703" spans="1:101" ht="13.5" thickBot="1" x14ac:dyDescent="0.25">
      <c r="A703" s="264"/>
      <c r="B703" s="264"/>
      <c r="C703" s="202"/>
      <c r="D703" s="289"/>
      <c r="E703" s="282"/>
      <c r="F703" s="283"/>
      <c r="G703" s="282"/>
      <c r="H703" s="282"/>
      <c r="I703" s="282"/>
      <c r="J703" s="282"/>
      <c r="K703" s="282"/>
      <c r="L703" s="293"/>
      <c r="M703" s="301"/>
      <c r="N703" s="380"/>
      <c r="O703" s="376"/>
      <c r="P703" s="284"/>
      <c r="Q703" s="285"/>
      <c r="R703" s="285"/>
      <c r="S703" s="285"/>
      <c r="T703" s="286"/>
      <c r="U703" s="287"/>
      <c r="V703" s="287"/>
      <c r="W703" s="287"/>
      <c r="X703" s="287"/>
      <c r="Y703" s="284"/>
      <c r="Z703" s="285"/>
      <c r="AA703" s="285"/>
      <c r="AB703" s="285"/>
      <c r="AC703" s="286"/>
      <c r="AD703" s="287"/>
      <c r="AE703" s="287"/>
      <c r="AF703" s="287"/>
      <c r="AG703" s="288"/>
      <c r="AH703" s="284"/>
      <c r="AI703" s="285"/>
      <c r="AJ703" s="285"/>
      <c r="AK703" s="285"/>
      <c r="AL703" s="286"/>
      <c r="AM703" s="287"/>
      <c r="AN703" s="287"/>
      <c r="AO703" s="287"/>
      <c r="AP703" s="288"/>
      <c r="AQ703" s="284"/>
      <c r="AR703" s="285"/>
      <c r="AS703" s="285"/>
      <c r="AT703" s="285"/>
      <c r="AU703" s="286"/>
      <c r="AV703" s="287"/>
      <c r="AW703" s="287"/>
      <c r="AX703" s="287"/>
      <c r="AY703" s="288"/>
      <c r="AZ703" s="284"/>
      <c r="BA703" s="285"/>
      <c r="BB703" s="285"/>
      <c r="BC703" s="285"/>
      <c r="BD703" s="286"/>
      <c r="BE703" s="287"/>
      <c r="BF703" s="287"/>
      <c r="BG703" s="287"/>
      <c r="BH703" s="288"/>
      <c r="BI703" s="284"/>
      <c r="BJ703" s="284"/>
      <c r="BK703" s="284"/>
      <c r="BL703" s="284"/>
      <c r="BM703" s="284"/>
      <c r="BN703" s="284"/>
      <c r="BO703" s="284"/>
      <c r="BP703" s="284"/>
      <c r="BQ703" s="284"/>
      <c r="BR703" s="284"/>
      <c r="BS703" s="284"/>
      <c r="BT703" s="284"/>
      <c r="BU703" s="284"/>
      <c r="BV703" s="284"/>
      <c r="BW703" s="284"/>
      <c r="BX703" s="284"/>
      <c r="BY703" s="284"/>
      <c r="BZ703" s="284"/>
      <c r="CA703" s="284"/>
      <c r="CB703" s="284"/>
      <c r="CC703" s="284"/>
      <c r="CD703" s="284"/>
      <c r="CE703" s="284"/>
      <c r="CF703" s="284"/>
      <c r="CG703" s="284"/>
      <c r="CH703" s="284"/>
      <c r="CI703" s="284"/>
      <c r="CJ703" s="288"/>
      <c r="CK703" s="288"/>
      <c r="CL703" s="288"/>
      <c r="CM703" s="288"/>
      <c r="CN703" s="288"/>
      <c r="CO703" s="288"/>
      <c r="CP703" s="288"/>
      <c r="CQ703" s="288"/>
      <c r="CR703" s="288"/>
      <c r="CS703" s="288"/>
      <c r="CT703" s="282"/>
      <c r="CU703" s="294"/>
      <c r="CV703" s="246"/>
      <c r="CW703" s="265"/>
    </row>
    <row r="704" spans="1:101" ht="14.25" thickTop="1" thickBot="1" x14ac:dyDescent="0.25">
      <c r="A704" s="256"/>
      <c r="B704" s="256"/>
      <c r="C704" s="210"/>
      <c r="D704" s="211"/>
      <c r="E704" s="247"/>
      <c r="F704" s="248"/>
      <c r="G704" s="247"/>
      <c r="H704" s="247"/>
      <c r="I704" s="247"/>
      <c r="J704" s="247"/>
      <c r="K704" s="247"/>
      <c r="L704" s="249"/>
      <c r="M704" s="250"/>
      <c r="N704" s="250"/>
      <c r="O704" s="250"/>
      <c r="P704" s="250"/>
      <c r="Q704" s="247"/>
      <c r="R704" s="247"/>
      <c r="S704" s="247"/>
      <c r="T704" s="251"/>
      <c r="U704" s="252"/>
      <c r="V704" s="252"/>
      <c r="W704" s="252"/>
      <c r="X704" s="252"/>
      <c r="Y704" s="250"/>
      <c r="Z704" s="247"/>
      <c r="AA704" s="247"/>
      <c r="AB704" s="247"/>
      <c r="AC704" s="251"/>
      <c r="AD704" s="252"/>
      <c r="AE704" s="252"/>
      <c r="AF704" s="252"/>
      <c r="AG704" s="247"/>
      <c r="AH704" s="250"/>
      <c r="AI704" s="247"/>
      <c r="AJ704" s="247"/>
      <c r="AK704" s="247"/>
      <c r="AL704" s="251"/>
      <c r="AM704" s="252"/>
      <c r="AN704" s="252"/>
      <c r="AO704" s="252"/>
      <c r="AP704" s="253"/>
      <c r="AQ704" s="250"/>
      <c r="AR704" s="247"/>
      <c r="AS704" s="247"/>
      <c r="AT704" s="247"/>
      <c r="AU704" s="251"/>
      <c r="AV704" s="252"/>
      <c r="AW704" s="252"/>
      <c r="AX704" s="252"/>
      <c r="AY704" s="247"/>
      <c r="AZ704" s="250"/>
      <c r="BA704" s="247"/>
      <c r="BB704" s="247"/>
      <c r="BC704" s="247"/>
      <c r="BD704" s="251"/>
      <c r="BE704" s="252"/>
      <c r="BF704" s="252"/>
      <c r="BG704" s="252"/>
      <c r="BH704" s="247"/>
      <c r="BI704" s="250"/>
      <c r="BJ704" s="247"/>
      <c r="BK704" s="247"/>
      <c r="BL704" s="247"/>
      <c r="BM704" s="251"/>
      <c r="BN704" s="252"/>
      <c r="BO704" s="252"/>
      <c r="BP704" s="252"/>
      <c r="BQ704" s="247"/>
      <c r="BR704" s="212"/>
      <c r="BS704" s="247"/>
      <c r="BT704" s="247"/>
      <c r="BU704" s="247"/>
      <c r="BV704" s="250"/>
      <c r="BW704" s="252"/>
      <c r="BX704" s="252"/>
      <c r="BY704" s="252"/>
      <c r="BZ704" s="247"/>
      <c r="CA704" s="247"/>
      <c r="CB704" s="253"/>
      <c r="CC704" s="253"/>
      <c r="CD704" s="253"/>
      <c r="CE704" s="253"/>
      <c r="CF704" s="247"/>
      <c r="CG704" s="247"/>
      <c r="CH704" s="247"/>
      <c r="CI704" s="247"/>
      <c r="CJ704" s="247"/>
      <c r="CK704" s="247"/>
      <c r="CL704" s="247"/>
      <c r="CM704" s="247"/>
      <c r="CN704" s="247"/>
      <c r="CO704" s="247"/>
      <c r="CP704" s="247"/>
      <c r="CQ704" s="247"/>
      <c r="CR704" s="247"/>
      <c r="CS704" s="247"/>
      <c r="CT704" s="247"/>
      <c r="CU704" s="247"/>
      <c r="CV704" s="254"/>
      <c r="CW704" s="255"/>
    </row>
    <row r="705" spans="1:101" ht="14.25" thickTop="1" thickBot="1" x14ac:dyDescent="0.25">
      <c r="A705" s="255"/>
      <c r="B705" s="255"/>
      <c r="C705" s="255"/>
      <c r="D705" s="255"/>
      <c r="E705" s="255"/>
      <c r="F705" s="255"/>
      <c r="G705" s="255"/>
      <c r="H705" s="255"/>
      <c r="I705" s="255"/>
      <c r="J705" s="255"/>
      <c r="K705" s="255"/>
      <c r="L705" s="255"/>
      <c r="M705" s="255"/>
      <c r="N705" s="255"/>
      <c r="O705" s="255"/>
      <c r="P705" s="255"/>
      <c r="Q705" s="255"/>
      <c r="R705" s="255"/>
      <c r="S705" s="255"/>
      <c r="T705" s="255"/>
      <c r="U705" s="255"/>
      <c r="V705" s="255"/>
      <c r="W705" s="255"/>
      <c r="X705" s="255"/>
      <c r="Y705" s="255"/>
      <c r="Z705" s="255"/>
      <c r="AA705" s="255"/>
      <c r="AB705" s="255"/>
      <c r="AC705" s="255"/>
      <c r="AD705" s="255"/>
      <c r="AE705" s="255"/>
      <c r="AF705" s="255"/>
      <c r="AG705" s="255"/>
      <c r="AH705" s="255"/>
      <c r="AI705" s="255"/>
      <c r="AJ705" s="255"/>
      <c r="AK705" s="255"/>
      <c r="AL705" s="255"/>
      <c r="AM705" s="255"/>
      <c r="AN705" s="255"/>
      <c r="AO705" s="255"/>
      <c r="AP705" s="255"/>
      <c r="AQ705" s="255"/>
      <c r="AR705" s="255"/>
      <c r="AS705" s="255"/>
      <c r="AT705" s="255"/>
      <c r="AU705" s="255"/>
      <c r="AV705" s="255"/>
      <c r="AW705" s="255"/>
      <c r="AX705" s="255"/>
      <c r="AY705" s="255"/>
      <c r="AZ705" s="255"/>
      <c r="BA705" s="255"/>
      <c r="BB705" s="255"/>
      <c r="BC705" s="255"/>
      <c r="BD705" s="255"/>
      <c r="BE705" s="255"/>
      <c r="BF705" s="255"/>
      <c r="BG705" s="255"/>
      <c r="BH705" s="255"/>
      <c r="BI705" s="255"/>
      <c r="BJ705" s="255"/>
      <c r="BK705" s="255"/>
      <c r="BL705" s="255"/>
      <c r="BM705" s="255"/>
      <c r="BN705" s="255"/>
      <c r="BO705" s="255"/>
      <c r="BP705" s="255"/>
      <c r="BQ705" s="255"/>
      <c r="BR705" s="255"/>
      <c r="BS705" s="255"/>
      <c r="BT705" s="255"/>
      <c r="BU705" s="255"/>
      <c r="BV705" s="255"/>
      <c r="BW705" s="255"/>
      <c r="BX705" s="255"/>
      <c r="BY705" s="255"/>
      <c r="BZ705" s="255"/>
      <c r="CA705" s="255"/>
      <c r="CB705" s="436"/>
      <c r="CC705" s="436"/>
      <c r="CD705" s="436"/>
      <c r="CE705" s="436"/>
      <c r="CF705" s="255"/>
      <c r="CG705" s="255"/>
      <c r="CH705" s="255"/>
      <c r="CI705" s="255"/>
      <c r="CJ705" s="255"/>
      <c r="CK705" s="255"/>
      <c r="CL705" s="255"/>
      <c r="CM705" s="255"/>
      <c r="CN705" s="255"/>
      <c r="CO705" s="255"/>
      <c r="CP705" s="255"/>
      <c r="CQ705" s="255"/>
      <c r="CR705" s="255"/>
      <c r="CS705" s="255"/>
      <c r="CT705" s="255"/>
      <c r="CU705" s="255"/>
      <c r="CV705" s="255"/>
      <c r="CW705" s="255"/>
    </row>
    <row r="706" spans="1:101" ht="21" thickTop="1" x14ac:dyDescent="0.3">
      <c r="A706" s="256"/>
      <c r="B706" s="256"/>
      <c r="C706" s="190"/>
      <c r="D706" s="191"/>
      <c r="E706" s="866" t="str">
        <f>E2</f>
        <v>STPS 2026</v>
      </c>
      <c r="F706" s="267"/>
      <c r="G706" s="267"/>
      <c r="H706" s="267"/>
      <c r="I706" s="192"/>
      <c r="J706" s="192"/>
      <c r="K706" s="192"/>
      <c r="L706" s="193"/>
      <c r="M706" s="192"/>
      <c r="N706" s="192"/>
      <c r="O706" s="192"/>
      <c r="P706" s="194"/>
      <c r="Q706" s="192"/>
      <c r="R706" s="192"/>
      <c r="S706" s="192"/>
      <c r="T706" s="195"/>
      <c r="U706" s="196"/>
      <c r="V706" s="196"/>
      <c r="W706" s="196"/>
      <c r="X706" s="196"/>
      <c r="Y706" s="194"/>
      <c r="Z706" s="192"/>
      <c r="AA706" s="192"/>
      <c r="AB706" s="192"/>
      <c r="AC706" s="195"/>
      <c r="AD706" s="196"/>
      <c r="AE706" s="196"/>
      <c r="AF706" s="196"/>
      <c r="AG706" s="197"/>
      <c r="AH706" s="194"/>
      <c r="AI706" s="192"/>
      <c r="AJ706" s="237"/>
      <c r="AK706" s="237"/>
      <c r="AL706" s="198"/>
      <c r="AM706" s="238"/>
      <c r="AN706" s="238"/>
      <c r="AO706" s="238"/>
      <c r="AP706" s="197"/>
      <c r="AQ706" s="239"/>
      <c r="AR706" s="240"/>
      <c r="AS706" s="199"/>
      <c r="AT706" s="200"/>
      <c r="AU706" s="198"/>
      <c r="AV706" s="196"/>
      <c r="AW706" s="196"/>
      <c r="AX706" s="196"/>
      <c r="AY706" s="197"/>
      <c r="AZ706" s="239"/>
      <c r="BA706" s="240"/>
      <c r="BB706" s="200"/>
      <c r="BC706" s="237"/>
      <c r="BD706" s="241"/>
      <c r="BE706" s="196"/>
      <c r="BF706" s="196"/>
      <c r="BG706" s="196"/>
      <c r="BH706" s="197"/>
      <c r="BI706" s="242"/>
      <c r="BJ706" s="237"/>
      <c r="BK706" s="237"/>
      <c r="BL706" s="237"/>
      <c r="BM706" s="241"/>
      <c r="BN706" s="196"/>
      <c r="BO706" s="196"/>
      <c r="BP706" s="196"/>
      <c r="BQ706" s="197"/>
      <c r="BR706" s="201"/>
      <c r="BS706" s="237"/>
      <c r="BT706" s="237"/>
      <c r="BU706" s="237"/>
      <c r="BV706" s="242"/>
      <c r="BW706" s="237"/>
      <c r="BX706" s="237"/>
      <c r="BY706" s="237"/>
      <c r="BZ706" s="237"/>
      <c r="CA706" s="237"/>
      <c r="CB706" s="437"/>
      <c r="CC706" s="437"/>
      <c r="CD706" s="437"/>
      <c r="CE706" s="437"/>
      <c r="CF706" s="237"/>
      <c r="CG706" s="237"/>
      <c r="CH706" s="237"/>
      <c r="CI706" s="237"/>
      <c r="CJ706" s="197"/>
      <c r="CK706" s="197"/>
      <c r="CL706" s="197"/>
      <c r="CM706" s="197"/>
      <c r="CN706" s="197"/>
      <c r="CO706" s="197"/>
      <c r="CP706" s="197"/>
      <c r="CQ706" s="197"/>
      <c r="CR706" s="197"/>
      <c r="CS706" s="197"/>
      <c r="CT706" s="401"/>
      <c r="CU706" s="237"/>
      <c r="CV706" s="243"/>
      <c r="CW706" s="255"/>
    </row>
    <row r="707" spans="1:101" ht="13.5" thickBot="1" x14ac:dyDescent="0.25">
      <c r="A707" s="256"/>
      <c r="B707" s="256"/>
      <c r="C707" s="202"/>
      <c r="D707" s="188"/>
      <c r="E707" s="266" t="str">
        <f>E3</f>
        <v>Skorgen Tippelag</v>
      </c>
      <c r="F707" s="406"/>
      <c r="G707" s="406"/>
      <c r="H707" s="406"/>
      <c r="I707" s="406"/>
      <c r="J707" s="406"/>
      <c r="K707" s="406"/>
      <c r="L707" s="406"/>
      <c r="M707" s="406"/>
      <c r="N707" s="406"/>
      <c r="O707" s="406"/>
      <c r="P707" s="406"/>
      <c r="Q707" s="406"/>
      <c r="R707" s="406"/>
      <c r="S707" s="406"/>
      <c r="T707" s="406"/>
      <c r="U707" s="406"/>
      <c r="V707" s="406"/>
      <c r="W707" s="406"/>
      <c r="X707" s="406"/>
      <c r="Y707" s="406"/>
      <c r="Z707" s="406"/>
      <c r="AA707" s="406"/>
      <c r="AB707" s="406"/>
      <c r="AC707" s="406"/>
      <c r="AD707" s="406"/>
      <c r="AE707" s="406"/>
      <c r="AF707" s="406"/>
      <c r="AG707" s="406"/>
      <c r="AH707" s="406"/>
      <c r="AI707" s="406"/>
      <c r="AJ707" s="406"/>
      <c r="AK707" s="406"/>
      <c r="AL707" s="406"/>
      <c r="AM707" s="406"/>
      <c r="AN707" s="406"/>
      <c r="AO707" s="406"/>
      <c r="AP707" s="406"/>
      <c r="AQ707" s="406"/>
      <c r="AR707" s="406"/>
      <c r="AS707" s="406"/>
      <c r="AT707" s="406"/>
      <c r="AU707" s="406"/>
      <c r="AV707" s="406"/>
      <c r="AW707" s="406"/>
      <c r="AX707" s="406"/>
      <c r="AY707" s="406"/>
      <c r="AZ707" s="406"/>
      <c r="BA707" s="406"/>
      <c r="BB707" s="406"/>
      <c r="BC707" s="406"/>
      <c r="BD707" s="406"/>
      <c r="BE707" s="406"/>
      <c r="BF707" s="406"/>
      <c r="BG707" s="406"/>
      <c r="BH707" s="406"/>
      <c r="BI707" s="406"/>
      <c r="BJ707" s="406"/>
      <c r="BK707" s="406"/>
      <c r="BL707" s="406"/>
      <c r="BM707" s="406"/>
      <c r="BN707" s="406"/>
      <c r="BO707" s="406"/>
      <c r="BP707" s="406"/>
      <c r="BQ707" s="406"/>
      <c r="BR707" s="406"/>
      <c r="BS707" s="406"/>
      <c r="BT707" s="406"/>
      <c r="BU707" s="406"/>
      <c r="BV707" s="406"/>
      <c r="BW707" s="406"/>
      <c r="BX707" s="406"/>
      <c r="BY707" s="406"/>
      <c r="BZ707" s="406"/>
      <c r="CA707" s="406"/>
      <c r="CB707" s="438"/>
      <c r="CC707" s="438"/>
      <c r="CD707" s="438"/>
      <c r="CE707" s="438"/>
      <c r="CF707" s="406"/>
      <c r="CG707" s="406"/>
      <c r="CH707" s="406"/>
      <c r="CI707" s="406"/>
      <c r="CJ707" s="406"/>
      <c r="CK707" s="406"/>
      <c r="CL707" s="406"/>
      <c r="CM707" s="406"/>
      <c r="CN707" s="366"/>
      <c r="CO707" s="366"/>
      <c r="CP707" s="366"/>
      <c r="CQ707" s="366"/>
      <c r="CR707" s="366"/>
      <c r="CS707" s="366"/>
      <c r="CT707" s="187"/>
      <c r="CU707" s="310"/>
      <c r="CV707" s="246"/>
      <c r="CW707" s="255"/>
    </row>
    <row r="708" spans="1:101" ht="18.75" thickTop="1" x14ac:dyDescent="0.2">
      <c r="A708" s="256"/>
      <c r="B708" s="256"/>
      <c r="C708" s="209"/>
      <c r="D708" s="290"/>
      <c r="E708" s="273"/>
      <c r="F708" s="274"/>
      <c r="G708" s="273"/>
      <c r="H708" s="273"/>
      <c r="I708" s="803" t="s">
        <v>39</v>
      </c>
      <c r="J708" s="805"/>
      <c r="K708" s="805"/>
      <c r="L708" s="291"/>
      <c r="M708" s="302"/>
      <c r="N708" s="242"/>
      <c r="O708" s="275"/>
      <c r="P708" s="275"/>
      <c r="Q708" s="808" t="str">
        <f>IF($F712="","",SUM(Q724:S724)-S710)</f>
        <v/>
      </c>
      <c r="R708" s="808"/>
      <c r="S708" s="808"/>
      <c r="T708" s="276"/>
      <c r="U708" s="277"/>
      <c r="V708" s="277"/>
      <c r="W708" s="277"/>
      <c r="X708" s="277"/>
      <c r="Y708" s="275"/>
      <c r="Z708" s="808" t="str">
        <f>IF($F712="","",SUM(Z724:AB724)-AB710)</f>
        <v/>
      </c>
      <c r="AA708" s="808"/>
      <c r="AB708" s="808"/>
      <c r="AC708" s="276"/>
      <c r="AD708" s="277"/>
      <c r="AE708" s="277"/>
      <c r="AF708" s="277"/>
      <c r="AG708" s="273"/>
      <c r="AH708" s="275"/>
      <c r="AI708" s="808" t="str">
        <f>IF($F712="","",SUM(AI724:AK724)-AK710)</f>
        <v/>
      </c>
      <c r="AJ708" s="808"/>
      <c r="AK708" s="808"/>
      <c r="AL708" s="276"/>
      <c r="AM708" s="277"/>
      <c r="AN708" s="277"/>
      <c r="AO708" s="277"/>
      <c r="AP708" s="273"/>
      <c r="AQ708" s="275"/>
      <c r="AR708" s="808" t="str">
        <f>IF($F712="","",SUM(AR724:AT724)-AT710)</f>
        <v/>
      </c>
      <c r="AS708" s="808"/>
      <c r="AT708" s="808"/>
      <c r="AU708" s="278"/>
      <c r="AV708" s="277"/>
      <c r="AW708" s="277"/>
      <c r="AX708" s="277"/>
      <c r="AY708" s="279"/>
      <c r="AZ708" s="280"/>
      <c r="BA708" s="808" t="str">
        <f>IF($F712="","",SUM(BA724:BC724)-BC710)</f>
        <v/>
      </c>
      <c r="BB708" s="808"/>
      <c r="BC708" s="808"/>
      <c r="BD708" s="278"/>
      <c r="BE708" s="277"/>
      <c r="BF708" s="277"/>
      <c r="BG708" s="277"/>
      <c r="BH708" s="279"/>
      <c r="BI708" s="280"/>
      <c r="BJ708" s="808" t="str">
        <f>IF($F712="","",SUM(BJ724:BL724)-BL710)</f>
        <v/>
      </c>
      <c r="BK708" s="808"/>
      <c r="BL708" s="808"/>
      <c r="BM708" s="278"/>
      <c r="BN708" s="277"/>
      <c r="BO708" s="277"/>
      <c r="BP708" s="277"/>
      <c r="BQ708" s="279"/>
      <c r="BR708" s="281"/>
      <c r="BS708" s="808" t="str">
        <f>IF($F712="","",SUM(BS724:BU724)-BU710)</f>
        <v/>
      </c>
      <c r="BT708" s="808"/>
      <c r="BU708" s="808"/>
      <c r="BV708" s="280"/>
      <c r="BW708" s="279"/>
      <c r="BX708" s="279"/>
      <c r="BY708" s="279"/>
      <c r="BZ708" s="279"/>
      <c r="CA708" s="281"/>
      <c r="CB708" s="808" t="str">
        <f>IF($F712="","",SUM(CB724:CD724)-CD710)</f>
        <v/>
      </c>
      <c r="CC708" s="808"/>
      <c r="CD708" s="808"/>
      <c r="CE708" s="280"/>
      <c r="CF708" s="279"/>
      <c r="CG708" s="279"/>
      <c r="CH708" s="279"/>
      <c r="CI708" s="279"/>
      <c r="CJ708" s="273"/>
      <c r="CK708" s="808" t="str">
        <f>IF($F712="","",SUM(CK724:CM724))</f>
        <v/>
      </c>
      <c r="CL708" s="808"/>
      <c r="CM708" s="808"/>
      <c r="CN708" s="280"/>
      <c r="CO708" s="279"/>
      <c r="CP708" s="279"/>
      <c r="CQ708" s="279"/>
      <c r="CR708" s="273"/>
      <c r="CS708" s="273"/>
      <c r="CT708" s="273"/>
      <c r="CU708" s="292"/>
      <c r="CV708" s="246"/>
      <c r="CW708" s="255"/>
    </row>
    <row r="709" spans="1:101" x14ac:dyDescent="0.2">
      <c r="A709" s="256"/>
      <c r="B709" s="256"/>
      <c r="C709" s="209"/>
      <c r="D709" s="916"/>
      <c r="E709" s="588" t="str">
        <f>IF(D709="","",DATE($D$3,1,1)+(D709-1)*7+(6-WEEKDAY(DATE($D$3,1,1),2)))</f>
        <v/>
      </c>
      <c r="F709" s="213"/>
      <c r="G709" s="214"/>
      <c r="H709" s="214"/>
      <c r="I709" s="804" t="str">
        <f>IF(ISERROR(AVERAGE(Q708,Z708,AI708,AR708,BA708,BJ708,BS708,CB708,CK708)),"",AVERAGE(Q708,Z708,AI708,AR708,BA708,BJ708,BS708,CB708,CK708))</f>
        <v/>
      </c>
      <c r="J709" s="806"/>
      <c r="K709" s="806"/>
      <c r="L709" s="295"/>
      <c r="M709" s="372"/>
      <c r="N709" s="245"/>
      <c r="O709" s="215"/>
      <c r="P709" s="215"/>
      <c r="Q709" s="710" t="str">
        <f>IF(Q708="","",Q708/Data!$X$1)</f>
        <v/>
      </c>
      <c r="R709" s="710"/>
      <c r="S709" s="711" t="str">
        <f>IF(SUM(X712:X723)=0,"",SUM(X712:X723))</f>
        <v/>
      </c>
      <c r="T709" s="216"/>
      <c r="U709" s="217"/>
      <c r="V709" s="217"/>
      <c r="W709" s="217"/>
      <c r="X709" s="217"/>
      <c r="Y709" s="215"/>
      <c r="Z709" s="710" t="str">
        <f>IF(Z708="","",Z708/Data!$X$1)</f>
        <v/>
      </c>
      <c r="AA709" s="710"/>
      <c r="AB709" s="711" t="str">
        <f>IF(SUM(AG712:AG723)=0,"",SUM(AG712:AG723))</f>
        <v/>
      </c>
      <c r="AC709" s="216"/>
      <c r="AD709" s="217"/>
      <c r="AE709" s="217"/>
      <c r="AF709" s="217"/>
      <c r="AG709" s="217"/>
      <c r="AH709" s="215"/>
      <c r="AI709" s="710" t="str">
        <f>IF(AI708="","",AI708/Data!$X$1)</f>
        <v/>
      </c>
      <c r="AJ709" s="710"/>
      <c r="AK709" s="711" t="str">
        <f>IF(SUM(AP712:AP723)=0,"",SUM(AP712:AP723))</f>
        <v/>
      </c>
      <c r="AL709" s="216"/>
      <c r="AM709" s="217"/>
      <c r="AN709" s="217"/>
      <c r="AO709" s="217"/>
      <c r="AP709" s="217"/>
      <c r="AQ709" s="215"/>
      <c r="AR709" s="710" t="str">
        <f>IF(AR708="","",AR708/Data!$X$1)</f>
        <v/>
      </c>
      <c r="AS709" s="710"/>
      <c r="AT709" s="711" t="str">
        <f>IF(SUM(AY712:AY723)=0,"",SUM(AY712:AY723))</f>
        <v/>
      </c>
      <c r="AU709" s="218"/>
      <c r="AV709" s="217"/>
      <c r="AW709" s="217"/>
      <c r="AX709" s="217"/>
      <c r="AY709" s="217"/>
      <c r="AZ709" s="219"/>
      <c r="BA709" s="710" t="str">
        <f>IF(BA708="","",BA708/Data!$X$1)</f>
        <v/>
      </c>
      <c r="BB709" s="710"/>
      <c r="BC709" s="711" t="str">
        <f>IF(SUM(BH712:BH723)=0,"",SUM(BH712:BH723))</f>
        <v/>
      </c>
      <c r="BD709" s="218"/>
      <c r="BE709" s="217"/>
      <c r="BF709" s="217"/>
      <c r="BG709" s="217"/>
      <c r="BH709" s="217"/>
      <c r="BI709" s="219"/>
      <c r="BJ709" s="710" t="str">
        <f>IF(BJ708="","",BJ708/Data!$X$1)</f>
        <v/>
      </c>
      <c r="BK709" s="710"/>
      <c r="BL709" s="711" t="str">
        <f>IF(SUM(BQ712:BQ723)=0,"",SUM(BQ712:BQ723))</f>
        <v/>
      </c>
      <c r="BM709" s="218"/>
      <c r="BN709" s="217"/>
      <c r="BO709" s="217"/>
      <c r="BP709" s="217"/>
      <c r="BQ709" s="217"/>
      <c r="BR709" s="220"/>
      <c r="BS709" s="710" t="str">
        <f>IF(BS708="","",BS708/Data!$X$1)</f>
        <v/>
      </c>
      <c r="BT709" s="710"/>
      <c r="BU709" s="711" t="str">
        <f>IF(SUM(BZ712:BZ723)=0,"",SUM(BZ712:BZ723))</f>
        <v/>
      </c>
      <c r="BV709" s="219"/>
      <c r="BW709" s="217"/>
      <c r="BX709" s="217"/>
      <c r="BY709" s="217"/>
      <c r="BZ709" s="217"/>
      <c r="CA709" s="220"/>
      <c r="CB709" s="710" t="str">
        <f>IF(CB708="","",CB708/Data!$X$1)</f>
        <v/>
      </c>
      <c r="CC709" s="710"/>
      <c r="CD709" s="711" t="str">
        <f>IF(SUM(CI712:CI723)=0,"",SUM(CI712:CI723))</f>
        <v/>
      </c>
      <c r="CE709" s="219"/>
      <c r="CF709" s="217"/>
      <c r="CG709" s="217"/>
      <c r="CH709" s="217"/>
      <c r="CI709" s="217"/>
      <c r="CJ709" s="217"/>
      <c r="CK709" s="710" t="str">
        <f>IF(CK708="","",CK708/Data!$X$1)</f>
        <v/>
      </c>
      <c r="CL709" s="710"/>
      <c r="CM709" s="711" t="str">
        <f>IF(SUM(CR712:CR723)=0,"",SUM(CR712:CR723))</f>
        <v/>
      </c>
      <c r="CN709" s="219"/>
      <c r="CO709" s="217"/>
      <c r="CP709" s="217"/>
      <c r="CQ709" s="217"/>
      <c r="CR709" s="217"/>
      <c r="CS709" s="217"/>
      <c r="CT709" s="217"/>
      <c r="CU709" s="296"/>
      <c r="CV709" s="246"/>
      <c r="CW709" s="255"/>
    </row>
    <row r="710" spans="1:101" ht="13.5" thickBot="1" x14ac:dyDescent="0.25">
      <c r="A710" s="256"/>
      <c r="B710" s="256"/>
      <c r="C710" s="209"/>
      <c r="D710" s="269">
        <f>D688+1</f>
        <v>33</v>
      </c>
      <c r="E710" s="402" t="str">
        <f>IF(E709="","Sett inn dato over her",TEXT(E709,"dddd"))</f>
        <v>Sett inn dato over her</v>
      </c>
      <c r="F710" s="221"/>
      <c r="G710" s="222"/>
      <c r="H710" s="222"/>
      <c r="I710" s="802"/>
      <c r="J710" s="807"/>
      <c r="K710" s="807"/>
      <c r="L710" s="297"/>
      <c r="M710" s="373"/>
      <c r="N710" s="377"/>
      <c r="O710" s="222"/>
      <c r="P710" s="222"/>
      <c r="Q710" s="385" t="str">
        <f>Data!$E$11</f>
        <v>AHH</v>
      </c>
      <c r="R710" s="386" t="str">
        <f>IF($F723="","",RANK(Q708,$Q708:$CL708))</f>
        <v/>
      </c>
      <c r="S710" s="510"/>
      <c r="T710" s="216">
        <v>0</v>
      </c>
      <c r="U710" s="217"/>
      <c r="V710" s="217"/>
      <c r="W710" s="217"/>
      <c r="X710" s="217"/>
      <c r="Y710" s="215"/>
      <c r="Z710" s="385" t="str">
        <f>Data!$E$12</f>
        <v>RB</v>
      </c>
      <c r="AA710" s="386" t="str">
        <f>IF($F723="","",RANK(Z708,$Q708:$CL708))</f>
        <v/>
      </c>
      <c r="AB710" s="510"/>
      <c r="AC710" s="216"/>
      <c r="AD710" s="217"/>
      <c r="AE710" s="217"/>
      <c r="AF710" s="217"/>
      <c r="AG710" s="217"/>
      <c r="AH710" s="215"/>
      <c r="AI710" s="385" t="str">
        <f>Data!$E$13</f>
        <v>EB</v>
      </c>
      <c r="AJ710" s="386" t="str">
        <f>IF($F723="","",RANK(AI708,$Q708:$CL708))</f>
        <v/>
      </c>
      <c r="AK710" s="510"/>
      <c r="AL710" s="216"/>
      <c r="AM710" s="217"/>
      <c r="AN710" s="217"/>
      <c r="AO710" s="217"/>
      <c r="AP710" s="217"/>
      <c r="AQ710" s="215"/>
      <c r="AR710" s="346" t="str">
        <f>Data!$E$14</f>
        <v>KAF</v>
      </c>
      <c r="AS710" s="386" t="str">
        <f>IF($F723="","",RANK(AR708,$Q708:$CL708))</f>
        <v/>
      </c>
      <c r="AT710" s="510"/>
      <c r="AU710" s="216"/>
      <c r="AV710" s="217"/>
      <c r="AW710" s="217"/>
      <c r="AX710" s="217"/>
      <c r="AY710" s="217"/>
      <c r="AZ710" s="215"/>
      <c r="BA710" s="346" t="str">
        <f>Data!$E$15</f>
        <v>ØG</v>
      </c>
      <c r="BB710" s="386" t="str">
        <f>IF($F723="","",RANK(BA708,$Q708:$CL708))</f>
        <v/>
      </c>
      <c r="BC710" s="510"/>
      <c r="BD710" s="216"/>
      <c r="BE710" s="217"/>
      <c r="BF710" s="217"/>
      <c r="BG710" s="217"/>
      <c r="BH710" s="217"/>
      <c r="BI710" s="215"/>
      <c r="BJ710" s="346" t="str">
        <f>Data!$E$16</f>
        <v>JH</v>
      </c>
      <c r="BK710" s="386" t="str">
        <f>IF($F723="","",RANK(BJ708,$Q708:$CL708))</f>
        <v/>
      </c>
      <c r="BL710" s="510"/>
      <c r="BM710" s="216"/>
      <c r="BN710" s="217"/>
      <c r="BO710" s="217"/>
      <c r="BP710" s="217"/>
      <c r="BQ710" s="217"/>
      <c r="BR710" s="223"/>
      <c r="BS710" s="346" t="str">
        <f>Data!$E$17</f>
        <v>TOH</v>
      </c>
      <c r="BT710" s="386" t="str">
        <f>IF($F723="","",RANK(BS708,$Q708:$CL708))</f>
        <v/>
      </c>
      <c r="BU710" s="510"/>
      <c r="BV710" s="215"/>
      <c r="BW710" s="217"/>
      <c r="BX710" s="217"/>
      <c r="BY710" s="217"/>
      <c r="BZ710" s="217"/>
      <c r="CA710" s="223"/>
      <c r="CB710" s="346" t="s">
        <v>26</v>
      </c>
      <c r="CC710" s="386" t="str">
        <f>IF($F723="","",RANK(CB708,$Q708:$CM708))</f>
        <v/>
      </c>
      <c r="CD710" s="511"/>
      <c r="CE710" s="215"/>
      <c r="CF710" s="217"/>
      <c r="CG710" s="217"/>
      <c r="CH710" s="217"/>
      <c r="CI710" s="217"/>
      <c r="CJ710" s="217"/>
      <c r="CK710" s="346" t="s">
        <v>27</v>
      </c>
      <c r="CL710" s="386" t="str">
        <f>IF($F723="","",RANK(CK708,$Q708:$CM708))</f>
        <v/>
      </c>
      <c r="CM710" s="798"/>
      <c r="CN710" s="215"/>
      <c r="CO710" s="217"/>
      <c r="CP710" s="217"/>
      <c r="CQ710" s="217"/>
      <c r="CR710" s="217"/>
      <c r="CS710" s="217"/>
      <c r="CT710" s="217"/>
      <c r="CU710" s="296"/>
      <c r="CV710" s="246"/>
      <c r="CW710" s="255"/>
    </row>
    <row r="711" spans="1:101" ht="13.5" thickBot="1" x14ac:dyDescent="0.25">
      <c r="A711" s="264"/>
      <c r="B711" s="264"/>
      <c r="C711" s="202"/>
      <c r="D711" s="270"/>
      <c r="E711" s="224"/>
      <c r="F711" s="225"/>
      <c r="G711" s="226"/>
      <c r="H711" s="226"/>
      <c r="I711" s="227" t="s">
        <v>45</v>
      </c>
      <c r="J711" s="228" t="s">
        <v>46</v>
      </c>
      <c r="K711" s="229" t="s">
        <v>47</v>
      </c>
      <c r="L711" s="298"/>
      <c r="M711" s="374"/>
      <c r="N711" s="378"/>
      <c r="O711" s="230"/>
      <c r="P711" s="230"/>
      <c r="Q711" s="227" t="s">
        <v>45</v>
      </c>
      <c r="R711" s="228" t="s">
        <v>46</v>
      </c>
      <c r="S711" s="229" t="s">
        <v>47</v>
      </c>
      <c r="T711" s="231"/>
      <c r="U711" s="232"/>
      <c r="V711" s="232"/>
      <c r="W711" s="232"/>
      <c r="X711" s="232"/>
      <c r="Y711" s="230"/>
      <c r="Z711" s="227" t="s">
        <v>45</v>
      </c>
      <c r="AA711" s="228" t="s">
        <v>46</v>
      </c>
      <c r="AB711" s="229" t="s">
        <v>47</v>
      </c>
      <c r="AC711" s="231"/>
      <c r="AD711" s="232"/>
      <c r="AE711" s="232"/>
      <c r="AF711" s="232"/>
      <c r="AG711" s="232"/>
      <c r="AH711" s="230"/>
      <c r="AI711" s="227" t="s">
        <v>45</v>
      </c>
      <c r="AJ711" s="228" t="s">
        <v>46</v>
      </c>
      <c r="AK711" s="229" t="s">
        <v>47</v>
      </c>
      <c r="AL711" s="231"/>
      <c r="AM711" s="232"/>
      <c r="AN711" s="232"/>
      <c r="AO711" s="232"/>
      <c r="AP711" s="232"/>
      <c r="AQ711" s="230"/>
      <c r="AR711" s="227" t="s">
        <v>45</v>
      </c>
      <c r="AS711" s="228" t="s">
        <v>46</v>
      </c>
      <c r="AT711" s="229" t="s">
        <v>47</v>
      </c>
      <c r="AU711" s="231"/>
      <c r="AV711" s="232"/>
      <c r="AW711" s="232"/>
      <c r="AX711" s="232"/>
      <c r="AY711" s="232"/>
      <c r="AZ711" s="230"/>
      <c r="BA711" s="227" t="s">
        <v>45</v>
      </c>
      <c r="BB711" s="228" t="s">
        <v>46</v>
      </c>
      <c r="BC711" s="229" t="s">
        <v>47</v>
      </c>
      <c r="BD711" s="231"/>
      <c r="BE711" s="232"/>
      <c r="BF711" s="232"/>
      <c r="BG711" s="232"/>
      <c r="BH711" s="232"/>
      <c r="BI711" s="230"/>
      <c r="BJ711" s="227" t="s">
        <v>45</v>
      </c>
      <c r="BK711" s="228" t="s">
        <v>46</v>
      </c>
      <c r="BL711" s="229" t="s">
        <v>47</v>
      </c>
      <c r="BM711" s="231"/>
      <c r="BN711" s="232"/>
      <c r="BO711" s="232"/>
      <c r="BP711" s="232"/>
      <c r="BQ711" s="232"/>
      <c r="BR711" s="230"/>
      <c r="BS711" s="227" t="s">
        <v>45</v>
      </c>
      <c r="BT711" s="228" t="s">
        <v>46</v>
      </c>
      <c r="BU711" s="229" t="s">
        <v>47</v>
      </c>
      <c r="BV711" s="231"/>
      <c r="BW711" s="232"/>
      <c r="BX711" s="232"/>
      <c r="BY711" s="232"/>
      <c r="BZ711" s="233"/>
      <c r="CA711" s="230"/>
      <c r="CB711" s="227" t="s">
        <v>45</v>
      </c>
      <c r="CC711" s="228" t="s">
        <v>46</v>
      </c>
      <c r="CD711" s="229" t="s">
        <v>47</v>
      </c>
      <c r="CE711" s="231"/>
      <c r="CF711" s="232"/>
      <c r="CG711" s="232"/>
      <c r="CH711" s="232"/>
      <c r="CI711" s="232"/>
      <c r="CJ711" s="232"/>
      <c r="CK711" s="227" t="s">
        <v>45</v>
      </c>
      <c r="CL711" s="228" t="s">
        <v>46</v>
      </c>
      <c r="CM711" s="229" t="s">
        <v>47</v>
      </c>
      <c r="CN711" s="231"/>
      <c r="CO711" s="232"/>
      <c r="CP711" s="232"/>
      <c r="CQ711" s="232"/>
      <c r="CR711" s="232"/>
      <c r="CS711" s="232"/>
      <c r="CT711" s="234"/>
      <c r="CU711" s="296"/>
      <c r="CV711" s="246"/>
      <c r="CW711" s="265"/>
    </row>
    <row r="712" spans="1:101" x14ac:dyDescent="0.2">
      <c r="A712" s="264"/>
      <c r="B712" s="264"/>
      <c r="C712" s="202"/>
      <c r="D712" s="271">
        <v>1</v>
      </c>
      <c r="E712" s="166"/>
      <c r="F712" s="468"/>
      <c r="G712" s="472"/>
      <c r="H712" s="473"/>
      <c r="I712" s="170" t="str">
        <f t="shared" ref="I712:I723" si="1600">IF($F712&gt;$H712,"x","")</f>
        <v/>
      </c>
      <c r="J712" s="387" t="str">
        <f t="shared" ref="J712:J723" si="1601">IF(F712&lt;&gt;"",IF(H712&lt;&gt;"",IF(F712=H712,"x",""),""),"")</f>
        <v/>
      </c>
      <c r="K712" s="388" t="str">
        <f t="shared" ref="K712:K723" si="1602">IF($F712&lt;$H712,"x","")</f>
        <v/>
      </c>
      <c r="L712" s="299"/>
      <c r="M712" s="375"/>
      <c r="N712" s="379"/>
      <c r="O712" s="236"/>
      <c r="P712" s="236"/>
      <c r="Q712" s="480"/>
      <c r="R712" s="481"/>
      <c r="S712" s="482" t="str">
        <f>IF(Q712="","",100-SUM(Q712:R712))</f>
        <v/>
      </c>
      <c r="T712" s="371"/>
      <c r="U712" s="232" t="str">
        <f t="shared" ref="U712:U723" si="1603">IF($I712="x",Q712,"")</f>
        <v/>
      </c>
      <c r="V712" s="232" t="str">
        <f t="shared" ref="V712:V723" si="1604">IF($J712="x",R712,"")</f>
        <v/>
      </c>
      <c r="W712" s="232" t="str">
        <f t="shared" ref="W712:W723" si="1605">IF($K712="x",S712,"")</f>
        <v/>
      </c>
      <c r="X712" s="232" t="str">
        <f>IF((MAX(U712,V712,W712))=0,"",IF((MAX(U712,V712,W712))=(MAX(Q712,R712,S712)),1,""))</f>
        <v/>
      </c>
      <c r="Y712" s="371"/>
      <c r="Z712" s="495"/>
      <c r="AA712" s="496"/>
      <c r="AB712" s="482" t="str">
        <f t="shared" ref="AB712:AB723" si="1606">IF(Z712="","",100-SUM(Z712:AA712))</f>
        <v/>
      </c>
      <c r="AC712" s="371"/>
      <c r="AD712" s="232" t="str">
        <f t="shared" ref="AD712:AD723" si="1607">IF($I712="x",Z712,"")</f>
        <v/>
      </c>
      <c r="AE712" s="232" t="str">
        <f t="shared" ref="AE712:AE723" si="1608">IF($J712="x",AA712,"")</f>
        <v/>
      </c>
      <c r="AF712" s="232" t="str">
        <f t="shared" ref="AF712:AF723" si="1609">IF($K712="x",AB712,"")</f>
        <v/>
      </c>
      <c r="AG712" s="232" t="str">
        <f>IF((MAX(AD712,AE712,AF712))=0,"",IF((MAX(AD712,AE712,AF712))=(MAX(Z712,AA712,AB712)),1,""))</f>
        <v/>
      </c>
      <c r="AH712" s="371"/>
      <c r="AI712" s="495"/>
      <c r="AJ712" s="496"/>
      <c r="AK712" s="482" t="str">
        <f t="shared" ref="AK712:AK723" si="1610">IF(AI712="","",100-SUM(AI712:AJ712))</f>
        <v/>
      </c>
      <c r="AL712" s="371"/>
      <c r="AM712" s="232" t="str">
        <f t="shared" ref="AM712:AM723" si="1611">IF($I712="x",AI712,"")</f>
        <v/>
      </c>
      <c r="AN712" s="232" t="str">
        <f t="shared" ref="AN712:AN723" si="1612">IF($J712="x",AJ712,"")</f>
        <v/>
      </c>
      <c r="AO712" s="232" t="str">
        <f t="shared" ref="AO712:AO723" si="1613">IF($K712="x",AK712,"")</f>
        <v/>
      </c>
      <c r="AP712" s="232" t="str">
        <f>IF((MAX(AM712,AN712,AO712))=0,"",IF((MAX(AM712,AN712,AO712))=(MAX(AI712,AJ712,AK712)),1,""))</f>
        <v/>
      </c>
      <c r="AQ712" s="371"/>
      <c r="AR712" s="495"/>
      <c r="AS712" s="496"/>
      <c r="AT712" s="482" t="str">
        <f t="shared" ref="AT712:AT723" si="1614">IF(AR712="","",100-SUM(AR712:AS712))</f>
        <v/>
      </c>
      <c r="AU712" s="371"/>
      <c r="AV712" s="232" t="str">
        <f t="shared" ref="AV712:AV723" si="1615">IF($I712="x",AR712,"")</f>
        <v/>
      </c>
      <c r="AW712" s="232" t="str">
        <f t="shared" ref="AW712:AW723" si="1616">IF($J712="x",AS712,"")</f>
        <v/>
      </c>
      <c r="AX712" s="232" t="str">
        <f t="shared" ref="AX712:AX723" si="1617">IF($K712="x",AT712,"")</f>
        <v/>
      </c>
      <c r="AY712" s="232" t="str">
        <f>IF((MAX(AV712,AW712,AX712))=0,"",IF((MAX(AV712,AW712,AX712))=(MAX(AR712,AS712,AT712)),1,""))</f>
        <v/>
      </c>
      <c r="AZ712" s="371"/>
      <c r="BA712" s="495"/>
      <c r="BB712" s="496"/>
      <c r="BC712" s="482" t="str">
        <f t="shared" ref="BC712:BC723" si="1618">IF(BA712="","",100-SUM(BA712:BB712))</f>
        <v/>
      </c>
      <c r="BD712" s="371"/>
      <c r="BE712" s="232" t="str">
        <f t="shared" ref="BE712:BE723" si="1619">IF($I712="x",BA712,"")</f>
        <v/>
      </c>
      <c r="BF712" s="232" t="str">
        <f t="shared" ref="BF712:BF723" si="1620">IF($J712="x",BB712,"")</f>
        <v/>
      </c>
      <c r="BG712" s="232" t="str">
        <f t="shared" ref="BG712:BG723" si="1621">IF($K712="x",BC712,"")</f>
        <v/>
      </c>
      <c r="BH712" s="232" t="str">
        <f>IF((MAX(BE712,BF712,BG712))=0,"",IF((MAX(BE712,BF712,BG712))=(MAX(BA712,BB712,BC712)),1,""))</f>
        <v/>
      </c>
      <c r="BI712" s="371"/>
      <c r="BJ712" s="495"/>
      <c r="BK712" s="496"/>
      <c r="BL712" s="482" t="str">
        <f t="shared" ref="BL712:BL723" si="1622">IF(BJ712="","",100-SUM(BJ712:BK712))</f>
        <v/>
      </c>
      <c r="BM712" s="371"/>
      <c r="BN712" s="232" t="str">
        <f t="shared" ref="BN712:BN723" si="1623">IF($I712="x",BJ712,"")</f>
        <v/>
      </c>
      <c r="BO712" s="232" t="str">
        <f t="shared" ref="BO712:BO723" si="1624">IF($J712="x",BK712,"")</f>
        <v/>
      </c>
      <c r="BP712" s="232" t="str">
        <f t="shared" ref="BP712:BP723" si="1625">IF($K712="x",BL712,"")</f>
        <v/>
      </c>
      <c r="BQ712" s="232" t="str">
        <f>IF((MAX(BN712,BO712,BP712))=0,"",IF((MAX(BN712,BO712,BP712))=(MAX(BJ712,BK712,BL712)),1,""))</f>
        <v/>
      </c>
      <c r="BR712" s="371"/>
      <c r="BS712" s="495"/>
      <c r="BT712" s="496"/>
      <c r="BU712" s="482" t="str">
        <f t="shared" ref="BU712:BU723" si="1626">IF(BS712="","",100-SUM(BS712:BT712))</f>
        <v/>
      </c>
      <c r="BV712" s="371"/>
      <c r="BW712" s="232" t="str">
        <f t="shared" ref="BW712:BW723" si="1627">IF($I712="x",BS712,"")</f>
        <v/>
      </c>
      <c r="BX712" s="232" t="str">
        <f t="shared" ref="BX712:BX723" si="1628">IF($J712="x",BT712,"")</f>
        <v/>
      </c>
      <c r="BY712" s="232" t="str">
        <f t="shared" ref="BY712:BY723" si="1629">IF($K712="x",BU712,"")</f>
        <v/>
      </c>
      <c r="BZ712" s="232" t="str">
        <f>IF((MAX(BW712,BX712,BY712))=0,"",IF((MAX(BW712,BX712,BY712))=(MAX(BS712,BT712,BU712)),1,""))</f>
        <v/>
      </c>
      <c r="CA712" s="371"/>
      <c r="CB712" s="501" t="str">
        <f t="shared" ref="CB712:CB723" si="1630">IFERROR(ROUNDUP((SUM(Q712,Z712,AI712,AR712,BA712,BJ712,BS712)/SUM($Q712:$S712,$Z712:$AB712,$AI712:$AK712,$AR712:$AT712,$BA712:$BC712,$BJ712:$BL712,$BS712:$BU712))*100,-1),"")</f>
        <v/>
      </c>
      <c r="CC712" s="502" t="str">
        <f t="shared" ref="CC712:CC723" si="1631">IFERROR(ROUNDDOWN((SUM(R712,AA712,AJ712,AS712,BB712,BK712,BT712)/SUM($Q712:$S712,$Z712:$AB712,$AI712:$AK712,$AR712:$AT712,$BA712:$BC712,$BJ712:$BL712,$BS712:$BU712))*100,-1),"")</f>
        <v/>
      </c>
      <c r="CD712" s="503" t="str">
        <f t="shared" ref="CD712:CD723" si="1632">IF(CB712="","",100-SUM(CB712:CC712))</f>
        <v/>
      </c>
      <c r="CE712" s="371"/>
      <c r="CF712" s="232" t="str">
        <f t="shared" ref="CF712:CF723" si="1633">IF($I712="x",CB712,"")</f>
        <v/>
      </c>
      <c r="CG712" s="232" t="str">
        <f t="shared" ref="CG712:CG723" si="1634">IF($J712="x",CC712,"")</f>
        <v/>
      </c>
      <c r="CH712" s="232" t="str">
        <f t="shared" ref="CH712:CH723" si="1635">IF($K712="x",CD712,"")</f>
        <v/>
      </c>
      <c r="CI712" s="232" t="str">
        <f>IF((MAX(CF712,CG712,CH712))=0,"",IF((MAX(CF712,CG712,CH712))=(MAX(CB712,CC712,CD712)),1,""))</f>
        <v/>
      </c>
      <c r="CJ712" s="232"/>
      <c r="CK712" s="495"/>
      <c r="CL712" s="496"/>
      <c r="CM712" s="482" t="str">
        <f t="shared" ref="CM712:CM723" si="1636">IF(CK712="","",100-SUM(CK712:CL712))</f>
        <v/>
      </c>
      <c r="CN712" s="371"/>
      <c r="CO712" s="232" t="str">
        <f t="shared" ref="CO712:CO723" si="1637">IF($I712="x",CK712,"")</f>
        <v/>
      </c>
      <c r="CP712" s="232" t="str">
        <f t="shared" ref="CP712:CP723" si="1638">IF($J712="x",CL712,"")</f>
        <v/>
      </c>
      <c r="CQ712" s="232" t="str">
        <f t="shared" ref="CQ712:CQ723" si="1639">IF($K712="x",CM712,"")</f>
        <v/>
      </c>
      <c r="CR712" s="232" t="str">
        <f>IF((MAX(CO712,CP712,CQ712))=0,"",IF((MAX(CO712,CP712,CQ712))=(MAX(CK712,CL712,CM712)),1,""))</f>
        <v/>
      </c>
      <c r="CS712" s="232"/>
      <c r="CT712" s="371"/>
      <c r="CU712" s="296"/>
      <c r="CV712" s="246"/>
      <c r="CW712" s="264"/>
    </row>
    <row r="713" spans="1:101" x14ac:dyDescent="0.2">
      <c r="A713" s="264"/>
      <c r="B713" s="264"/>
      <c r="C713" s="202"/>
      <c r="D713" s="271">
        <v>2</v>
      </c>
      <c r="E713" s="167"/>
      <c r="F713" s="469"/>
      <c r="G713" s="474"/>
      <c r="H713" s="475"/>
      <c r="I713" s="389" t="str">
        <f t="shared" si="1600"/>
        <v/>
      </c>
      <c r="J713" s="390" t="str">
        <f t="shared" si="1601"/>
        <v/>
      </c>
      <c r="K713" s="391" t="str">
        <f t="shared" si="1602"/>
        <v/>
      </c>
      <c r="L713" s="299"/>
      <c r="M713" s="375"/>
      <c r="N713" s="379"/>
      <c r="O713" s="236"/>
      <c r="P713" s="236"/>
      <c r="Q713" s="483"/>
      <c r="R713" s="484"/>
      <c r="S713" s="485" t="str">
        <f t="shared" ref="S713:S723" si="1640">IF(Q713="","",100-SUM(Q713:R713))</f>
        <v/>
      </c>
      <c r="T713" s="371"/>
      <c r="U713" s="232" t="str">
        <f t="shared" si="1603"/>
        <v/>
      </c>
      <c r="V713" s="232" t="str">
        <f t="shared" si="1604"/>
        <v/>
      </c>
      <c r="W713" s="232" t="str">
        <f t="shared" si="1605"/>
        <v/>
      </c>
      <c r="X713" s="232" t="str">
        <f t="shared" ref="X713:X723" si="1641">IF((MAX(U713,V713,W713))=0,"",IF((MAX(U713,V713,W713))=(MAX(Q713,R713,S713)),1,""))</f>
        <v/>
      </c>
      <c r="Y713" s="371"/>
      <c r="Z713" s="497"/>
      <c r="AA713" s="498"/>
      <c r="AB713" s="485" t="str">
        <f t="shared" si="1606"/>
        <v/>
      </c>
      <c r="AC713" s="371"/>
      <c r="AD713" s="232" t="str">
        <f t="shared" si="1607"/>
        <v/>
      </c>
      <c r="AE713" s="232" t="str">
        <f t="shared" si="1608"/>
        <v/>
      </c>
      <c r="AF713" s="232" t="str">
        <f t="shared" si="1609"/>
        <v/>
      </c>
      <c r="AG713" s="232" t="str">
        <f t="shared" ref="AG713:AG723" si="1642">IF((MAX(AD713,AE713,AF713))=0,"",IF((MAX(AD713,AE713,AF713))=(MAX(Z713,AA713,AB713)),1,""))</f>
        <v/>
      </c>
      <c r="AH713" s="371"/>
      <c r="AI713" s="497"/>
      <c r="AJ713" s="498"/>
      <c r="AK713" s="485" t="str">
        <f t="shared" si="1610"/>
        <v/>
      </c>
      <c r="AL713" s="371"/>
      <c r="AM713" s="232" t="str">
        <f t="shared" si="1611"/>
        <v/>
      </c>
      <c r="AN713" s="232" t="str">
        <f t="shared" si="1612"/>
        <v/>
      </c>
      <c r="AO713" s="232" t="str">
        <f t="shared" si="1613"/>
        <v/>
      </c>
      <c r="AP713" s="232" t="str">
        <f t="shared" ref="AP713:AP723" si="1643">IF((MAX(AM713,AN713,AO713))=0,"",IF((MAX(AM713,AN713,AO713))=(MAX(AI713,AJ713,AK713)),1,""))</f>
        <v/>
      </c>
      <c r="AQ713" s="371"/>
      <c r="AR713" s="497"/>
      <c r="AS713" s="498"/>
      <c r="AT713" s="485" t="str">
        <f t="shared" si="1614"/>
        <v/>
      </c>
      <c r="AU713" s="371"/>
      <c r="AV713" s="232" t="str">
        <f t="shared" si="1615"/>
        <v/>
      </c>
      <c r="AW713" s="232" t="str">
        <f t="shared" si="1616"/>
        <v/>
      </c>
      <c r="AX713" s="232" t="str">
        <f t="shared" si="1617"/>
        <v/>
      </c>
      <c r="AY713" s="232" t="str">
        <f t="shared" ref="AY713:AY723" si="1644">IF((MAX(AV713,AW713,AX713))=0,"",IF((MAX(AV713,AW713,AX713))=(MAX(AR713,AS713,AT713)),1,""))</f>
        <v/>
      </c>
      <c r="AZ713" s="371"/>
      <c r="BA713" s="497"/>
      <c r="BB713" s="498"/>
      <c r="BC713" s="485" t="str">
        <f t="shared" si="1618"/>
        <v/>
      </c>
      <c r="BD713" s="371"/>
      <c r="BE713" s="232" t="str">
        <f t="shared" si="1619"/>
        <v/>
      </c>
      <c r="BF713" s="232" t="str">
        <f t="shared" si="1620"/>
        <v/>
      </c>
      <c r="BG713" s="232" t="str">
        <f t="shared" si="1621"/>
        <v/>
      </c>
      <c r="BH713" s="232" t="str">
        <f t="shared" ref="BH713:BH723" si="1645">IF((MAX(BE713,BF713,BG713))=0,"",IF((MAX(BE713,BF713,BG713))=(MAX(BA713,BB713,BC713)),1,""))</f>
        <v/>
      </c>
      <c r="BI713" s="371"/>
      <c r="BJ713" s="497"/>
      <c r="BK713" s="498"/>
      <c r="BL713" s="485" t="str">
        <f t="shared" si="1622"/>
        <v/>
      </c>
      <c r="BM713" s="371"/>
      <c r="BN713" s="232" t="str">
        <f t="shared" si="1623"/>
        <v/>
      </c>
      <c r="BO713" s="232" t="str">
        <f t="shared" si="1624"/>
        <v/>
      </c>
      <c r="BP713" s="232" t="str">
        <f t="shared" si="1625"/>
        <v/>
      </c>
      <c r="BQ713" s="232" t="str">
        <f t="shared" ref="BQ713:BQ723" si="1646">IF((MAX(BN713,BO713,BP713))=0,"",IF((MAX(BN713,BO713,BP713))=(MAX(BJ713,BK713,BL713)),1,""))</f>
        <v/>
      </c>
      <c r="BR713" s="371"/>
      <c r="BS713" s="497"/>
      <c r="BT713" s="498"/>
      <c r="BU713" s="485" t="str">
        <f t="shared" si="1626"/>
        <v/>
      </c>
      <c r="BV713" s="371"/>
      <c r="BW713" s="232" t="str">
        <f t="shared" si="1627"/>
        <v/>
      </c>
      <c r="BX713" s="232" t="str">
        <f t="shared" si="1628"/>
        <v/>
      </c>
      <c r="BY713" s="232" t="str">
        <f t="shared" si="1629"/>
        <v/>
      </c>
      <c r="BZ713" s="232" t="str">
        <f t="shared" ref="BZ713:BZ723" si="1647">IF((MAX(BW713,BX713,BY713))=0,"",IF((MAX(BW713,BX713,BY713))=(MAX(BS713,BT713,BU713)),1,""))</f>
        <v/>
      </c>
      <c r="CA713" s="371"/>
      <c r="CB713" s="504" t="str">
        <f t="shared" si="1630"/>
        <v/>
      </c>
      <c r="CC713" s="505" t="str">
        <f t="shared" si="1631"/>
        <v/>
      </c>
      <c r="CD713" s="506" t="str">
        <f t="shared" si="1632"/>
        <v/>
      </c>
      <c r="CE713" s="371"/>
      <c r="CF713" s="232" t="str">
        <f t="shared" si="1633"/>
        <v/>
      </c>
      <c r="CG713" s="232" t="str">
        <f t="shared" si="1634"/>
        <v/>
      </c>
      <c r="CH713" s="232" t="str">
        <f t="shared" si="1635"/>
        <v/>
      </c>
      <c r="CI713" s="232" t="str">
        <f t="shared" ref="CI713:CI723" si="1648">IF((MAX(CF713,CG713,CH713))=0,"",IF((MAX(CF713,CG713,CH713))=(MAX(CB713,CC713,CD713)),1,""))</f>
        <v/>
      </c>
      <c r="CJ713" s="232"/>
      <c r="CK713" s="497"/>
      <c r="CL713" s="498"/>
      <c r="CM713" s="485" t="str">
        <f t="shared" si="1636"/>
        <v/>
      </c>
      <c r="CN713" s="371"/>
      <c r="CO713" s="232" t="str">
        <f t="shared" si="1637"/>
        <v/>
      </c>
      <c r="CP713" s="232" t="str">
        <f t="shared" si="1638"/>
        <v/>
      </c>
      <c r="CQ713" s="232" t="str">
        <f t="shared" si="1639"/>
        <v/>
      </c>
      <c r="CR713" s="232" t="str">
        <f t="shared" ref="CR713:CR723" si="1649">IF((MAX(CO713,CP713,CQ713))=0,"",IF((MAX(CO713,CP713,CQ713))=(MAX(CK713,CL713,CM713)),1,""))</f>
        <v/>
      </c>
      <c r="CS713" s="232"/>
      <c r="CT713" s="371"/>
      <c r="CU713" s="296"/>
      <c r="CV713" s="246"/>
      <c r="CW713" s="264"/>
    </row>
    <row r="714" spans="1:101" ht="13.5" thickBot="1" x14ac:dyDescent="0.25">
      <c r="A714" s="264"/>
      <c r="B714" s="264"/>
      <c r="C714" s="202"/>
      <c r="D714" s="271">
        <v>3</v>
      </c>
      <c r="E714" s="168"/>
      <c r="F714" s="470"/>
      <c r="G714" s="476"/>
      <c r="H714" s="477"/>
      <c r="I714" s="392" t="str">
        <f t="shared" si="1600"/>
        <v/>
      </c>
      <c r="J714" s="393" t="str">
        <f t="shared" si="1601"/>
        <v/>
      </c>
      <c r="K714" s="394" t="str">
        <f t="shared" si="1602"/>
        <v/>
      </c>
      <c r="L714" s="299"/>
      <c r="M714" s="375"/>
      <c r="N714" s="379"/>
      <c r="O714" s="236"/>
      <c r="P714" s="236"/>
      <c r="Q714" s="486"/>
      <c r="R714" s="487"/>
      <c r="S714" s="488" t="str">
        <f t="shared" si="1640"/>
        <v/>
      </c>
      <c r="T714" s="371"/>
      <c r="U714" s="232" t="str">
        <f t="shared" si="1603"/>
        <v/>
      </c>
      <c r="V714" s="232" t="str">
        <f t="shared" si="1604"/>
        <v/>
      </c>
      <c r="W714" s="232" t="str">
        <f t="shared" si="1605"/>
        <v/>
      </c>
      <c r="X714" s="232" t="str">
        <f t="shared" si="1641"/>
        <v/>
      </c>
      <c r="Y714" s="371"/>
      <c r="Z714" s="499"/>
      <c r="AA714" s="500"/>
      <c r="AB714" s="488" t="str">
        <f t="shared" si="1606"/>
        <v/>
      </c>
      <c r="AC714" s="371"/>
      <c r="AD714" s="232" t="str">
        <f t="shared" si="1607"/>
        <v/>
      </c>
      <c r="AE714" s="232" t="str">
        <f t="shared" si="1608"/>
        <v/>
      </c>
      <c r="AF714" s="232" t="str">
        <f t="shared" si="1609"/>
        <v/>
      </c>
      <c r="AG714" s="232" t="str">
        <f t="shared" si="1642"/>
        <v/>
      </c>
      <c r="AH714" s="371"/>
      <c r="AI714" s="499"/>
      <c r="AJ714" s="500"/>
      <c r="AK714" s="488" t="str">
        <f t="shared" si="1610"/>
        <v/>
      </c>
      <c r="AL714" s="371"/>
      <c r="AM714" s="232" t="str">
        <f t="shared" si="1611"/>
        <v/>
      </c>
      <c r="AN714" s="232" t="str">
        <f t="shared" si="1612"/>
        <v/>
      </c>
      <c r="AO714" s="232" t="str">
        <f t="shared" si="1613"/>
        <v/>
      </c>
      <c r="AP714" s="232" t="str">
        <f t="shared" si="1643"/>
        <v/>
      </c>
      <c r="AQ714" s="371"/>
      <c r="AR714" s="499"/>
      <c r="AS714" s="500"/>
      <c r="AT714" s="488" t="str">
        <f t="shared" si="1614"/>
        <v/>
      </c>
      <c r="AU714" s="371"/>
      <c r="AV714" s="232" t="str">
        <f t="shared" si="1615"/>
        <v/>
      </c>
      <c r="AW714" s="232" t="str">
        <f t="shared" si="1616"/>
        <v/>
      </c>
      <c r="AX714" s="232" t="str">
        <f t="shared" si="1617"/>
        <v/>
      </c>
      <c r="AY714" s="232" t="str">
        <f t="shared" si="1644"/>
        <v/>
      </c>
      <c r="AZ714" s="371"/>
      <c r="BA714" s="499"/>
      <c r="BB714" s="500"/>
      <c r="BC714" s="488" t="str">
        <f t="shared" si="1618"/>
        <v/>
      </c>
      <c r="BD714" s="371"/>
      <c r="BE714" s="232" t="str">
        <f t="shared" si="1619"/>
        <v/>
      </c>
      <c r="BF714" s="232" t="str">
        <f t="shared" si="1620"/>
        <v/>
      </c>
      <c r="BG714" s="232" t="str">
        <f t="shared" si="1621"/>
        <v/>
      </c>
      <c r="BH714" s="232" t="str">
        <f t="shared" si="1645"/>
        <v/>
      </c>
      <c r="BI714" s="371"/>
      <c r="BJ714" s="499"/>
      <c r="BK714" s="500"/>
      <c r="BL714" s="488" t="str">
        <f t="shared" si="1622"/>
        <v/>
      </c>
      <c r="BM714" s="371"/>
      <c r="BN714" s="232" t="str">
        <f t="shared" si="1623"/>
        <v/>
      </c>
      <c r="BO714" s="232" t="str">
        <f t="shared" si="1624"/>
        <v/>
      </c>
      <c r="BP714" s="232" t="str">
        <f t="shared" si="1625"/>
        <v/>
      </c>
      <c r="BQ714" s="232" t="str">
        <f t="shared" si="1646"/>
        <v/>
      </c>
      <c r="BR714" s="371"/>
      <c r="BS714" s="499"/>
      <c r="BT714" s="500"/>
      <c r="BU714" s="488" t="str">
        <f t="shared" si="1626"/>
        <v/>
      </c>
      <c r="BV714" s="371"/>
      <c r="BW714" s="232" t="str">
        <f t="shared" si="1627"/>
        <v/>
      </c>
      <c r="BX714" s="232" t="str">
        <f t="shared" si="1628"/>
        <v/>
      </c>
      <c r="BY714" s="232" t="str">
        <f t="shared" si="1629"/>
        <v/>
      </c>
      <c r="BZ714" s="232" t="str">
        <f t="shared" si="1647"/>
        <v/>
      </c>
      <c r="CA714" s="371"/>
      <c r="CB714" s="507" t="str">
        <f t="shared" si="1630"/>
        <v/>
      </c>
      <c r="CC714" s="508" t="str">
        <f t="shared" si="1631"/>
        <v/>
      </c>
      <c r="CD714" s="509" t="str">
        <f t="shared" si="1632"/>
        <v/>
      </c>
      <c r="CE714" s="371"/>
      <c r="CF714" s="232" t="str">
        <f t="shared" si="1633"/>
        <v/>
      </c>
      <c r="CG714" s="232" t="str">
        <f t="shared" si="1634"/>
        <v/>
      </c>
      <c r="CH714" s="232" t="str">
        <f t="shared" si="1635"/>
        <v/>
      </c>
      <c r="CI714" s="232" t="str">
        <f t="shared" si="1648"/>
        <v/>
      </c>
      <c r="CJ714" s="232"/>
      <c r="CK714" s="499"/>
      <c r="CL714" s="500"/>
      <c r="CM714" s="488" t="str">
        <f t="shared" si="1636"/>
        <v/>
      </c>
      <c r="CN714" s="371"/>
      <c r="CO714" s="232" t="str">
        <f t="shared" si="1637"/>
        <v/>
      </c>
      <c r="CP714" s="232" t="str">
        <f t="shared" si="1638"/>
        <v/>
      </c>
      <c r="CQ714" s="232" t="str">
        <f t="shared" si="1639"/>
        <v/>
      </c>
      <c r="CR714" s="232" t="str">
        <f t="shared" si="1649"/>
        <v/>
      </c>
      <c r="CS714" s="232"/>
      <c r="CT714" s="371"/>
      <c r="CU714" s="296"/>
      <c r="CV714" s="246"/>
      <c r="CW714" s="264"/>
    </row>
    <row r="715" spans="1:101" x14ac:dyDescent="0.2">
      <c r="A715" s="264"/>
      <c r="B715" s="264"/>
      <c r="C715" s="202"/>
      <c r="D715" s="271">
        <v>4</v>
      </c>
      <c r="E715" s="166"/>
      <c r="F715" s="468"/>
      <c r="G715" s="472"/>
      <c r="H715" s="473"/>
      <c r="I715" s="170" t="str">
        <f t="shared" si="1600"/>
        <v/>
      </c>
      <c r="J715" s="387" t="str">
        <f t="shared" si="1601"/>
        <v/>
      </c>
      <c r="K715" s="388" t="str">
        <f t="shared" si="1602"/>
        <v/>
      </c>
      <c r="L715" s="299"/>
      <c r="M715" s="375"/>
      <c r="N715" s="379"/>
      <c r="O715" s="236"/>
      <c r="P715" s="236"/>
      <c r="Q715" s="480"/>
      <c r="R715" s="481"/>
      <c r="S715" s="482" t="str">
        <f t="shared" si="1640"/>
        <v/>
      </c>
      <c r="T715" s="371"/>
      <c r="U715" s="232" t="str">
        <f t="shared" si="1603"/>
        <v/>
      </c>
      <c r="V715" s="232" t="str">
        <f t="shared" si="1604"/>
        <v/>
      </c>
      <c r="W715" s="232" t="str">
        <f t="shared" si="1605"/>
        <v/>
      </c>
      <c r="X715" s="232" t="str">
        <f t="shared" si="1641"/>
        <v/>
      </c>
      <c r="Y715" s="371"/>
      <c r="Z715" s="495"/>
      <c r="AA715" s="496"/>
      <c r="AB715" s="482" t="str">
        <f t="shared" si="1606"/>
        <v/>
      </c>
      <c r="AC715" s="371"/>
      <c r="AD715" s="232" t="str">
        <f t="shared" si="1607"/>
        <v/>
      </c>
      <c r="AE715" s="232" t="str">
        <f t="shared" si="1608"/>
        <v/>
      </c>
      <c r="AF715" s="232" t="str">
        <f t="shared" si="1609"/>
        <v/>
      </c>
      <c r="AG715" s="232" t="str">
        <f t="shared" si="1642"/>
        <v/>
      </c>
      <c r="AH715" s="371"/>
      <c r="AI715" s="495"/>
      <c r="AJ715" s="496"/>
      <c r="AK715" s="482" t="str">
        <f t="shared" si="1610"/>
        <v/>
      </c>
      <c r="AL715" s="371"/>
      <c r="AM715" s="232" t="str">
        <f t="shared" si="1611"/>
        <v/>
      </c>
      <c r="AN715" s="232" t="str">
        <f t="shared" si="1612"/>
        <v/>
      </c>
      <c r="AO715" s="232" t="str">
        <f t="shared" si="1613"/>
        <v/>
      </c>
      <c r="AP715" s="232" t="str">
        <f t="shared" si="1643"/>
        <v/>
      </c>
      <c r="AQ715" s="371"/>
      <c r="AR715" s="495"/>
      <c r="AS715" s="496"/>
      <c r="AT715" s="482" t="str">
        <f t="shared" si="1614"/>
        <v/>
      </c>
      <c r="AU715" s="371"/>
      <c r="AV715" s="232" t="str">
        <f t="shared" si="1615"/>
        <v/>
      </c>
      <c r="AW715" s="232" t="str">
        <f t="shared" si="1616"/>
        <v/>
      </c>
      <c r="AX715" s="232" t="str">
        <f t="shared" si="1617"/>
        <v/>
      </c>
      <c r="AY715" s="232" t="str">
        <f t="shared" si="1644"/>
        <v/>
      </c>
      <c r="AZ715" s="371"/>
      <c r="BA715" s="495"/>
      <c r="BB715" s="496"/>
      <c r="BC715" s="482" t="str">
        <f t="shared" si="1618"/>
        <v/>
      </c>
      <c r="BD715" s="371"/>
      <c r="BE715" s="232" t="str">
        <f t="shared" si="1619"/>
        <v/>
      </c>
      <c r="BF715" s="232" t="str">
        <f t="shared" si="1620"/>
        <v/>
      </c>
      <c r="BG715" s="232" t="str">
        <f t="shared" si="1621"/>
        <v/>
      </c>
      <c r="BH715" s="232" t="str">
        <f t="shared" si="1645"/>
        <v/>
      </c>
      <c r="BI715" s="371"/>
      <c r="BJ715" s="495"/>
      <c r="BK715" s="496"/>
      <c r="BL715" s="482" t="str">
        <f t="shared" si="1622"/>
        <v/>
      </c>
      <c r="BM715" s="371"/>
      <c r="BN715" s="232" t="str">
        <f t="shared" si="1623"/>
        <v/>
      </c>
      <c r="BO715" s="232" t="str">
        <f t="shared" si="1624"/>
        <v/>
      </c>
      <c r="BP715" s="232" t="str">
        <f t="shared" si="1625"/>
        <v/>
      </c>
      <c r="BQ715" s="232" t="str">
        <f t="shared" si="1646"/>
        <v/>
      </c>
      <c r="BR715" s="371"/>
      <c r="BS715" s="495"/>
      <c r="BT715" s="496"/>
      <c r="BU715" s="482" t="str">
        <f t="shared" si="1626"/>
        <v/>
      </c>
      <c r="BV715" s="371"/>
      <c r="BW715" s="232" t="str">
        <f t="shared" si="1627"/>
        <v/>
      </c>
      <c r="BX715" s="232" t="str">
        <f t="shared" si="1628"/>
        <v/>
      </c>
      <c r="BY715" s="232" t="str">
        <f t="shared" si="1629"/>
        <v/>
      </c>
      <c r="BZ715" s="232" t="str">
        <f t="shared" si="1647"/>
        <v/>
      </c>
      <c r="CA715" s="371"/>
      <c r="CB715" s="501" t="str">
        <f t="shared" si="1630"/>
        <v/>
      </c>
      <c r="CC715" s="502" t="str">
        <f t="shared" si="1631"/>
        <v/>
      </c>
      <c r="CD715" s="503" t="str">
        <f t="shared" si="1632"/>
        <v/>
      </c>
      <c r="CE715" s="371"/>
      <c r="CF715" s="232" t="str">
        <f t="shared" si="1633"/>
        <v/>
      </c>
      <c r="CG715" s="232" t="str">
        <f t="shared" si="1634"/>
        <v/>
      </c>
      <c r="CH715" s="232" t="str">
        <f t="shared" si="1635"/>
        <v/>
      </c>
      <c r="CI715" s="232" t="str">
        <f t="shared" si="1648"/>
        <v/>
      </c>
      <c r="CJ715" s="232"/>
      <c r="CK715" s="495"/>
      <c r="CL715" s="496"/>
      <c r="CM715" s="482" t="str">
        <f t="shared" si="1636"/>
        <v/>
      </c>
      <c r="CN715" s="371"/>
      <c r="CO715" s="232" t="str">
        <f t="shared" si="1637"/>
        <v/>
      </c>
      <c r="CP715" s="232" t="str">
        <f t="shared" si="1638"/>
        <v/>
      </c>
      <c r="CQ715" s="232" t="str">
        <f t="shared" si="1639"/>
        <v/>
      </c>
      <c r="CR715" s="232" t="str">
        <f t="shared" si="1649"/>
        <v/>
      </c>
      <c r="CS715" s="232"/>
      <c r="CT715" s="371"/>
      <c r="CU715" s="296"/>
      <c r="CV715" s="246"/>
      <c r="CW715" s="264"/>
    </row>
    <row r="716" spans="1:101" x14ac:dyDescent="0.2">
      <c r="A716" s="264"/>
      <c r="B716" s="264"/>
      <c r="C716" s="202"/>
      <c r="D716" s="271">
        <v>5</v>
      </c>
      <c r="E716" s="167"/>
      <c r="F716" s="469"/>
      <c r="G716" s="474"/>
      <c r="H716" s="475"/>
      <c r="I716" s="389" t="str">
        <f t="shared" si="1600"/>
        <v/>
      </c>
      <c r="J716" s="390" t="str">
        <f t="shared" si="1601"/>
        <v/>
      </c>
      <c r="K716" s="391" t="str">
        <f t="shared" si="1602"/>
        <v/>
      </c>
      <c r="L716" s="299"/>
      <c r="M716" s="375"/>
      <c r="N716" s="379"/>
      <c r="O716" s="236"/>
      <c r="P716" s="236"/>
      <c r="Q716" s="483"/>
      <c r="R716" s="484"/>
      <c r="S716" s="485" t="str">
        <f t="shared" si="1640"/>
        <v/>
      </c>
      <c r="T716" s="371"/>
      <c r="U716" s="232" t="str">
        <f t="shared" si="1603"/>
        <v/>
      </c>
      <c r="V716" s="232" t="str">
        <f t="shared" si="1604"/>
        <v/>
      </c>
      <c r="W716" s="232" t="str">
        <f t="shared" si="1605"/>
        <v/>
      </c>
      <c r="X716" s="232" t="str">
        <f t="shared" si="1641"/>
        <v/>
      </c>
      <c r="Y716" s="371"/>
      <c r="Z716" s="497"/>
      <c r="AA716" s="498"/>
      <c r="AB716" s="485" t="str">
        <f t="shared" si="1606"/>
        <v/>
      </c>
      <c r="AC716" s="371"/>
      <c r="AD716" s="232" t="str">
        <f t="shared" si="1607"/>
        <v/>
      </c>
      <c r="AE716" s="232" t="str">
        <f t="shared" si="1608"/>
        <v/>
      </c>
      <c r="AF716" s="232" t="str">
        <f t="shared" si="1609"/>
        <v/>
      </c>
      <c r="AG716" s="232" t="str">
        <f t="shared" si="1642"/>
        <v/>
      </c>
      <c r="AH716" s="371"/>
      <c r="AI716" s="497"/>
      <c r="AJ716" s="498"/>
      <c r="AK716" s="485" t="str">
        <f t="shared" si="1610"/>
        <v/>
      </c>
      <c r="AL716" s="371"/>
      <c r="AM716" s="232" t="str">
        <f t="shared" si="1611"/>
        <v/>
      </c>
      <c r="AN716" s="232" t="str">
        <f t="shared" si="1612"/>
        <v/>
      </c>
      <c r="AO716" s="232" t="str">
        <f t="shared" si="1613"/>
        <v/>
      </c>
      <c r="AP716" s="232" t="str">
        <f t="shared" si="1643"/>
        <v/>
      </c>
      <c r="AQ716" s="371"/>
      <c r="AR716" s="497"/>
      <c r="AS716" s="498"/>
      <c r="AT716" s="485" t="str">
        <f t="shared" si="1614"/>
        <v/>
      </c>
      <c r="AU716" s="371"/>
      <c r="AV716" s="232" t="str">
        <f t="shared" si="1615"/>
        <v/>
      </c>
      <c r="AW716" s="232" t="str">
        <f t="shared" si="1616"/>
        <v/>
      </c>
      <c r="AX716" s="232" t="str">
        <f t="shared" si="1617"/>
        <v/>
      </c>
      <c r="AY716" s="232" t="str">
        <f t="shared" si="1644"/>
        <v/>
      </c>
      <c r="AZ716" s="371"/>
      <c r="BA716" s="497"/>
      <c r="BB716" s="498"/>
      <c r="BC716" s="485" t="str">
        <f t="shared" si="1618"/>
        <v/>
      </c>
      <c r="BD716" s="371"/>
      <c r="BE716" s="232" t="str">
        <f t="shared" si="1619"/>
        <v/>
      </c>
      <c r="BF716" s="232" t="str">
        <f t="shared" si="1620"/>
        <v/>
      </c>
      <c r="BG716" s="232" t="str">
        <f t="shared" si="1621"/>
        <v/>
      </c>
      <c r="BH716" s="232" t="str">
        <f t="shared" si="1645"/>
        <v/>
      </c>
      <c r="BI716" s="371"/>
      <c r="BJ716" s="497"/>
      <c r="BK716" s="498"/>
      <c r="BL716" s="485" t="str">
        <f t="shared" si="1622"/>
        <v/>
      </c>
      <c r="BM716" s="371"/>
      <c r="BN716" s="232" t="str">
        <f t="shared" si="1623"/>
        <v/>
      </c>
      <c r="BO716" s="232" t="str">
        <f t="shared" si="1624"/>
        <v/>
      </c>
      <c r="BP716" s="232" t="str">
        <f t="shared" si="1625"/>
        <v/>
      </c>
      <c r="BQ716" s="232" t="str">
        <f t="shared" si="1646"/>
        <v/>
      </c>
      <c r="BR716" s="371"/>
      <c r="BS716" s="497"/>
      <c r="BT716" s="498"/>
      <c r="BU716" s="485" t="str">
        <f t="shared" si="1626"/>
        <v/>
      </c>
      <c r="BV716" s="371"/>
      <c r="BW716" s="232" t="str">
        <f t="shared" si="1627"/>
        <v/>
      </c>
      <c r="BX716" s="232" t="str">
        <f t="shared" si="1628"/>
        <v/>
      </c>
      <c r="BY716" s="232" t="str">
        <f t="shared" si="1629"/>
        <v/>
      </c>
      <c r="BZ716" s="232" t="str">
        <f t="shared" si="1647"/>
        <v/>
      </c>
      <c r="CA716" s="371"/>
      <c r="CB716" s="504" t="str">
        <f t="shared" si="1630"/>
        <v/>
      </c>
      <c r="CC716" s="505" t="str">
        <f t="shared" si="1631"/>
        <v/>
      </c>
      <c r="CD716" s="506" t="str">
        <f t="shared" si="1632"/>
        <v/>
      </c>
      <c r="CE716" s="371"/>
      <c r="CF716" s="232" t="str">
        <f t="shared" si="1633"/>
        <v/>
      </c>
      <c r="CG716" s="232" t="str">
        <f t="shared" si="1634"/>
        <v/>
      </c>
      <c r="CH716" s="232" t="str">
        <f t="shared" si="1635"/>
        <v/>
      </c>
      <c r="CI716" s="232" t="str">
        <f t="shared" si="1648"/>
        <v/>
      </c>
      <c r="CJ716" s="232"/>
      <c r="CK716" s="497"/>
      <c r="CL716" s="498"/>
      <c r="CM716" s="485" t="str">
        <f t="shared" si="1636"/>
        <v/>
      </c>
      <c r="CN716" s="371"/>
      <c r="CO716" s="232" t="str">
        <f t="shared" si="1637"/>
        <v/>
      </c>
      <c r="CP716" s="232" t="str">
        <f t="shared" si="1638"/>
        <v/>
      </c>
      <c r="CQ716" s="232" t="str">
        <f t="shared" si="1639"/>
        <v/>
      </c>
      <c r="CR716" s="232" t="str">
        <f t="shared" si="1649"/>
        <v/>
      </c>
      <c r="CS716" s="232"/>
      <c r="CT716" s="371"/>
      <c r="CU716" s="296"/>
      <c r="CV716" s="246"/>
      <c r="CW716" s="264"/>
    </row>
    <row r="717" spans="1:101" ht="13.5" thickBot="1" x14ac:dyDescent="0.25">
      <c r="A717" s="264"/>
      <c r="B717" s="264"/>
      <c r="C717" s="202"/>
      <c r="D717" s="271">
        <v>6</v>
      </c>
      <c r="E717" s="168"/>
      <c r="F717" s="470"/>
      <c r="G717" s="476"/>
      <c r="H717" s="477"/>
      <c r="I717" s="392" t="str">
        <f t="shared" si="1600"/>
        <v/>
      </c>
      <c r="J717" s="393" t="str">
        <f t="shared" si="1601"/>
        <v/>
      </c>
      <c r="K717" s="394" t="str">
        <f t="shared" si="1602"/>
        <v/>
      </c>
      <c r="L717" s="299"/>
      <c r="M717" s="375"/>
      <c r="N717" s="379"/>
      <c r="O717" s="236"/>
      <c r="P717" s="236"/>
      <c r="Q717" s="489"/>
      <c r="R717" s="490"/>
      <c r="S717" s="491" t="str">
        <f t="shared" si="1640"/>
        <v/>
      </c>
      <c r="T717" s="371"/>
      <c r="U717" s="232" t="str">
        <f t="shared" si="1603"/>
        <v/>
      </c>
      <c r="V717" s="232" t="str">
        <f t="shared" si="1604"/>
        <v/>
      </c>
      <c r="W717" s="232" t="str">
        <f t="shared" si="1605"/>
        <v/>
      </c>
      <c r="X717" s="232" t="str">
        <f t="shared" si="1641"/>
        <v/>
      </c>
      <c r="Y717" s="371"/>
      <c r="Z717" s="499"/>
      <c r="AA717" s="500"/>
      <c r="AB717" s="491" t="str">
        <f t="shared" si="1606"/>
        <v/>
      </c>
      <c r="AC717" s="371"/>
      <c r="AD717" s="232" t="str">
        <f t="shared" si="1607"/>
        <v/>
      </c>
      <c r="AE717" s="232" t="str">
        <f t="shared" si="1608"/>
        <v/>
      </c>
      <c r="AF717" s="232" t="str">
        <f t="shared" si="1609"/>
        <v/>
      </c>
      <c r="AG717" s="232" t="str">
        <f t="shared" si="1642"/>
        <v/>
      </c>
      <c r="AH717" s="371"/>
      <c r="AI717" s="499"/>
      <c r="AJ717" s="500"/>
      <c r="AK717" s="491" t="str">
        <f t="shared" si="1610"/>
        <v/>
      </c>
      <c r="AL717" s="371"/>
      <c r="AM717" s="232" t="str">
        <f t="shared" si="1611"/>
        <v/>
      </c>
      <c r="AN717" s="232" t="str">
        <f t="shared" si="1612"/>
        <v/>
      </c>
      <c r="AO717" s="232" t="str">
        <f t="shared" si="1613"/>
        <v/>
      </c>
      <c r="AP717" s="232" t="str">
        <f t="shared" si="1643"/>
        <v/>
      </c>
      <c r="AQ717" s="371"/>
      <c r="AR717" s="499"/>
      <c r="AS717" s="500"/>
      <c r="AT717" s="491" t="str">
        <f t="shared" si="1614"/>
        <v/>
      </c>
      <c r="AU717" s="371"/>
      <c r="AV717" s="232" t="str">
        <f t="shared" si="1615"/>
        <v/>
      </c>
      <c r="AW717" s="232" t="str">
        <f t="shared" si="1616"/>
        <v/>
      </c>
      <c r="AX717" s="232" t="str">
        <f t="shared" si="1617"/>
        <v/>
      </c>
      <c r="AY717" s="232" t="str">
        <f t="shared" si="1644"/>
        <v/>
      </c>
      <c r="AZ717" s="371"/>
      <c r="BA717" s="499"/>
      <c r="BB717" s="500"/>
      <c r="BC717" s="491" t="str">
        <f t="shared" si="1618"/>
        <v/>
      </c>
      <c r="BD717" s="371"/>
      <c r="BE717" s="232" t="str">
        <f t="shared" si="1619"/>
        <v/>
      </c>
      <c r="BF717" s="232" t="str">
        <f t="shared" si="1620"/>
        <v/>
      </c>
      <c r="BG717" s="232" t="str">
        <f t="shared" si="1621"/>
        <v/>
      </c>
      <c r="BH717" s="232" t="str">
        <f t="shared" si="1645"/>
        <v/>
      </c>
      <c r="BI717" s="371"/>
      <c r="BJ717" s="499"/>
      <c r="BK717" s="500"/>
      <c r="BL717" s="491" t="str">
        <f t="shared" si="1622"/>
        <v/>
      </c>
      <c r="BM717" s="371"/>
      <c r="BN717" s="232" t="str">
        <f t="shared" si="1623"/>
        <v/>
      </c>
      <c r="BO717" s="232" t="str">
        <f t="shared" si="1624"/>
        <v/>
      </c>
      <c r="BP717" s="232" t="str">
        <f t="shared" si="1625"/>
        <v/>
      </c>
      <c r="BQ717" s="232" t="str">
        <f t="shared" si="1646"/>
        <v/>
      </c>
      <c r="BR717" s="371"/>
      <c r="BS717" s="499"/>
      <c r="BT717" s="500"/>
      <c r="BU717" s="491" t="str">
        <f t="shared" si="1626"/>
        <v/>
      </c>
      <c r="BV717" s="371"/>
      <c r="BW717" s="232" t="str">
        <f t="shared" si="1627"/>
        <v/>
      </c>
      <c r="BX717" s="232" t="str">
        <f t="shared" si="1628"/>
        <v/>
      </c>
      <c r="BY717" s="232" t="str">
        <f t="shared" si="1629"/>
        <v/>
      </c>
      <c r="BZ717" s="232" t="str">
        <f t="shared" si="1647"/>
        <v/>
      </c>
      <c r="CA717" s="371"/>
      <c r="CB717" s="507" t="str">
        <f t="shared" si="1630"/>
        <v/>
      </c>
      <c r="CC717" s="508" t="str">
        <f t="shared" si="1631"/>
        <v/>
      </c>
      <c r="CD717" s="509" t="str">
        <f t="shared" si="1632"/>
        <v/>
      </c>
      <c r="CE717" s="371"/>
      <c r="CF717" s="232" t="str">
        <f t="shared" si="1633"/>
        <v/>
      </c>
      <c r="CG717" s="232" t="str">
        <f t="shared" si="1634"/>
        <v/>
      </c>
      <c r="CH717" s="232" t="str">
        <f t="shared" si="1635"/>
        <v/>
      </c>
      <c r="CI717" s="232" t="str">
        <f t="shared" si="1648"/>
        <v/>
      </c>
      <c r="CJ717" s="232"/>
      <c r="CK717" s="499"/>
      <c r="CL717" s="500"/>
      <c r="CM717" s="491" t="str">
        <f t="shared" si="1636"/>
        <v/>
      </c>
      <c r="CN717" s="371"/>
      <c r="CO717" s="232" t="str">
        <f t="shared" si="1637"/>
        <v/>
      </c>
      <c r="CP717" s="232" t="str">
        <f t="shared" si="1638"/>
        <v/>
      </c>
      <c r="CQ717" s="232" t="str">
        <f t="shared" si="1639"/>
        <v/>
      </c>
      <c r="CR717" s="232" t="str">
        <f t="shared" si="1649"/>
        <v/>
      </c>
      <c r="CS717" s="232"/>
      <c r="CT717" s="371"/>
      <c r="CU717" s="296"/>
      <c r="CV717" s="246"/>
      <c r="CW717" s="264"/>
    </row>
    <row r="718" spans="1:101" x14ac:dyDescent="0.2">
      <c r="A718" s="264"/>
      <c r="B718" s="264"/>
      <c r="C718" s="202"/>
      <c r="D718" s="271">
        <v>7</v>
      </c>
      <c r="E718" s="166"/>
      <c r="F718" s="468"/>
      <c r="G718" s="472"/>
      <c r="H718" s="473"/>
      <c r="I718" s="170" t="str">
        <f t="shared" si="1600"/>
        <v/>
      </c>
      <c r="J718" s="387" t="str">
        <f t="shared" si="1601"/>
        <v/>
      </c>
      <c r="K718" s="388" t="str">
        <f t="shared" si="1602"/>
        <v/>
      </c>
      <c r="L718" s="299"/>
      <c r="M718" s="375"/>
      <c r="N718" s="379"/>
      <c r="O718" s="236"/>
      <c r="P718" s="236"/>
      <c r="Q718" s="480"/>
      <c r="R718" s="481"/>
      <c r="S718" s="482" t="str">
        <f t="shared" si="1640"/>
        <v/>
      </c>
      <c r="T718" s="371"/>
      <c r="U718" s="232" t="str">
        <f t="shared" si="1603"/>
        <v/>
      </c>
      <c r="V718" s="232" t="str">
        <f t="shared" si="1604"/>
        <v/>
      </c>
      <c r="W718" s="232" t="str">
        <f t="shared" si="1605"/>
        <v/>
      </c>
      <c r="X718" s="232" t="str">
        <f t="shared" si="1641"/>
        <v/>
      </c>
      <c r="Y718" s="371"/>
      <c r="Z718" s="495"/>
      <c r="AA718" s="496"/>
      <c r="AB718" s="482" t="str">
        <f t="shared" si="1606"/>
        <v/>
      </c>
      <c r="AC718" s="371"/>
      <c r="AD718" s="232" t="str">
        <f t="shared" si="1607"/>
        <v/>
      </c>
      <c r="AE718" s="232" t="str">
        <f t="shared" si="1608"/>
        <v/>
      </c>
      <c r="AF718" s="232" t="str">
        <f t="shared" si="1609"/>
        <v/>
      </c>
      <c r="AG718" s="232" t="str">
        <f t="shared" si="1642"/>
        <v/>
      </c>
      <c r="AH718" s="371"/>
      <c r="AI718" s="495"/>
      <c r="AJ718" s="496"/>
      <c r="AK718" s="482" t="str">
        <f t="shared" si="1610"/>
        <v/>
      </c>
      <c r="AL718" s="371"/>
      <c r="AM718" s="232" t="str">
        <f t="shared" si="1611"/>
        <v/>
      </c>
      <c r="AN718" s="232" t="str">
        <f t="shared" si="1612"/>
        <v/>
      </c>
      <c r="AO718" s="232" t="str">
        <f t="shared" si="1613"/>
        <v/>
      </c>
      <c r="AP718" s="232" t="str">
        <f t="shared" si="1643"/>
        <v/>
      </c>
      <c r="AQ718" s="371"/>
      <c r="AR718" s="495"/>
      <c r="AS718" s="496"/>
      <c r="AT718" s="482" t="str">
        <f t="shared" si="1614"/>
        <v/>
      </c>
      <c r="AU718" s="371"/>
      <c r="AV718" s="232" t="str">
        <f t="shared" si="1615"/>
        <v/>
      </c>
      <c r="AW718" s="232" t="str">
        <f t="shared" si="1616"/>
        <v/>
      </c>
      <c r="AX718" s="232" t="str">
        <f t="shared" si="1617"/>
        <v/>
      </c>
      <c r="AY718" s="232" t="str">
        <f t="shared" si="1644"/>
        <v/>
      </c>
      <c r="AZ718" s="371"/>
      <c r="BA718" s="495"/>
      <c r="BB718" s="496"/>
      <c r="BC718" s="482" t="str">
        <f t="shared" si="1618"/>
        <v/>
      </c>
      <c r="BD718" s="371"/>
      <c r="BE718" s="232" t="str">
        <f t="shared" si="1619"/>
        <v/>
      </c>
      <c r="BF718" s="232" t="str">
        <f t="shared" si="1620"/>
        <v/>
      </c>
      <c r="BG718" s="232" t="str">
        <f t="shared" si="1621"/>
        <v/>
      </c>
      <c r="BH718" s="232" t="str">
        <f t="shared" si="1645"/>
        <v/>
      </c>
      <c r="BI718" s="371"/>
      <c r="BJ718" s="495"/>
      <c r="BK718" s="496"/>
      <c r="BL718" s="482" t="str">
        <f t="shared" si="1622"/>
        <v/>
      </c>
      <c r="BM718" s="371"/>
      <c r="BN718" s="232" t="str">
        <f t="shared" si="1623"/>
        <v/>
      </c>
      <c r="BO718" s="232" t="str">
        <f t="shared" si="1624"/>
        <v/>
      </c>
      <c r="BP718" s="232" t="str">
        <f t="shared" si="1625"/>
        <v/>
      </c>
      <c r="BQ718" s="232" t="str">
        <f t="shared" si="1646"/>
        <v/>
      </c>
      <c r="BR718" s="371"/>
      <c r="BS718" s="495"/>
      <c r="BT718" s="496"/>
      <c r="BU718" s="482" t="str">
        <f t="shared" si="1626"/>
        <v/>
      </c>
      <c r="BV718" s="371"/>
      <c r="BW718" s="232" t="str">
        <f t="shared" si="1627"/>
        <v/>
      </c>
      <c r="BX718" s="232" t="str">
        <f t="shared" si="1628"/>
        <v/>
      </c>
      <c r="BY718" s="232" t="str">
        <f t="shared" si="1629"/>
        <v/>
      </c>
      <c r="BZ718" s="232" t="str">
        <f t="shared" si="1647"/>
        <v/>
      </c>
      <c r="CA718" s="371"/>
      <c r="CB718" s="501" t="str">
        <f t="shared" si="1630"/>
        <v/>
      </c>
      <c r="CC718" s="502" t="str">
        <f t="shared" si="1631"/>
        <v/>
      </c>
      <c r="CD718" s="503" t="str">
        <f t="shared" si="1632"/>
        <v/>
      </c>
      <c r="CE718" s="371"/>
      <c r="CF718" s="232" t="str">
        <f t="shared" si="1633"/>
        <v/>
      </c>
      <c r="CG718" s="232" t="str">
        <f t="shared" si="1634"/>
        <v/>
      </c>
      <c r="CH718" s="232" t="str">
        <f t="shared" si="1635"/>
        <v/>
      </c>
      <c r="CI718" s="232" t="str">
        <f t="shared" si="1648"/>
        <v/>
      </c>
      <c r="CJ718" s="232"/>
      <c r="CK718" s="495"/>
      <c r="CL718" s="496"/>
      <c r="CM718" s="482" t="str">
        <f t="shared" si="1636"/>
        <v/>
      </c>
      <c r="CN718" s="371"/>
      <c r="CO718" s="232" t="str">
        <f t="shared" si="1637"/>
        <v/>
      </c>
      <c r="CP718" s="232" t="str">
        <f t="shared" si="1638"/>
        <v/>
      </c>
      <c r="CQ718" s="232" t="str">
        <f t="shared" si="1639"/>
        <v/>
      </c>
      <c r="CR718" s="232" t="str">
        <f t="shared" si="1649"/>
        <v/>
      </c>
      <c r="CS718" s="232"/>
      <c r="CT718" s="371"/>
      <c r="CU718" s="300"/>
      <c r="CV718" s="246"/>
      <c r="CW718" s="264"/>
    </row>
    <row r="719" spans="1:101" x14ac:dyDescent="0.2">
      <c r="A719" s="264"/>
      <c r="B719" s="264"/>
      <c r="C719" s="202"/>
      <c r="D719" s="271">
        <v>8</v>
      </c>
      <c r="E719" s="167"/>
      <c r="F719" s="469"/>
      <c r="G719" s="474"/>
      <c r="H719" s="475"/>
      <c r="I719" s="389" t="str">
        <f t="shared" si="1600"/>
        <v/>
      </c>
      <c r="J719" s="390" t="str">
        <f t="shared" si="1601"/>
        <v/>
      </c>
      <c r="K719" s="391" t="str">
        <f t="shared" si="1602"/>
        <v/>
      </c>
      <c r="L719" s="299"/>
      <c r="M719" s="375"/>
      <c r="N719" s="379"/>
      <c r="O719" s="236"/>
      <c r="P719" s="236"/>
      <c r="Q719" s="483"/>
      <c r="R719" s="484"/>
      <c r="S719" s="485" t="str">
        <f t="shared" si="1640"/>
        <v/>
      </c>
      <c r="T719" s="371"/>
      <c r="U719" s="232" t="str">
        <f t="shared" si="1603"/>
        <v/>
      </c>
      <c r="V719" s="232" t="str">
        <f t="shared" si="1604"/>
        <v/>
      </c>
      <c r="W719" s="232" t="str">
        <f t="shared" si="1605"/>
        <v/>
      </c>
      <c r="X719" s="232" t="str">
        <f t="shared" si="1641"/>
        <v/>
      </c>
      <c r="Y719" s="371"/>
      <c r="Z719" s="497"/>
      <c r="AA719" s="498"/>
      <c r="AB719" s="485" t="str">
        <f t="shared" si="1606"/>
        <v/>
      </c>
      <c r="AC719" s="371"/>
      <c r="AD719" s="232" t="str">
        <f t="shared" si="1607"/>
        <v/>
      </c>
      <c r="AE719" s="232" t="str">
        <f t="shared" si="1608"/>
        <v/>
      </c>
      <c r="AF719" s="232" t="str">
        <f t="shared" si="1609"/>
        <v/>
      </c>
      <c r="AG719" s="232" t="str">
        <f t="shared" si="1642"/>
        <v/>
      </c>
      <c r="AH719" s="371"/>
      <c r="AI719" s="497"/>
      <c r="AJ719" s="498"/>
      <c r="AK719" s="485" t="str">
        <f t="shared" si="1610"/>
        <v/>
      </c>
      <c r="AL719" s="371"/>
      <c r="AM719" s="232" t="str">
        <f t="shared" si="1611"/>
        <v/>
      </c>
      <c r="AN719" s="232" t="str">
        <f t="shared" si="1612"/>
        <v/>
      </c>
      <c r="AO719" s="232" t="str">
        <f t="shared" si="1613"/>
        <v/>
      </c>
      <c r="AP719" s="232" t="str">
        <f t="shared" si="1643"/>
        <v/>
      </c>
      <c r="AQ719" s="371"/>
      <c r="AR719" s="497"/>
      <c r="AS719" s="498"/>
      <c r="AT719" s="485" t="str">
        <f t="shared" si="1614"/>
        <v/>
      </c>
      <c r="AU719" s="371"/>
      <c r="AV719" s="232" t="str">
        <f t="shared" si="1615"/>
        <v/>
      </c>
      <c r="AW719" s="232" t="str">
        <f t="shared" si="1616"/>
        <v/>
      </c>
      <c r="AX719" s="232" t="str">
        <f t="shared" si="1617"/>
        <v/>
      </c>
      <c r="AY719" s="232" t="str">
        <f t="shared" si="1644"/>
        <v/>
      </c>
      <c r="AZ719" s="371"/>
      <c r="BA719" s="497"/>
      <c r="BB719" s="498"/>
      <c r="BC719" s="485" t="str">
        <f t="shared" si="1618"/>
        <v/>
      </c>
      <c r="BD719" s="371"/>
      <c r="BE719" s="232" t="str">
        <f t="shared" si="1619"/>
        <v/>
      </c>
      <c r="BF719" s="232" t="str">
        <f t="shared" si="1620"/>
        <v/>
      </c>
      <c r="BG719" s="232" t="str">
        <f t="shared" si="1621"/>
        <v/>
      </c>
      <c r="BH719" s="232" t="str">
        <f t="shared" si="1645"/>
        <v/>
      </c>
      <c r="BI719" s="371"/>
      <c r="BJ719" s="497"/>
      <c r="BK719" s="498"/>
      <c r="BL719" s="485" t="str">
        <f t="shared" si="1622"/>
        <v/>
      </c>
      <c r="BM719" s="371"/>
      <c r="BN719" s="232" t="str">
        <f t="shared" si="1623"/>
        <v/>
      </c>
      <c r="BO719" s="232" t="str">
        <f t="shared" si="1624"/>
        <v/>
      </c>
      <c r="BP719" s="232" t="str">
        <f t="shared" si="1625"/>
        <v/>
      </c>
      <c r="BQ719" s="232" t="str">
        <f t="shared" si="1646"/>
        <v/>
      </c>
      <c r="BR719" s="371"/>
      <c r="BS719" s="497"/>
      <c r="BT719" s="498"/>
      <c r="BU719" s="485" t="str">
        <f t="shared" si="1626"/>
        <v/>
      </c>
      <c r="BV719" s="371"/>
      <c r="BW719" s="232" t="str">
        <f t="shared" si="1627"/>
        <v/>
      </c>
      <c r="BX719" s="232" t="str">
        <f t="shared" si="1628"/>
        <v/>
      </c>
      <c r="BY719" s="232" t="str">
        <f t="shared" si="1629"/>
        <v/>
      </c>
      <c r="BZ719" s="232" t="str">
        <f t="shared" si="1647"/>
        <v/>
      </c>
      <c r="CA719" s="371"/>
      <c r="CB719" s="504" t="str">
        <f t="shared" si="1630"/>
        <v/>
      </c>
      <c r="CC719" s="505" t="str">
        <f t="shared" si="1631"/>
        <v/>
      </c>
      <c r="CD719" s="506" t="str">
        <f t="shared" si="1632"/>
        <v/>
      </c>
      <c r="CE719" s="371"/>
      <c r="CF719" s="232" t="str">
        <f t="shared" si="1633"/>
        <v/>
      </c>
      <c r="CG719" s="232" t="str">
        <f t="shared" si="1634"/>
        <v/>
      </c>
      <c r="CH719" s="232" t="str">
        <f t="shared" si="1635"/>
        <v/>
      </c>
      <c r="CI719" s="232" t="str">
        <f t="shared" si="1648"/>
        <v/>
      </c>
      <c r="CJ719" s="232"/>
      <c r="CK719" s="497"/>
      <c r="CL719" s="498"/>
      <c r="CM719" s="485" t="str">
        <f t="shared" si="1636"/>
        <v/>
      </c>
      <c r="CN719" s="371"/>
      <c r="CO719" s="232" t="str">
        <f t="shared" si="1637"/>
        <v/>
      </c>
      <c r="CP719" s="232" t="str">
        <f t="shared" si="1638"/>
        <v/>
      </c>
      <c r="CQ719" s="232" t="str">
        <f t="shared" si="1639"/>
        <v/>
      </c>
      <c r="CR719" s="232" t="str">
        <f t="shared" si="1649"/>
        <v/>
      </c>
      <c r="CS719" s="232"/>
      <c r="CT719" s="371"/>
      <c r="CU719" s="300"/>
      <c r="CV719" s="246"/>
      <c r="CW719" s="264"/>
    </row>
    <row r="720" spans="1:101" ht="13.5" thickBot="1" x14ac:dyDescent="0.25">
      <c r="A720" s="264"/>
      <c r="B720" s="264"/>
      <c r="C720" s="202"/>
      <c r="D720" s="271">
        <v>9</v>
      </c>
      <c r="E720" s="168"/>
      <c r="F720" s="470"/>
      <c r="G720" s="476"/>
      <c r="H720" s="477"/>
      <c r="I720" s="392" t="str">
        <f t="shared" si="1600"/>
        <v/>
      </c>
      <c r="J720" s="393" t="str">
        <f t="shared" si="1601"/>
        <v/>
      </c>
      <c r="K720" s="394" t="str">
        <f t="shared" si="1602"/>
        <v/>
      </c>
      <c r="L720" s="299"/>
      <c r="M720" s="375"/>
      <c r="N720" s="379"/>
      <c r="O720" s="236"/>
      <c r="P720" s="236"/>
      <c r="Q720" s="489"/>
      <c r="R720" s="490"/>
      <c r="S720" s="491" t="str">
        <f t="shared" si="1640"/>
        <v/>
      </c>
      <c r="T720" s="371"/>
      <c r="U720" s="232" t="str">
        <f t="shared" si="1603"/>
        <v/>
      </c>
      <c r="V720" s="232" t="str">
        <f t="shared" si="1604"/>
        <v/>
      </c>
      <c r="W720" s="232" t="str">
        <f t="shared" si="1605"/>
        <v/>
      </c>
      <c r="X720" s="232" t="str">
        <f t="shared" si="1641"/>
        <v/>
      </c>
      <c r="Y720" s="371"/>
      <c r="Z720" s="499"/>
      <c r="AA720" s="500"/>
      <c r="AB720" s="491" t="str">
        <f t="shared" si="1606"/>
        <v/>
      </c>
      <c r="AC720" s="371"/>
      <c r="AD720" s="232" t="str">
        <f t="shared" si="1607"/>
        <v/>
      </c>
      <c r="AE720" s="232" t="str">
        <f t="shared" si="1608"/>
        <v/>
      </c>
      <c r="AF720" s="232" t="str">
        <f t="shared" si="1609"/>
        <v/>
      </c>
      <c r="AG720" s="232" t="str">
        <f t="shared" si="1642"/>
        <v/>
      </c>
      <c r="AH720" s="371"/>
      <c r="AI720" s="499"/>
      <c r="AJ720" s="500"/>
      <c r="AK720" s="491" t="str">
        <f t="shared" si="1610"/>
        <v/>
      </c>
      <c r="AL720" s="371"/>
      <c r="AM720" s="232" t="str">
        <f t="shared" si="1611"/>
        <v/>
      </c>
      <c r="AN720" s="232" t="str">
        <f t="shared" si="1612"/>
        <v/>
      </c>
      <c r="AO720" s="232" t="str">
        <f t="shared" si="1613"/>
        <v/>
      </c>
      <c r="AP720" s="232" t="str">
        <f t="shared" si="1643"/>
        <v/>
      </c>
      <c r="AQ720" s="371"/>
      <c r="AR720" s="499"/>
      <c r="AS720" s="500"/>
      <c r="AT720" s="491" t="str">
        <f t="shared" si="1614"/>
        <v/>
      </c>
      <c r="AU720" s="371"/>
      <c r="AV720" s="232" t="str">
        <f t="shared" si="1615"/>
        <v/>
      </c>
      <c r="AW720" s="232" t="str">
        <f t="shared" si="1616"/>
        <v/>
      </c>
      <c r="AX720" s="232" t="str">
        <f t="shared" si="1617"/>
        <v/>
      </c>
      <c r="AY720" s="232" t="str">
        <f t="shared" si="1644"/>
        <v/>
      </c>
      <c r="AZ720" s="371"/>
      <c r="BA720" s="499"/>
      <c r="BB720" s="500"/>
      <c r="BC720" s="491" t="str">
        <f t="shared" si="1618"/>
        <v/>
      </c>
      <c r="BD720" s="371"/>
      <c r="BE720" s="232" t="str">
        <f t="shared" si="1619"/>
        <v/>
      </c>
      <c r="BF720" s="232" t="str">
        <f t="shared" si="1620"/>
        <v/>
      </c>
      <c r="BG720" s="232" t="str">
        <f t="shared" si="1621"/>
        <v/>
      </c>
      <c r="BH720" s="232" t="str">
        <f t="shared" si="1645"/>
        <v/>
      </c>
      <c r="BI720" s="371"/>
      <c r="BJ720" s="499"/>
      <c r="BK720" s="500"/>
      <c r="BL720" s="491" t="str">
        <f t="shared" si="1622"/>
        <v/>
      </c>
      <c r="BM720" s="371"/>
      <c r="BN720" s="232" t="str">
        <f t="shared" si="1623"/>
        <v/>
      </c>
      <c r="BO720" s="232" t="str">
        <f t="shared" si="1624"/>
        <v/>
      </c>
      <c r="BP720" s="232" t="str">
        <f t="shared" si="1625"/>
        <v/>
      </c>
      <c r="BQ720" s="232" t="str">
        <f t="shared" si="1646"/>
        <v/>
      </c>
      <c r="BR720" s="371"/>
      <c r="BS720" s="499"/>
      <c r="BT720" s="500"/>
      <c r="BU720" s="491" t="str">
        <f t="shared" si="1626"/>
        <v/>
      </c>
      <c r="BV720" s="371"/>
      <c r="BW720" s="232" t="str">
        <f t="shared" si="1627"/>
        <v/>
      </c>
      <c r="BX720" s="232" t="str">
        <f t="shared" si="1628"/>
        <v/>
      </c>
      <c r="BY720" s="232" t="str">
        <f t="shared" si="1629"/>
        <v/>
      </c>
      <c r="BZ720" s="232" t="str">
        <f t="shared" si="1647"/>
        <v/>
      </c>
      <c r="CA720" s="371"/>
      <c r="CB720" s="507" t="str">
        <f t="shared" si="1630"/>
        <v/>
      </c>
      <c r="CC720" s="508" t="str">
        <f t="shared" si="1631"/>
        <v/>
      </c>
      <c r="CD720" s="509" t="str">
        <f t="shared" si="1632"/>
        <v/>
      </c>
      <c r="CE720" s="371"/>
      <c r="CF720" s="232" t="str">
        <f t="shared" si="1633"/>
        <v/>
      </c>
      <c r="CG720" s="232" t="str">
        <f t="shared" si="1634"/>
        <v/>
      </c>
      <c r="CH720" s="232" t="str">
        <f t="shared" si="1635"/>
        <v/>
      </c>
      <c r="CI720" s="232" t="str">
        <f t="shared" si="1648"/>
        <v/>
      </c>
      <c r="CJ720" s="232"/>
      <c r="CK720" s="499"/>
      <c r="CL720" s="500"/>
      <c r="CM720" s="491" t="str">
        <f t="shared" si="1636"/>
        <v/>
      </c>
      <c r="CN720" s="371"/>
      <c r="CO720" s="232" t="str">
        <f t="shared" si="1637"/>
        <v/>
      </c>
      <c r="CP720" s="232" t="str">
        <f t="shared" si="1638"/>
        <v/>
      </c>
      <c r="CQ720" s="232" t="str">
        <f t="shared" si="1639"/>
        <v/>
      </c>
      <c r="CR720" s="232" t="str">
        <f t="shared" si="1649"/>
        <v/>
      </c>
      <c r="CS720" s="232"/>
      <c r="CT720" s="371"/>
      <c r="CU720" s="300"/>
      <c r="CV720" s="246"/>
      <c r="CW720" s="264"/>
    </row>
    <row r="721" spans="1:101" x14ac:dyDescent="0.2">
      <c r="A721" s="264"/>
      <c r="B721" s="264"/>
      <c r="C721" s="202"/>
      <c r="D721" s="271">
        <v>10</v>
      </c>
      <c r="E721" s="169"/>
      <c r="F721" s="471"/>
      <c r="G721" s="478"/>
      <c r="H721" s="479"/>
      <c r="I721" s="170" t="str">
        <f t="shared" si="1600"/>
        <v/>
      </c>
      <c r="J721" s="387" t="str">
        <f t="shared" si="1601"/>
        <v/>
      </c>
      <c r="K721" s="388" t="str">
        <f t="shared" si="1602"/>
        <v/>
      </c>
      <c r="L721" s="299"/>
      <c r="M721" s="375"/>
      <c r="N721" s="379"/>
      <c r="O721" s="236"/>
      <c r="P721" s="236"/>
      <c r="Q721" s="492"/>
      <c r="R721" s="493"/>
      <c r="S721" s="494" t="str">
        <f t="shared" si="1640"/>
        <v/>
      </c>
      <c r="T721" s="371"/>
      <c r="U721" s="232" t="str">
        <f t="shared" si="1603"/>
        <v/>
      </c>
      <c r="V721" s="232" t="str">
        <f t="shared" si="1604"/>
        <v/>
      </c>
      <c r="W721" s="232" t="str">
        <f t="shared" si="1605"/>
        <v/>
      </c>
      <c r="X721" s="232" t="str">
        <f t="shared" si="1641"/>
        <v/>
      </c>
      <c r="Y721" s="371"/>
      <c r="Z721" s="495"/>
      <c r="AA721" s="496"/>
      <c r="AB721" s="494" t="str">
        <f t="shared" si="1606"/>
        <v/>
      </c>
      <c r="AC721" s="371"/>
      <c r="AD721" s="232" t="str">
        <f t="shared" si="1607"/>
        <v/>
      </c>
      <c r="AE721" s="232" t="str">
        <f t="shared" si="1608"/>
        <v/>
      </c>
      <c r="AF721" s="232" t="str">
        <f t="shared" si="1609"/>
        <v/>
      </c>
      <c r="AG721" s="232" t="str">
        <f t="shared" si="1642"/>
        <v/>
      </c>
      <c r="AH721" s="371"/>
      <c r="AI721" s="495"/>
      <c r="AJ721" s="496"/>
      <c r="AK721" s="494" t="str">
        <f t="shared" si="1610"/>
        <v/>
      </c>
      <c r="AL721" s="371"/>
      <c r="AM721" s="232" t="str">
        <f t="shared" si="1611"/>
        <v/>
      </c>
      <c r="AN721" s="232" t="str">
        <f t="shared" si="1612"/>
        <v/>
      </c>
      <c r="AO721" s="232" t="str">
        <f t="shared" si="1613"/>
        <v/>
      </c>
      <c r="AP721" s="232" t="str">
        <f t="shared" si="1643"/>
        <v/>
      </c>
      <c r="AQ721" s="371"/>
      <c r="AR721" s="495"/>
      <c r="AS721" s="496"/>
      <c r="AT721" s="494" t="str">
        <f t="shared" si="1614"/>
        <v/>
      </c>
      <c r="AU721" s="371"/>
      <c r="AV721" s="232" t="str">
        <f t="shared" si="1615"/>
        <v/>
      </c>
      <c r="AW721" s="232" t="str">
        <f t="shared" si="1616"/>
        <v/>
      </c>
      <c r="AX721" s="232" t="str">
        <f t="shared" si="1617"/>
        <v/>
      </c>
      <c r="AY721" s="232" t="str">
        <f t="shared" si="1644"/>
        <v/>
      </c>
      <c r="AZ721" s="371"/>
      <c r="BA721" s="495"/>
      <c r="BB721" s="496"/>
      <c r="BC721" s="494" t="str">
        <f t="shared" si="1618"/>
        <v/>
      </c>
      <c r="BD721" s="371"/>
      <c r="BE721" s="232" t="str">
        <f t="shared" si="1619"/>
        <v/>
      </c>
      <c r="BF721" s="232" t="str">
        <f t="shared" si="1620"/>
        <v/>
      </c>
      <c r="BG721" s="232" t="str">
        <f t="shared" si="1621"/>
        <v/>
      </c>
      <c r="BH721" s="232" t="str">
        <f t="shared" si="1645"/>
        <v/>
      </c>
      <c r="BI721" s="371"/>
      <c r="BJ721" s="495"/>
      <c r="BK721" s="496"/>
      <c r="BL721" s="494" t="str">
        <f t="shared" si="1622"/>
        <v/>
      </c>
      <c r="BM721" s="371"/>
      <c r="BN721" s="232" t="str">
        <f t="shared" si="1623"/>
        <v/>
      </c>
      <c r="BO721" s="232" t="str">
        <f t="shared" si="1624"/>
        <v/>
      </c>
      <c r="BP721" s="232" t="str">
        <f t="shared" si="1625"/>
        <v/>
      </c>
      <c r="BQ721" s="232" t="str">
        <f t="shared" si="1646"/>
        <v/>
      </c>
      <c r="BR721" s="371"/>
      <c r="BS721" s="495"/>
      <c r="BT721" s="496"/>
      <c r="BU721" s="494" t="str">
        <f t="shared" si="1626"/>
        <v/>
      </c>
      <c r="BV721" s="371"/>
      <c r="BW721" s="232" t="str">
        <f t="shared" si="1627"/>
        <v/>
      </c>
      <c r="BX721" s="232" t="str">
        <f t="shared" si="1628"/>
        <v/>
      </c>
      <c r="BY721" s="232" t="str">
        <f t="shared" si="1629"/>
        <v/>
      </c>
      <c r="BZ721" s="232" t="str">
        <f t="shared" si="1647"/>
        <v/>
      </c>
      <c r="CA721" s="371"/>
      <c r="CB721" s="501" t="str">
        <f t="shared" si="1630"/>
        <v/>
      </c>
      <c r="CC721" s="502" t="str">
        <f t="shared" si="1631"/>
        <v/>
      </c>
      <c r="CD721" s="503" t="str">
        <f t="shared" si="1632"/>
        <v/>
      </c>
      <c r="CE721" s="371"/>
      <c r="CF721" s="232" t="str">
        <f t="shared" si="1633"/>
        <v/>
      </c>
      <c r="CG721" s="232" t="str">
        <f t="shared" si="1634"/>
        <v/>
      </c>
      <c r="CH721" s="232" t="str">
        <f t="shared" si="1635"/>
        <v/>
      </c>
      <c r="CI721" s="232" t="str">
        <f t="shared" si="1648"/>
        <v/>
      </c>
      <c r="CJ721" s="232"/>
      <c r="CK721" s="495"/>
      <c r="CL721" s="496"/>
      <c r="CM721" s="494" t="str">
        <f t="shared" si="1636"/>
        <v/>
      </c>
      <c r="CN721" s="371"/>
      <c r="CO721" s="232" t="str">
        <f t="shared" si="1637"/>
        <v/>
      </c>
      <c r="CP721" s="232" t="str">
        <f t="shared" si="1638"/>
        <v/>
      </c>
      <c r="CQ721" s="232" t="str">
        <f t="shared" si="1639"/>
        <v/>
      </c>
      <c r="CR721" s="232" t="str">
        <f t="shared" si="1649"/>
        <v/>
      </c>
      <c r="CS721" s="232"/>
      <c r="CT721" s="371"/>
      <c r="CU721" s="300"/>
      <c r="CV721" s="246"/>
      <c r="CW721" s="264"/>
    </row>
    <row r="722" spans="1:101" x14ac:dyDescent="0.2">
      <c r="A722" s="264"/>
      <c r="B722" s="264"/>
      <c r="C722" s="202"/>
      <c r="D722" s="271">
        <v>11</v>
      </c>
      <c r="E722" s="167"/>
      <c r="F722" s="469"/>
      <c r="G722" s="474"/>
      <c r="H722" s="475"/>
      <c r="I722" s="389" t="str">
        <f t="shared" si="1600"/>
        <v/>
      </c>
      <c r="J722" s="390" t="str">
        <f t="shared" si="1601"/>
        <v/>
      </c>
      <c r="K722" s="391" t="str">
        <f t="shared" si="1602"/>
        <v/>
      </c>
      <c r="L722" s="299"/>
      <c r="M722" s="375"/>
      <c r="N722" s="379"/>
      <c r="O722" s="236"/>
      <c r="P722" s="236"/>
      <c r="Q722" s="483"/>
      <c r="R722" s="484"/>
      <c r="S722" s="485" t="str">
        <f t="shared" si="1640"/>
        <v/>
      </c>
      <c r="T722" s="371"/>
      <c r="U722" s="232" t="str">
        <f t="shared" si="1603"/>
        <v/>
      </c>
      <c r="V722" s="232" t="str">
        <f t="shared" si="1604"/>
        <v/>
      </c>
      <c r="W722" s="232" t="str">
        <f t="shared" si="1605"/>
        <v/>
      </c>
      <c r="X722" s="232" t="str">
        <f t="shared" si="1641"/>
        <v/>
      </c>
      <c r="Y722" s="371"/>
      <c r="Z722" s="497"/>
      <c r="AA722" s="498"/>
      <c r="AB722" s="485" t="str">
        <f t="shared" si="1606"/>
        <v/>
      </c>
      <c r="AC722" s="371"/>
      <c r="AD722" s="232" t="str">
        <f t="shared" si="1607"/>
        <v/>
      </c>
      <c r="AE722" s="232" t="str">
        <f t="shared" si="1608"/>
        <v/>
      </c>
      <c r="AF722" s="232" t="str">
        <f t="shared" si="1609"/>
        <v/>
      </c>
      <c r="AG722" s="232" t="str">
        <f t="shared" si="1642"/>
        <v/>
      </c>
      <c r="AH722" s="371"/>
      <c r="AI722" s="497"/>
      <c r="AJ722" s="498"/>
      <c r="AK722" s="485" t="str">
        <f t="shared" si="1610"/>
        <v/>
      </c>
      <c r="AL722" s="371"/>
      <c r="AM722" s="232" t="str">
        <f t="shared" si="1611"/>
        <v/>
      </c>
      <c r="AN722" s="232" t="str">
        <f t="shared" si="1612"/>
        <v/>
      </c>
      <c r="AO722" s="232" t="str">
        <f t="shared" si="1613"/>
        <v/>
      </c>
      <c r="AP722" s="232" t="str">
        <f t="shared" si="1643"/>
        <v/>
      </c>
      <c r="AQ722" s="371"/>
      <c r="AR722" s="497"/>
      <c r="AS722" s="498"/>
      <c r="AT722" s="485" t="str">
        <f t="shared" si="1614"/>
        <v/>
      </c>
      <c r="AU722" s="371"/>
      <c r="AV722" s="232" t="str">
        <f t="shared" si="1615"/>
        <v/>
      </c>
      <c r="AW722" s="232" t="str">
        <f t="shared" si="1616"/>
        <v/>
      </c>
      <c r="AX722" s="232" t="str">
        <f t="shared" si="1617"/>
        <v/>
      </c>
      <c r="AY722" s="232" t="str">
        <f t="shared" si="1644"/>
        <v/>
      </c>
      <c r="AZ722" s="371"/>
      <c r="BA722" s="497"/>
      <c r="BB722" s="498"/>
      <c r="BC722" s="485" t="str">
        <f t="shared" si="1618"/>
        <v/>
      </c>
      <c r="BD722" s="371"/>
      <c r="BE722" s="232" t="str">
        <f t="shared" si="1619"/>
        <v/>
      </c>
      <c r="BF722" s="232" t="str">
        <f t="shared" si="1620"/>
        <v/>
      </c>
      <c r="BG722" s="232" t="str">
        <f t="shared" si="1621"/>
        <v/>
      </c>
      <c r="BH722" s="232" t="str">
        <f t="shared" si="1645"/>
        <v/>
      </c>
      <c r="BI722" s="371"/>
      <c r="BJ722" s="497"/>
      <c r="BK722" s="498"/>
      <c r="BL722" s="485" t="str">
        <f t="shared" si="1622"/>
        <v/>
      </c>
      <c r="BM722" s="371"/>
      <c r="BN722" s="232" t="str">
        <f t="shared" si="1623"/>
        <v/>
      </c>
      <c r="BO722" s="232" t="str">
        <f t="shared" si="1624"/>
        <v/>
      </c>
      <c r="BP722" s="232" t="str">
        <f t="shared" si="1625"/>
        <v/>
      </c>
      <c r="BQ722" s="232" t="str">
        <f t="shared" si="1646"/>
        <v/>
      </c>
      <c r="BR722" s="371"/>
      <c r="BS722" s="497"/>
      <c r="BT722" s="498"/>
      <c r="BU722" s="485" t="str">
        <f t="shared" si="1626"/>
        <v/>
      </c>
      <c r="BV722" s="371"/>
      <c r="BW722" s="232" t="str">
        <f t="shared" si="1627"/>
        <v/>
      </c>
      <c r="BX722" s="232" t="str">
        <f t="shared" si="1628"/>
        <v/>
      </c>
      <c r="BY722" s="232" t="str">
        <f t="shared" si="1629"/>
        <v/>
      </c>
      <c r="BZ722" s="232" t="str">
        <f t="shared" si="1647"/>
        <v/>
      </c>
      <c r="CA722" s="371"/>
      <c r="CB722" s="504" t="str">
        <f t="shared" si="1630"/>
        <v/>
      </c>
      <c r="CC722" s="505" t="str">
        <f t="shared" si="1631"/>
        <v/>
      </c>
      <c r="CD722" s="506" t="str">
        <f t="shared" si="1632"/>
        <v/>
      </c>
      <c r="CE722" s="371"/>
      <c r="CF722" s="232" t="str">
        <f t="shared" si="1633"/>
        <v/>
      </c>
      <c r="CG722" s="232" t="str">
        <f t="shared" si="1634"/>
        <v/>
      </c>
      <c r="CH722" s="232" t="str">
        <f t="shared" si="1635"/>
        <v/>
      </c>
      <c r="CI722" s="232" t="str">
        <f t="shared" si="1648"/>
        <v/>
      </c>
      <c r="CJ722" s="232"/>
      <c r="CK722" s="497"/>
      <c r="CL722" s="498"/>
      <c r="CM722" s="485" t="str">
        <f t="shared" si="1636"/>
        <v/>
      </c>
      <c r="CN722" s="371"/>
      <c r="CO722" s="232" t="str">
        <f t="shared" si="1637"/>
        <v/>
      </c>
      <c r="CP722" s="232" t="str">
        <f t="shared" si="1638"/>
        <v/>
      </c>
      <c r="CQ722" s="232" t="str">
        <f t="shared" si="1639"/>
        <v/>
      </c>
      <c r="CR722" s="232" t="str">
        <f t="shared" si="1649"/>
        <v/>
      </c>
      <c r="CS722" s="232"/>
      <c r="CT722" s="371"/>
      <c r="CU722" s="300"/>
      <c r="CV722" s="246"/>
      <c r="CW722" s="264"/>
    </row>
    <row r="723" spans="1:101" ht="13.5" thickBot="1" x14ac:dyDescent="0.25">
      <c r="A723" s="264"/>
      <c r="B723" s="264"/>
      <c r="C723" s="202"/>
      <c r="D723" s="271">
        <v>12</v>
      </c>
      <c r="E723" s="168"/>
      <c r="F723" s="470"/>
      <c r="G723" s="476"/>
      <c r="H723" s="477"/>
      <c r="I723" s="392" t="str">
        <f t="shared" si="1600"/>
        <v/>
      </c>
      <c r="J723" s="393" t="str">
        <f t="shared" si="1601"/>
        <v/>
      </c>
      <c r="K723" s="394" t="str">
        <f t="shared" si="1602"/>
        <v/>
      </c>
      <c r="L723" s="299"/>
      <c r="M723" s="375"/>
      <c r="N723" s="379"/>
      <c r="O723" s="236"/>
      <c r="P723" s="236"/>
      <c r="Q723" s="489"/>
      <c r="R723" s="490"/>
      <c r="S723" s="491" t="str">
        <f t="shared" si="1640"/>
        <v/>
      </c>
      <c r="T723" s="371"/>
      <c r="U723" s="232" t="str">
        <f t="shared" si="1603"/>
        <v/>
      </c>
      <c r="V723" s="232" t="str">
        <f t="shared" si="1604"/>
        <v/>
      </c>
      <c r="W723" s="232" t="str">
        <f t="shared" si="1605"/>
        <v/>
      </c>
      <c r="X723" s="232" t="str">
        <f t="shared" si="1641"/>
        <v/>
      </c>
      <c r="Y723" s="371"/>
      <c r="Z723" s="499"/>
      <c r="AA723" s="500"/>
      <c r="AB723" s="491" t="str">
        <f t="shared" si="1606"/>
        <v/>
      </c>
      <c r="AC723" s="371"/>
      <c r="AD723" s="232" t="str">
        <f t="shared" si="1607"/>
        <v/>
      </c>
      <c r="AE723" s="232" t="str">
        <f t="shared" si="1608"/>
        <v/>
      </c>
      <c r="AF723" s="232" t="str">
        <f t="shared" si="1609"/>
        <v/>
      </c>
      <c r="AG723" s="232" t="str">
        <f t="shared" si="1642"/>
        <v/>
      </c>
      <c r="AH723" s="371"/>
      <c r="AI723" s="499"/>
      <c r="AJ723" s="500"/>
      <c r="AK723" s="491" t="str">
        <f t="shared" si="1610"/>
        <v/>
      </c>
      <c r="AL723" s="371"/>
      <c r="AM723" s="232" t="str">
        <f t="shared" si="1611"/>
        <v/>
      </c>
      <c r="AN723" s="232" t="str">
        <f t="shared" si="1612"/>
        <v/>
      </c>
      <c r="AO723" s="232" t="str">
        <f t="shared" si="1613"/>
        <v/>
      </c>
      <c r="AP723" s="232" t="str">
        <f t="shared" si="1643"/>
        <v/>
      </c>
      <c r="AQ723" s="371"/>
      <c r="AR723" s="499"/>
      <c r="AS723" s="500"/>
      <c r="AT723" s="491" t="str">
        <f t="shared" si="1614"/>
        <v/>
      </c>
      <c r="AU723" s="371"/>
      <c r="AV723" s="232" t="str">
        <f t="shared" si="1615"/>
        <v/>
      </c>
      <c r="AW723" s="232" t="str">
        <f t="shared" si="1616"/>
        <v/>
      </c>
      <c r="AX723" s="232" t="str">
        <f t="shared" si="1617"/>
        <v/>
      </c>
      <c r="AY723" s="232" t="str">
        <f t="shared" si="1644"/>
        <v/>
      </c>
      <c r="AZ723" s="371"/>
      <c r="BA723" s="499"/>
      <c r="BB723" s="500"/>
      <c r="BC723" s="491" t="str">
        <f t="shared" si="1618"/>
        <v/>
      </c>
      <c r="BD723" s="371"/>
      <c r="BE723" s="232" t="str">
        <f t="shared" si="1619"/>
        <v/>
      </c>
      <c r="BF723" s="232" t="str">
        <f t="shared" si="1620"/>
        <v/>
      </c>
      <c r="BG723" s="232" t="str">
        <f t="shared" si="1621"/>
        <v/>
      </c>
      <c r="BH723" s="232" t="str">
        <f t="shared" si="1645"/>
        <v/>
      </c>
      <c r="BI723" s="371"/>
      <c r="BJ723" s="499"/>
      <c r="BK723" s="500"/>
      <c r="BL723" s="491" t="str">
        <f t="shared" si="1622"/>
        <v/>
      </c>
      <c r="BM723" s="371"/>
      <c r="BN723" s="232" t="str">
        <f t="shared" si="1623"/>
        <v/>
      </c>
      <c r="BO723" s="232" t="str">
        <f t="shared" si="1624"/>
        <v/>
      </c>
      <c r="BP723" s="232" t="str">
        <f t="shared" si="1625"/>
        <v/>
      </c>
      <c r="BQ723" s="232" t="str">
        <f t="shared" si="1646"/>
        <v/>
      </c>
      <c r="BR723" s="371"/>
      <c r="BS723" s="499"/>
      <c r="BT723" s="500"/>
      <c r="BU723" s="491" t="str">
        <f t="shared" si="1626"/>
        <v/>
      </c>
      <c r="BV723" s="371"/>
      <c r="BW723" s="232" t="str">
        <f t="shared" si="1627"/>
        <v/>
      </c>
      <c r="BX723" s="232" t="str">
        <f t="shared" si="1628"/>
        <v/>
      </c>
      <c r="BY723" s="232" t="str">
        <f t="shared" si="1629"/>
        <v/>
      </c>
      <c r="BZ723" s="232" t="str">
        <f t="shared" si="1647"/>
        <v/>
      </c>
      <c r="CA723" s="371"/>
      <c r="CB723" s="507" t="str">
        <f t="shared" si="1630"/>
        <v/>
      </c>
      <c r="CC723" s="508" t="str">
        <f t="shared" si="1631"/>
        <v/>
      </c>
      <c r="CD723" s="509" t="str">
        <f t="shared" si="1632"/>
        <v/>
      </c>
      <c r="CE723" s="371"/>
      <c r="CF723" s="232" t="str">
        <f t="shared" si="1633"/>
        <v/>
      </c>
      <c r="CG723" s="232" t="str">
        <f t="shared" si="1634"/>
        <v/>
      </c>
      <c r="CH723" s="232" t="str">
        <f t="shared" si="1635"/>
        <v/>
      </c>
      <c r="CI723" s="232" t="str">
        <f t="shared" si="1648"/>
        <v/>
      </c>
      <c r="CJ723" s="232"/>
      <c r="CK723" s="499"/>
      <c r="CL723" s="500"/>
      <c r="CM723" s="491" t="str">
        <f t="shared" si="1636"/>
        <v/>
      </c>
      <c r="CN723" s="371"/>
      <c r="CO723" s="232" t="str">
        <f t="shared" si="1637"/>
        <v/>
      </c>
      <c r="CP723" s="232" t="str">
        <f t="shared" si="1638"/>
        <v/>
      </c>
      <c r="CQ723" s="232" t="str">
        <f t="shared" si="1639"/>
        <v/>
      </c>
      <c r="CR723" s="232" t="str">
        <f t="shared" si="1649"/>
        <v/>
      </c>
      <c r="CS723" s="232"/>
      <c r="CT723" s="371"/>
      <c r="CU723" s="300"/>
      <c r="CV723" s="246"/>
      <c r="CW723" s="264"/>
    </row>
    <row r="724" spans="1:101" x14ac:dyDescent="0.2">
      <c r="A724" s="264"/>
      <c r="B724" s="264"/>
      <c r="C724" s="202"/>
      <c r="D724" s="272"/>
      <c r="E724" s="235"/>
      <c r="F724" s="395" t="str">
        <f>IF(SUM(F712:F723)=0,"",SUM(F712:F723))</f>
        <v/>
      </c>
      <c r="G724" s="370" t="s">
        <v>49</v>
      </c>
      <c r="H724" s="396" t="str">
        <f>IF(SUM(H712:H723)=0,"",SUM(H712:H723))</f>
        <v/>
      </c>
      <c r="I724" s="397" t="str">
        <f>IF(COUNTIF(I712:I723,"=x")=0,"",COUNTIF(I712:I723,"=x"))</f>
        <v/>
      </c>
      <c r="J724" s="398" t="str">
        <f>IF(COUNTIF(J712:J723,"=x")=0,"",COUNTIF(J712:J723,"=x"))</f>
        <v/>
      </c>
      <c r="K724" s="399" t="str">
        <f>IF(COUNTIF(K712:K723,"=x")=0,"",COUNTIF(K712:K723,"=x"))</f>
        <v/>
      </c>
      <c r="L724" s="299"/>
      <c r="M724" s="375"/>
      <c r="N724" s="379"/>
      <c r="O724" s="236"/>
      <c r="P724" s="369"/>
      <c r="Q724" s="466">
        <f>SUM(U712:U723)</f>
        <v>0</v>
      </c>
      <c r="R724" s="466">
        <f>SUM(V712:V723)</f>
        <v>0</v>
      </c>
      <c r="S724" s="466">
        <f>SUM(W712:W723)</f>
        <v>0</v>
      </c>
      <c r="T724" s="368"/>
      <c r="U724" s="232"/>
      <c r="V724" s="232"/>
      <c r="W724" s="232"/>
      <c r="X724" s="232"/>
      <c r="Y724" s="367"/>
      <c r="Z724" s="466">
        <f>SUM(AD712:AD723)</f>
        <v>0</v>
      </c>
      <c r="AA724" s="466">
        <f>SUM(AE712:AE723)</f>
        <v>0</v>
      </c>
      <c r="AB724" s="466">
        <f>SUM(AF712:AF723)</f>
        <v>0</v>
      </c>
      <c r="AC724" s="368"/>
      <c r="AD724" s="232"/>
      <c r="AE724" s="232"/>
      <c r="AF724" s="232"/>
      <c r="AG724" s="232"/>
      <c r="AH724" s="367"/>
      <c r="AI724" s="466">
        <f>SUM(AM712:AM723)</f>
        <v>0</v>
      </c>
      <c r="AJ724" s="466">
        <f>SUM(AN712:AN723)</f>
        <v>0</v>
      </c>
      <c r="AK724" s="466">
        <f>SUM(AO712:AO723)</f>
        <v>0</v>
      </c>
      <c r="AL724" s="368"/>
      <c r="AM724" s="232"/>
      <c r="AN724" s="232"/>
      <c r="AO724" s="232"/>
      <c r="AP724" s="232"/>
      <c r="AQ724" s="367"/>
      <c r="AR724" s="466">
        <f>SUM(AV712:AV723)</f>
        <v>0</v>
      </c>
      <c r="AS724" s="466">
        <f>SUM(AW712:AW723)</f>
        <v>0</v>
      </c>
      <c r="AT724" s="466">
        <f>SUM(AX712:AX723)</f>
        <v>0</v>
      </c>
      <c r="AU724" s="368"/>
      <c r="AV724" s="232"/>
      <c r="AW724" s="232"/>
      <c r="AX724" s="232"/>
      <c r="AY724" s="232"/>
      <c r="AZ724" s="367"/>
      <c r="BA724" s="466">
        <f>SUM(BE712:BE723)</f>
        <v>0</v>
      </c>
      <c r="BB724" s="466">
        <f>SUM(BF712:BF723)</f>
        <v>0</v>
      </c>
      <c r="BC724" s="466">
        <f>SUM(BG712:BG723)</f>
        <v>0</v>
      </c>
      <c r="BD724" s="368"/>
      <c r="BE724" s="232"/>
      <c r="BF724" s="232"/>
      <c r="BG724" s="232"/>
      <c r="BH724" s="232"/>
      <c r="BI724" s="367"/>
      <c r="BJ724" s="466">
        <f>SUM(BN712:BN723)</f>
        <v>0</v>
      </c>
      <c r="BK724" s="466">
        <f>SUM(BO712:BO723)</f>
        <v>0</v>
      </c>
      <c r="BL724" s="466">
        <f>SUM(BP712:BP723)</f>
        <v>0</v>
      </c>
      <c r="BM724" s="368"/>
      <c r="BN724" s="232"/>
      <c r="BO724" s="232"/>
      <c r="BP724" s="232"/>
      <c r="BQ724" s="232"/>
      <c r="BR724" s="367"/>
      <c r="BS724" s="466">
        <f>SUM(BW712:BW723)</f>
        <v>0</v>
      </c>
      <c r="BT724" s="466">
        <f>SUM(BX712:BX723)</f>
        <v>0</v>
      </c>
      <c r="BU724" s="466">
        <f>SUM(BY712:BY723)</f>
        <v>0</v>
      </c>
      <c r="BV724" s="368"/>
      <c r="BW724" s="232"/>
      <c r="BX724" s="232"/>
      <c r="BY724" s="232"/>
      <c r="BZ724" s="232"/>
      <c r="CA724" s="369"/>
      <c r="CB724" s="466">
        <f>SUM(CF712:CF723)</f>
        <v>0</v>
      </c>
      <c r="CC724" s="466">
        <f>SUM(CG712:CG723)</f>
        <v>0</v>
      </c>
      <c r="CD724" s="466">
        <f>SUM(CH712:CH723)</f>
        <v>0</v>
      </c>
      <c r="CE724" s="368"/>
      <c r="CF724" s="232"/>
      <c r="CG724" s="232"/>
      <c r="CH724" s="232"/>
      <c r="CI724" s="232"/>
      <c r="CJ724" s="232"/>
      <c r="CK724" s="466">
        <f>SUM(CO712:CO723)</f>
        <v>0</v>
      </c>
      <c r="CL724" s="466">
        <f>SUM(CP712:CP723)</f>
        <v>0</v>
      </c>
      <c r="CM724" s="466">
        <f>SUM(CQ712:CQ723)</f>
        <v>0</v>
      </c>
      <c r="CN724" s="368"/>
      <c r="CO724" s="232"/>
      <c r="CP724" s="232"/>
      <c r="CQ724" s="232"/>
      <c r="CR724" s="232"/>
      <c r="CS724" s="232"/>
      <c r="CT724" s="232"/>
      <c r="CU724" s="300"/>
      <c r="CV724" s="246"/>
      <c r="CW724" s="265"/>
    </row>
    <row r="725" spans="1:101" ht="13.5" thickBot="1" x14ac:dyDescent="0.25">
      <c r="A725" s="264"/>
      <c r="B725" s="264"/>
      <c r="C725" s="202"/>
      <c r="D725" s="289"/>
      <c r="E725" s="282"/>
      <c r="F725" s="283"/>
      <c r="G725" s="282"/>
      <c r="H725" s="282"/>
      <c r="I725" s="282"/>
      <c r="J725" s="282"/>
      <c r="K725" s="282"/>
      <c r="L725" s="293"/>
      <c r="M725" s="301"/>
      <c r="N725" s="380"/>
      <c r="O725" s="376"/>
      <c r="P725" s="284"/>
      <c r="Q725" s="285"/>
      <c r="R725" s="285"/>
      <c r="S725" s="285"/>
      <c r="T725" s="286"/>
      <c r="U725" s="287"/>
      <c r="V725" s="287"/>
      <c r="W725" s="287"/>
      <c r="X725" s="287"/>
      <c r="Y725" s="284"/>
      <c r="Z725" s="285"/>
      <c r="AA725" s="285"/>
      <c r="AB725" s="285"/>
      <c r="AC725" s="286"/>
      <c r="AD725" s="287"/>
      <c r="AE725" s="287"/>
      <c r="AF725" s="287"/>
      <c r="AG725" s="288"/>
      <c r="AH725" s="284"/>
      <c r="AI725" s="285"/>
      <c r="AJ725" s="285"/>
      <c r="AK725" s="285"/>
      <c r="AL725" s="286"/>
      <c r="AM725" s="287"/>
      <c r="AN725" s="287"/>
      <c r="AO725" s="287"/>
      <c r="AP725" s="288"/>
      <c r="AQ725" s="284"/>
      <c r="AR725" s="285"/>
      <c r="AS725" s="285"/>
      <c r="AT725" s="285"/>
      <c r="AU725" s="286"/>
      <c r="AV725" s="287"/>
      <c r="AW725" s="287"/>
      <c r="AX725" s="287"/>
      <c r="AY725" s="288"/>
      <c r="AZ725" s="284"/>
      <c r="BA725" s="285"/>
      <c r="BB725" s="285"/>
      <c r="BC725" s="285"/>
      <c r="BD725" s="286"/>
      <c r="BE725" s="287"/>
      <c r="BF725" s="287"/>
      <c r="BG725" s="287"/>
      <c r="BH725" s="288"/>
      <c r="BI725" s="284"/>
      <c r="BJ725" s="284"/>
      <c r="BK725" s="284"/>
      <c r="BL725" s="284"/>
      <c r="BM725" s="284"/>
      <c r="BN725" s="284"/>
      <c r="BO725" s="284"/>
      <c r="BP725" s="284"/>
      <c r="BQ725" s="284"/>
      <c r="BR725" s="284"/>
      <c r="BS725" s="284"/>
      <c r="BT725" s="284"/>
      <c r="BU725" s="284"/>
      <c r="BV725" s="284"/>
      <c r="BW725" s="284"/>
      <c r="BX725" s="284"/>
      <c r="BY725" s="284"/>
      <c r="BZ725" s="284"/>
      <c r="CA725" s="284"/>
      <c r="CB725" s="284"/>
      <c r="CC725" s="284"/>
      <c r="CD725" s="284"/>
      <c r="CE725" s="284"/>
      <c r="CF725" s="284"/>
      <c r="CG725" s="284"/>
      <c r="CH725" s="284"/>
      <c r="CI725" s="284"/>
      <c r="CJ725" s="288"/>
      <c r="CK725" s="288"/>
      <c r="CL725" s="288"/>
      <c r="CM725" s="288"/>
      <c r="CN725" s="288"/>
      <c r="CO725" s="288"/>
      <c r="CP725" s="288"/>
      <c r="CQ725" s="288"/>
      <c r="CR725" s="288"/>
      <c r="CS725" s="288"/>
      <c r="CT725" s="282"/>
      <c r="CU725" s="294"/>
      <c r="CV725" s="246"/>
      <c r="CW725" s="265"/>
    </row>
    <row r="726" spans="1:101" ht="14.25" thickTop="1" thickBot="1" x14ac:dyDescent="0.25">
      <c r="A726" s="256"/>
      <c r="B726" s="256"/>
      <c r="C726" s="210"/>
      <c r="D726" s="211"/>
      <c r="E726" s="247"/>
      <c r="F726" s="248"/>
      <c r="G726" s="247"/>
      <c r="H726" s="247"/>
      <c r="I726" s="247"/>
      <c r="J726" s="247"/>
      <c r="K726" s="247"/>
      <c r="L726" s="249"/>
      <c r="M726" s="250"/>
      <c r="N726" s="250"/>
      <c r="O726" s="250"/>
      <c r="P726" s="250"/>
      <c r="Q726" s="247"/>
      <c r="R726" s="247"/>
      <c r="S726" s="247"/>
      <c r="T726" s="251"/>
      <c r="U726" s="252"/>
      <c r="V726" s="252"/>
      <c r="W726" s="252"/>
      <c r="X726" s="252"/>
      <c r="Y726" s="250"/>
      <c r="Z726" s="247"/>
      <c r="AA726" s="247"/>
      <c r="AB726" s="247"/>
      <c r="AC726" s="251"/>
      <c r="AD726" s="252"/>
      <c r="AE726" s="252"/>
      <c r="AF726" s="252"/>
      <c r="AG726" s="247"/>
      <c r="AH726" s="250"/>
      <c r="AI726" s="247"/>
      <c r="AJ726" s="247"/>
      <c r="AK726" s="247"/>
      <c r="AL726" s="251"/>
      <c r="AM726" s="252"/>
      <c r="AN726" s="252"/>
      <c r="AO726" s="252"/>
      <c r="AP726" s="253"/>
      <c r="AQ726" s="250"/>
      <c r="AR726" s="247"/>
      <c r="AS726" s="247"/>
      <c r="AT726" s="247"/>
      <c r="AU726" s="251"/>
      <c r="AV726" s="252"/>
      <c r="AW726" s="252"/>
      <c r="AX726" s="252"/>
      <c r="AY726" s="247"/>
      <c r="AZ726" s="250"/>
      <c r="BA726" s="247"/>
      <c r="BB726" s="247"/>
      <c r="BC726" s="247"/>
      <c r="BD726" s="251"/>
      <c r="BE726" s="252"/>
      <c r="BF726" s="252"/>
      <c r="BG726" s="252"/>
      <c r="BH726" s="247"/>
      <c r="BI726" s="250"/>
      <c r="BJ726" s="247"/>
      <c r="BK726" s="247"/>
      <c r="BL726" s="247"/>
      <c r="BM726" s="251"/>
      <c r="BN726" s="252"/>
      <c r="BO726" s="252"/>
      <c r="BP726" s="252"/>
      <c r="BQ726" s="247"/>
      <c r="BR726" s="212"/>
      <c r="BS726" s="247"/>
      <c r="BT726" s="247"/>
      <c r="BU726" s="247"/>
      <c r="BV726" s="250"/>
      <c r="BW726" s="252"/>
      <c r="BX726" s="252"/>
      <c r="BY726" s="252"/>
      <c r="BZ726" s="247"/>
      <c r="CA726" s="247"/>
      <c r="CB726" s="253"/>
      <c r="CC726" s="253"/>
      <c r="CD726" s="253"/>
      <c r="CE726" s="253"/>
      <c r="CF726" s="247"/>
      <c r="CG726" s="247"/>
      <c r="CH726" s="247"/>
      <c r="CI726" s="247"/>
      <c r="CJ726" s="247"/>
      <c r="CK726" s="247"/>
      <c r="CL726" s="247"/>
      <c r="CM726" s="247"/>
      <c r="CN726" s="247"/>
      <c r="CO726" s="247"/>
      <c r="CP726" s="247"/>
      <c r="CQ726" s="247"/>
      <c r="CR726" s="247"/>
      <c r="CS726" s="247"/>
      <c r="CT726" s="247"/>
      <c r="CU726" s="247"/>
      <c r="CV726" s="254"/>
      <c r="CW726" s="255"/>
    </row>
    <row r="727" spans="1:101" ht="14.25" thickTop="1" thickBot="1" x14ac:dyDescent="0.25">
      <c r="A727" s="255"/>
      <c r="B727" s="255"/>
      <c r="C727" s="255"/>
      <c r="D727" s="255"/>
      <c r="E727" s="255"/>
      <c r="F727" s="255"/>
      <c r="G727" s="255"/>
      <c r="H727" s="255"/>
      <c r="I727" s="255"/>
      <c r="J727" s="255"/>
      <c r="K727" s="255"/>
      <c r="L727" s="255"/>
      <c r="M727" s="255"/>
      <c r="N727" s="255"/>
      <c r="O727" s="255"/>
      <c r="P727" s="255"/>
      <c r="Q727" s="255"/>
      <c r="R727" s="255"/>
      <c r="S727" s="255"/>
      <c r="T727" s="255"/>
      <c r="U727" s="255"/>
      <c r="V727" s="255"/>
      <c r="W727" s="255"/>
      <c r="X727" s="255"/>
      <c r="Y727" s="255"/>
      <c r="Z727" s="255"/>
      <c r="AA727" s="255"/>
      <c r="AB727" s="255"/>
      <c r="AC727" s="255"/>
      <c r="AD727" s="255"/>
      <c r="AE727" s="255"/>
      <c r="AF727" s="255"/>
      <c r="AG727" s="255"/>
      <c r="AH727" s="255"/>
      <c r="AI727" s="255"/>
      <c r="AJ727" s="255"/>
      <c r="AK727" s="255"/>
      <c r="AL727" s="255"/>
      <c r="AM727" s="255"/>
      <c r="AN727" s="255"/>
      <c r="AO727" s="255"/>
      <c r="AP727" s="255"/>
      <c r="AQ727" s="255"/>
      <c r="AR727" s="255"/>
      <c r="AS727" s="255"/>
      <c r="AT727" s="255"/>
      <c r="AU727" s="255"/>
      <c r="AV727" s="255"/>
      <c r="AW727" s="255"/>
      <c r="AX727" s="255"/>
      <c r="AY727" s="255"/>
      <c r="AZ727" s="255"/>
      <c r="BA727" s="255"/>
      <c r="BB727" s="255"/>
      <c r="BC727" s="255"/>
      <c r="BD727" s="255"/>
      <c r="BE727" s="255"/>
      <c r="BF727" s="255"/>
      <c r="BG727" s="255"/>
      <c r="BH727" s="255"/>
      <c r="BI727" s="255"/>
      <c r="BJ727" s="255"/>
      <c r="BK727" s="255"/>
      <c r="BL727" s="255"/>
      <c r="BM727" s="255"/>
      <c r="BN727" s="255"/>
      <c r="BO727" s="255"/>
      <c r="BP727" s="255"/>
      <c r="BQ727" s="255"/>
      <c r="BR727" s="255"/>
      <c r="BS727" s="255"/>
      <c r="BT727" s="255"/>
      <c r="BU727" s="255"/>
      <c r="BV727" s="255"/>
      <c r="BW727" s="255"/>
      <c r="BX727" s="255"/>
      <c r="BY727" s="255"/>
      <c r="BZ727" s="255"/>
      <c r="CA727" s="255"/>
      <c r="CB727" s="436"/>
      <c r="CC727" s="436"/>
      <c r="CD727" s="436"/>
      <c r="CE727" s="436"/>
      <c r="CF727" s="255"/>
      <c r="CG727" s="255"/>
      <c r="CH727" s="255"/>
      <c r="CI727" s="255"/>
      <c r="CJ727" s="255"/>
      <c r="CK727" s="255"/>
      <c r="CL727" s="255"/>
      <c r="CM727" s="255"/>
      <c r="CN727" s="255"/>
      <c r="CO727" s="255"/>
      <c r="CP727" s="255"/>
      <c r="CQ727" s="255"/>
      <c r="CR727" s="255"/>
      <c r="CS727" s="255"/>
      <c r="CT727" s="255"/>
      <c r="CU727" s="255"/>
      <c r="CV727" s="255"/>
      <c r="CW727" s="255"/>
    </row>
    <row r="728" spans="1:101" ht="21" thickTop="1" x14ac:dyDescent="0.3">
      <c r="A728" s="256"/>
      <c r="B728" s="256"/>
      <c r="C728" s="190"/>
      <c r="D728" s="191"/>
      <c r="E728" s="866" t="str">
        <f>E2</f>
        <v>STPS 2026</v>
      </c>
      <c r="F728" s="267"/>
      <c r="G728" s="267"/>
      <c r="H728" s="267"/>
      <c r="I728" s="192"/>
      <c r="J728" s="192"/>
      <c r="K728" s="192"/>
      <c r="L728" s="193"/>
      <c r="M728" s="192"/>
      <c r="N728" s="192"/>
      <c r="O728" s="192"/>
      <c r="P728" s="194"/>
      <c r="Q728" s="192"/>
      <c r="R728" s="192"/>
      <c r="S728" s="192"/>
      <c r="T728" s="195"/>
      <c r="U728" s="196"/>
      <c r="V728" s="196"/>
      <c r="W728" s="196"/>
      <c r="X728" s="196"/>
      <c r="Y728" s="194"/>
      <c r="Z728" s="192"/>
      <c r="AA728" s="192"/>
      <c r="AB728" s="192"/>
      <c r="AC728" s="195"/>
      <c r="AD728" s="196"/>
      <c r="AE728" s="196"/>
      <c r="AF728" s="196"/>
      <c r="AG728" s="197"/>
      <c r="AH728" s="194"/>
      <c r="AI728" s="192"/>
      <c r="AJ728" s="237"/>
      <c r="AK728" s="237"/>
      <c r="AL728" s="198"/>
      <c r="AM728" s="238"/>
      <c r="AN728" s="238"/>
      <c r="AO728" s="238"/>
      <c r="AP728" s="197"/>
      <c r="AQ728" s="239"/>
      <c r="AR728" s="240"/>
      <c r="AS728" s="199"/>
      <c r="AT728" s="200"/>
      <c r="AU728" s="198"/>
      <c r="AV728" s="196"/>
      <c r="AW728" s="196"/>
      <c r="AX728" s="196"/>
      <c r="AY728" s="197"/>
      <c r="AZ728" s="239"/>
      <c r="BA728" s="240"/>
      <c r="BB728" s="200"/>
      <c r="BC728" s="237"/>
      <c r="BD728" s="241"/>
      <c r="BE728" s="196"/>
      <c r="BF728" s="196"/>
      <c r="BG728" s="196"/>
      <c r="BH728" s="197"/>
      <c r="BI728" s="242"/>
      <c r="BJ728" s="237"/>
      <c r="BK728" s="237"/>
      <c r="BL728" s="237"/>
      <c r="BM728" s="241"/>
      <c r="BN728" s="196"/>
      <c r="BO728" s="196"/>
      <c r="BP728" s="196"/>
      <c r="BQ728" s="197"/>
      <c r="BR728" s="201"/>
      <c r="BS728" s="237"/>
      <c r="BT728" s="237"/>
      <c r="BU728" s="237"/>
      <c r="BV728" s="242"/>
      <c r="BW728" s="237"/>
      <c r="BX728" s="237"/>
      <c r="BY728" s="237"/>
      <c r="BZ728" s="237"/>
      <c r="CA728" s="237"/>
      <c r="CB728" s="437"/>
      <c r="CC728" s="437"/>
      <c r="CD728" s="437"/>
      <c r="CE728" s="437"/>
      <c r="CF728" s="237"/>
      <c r="CG728" s="237"/>
      <c r="CH728" s="237"/>
      <c r="CI728" s="237"/>
      <c r="CJ728" s="197"/>
      <c r="CK728" s="197"/>
      <c r="CL728" s="197"/>
      <c r="CM728" s="197"/>
      <c r="CN728" s="197"/>
      <c r="CO728" s="197"/>
      <c r="CP728" s="197"/>
      <c r="CQ728" s="197"/>
      <c r="CR728" s="197"/>
      <c r="CS728" s="197"/>
      <c r="CT728" s="401"/>
      <c r="CU728" s="237"/>
      <c r="CV728" s="243"/>
      <c r="CW728" s="255"/>
    </row>
    <row r="729" spans="1:101" ht="13.5" thickBot="1" x14ac:dyDescent="0.25">
      <c r="A729" s="256"/>
      <c r="B729" s="256"/>
      <c r="C729" s="202"/>
      <c r="D729" s="188"/>
      <c r="E729" s="266" t="str">
        <f>E3</f>
        <v>Skorgen Tippelag</v>
      </c>
      <c r="F729" s="406"/>
      <c r="G729" s="406"/>
      <c r="H729" s="406"/>
      <c r="I729" s="406"/>
      <c r="J729" s="406"/>
      <c r="K729" s="406"/>
      <c r="L729" s="406"/>
      <c r="M729" s="406"/>
      <c r="N729" s="406"/>
      <c r="O729" s="406"/>
      <c r="P729" s="406"/>
      <c r="Q729" s="406"/>
      <c r="R729" s="406"/>
      <c r="S729" s="406"/>
      <c r="T729" s="406"/>
      <c r="U729" s="406"/>
      <c r="V729" s="406"/>
      <c r="W729" s="406"/>
      <c r="X729" s="406"/>
      <c r="Y729" s="406"/>
      <c r="Z729" s="406"/>
      <c r="AA729" s="406"/>
      <c r="AB729" s="406"/>
      <c r="AC729" s="406"/>
      <c r="AD729" s="406"/>
      <c r="AE729" s="406"/>
      <c r="AF729" s="406"/>
      <c r="AG729" s="406"/>
      <c r="AH729" s="406"/>
      <c r="AI729" s="406"/>
      <c r="AJ729" s="406"/>
      <c r="AK729" s="406"/>
      <c r="AL729" s="406"/>
      <c r="AM729" s="406"/>
      <c r="AN729" s="406"/>
      <c r="AO729" s="406"/>
      <c r="AP729" s="406"/>
      <c r="AQ729" s="406"/>
      <c r="AR729" s="406"/>
      <c r="AS729" s="406"/>
      <c r="AT729" s="406"/>
      <c r="AU729" s="406"/>
      <c r="AV729" s="406"/>
      <c r="AW729" s="406"/>
      <c r="AX729" s="406"/>
      <c r="AY729" s="406"/>
      <c r="AZ729" s="406"/>
      <c r="BA729" s="406"/>
      <c r="BB729" s="406"/>
      <c r="BC729" s="406"/>
      <c r="BD729" s="406"/>
      <c r="BE729" s="406"/>
      <c r="BF729" s="406"/>
      <c r="BG729" s="406"/>
      <c r="BH729" s="406"/>
      <c r="BI729" s="406"/>
      <c r="BJ729" s="406"/>
      <c r="BK729" s="406"/>
      <c r="BL729" s="406"/>
      <c r="BM729" s="406"/>
      <c r="BN729" s="406"/>
      <c r="BO729" s="406"/>
      <c r="BP729" s="406"/>
      <c r="BQ729" s="406"/>
      <c r="BR729" s="406"/>
      <c r="BS729" s="406"/>
      <c r="BT729" s="406"/>
      <c r="BU729" s="406"/>
      <c r="BV729" s="406"/>
      <c r="BW729" s="406"/>
      <c r="BX729" s="406"/>
      <c r="BY729" s="406"/>
      <c r="BZ729" s="406"/>
      <c r="CA729" s="406"/>
      <c r="CB729" s="438"/>
      <c r="CC729" s="438"/>
      <c r="CD729" s="438"/>
      <c r="CE729" s="438"/>
      <c r="CF729" s="406"/>
      <c r="CG729" s="406"/>
      <c r="CH729" s="406"/>
      <c r="CI729" s="406"/>
      <c r="CJ729" s="406"/>
      <c r="CK729" s="406"/>
      <c r="CL729" s="406"/>
      <c r="CM729" s="406"/>
      <c r="CN729" s="366"/>
      <c r="CO729" s="366"/>
      <c r="CP729" s="366"/>
      <c r="CQ729" s="366"/>
      <c r="CR729" s="366"/>
      <c r="CS729" s="366"/>
      <c r="CT729" s="187"/>
      <c r="CU729" s="310"/>
      <c r="CV729" s="246"/>
      <c r="CW729" s="255"/>
    </row>
    <row r="730" spans="1:101" ht="18.75" thickTop="1" x14ac:dyDescent="0.2">
      <c r="A730" s="256"/>
      <c r="B730" s="256"/>
      <c r="C730" s="209"/>
      <c r="D730" s="290"/>
      <c r="E730" s="273"/>
      <c r="F730" s="274"/>
      <c r="G730" s="273"/>
      <c r="H730" s="273"/>
      <c r="I730" s="803" t="s">
        <v>39</v>
      </c>
      <c r="J730" s="805"/>
      <c r="K730" s="805"/>
      <c r="L730" s="291"/>
      <c r="M730" s="302"/>
      <c r="N730" s="242"/>
      <c r="O730" s="275"/>
      <c r="P730" s="275"/>
      <c r="Q730" s="808" t="str">
        <f>IF($F734="","",SUM(Q746:S746)-S732)</f>
        <v/>
      </c>
      <c r="R730" s="808"/>
      <c r="S730" s="808"/>
      <c r="T730" s="276"/>
      <c r="U730" s="277"/>
      <c r="V730" s="277"/>
      <c r="W730" s="277"/>
      <c r="X730" s="277"/>
      <c r="Y730" s="275"/>
      <c r="Z730" s="808" t="str">
        <f>IF($F734="","",SUM(Z746:AB746)-AB732)</f>
        <v/>
      </c>
      <c r="AA730" s="808"/>
      <c r="AB730" s="808"/>
      <c r="AC730" s="276"/>
      <c r="AD730" s="277"/>
      <c r="AE730" s="277"/>
      <c r="AF730" s="277"/>
      <c r="AG730" s="273"/>
      <c r="AH730" s="275"/>
      <c r="AI730" s="808" t="str">
        <f>IF($F734="","",SUM(AI746:AK746)-AK732)</f>
        <v/>
      </c>
      <c r="AJ730" s="808"/>
      <c r="AK730" s="808"/>
      <c r="AL730" s="276"/>
      <c r="AM730" s="277"/>
      <c r="AN730" s="277"/>
      <c r="AO730" s="277"/>
      <c r="AP730" s="273"/>
      <c r="AQ730" s="275"/>
      <c r="AR730" s="808" t="str">
        <f>IF($F734="","",SUM(AR746:AT746)-AT732)</f>
        <v/>
      </c>
      <c r="AS730" s="808"/>
      <c r="AT730" s="808"/>
      <c r="AU730" s="278"/>
      <c r="AV730" s="277"/>
      <c r="AW730" s="277"/>
      <c r="AX730" s="277"/>
      <c r="AY730" s="279"/>
      <c r="AZ730" s="280"/>
      <c r="BA730" s="808" t="str">
        <f>IF($F734="","",SUM(BA746:BC746)-BC732)</f>
        <v/>
      </c>
      <c r="BB730" s="808"/>
      <c r="BC730" s="808"/>
      <c r="BD730" s="278"/>
      <c r="BE730" s="277"/>
      <c r="BF730" s="277"/>
      <c r="BG730" s="277"/>
      <c r="BH730" s="279"/>
      <c r="BI730" s="280"/>
      <c r="BJ730" s="808" t="str">
        <f>IF($F734="","",SUM(BJ746:BL746)-BL732)</f>
        <v/>
      </c>
      <c r="BK730" s="808"/>
      <c r="BL730" s="808"/>
      <c r="BM730" s="278"/>
      <c r="BN730" s="277"/>
      <c r="BO730" s="277"/>
      <c r="BP730" s="277"/>
      <c r="BQ730" s="279"/>
      <c r="BR730" s="281"/>
      <c r="BS730" s="808" t="str">
        <f>IF($F734="","",SUM(BS746:BU746)-BU732)</f>
        <v/>
      </c>
      <c r="BT730" s="808"/>
      <c r="BU730" s="808"/>
      <c r="BV730" s="280"/>
      <c r="BW730" s="279"/>
      <c r="BX730" s="279"/>
      <c r="BY730" s="279"/>
      <c r="BZ730" s="279"/>
      <c r="CA730" s="281"/>
      <c r="CB730" s="808" t="str">
        <f>IF($F734="","",SUM(CB746:CD746)-CD732)</f>
        <v/>
      </c>
      <c r="CC730" s="808"/>
      <c r="CD730" s="808"/>
      <c r="CE730" s="280"/>
      <c r="CF730" s="279"/>
      <c r="CG730" s="279"/>
      <c r="CH730" s="279"/>
      <c r="CI730" s="279"/>
      <c r="CJ730" s="273"/>
      <c r="CK730" s="808" t="str">
        <f>IF($F734="","",SUM(CK746:CM746))</f>
        <v/>
      </c>
      <c r="CL730" s="808"/>
      <c r="CM730" s="808"/>
      <c r="CN730" s="280"/>
      <c r="CO730" s="279"/>
      <c r="CP730" s="279"/>
      <c r="CQ730" s="279"/>
      <c r="CR730" s="273"/>
      <c r="CS730" s="273"/>
      <c r="CT730" s="273"/>
      <c r="CU730" s="292"/>
      <c r="CV730" s="246"/>
      <c r="CW730" s="255"/>
    </row>
    <row r="731" spans="1:101" x14ac:dyDescent="0.2">
      <c r="A731" s="256"/>
      <c r="B731" s="256"/>
      <c r="C731" s="209"/>
      <c r="D731" s="916"/>
      <c r="E731" s="588" t="str">
        <f>IF(D731="","",DATE($D$3,1,1)+(D731-1)*7+(6-WEEKDAY(DATE($D$3,1,1),2)))</f>
        <v/>
      </c>
      <c r="F731" s="213"/>
      <c r="G731" s="214"/>
      <c r="H731" s="214"/>
      <c r="I731" s="804" t="str">
        <f>IF(ISERROR(AVERAGE(Q730,Z730,AI730,AR730,BA730,BJ730,BS730,CB730,CK730)),"",AVERAGE(Q730,Z730,AI730,AR730,BA730,BJ730,BS730,CB730,CK730))</f>
        <v/>
      </c>
      <c r="J731" s="806"/>
      <c r="K731" s="806"/>
      <c r="L731" s="295"/>
      <c r="M731" s="372"/>
      <c r="N731" s="245"/>
      <c r="O731" s="215"/>
      <c r="P731" s="215"/>
      <c r="Q731" s="710" t="str">
        <f>IF(Q730="","",Q730/Data!$X$1)</f>
        <v/>
      </c>
      <c r="R731" s="710"/>
      <c r="S731" s="711" t="str">
        <f>IF(SUM(X734:X745)=0,"",SUM(X734:X745))</f>
        <v/>
      </c>
      <c r="T731" s="216"/>
      <c r="U731" s="217"/>
      <c r="V731" s="217"/>
      <c r="W731" s="217"/>
      <c r="X731" s="217"/>
      <c r="Y731" s="215"/>
      <c r="Z731" s="710" t="str">
        <f>IF(Z730="","",Z730/Data!$X$1)</f>
        <v/>
      </c>
      <c r="AA731" s="710"/>
      <c r="AB731" s="711" t="str">
        <f>IF(SUM(AG734:AG745)=0,"",SUM(AG734:AG745))</f>
        <v/>
      </c>
      <c r="AC731" s="216"/>
      <c r="AD731" s="217"/>
      <c r="AE731" s="217"/>
      <c r="AF731" s="217"/>
      <c r="AG731" s="217"/>
      <c r="AH731" s="215"/>
      <c r="AI731" s="710" t="str">
        <f>IF(AI730="","",AI730/Data!$X$1)</f>
        <v/>
      </c>
      <c r="AJ731" s="710"/>
      <c r="AK731" s="711" t="str">
        <f>IF(SUM(AP734:AP745)=0,"",SUM(AP734:AP745))</f>
        <v/>
      </c>
      <c r="AL731" s="216"/>
      <c r="AM731" s="217"/>
      <c r="AN731" s="217"/>
      <c r="AO731" s="217"/>
      <c r="AP731" s="217"/>
      <c r="AQ731" s="215"/>
      <c r="AR731" s="710" t="str">
        <f>IF(AR730="","",AR730/Data!$X$1)</f>
        <v/>
      </c>
      <c r="AS731" s="710"/>
      <c r="AT731" s="711" t="str">
        <f>IF(SUM(AY734:AY745)=0,"",SUM(AY734:AY745))</f>
        <v/>
      </c>
      <c r="AU731" s="218"/>
      <c r="AV731" s="217"/>
      <c r="AW731" s="217"/>
      <c r="AX731" s="217"/>
      <c r="AY731" s="217"/>
      <c r="AZ731" s="219"/>
      <c r="BA731" s="710" t="str">
        <f>IF(BA730="","",BA730/Data!$X$1)</f>
        <v/>
      </c>
      <c r="BB731" s="710"/>
      <c r="BC731" s="711" t="str">
        <f>IF(SUM(BH734:BH745)=0,"",SUM(BH734:BH745))</f>
        <v/>
      </c>
      <c r="BD731" s="218"/>
      <c r="BE731" s="217"/>
      <c r="BF731" s="217"/>
      <c r="BG731" s="217"/>
      <c r="BH731" s="217"/>
      <c r="BI731" s="219"/>
      <c r="BJ731" s="710" t="str">
        <f>IF(BJ730="","",BJ730/Data!$X$1)</f>
        <v/>
      </c>
      <c r="BK731" s="710"/>
      <c r="BL731" s="711" t="str">
        <f>IF(SUM(BQ734:BQ745)=0,"",SUM(BQ734:BQ745))</f>
        <v/>
      </c>
      <c r="BM731" s="218"/>
      <c r="BN731" s="217"/>
      <c r="BO731" s="217"/>
      <c r="BP731" s="217"/>
      <c r="BQ731" s="217"/>
      <c r="BR731" s="220"/>
      <c r="BS731" s="710" t="str">
        <f>IF(BS730="","",BS730/Data!$X$1)</f>
        <v/>
      </c>
      <c r="BT731" s="710"/>
      <c r="BU731" s="711" t="str">
        <f>IF(SUM(BZ734:BZ745)=0,"",SUM(BZ734:BZ745))</f>
        <v/>
      </c>
      <c r="BV731" s="219"/>
      <c r="BW731" s="217"/>
      <c r="BX731" s="217"/>
      <c r="BY731" s="217"/>
      <c r="BZ731" s="217"/>
      <c r="CA731" s="220"/>
      <c r="CB731" s="710" t="str">
        <f>IF(CB730="","",CB730/Data!$X$1)</f>
        <v/>
      </c>
      <c r="CC731" s="710"/>
      <c r="CD731" s="711" t="str">
        <f>IF(SUM(CI734:CI745)=0,"",SUM(CI734:CI745))</f>
        <v/>
      </c>
      <c r="CE731" s="219"/>
      <c r="CF731" s="217"/>
      <c r="CG731" s="217"/>
      <c r="CH731" s="217"/>
      <c r="CI731" s="217"/>
      <c r="CJ731" s="217"/>
      <c r="CK731" s="710" t="str">
        <f>IF(CK730="","",CK730/Data!$X$1)</f>
        <v/>
      </c>
      <c r="CL731" s="710"/>
      <c r="CM731" s="711" t="str">
        <f>IF(SUM(CR734:CR745)=0,"",SUM(CR734:CR745))</f>
        <v/>
      </c>
      <c r="CN731" s="219"/>
      <c r="CO731" s="217"/>
      <c r="CP731" s="217"/>
      <c r="CQ731" s="217"/>
      <c r="CR731" s="217"/>
      <c r="CS731" s="217"/>
      <c r="CT731" s="217"/>
      <c r="CU731" s="296"/>
      <c r="CV731" s="246"/>
      <c r="CW731" s="255"/>
    </row>
    <row r="732" spans="1:101" ht="13.5" thickBot="1" x14ac:dyDescent="0.25">
      <c r="A732" s="256"/>
      <c r="B732" s="256"/>
      <c r="C732" s="209"/>
      <c r="D732" s="269">
        <f>D710+1</f>
        <v>34</v>
      </c>
      <c r="E732" s="402" t="str">
        <f>IF(E731="","Sett inn dato over her",TEXT(E731,"dddd"))</f>
        <v>Sett inn dato over her</v>
      </c>
      <c r="F732" s="221"/>
      <c r="G732" s="222"/>
      <c r="H732" s="222"/>
      <c r="I732" s="802"/>
      <c r="J732" s="807"/>
      <c r="K732" s="807"/>
      <c r="L732" s="297"/>
      <c r="M732" s="373"/>
      <c r="N732" s="377"/>
      <c r="O732" s="222"/>
      <c r="P732" s="222"/>
      <c r="Q732" s="385" t="str">
        <f>Data!$E$11</f>
        <v>AHH</v>
      </c>
      <c r="R732" s="386" t="str">
        <f>IF($F745="","",RANK(Q730,$Q730:$CL730))</f>
        <v/>
      </c>
      <c r="S732" s="510"/>
      <c r="T732" s="216">
        <v>0</v>
      </c>
      <c r="U732" s="217"/>
      <c r="V732" s="217"/>
      <c r="W732" s="217"/>
      <c r="X732" s="217"/>
      <c r="Y732" s="215"/>
      <c r="Z732" s="385" t="str">
        <f>Data!$E$12</f>
        <v>RB</v>
      </c>
      <c r="AA732" s="386" t="str">
        <f>IF($F745="","",RANK(Z730,$Q730:$CL730))</f>
        <v/>
      </c>
      <c r="AB732" s="510"/>
      <c r="AC732" s="216"/>
      <c r="AD732" s="217"/>
      <c r="AE732" s="217"/>
      <c r="AF732" s="217"/>
      <c r="AG732" s="217"/>
      <c r="AH732" s="215"/>
      <c r="AI732" s="385" t="str">
        <f>Data!$E$13</f>
        <v>EB</v>
      </c>
      <c r="AJ732" s="386" t="str">
        <f>IF($F745="","",RANK(AI730,$Q730:$CL730))</f>
        <v/>
      </c>
      <c r="AK732" s="510"/>
      <c r="AL732" s="216"/>
      <c r="AM732" s="217"/>
      <c r="AN732" s="217"/>
      <c r="AO732" s="217"/>
      <c r="AP732" s="217"/>
      <c r="AQ732" s="215"/>
      <c r="AR732" s="346" t="str">
        <f>Data!$E$14</f>
        <v>KAF</v>
      </c>
      <c r="AS732" s="386" t="str">
        <f>IF($F745="","",RANK(AR730,$Q730:$CL730))</f>
        <v/>
      </c>
      <c r="AT732" s="510"/>
      <c r="AU732" s="216"/>
      <c r="AV732" s="217"/>
      <c r="AW732" s="217"/>
      <c r="AX732" s="217"/>
      <c r="AY732" s="217"/>
      <c r="AZ732" s="215"/>
      <c r="BA732" s="346" t="str">
        <f>Data!$E$15</f>
        <v>ØG</v>
      </c>
      <c r="BB732" s="386" t="str">
        <f>IF($F745="","",RANK(BA730,$Q730:$CL730))</f>
        <v/>
      </c>
      <c r="BC732" s="510"/>
      <c r="BD732" s="216"/>
      <c r="BE732" s="217"/>
      <c r="BF732" s="217"/>
      <c r="BG732" s="217"/>
      <c r="BH732" s="217"/>
      <c r="BI732" s="215"/>
      <c r="BJ732" s="346" t="str">
        <f>Data!$E$16</f>
        <v>JH</v>
      </c>
      <c r="BK732" s="386" t="str">
        <f>IF($F745="","",RANK(BJ730,$Q730:$CL730))</f>
        <v/>
      </c>
      <c r="BL732" s="510"/>
      <c r="BM732" s="216"/>
      <c r="BN732" s="217"/>
      <c r="BO732" s="217"/>
      <c r="BP732" s="217"/>
      <c r="BQ732" s="217"/>
      <c r="BR732" s="223"/>
      <c r="BS732" s="346" t="str">
        <f>Data!$E$17</f>
        <v>TOH</v>
      </c>
      <c r="BT732" s="386" t="str">
        <f>IF($F745="","",RANK(BS730,$Q730:$CL730))</f>
        <v/>
      </c>
      <c r="BU732" s="510"/>
      <c r="BV732" s="215"/>
      <c r="BW732" s="217"/>
      <c r="BX732" s="217"/>
      <c r="BY732" s="217"/>
      <c r="BZ732" s="217"/>
      <c r="CA732" s="223"/>
      <c r="CB732" s="346" t="s">
        <v>26</v>
      </c>
      <c r="CC732" s="386" t="str">
        <f>IF($F745="","",RANK(CB730,$Q730:$CM730))</f>
        <v/>
      </c>
      <c r="CD732" s="511"/>
      <c r="CE732" s="215"/>
      <c r="CF732" s="217"/>
      <c r="CG732" s="217"/>
      <c r="CH732" s="217"/>
      <c r="CI732" s="217"/>
      <c r="CJ732" s="217"/>
      <c r="CK732" s="346" t="s">
        <v>27</v>
      </c>
      <c r="CL732" s="386" t="str">
        <f>IF($F745="","",RANK(CK730,$Q730:$CM730))</f>
        <v/>
      </c>
      <c r="CM732" s="798"/>
      <c r="CN732" s="215"/>
      <c r="CO732" s="217"/>
      <c r="CP732" s="217"/>
      <c r="CQ732" s="217"/>
      <c r="CR732" s="217"/>
      <c r="CS732" s="217"/>
      <c r="CT732" s="217"/>
      <c r="CU732" s="296"/>
      <c r="CV732" s="246"/>
      <c r="CW732" s="255"/>
    </row>
    <row r="733" spans="1:101" ht="13.5" thickBot="1" x14ac:dyDescent="0.25">
      <c r="A733" s="264"/>
      <c r="B733" s="264"/>
      <c r="C733" s="202"/>
      <c r="D733" s="270"/>
      <c r="E733" s="224"/>
      <c r="F733" s="225"/>
      <c r="G733" s="226"/>
      <c r="H733" s="226"/>
      <c r="I733" s="227" t="s">
        <v>45</v>
      </c>
      <c r="J733" s="228" t="s">
        <v>46</v>
      </c>
      <c r="K733" s="229" t="s">
        <v>47</v>
      </c>
      <c r="L733" s="298"/>
      <c r="M733" s="374"/>
      <c r="N733" s="378"/>
      <c r="O733" s="230"/>
      <c r="P733" s="230"/>
      <c r="Q733" s="227" t="s">
        <v>45</v>
      </c>
      <c r="R733" s="228" t="s">
        <v>46</v>
      </c>
      <c r="S733" s="229" t="s">
        <v>47</v>
      </c>
      <c r="T733" s="231"/>
      <c r="U733" s="232"/>
      <c r="V733" s="232"/>
      <c r="W733" s="232"/>
      <c r="X733" s="232"/>
      <c r="Y733" s="230"/>
      <c r="Z733" s="227" t="s">
        <v>45</v>
      </c>
      <c r="AA733" s="228" t="s">
        <v>46</v>
      </c>
      <c r="AB733" s="229" t="s">
        <v>47</v>
      </c>
      <c r="AC733" s="231"/>
      <c r="AD733" s="232"/>
      <c r="AE733" s="232"/>
      <c r="AF733" s="232"/>
      <c r="AG733" s="232"/>
      <c r="AH733" s="230"/>
      <c r="AI733" s="227" t="s">
        <v>45</v>
      </c>
      <c r="AJ733" s="228" t="s">
        <v>46</v>
      </c>
      <c r="AK733" s="229" t="s">
        <v>47</v>
      </c>
      <c r="AL733" s="231"/>
      <c r="AM733" s="232"/>
      <c r="AN733" s="232"/>
      <c r="AO733" s="232"/>
      <c r="AP733" s="232"/>
      <c r="AQ733" s="230"/>
      <c r="AR733" s="227" t="s">
        <v>45</v>
      </c>
      <c r="AS733" s="228" t="s">
        <v>46</v>
      </c>
      <c r="AT733" s="229" t="s">
        <v>47</v>
      </c>
      <c r="AU733" s="231"/>
      <c r="AV733" s="232"/>
      <c r="AW733" s="232"/>
      <c r="AX733" s="232"/>
      <c r="AY733" s="232"/>
      <c r="AZ733" s="230"/>
      <c r="BA733" s="227" t="s">
        <v>45</v>
      </c>
      <c r="BB733" s="228" t="s">
        <v>46</v>
      </c>
      <c r="BC733" s="229" t="s">
        <v>47</v>
      </c>
      <c r="BD733" s="231"/>
      <c r="BE733" s="232"/>
      <c r="BF733" s="232"/>
      <c r="BG733" s="232"/>
      <c r="BH733" s="232"/>
      <c r="BI733" s="230"/>
      <c r="BJ733" s="227" t="s">
        <v>45</v>
      </c>
      <c r="BK733" s="228" t="s">
        <v>46</v>
      </c>
      <c r="BL733" s="229" t="s">
        <v>47</v>
      </c>
      <c r="BM733" s="231"/>
      <c r="BN733" s="232"/>
      <c r="BO733" s="232"/>
      <c r="BP733" s="232"/>
      <c r="BQ733" s="232"/>
      <c r="BR733" s="230"/>
      <c r="BS733" s="227" t="s">
        <v>45</v>
      </c>
      <c r="BT733" s="228" t="s">
        <v>46</v>
      </c>
      <c r="BU733" s="229" t="s">
        <v>47</v>
      </c>
      <c r="BV733" s="231"/>
      <c r="BW733" s="232"/>
      <c r="BX733" s="232"/>
      <c r="BY733" s="232"/>
      <c r="BZ733" s="233"/>
      <c r="CA733" s="230"/>
      <c r="CB733" s="227" t="s">
        <v>45</v>
      </c>
      <c r="CC733" s="228" t="s">
        <v>46</v>
      </c>
      <c r="CD733" s="229" t="s">
        <v>47</v>
      </c>
      <c r="CE733" s="231"/>
      <c r="CF733" s="232"/>
      <c r="CG733" s="232"/>
      <c r="CH733" s="232"/>
      <c r="CI733" s="232"/>
      <c r="CJ733" s="232"/>
      <c r="CK733" s="227" t="s">
        <v>45</v>
      </c>
      <c r="CL733" s="228" t="s">
        <v>46</v>
      </c>
      <c r="CM733" s="229" t="s">
        <v>47</v>
      </c>
      <c r="CN733" s="231"/>
      <c r="CO733" s="232"/>
      <c r="CP733" s="232"/>
      <c r="CQ733" s="232"/>
      <c r="CR733" s="232"/>
      <c r="CS733" s="232"/>
      <c r="CT733" s="234"/>
      <c r="CU733" s="296"/>
      <c r="CV733" s="246"/>
      <c r="CW733" s="265"/>
    </row>
    <row r="734" spans="1:101" x14ac:dyDescent="0.2">
      <c r="A734" s="264"/>
      <c r="B734" s="264"/>
      <c r="C734" s="202"/>
      <c r="D734" s="271">
        <v>1</v>
      </c>
      <c r="E734" s="166"/>
      <c r="F734" s="468"/>
      <c r="G734" s="472"/>
      <c r="H734" s="473"/>
      <c r="I734" s="170" t="str">
        <f t="shared" ref="I734:I745" si="1650">IF($F734&gt;$H734,"x","")</f>
        <v/>
      </c>
      <c r="J734" s="387" t="str">
        <f t="shared" ref="J734:J745" si="1651">IF(F734&lt;&gt;"",IF(H734&lt;&gt;"",IF(F734=H734,"x",""),""),"")</f>
        <v/>
      </c>
      <c r="K734" s="388" t="str">
        <f t="shared" ref="K734:K745" si="1652">IF($F734&lt;$H734,"x","")</f>
        <v/>
      </c>
      <c r="L734" s="299"/>
      <c r="M734" s="375"/>
      <c r="N734" s="379"/>
      <c r="O734" s="236"/>
      <c r="P734" s="236"/>
      <c r="Q734" s="480"/>
      <c r="R734" s="481"/>
      <c r="S734" s="482" t="str">
        <f>IF(Q734="","",100-SUM(Q734:R734))</f>
        <v/>
      </c>
      <c r="T734" s="371"/>
      <c r="U734" s="232" t="str">
        <f t="shared" ref="U734:U745" si="1653">IF($I734="x",Q734,"")</f>
        <v/>
      </c>
      <c r="V734" s="232" t="str">
        <f t="shared" ref="V734:V745" si="1654">IF($J734="x",R734,"")</f>
        <v/>
      </c>
      <c r="W734" s="232" t="str">
        <f t="shared" ref="W734:W745" si="1655">IF($K734="x",S734,"")</f>
        <v/>
      </c>
      <c r="X734" s="232" t="str">
        <f>IF((MAX(U734,V734,W734))=0,"",IF((MAX(U734,V734,W734))=(MAX(Q734,R734,S734)),1,""))</f>
        <v/>
      </c>
      <c r="Y734" s="371"/>
      <c r="Z734" s="495"/>
      <c r="AA734" s="496"/>
      <c r="AB734" s="482" t="str">
        <f t="shared" ref="AB734:AB745" si="1656">IF(Z734="","",100-SUM(Z734:AA734))</f>
        <v/>
      </c>
      <c r="AC734" s="371"/>
      <c r="AD734" s="232" t="str">
        <f t="shared" ref="AD734:AD745" si="1657">IF($I734="x",Z734,"")</f>
        <v/>
      </c>
      <c r="AE734" s="232" t="str">
        <f t="shared" ref="AE734:AE745" si="1658">IF($J734="x",AA734,"")</f>
        <v/>
      </c>
      <c r="AF734" s="232" t="str">
        <f t="shared" ref="AF734:AF745" si="1659">IF($K734="x",AB734,"")</f>
        <v/>
      </c>
      <c r="AG734" s="232" t="str">
        <f>IF((MAX(AD734,AE734,AF734))=0,"",IF((MAX(AD734,AE734,AF734))=(MAX(Z734,AA734,AB734)),1,""))</f>
        <v/>
      </c>
      <c r="AH734" s="371"/>
      <c r="AI734" s="495"/>
      <c r="AJ734" s="496"/>
      <c r="AK734" s="482" t="str">
        <f t="shared" ref="AK734:AK745" si="1660">IF(AI734="","",100-SUM(AI734:AJ734))</f>
        <v/>
      </c>
      <c r="AL734" s="371"/>
      <c r="AM734" s="232" t="str">
        <f t="shared" ref="AM734:AM745" si="1661">IF($I734="x",AI734,"")</f>
        <v/>
      </c>
      <c r="AN734" s="232" t="str">
        <f t="shared" ref="AN734:AN745" si="1662">IF($J734="x",AJ734,"")</f>
        <v/>
      </c>
      <c r="AO734" s="232" t="str">
        <f t="shared" ref="AO734:AO745" si="1663">IF($K734="x",AK734,"")</f>
        <v/>
      </c>
      <c r="AP734" s="232" t="str">
        <f>IF((MAX(AM734,AN734,AO734))=0,"",IF((MAX(AM734,AN734,AO734))=(MAX(AI734,AJ734,AK734)),1,""))</f>
        <v/>
      </c>
      <c r="AQ734" s="371"/>
      <c r="AR734" s="495"/>
      <c r="AS734" s="496"/>
      <c r="AT734" s="482" t="str">
        <f t="shared" ref="AT734:AT745" si="1664">IF(AR734="","",100-SUM(AR734:AS734))</f>
        <v/>
      </c>
      <c r="AU734" s="371"/>
      <c r="AV734" s="232" t="str">
        <f t="shared" ref="AV734:AV745" si="1665">IF($I734="x",AR734,"")</f>
        <v/>
      </c>
      <c r="AW734" s="232" t="str">
        <f t="shared" ref="AW734:AW745" si="1666">IF($J734="x",AS734,"")</f>
        <v/>
      </c>
      <c r="AX734" s="232" t="str">
        <f t="shared" ref="AX734:AX745" si="1667">IF($K734="x",AT734,"")</f>
        <v/>
      </c>
      <c r="AY734" s="232" t="str">
        <f>IF((MAX(AV734,AW734,AX734))=0,"",IF((MAX(AV734,AW734,AX734))=(MAX(AR734,AS734,AT734)),1,""))</f>
        <v/>
      </c>
      <c r="AZ734" s="371"/>
      <c r="BA734" s="495"/>
      <c r="BB734" s="496"/>
      <c r="BC734" s="482" t="str">
        <f t="shared" ref="BC734:BC745" si="1668">IF(BA734="","",100-SUM(BA734:BB734))</f>
        <v/>
      </c>
      <c r="BD734" s="371"/>
      <c r="BE734" s="232" t="str">
        <f t="shared" ref="BE734:BE745" si="1669">IF($I734="x",BA734,"")</f>
        <v/>
      </c>
      <c r="BF734" s="232" t="str">
        <f t="shared" ref="BF734:BF745" si="1670">IF($J734="x",BB734,"")</f>
        <v/>
      </c>
      <c r="BG734" s="232" t="str">
        <f t="shared" ref="BG734:BG745" si="1671">IF($K734="x",BC734,"")</f>
        <v/>
      </c>
      <c r="BH734" s="232" t="str">
        <f>IF((MAX(BE734,BF734,BG734))=0,"",IF((MAX(BE734,BF734,BG734))=(MAX(BA734,BB734,BC734)),1,""))</f>
        <v/>
      </c>
      <c r="BI734" s="371"/>
      <c r="BJ734" s="495"/>
      <c r="BK734" s="496"/>
      <c r="BL734" s="482" t="str">
        <f t="shared" ref="BL734:BL745" si="1672">IF(BJ734="","",100-SUM(BJ734:BK734))</f>
        <v/>
      </c>
      <c r="BM734" s="371"/>
      <c r="BN734" s="232" t="str">
        <f t="shared" ref="BN734:BN745" si="1673">IF($I734="x",BJ734,"")</f>
        <v/>
      </c>
      <c r="BO734" s="232" t="str">
        <f t="shared" ref="BO734:BO745" si="1674">IF($J734="x",BK734,"")</f>
        <v/>
      </c>
      <c r="BP734" s="232" t="str">
        <f t="shared" ref="BP734:BP745" si="1675">IF($K734="x",BL734,"")</f>
        <v/>
      </c>
      <c r="BQ734" s="232" t="str">
        <f>IF((MAX(BN734,BO734,BP734))=0,"",IF((MAX(BN734,BO734,BP734))=(MAX(BJ734,BK734,BL734)),1,""))</f>
        <v/>
      </c>
      <c r="BR734" s="371"/>
      <c r="BS734" s="495"/>
      <c r="BT734" s="496"/>
      <c r="BU734" s="482" t="str">
        <f t="shared" ref="BU734:BU745" si="1676">IF(BS734="","",100-SUM(BS734:BT734))</f>
        <v/>
      </c>
      <c r="BV734" s="371"/>
      <c r="BW734" s="232" t="str">
        <f t="shared" ref="BW734:BW745" si="1677">IF($I734="x",BS734,"")</f>
        <v/>
      </c>
      <c r="BX734" s="232" t="str">
        <f t="shared" ref="BX734:BX745" si="1678">IF($J734="x",BT734,"")</f>
        <v/>
      </c>
      <c r="BY734" s="232" t="str">
        <f t="shared" ref="BY734:BY745" si="1679">IF($K734="x",BU734,"")</f>
        <v/>
      </c>
      <c r="BZ734" s="232" t="str">
        <f>IF((MAX(BW734,BX734,BY734))=0,"",IF((MAX(BW734,BX734,BY734))=(MAX(BS734,BT734,BU734)),1,""))</f>
        <v/>
      </c>
      <c r="CA734" s="371"/>
      <c r="CB734" s="501" t="str">
        <f t="shared" ref="CB734:CB745" si="1680">IFERROR(ROUNDUP((SUM(Q734,Z734,AI734,AR734,BA734,BJ734,BS734)/SUM($Q734:$S734,$Z734:$AB734,$AI734:$AK734,$AR734:$AT734,$BA734:$BC734,$BJ734:$BL734,$BS734:$BU734))*100,-1),"")</f>
        <v/>
      </c>
      <c r="CC734" s="502" t="str">
        <f t="shared" ref="CC734:CC745" si="1681">IFERROR(ROUNDDOWN((SUM(R734,AA734,AJ734,AS734,BB734,BK734,BT734)/SUM($Q734:$S734,$Z734:$AB734,$AI734:$AK734,$AR734:$AT734,$BA734:$BC734,$BJ734:$BL734,$BS734:$BU734))*100,-1),"")</f>
        <v/>
      </c>
      <c r="CD734" s="503" t="str">
        <f t="shared" ref="CD734:CD745" si="1682">IF(CB734="","",100-SUM(CB734:CC734))</f>
        <v/>
      </c>
      <c r="CE734" s="371"/>
      <c r="CF734" s="232" t="str">
        <f t="shared" ref="CF734:CF745" si="1683">IF($I734="x",CB734,"")</f>
        <v/>
      </c>
      <c r="CG734" s="232" t="str">
        <f t="shared" ref="CG734:CG745" si="1684">IF($J734="x",CC734,"")</f>
        <v/>
      </c>
      <c r="CH734" s="232" t="str">
        <f t="shared" ref="CH734:CH745" si="1685">IF($K734="x",CD734,"")</f>
        <v/>
      </c>
      <c r="CI734" s="232" t="str">
        <f>IF((MAX(CF734,CG734,CH734))=0,"",IF((MAX(CF734,CG734,CH734))=(MAX(CB734,CC734,CD734)),1,""))</f>
        <v/>
      </c>
      <c r="CJ734" s="232"/>
      <c r="CK734" s="495"/>
      <c r="CL734" s="496"/>
      <c r="CM734" s="482" t="str">
        <f t="shared" ref="CM734:CM745" si="1686">IF(CK734="","",100-SUM(CK734:CL734))</f>
        <v/>
      </c>
      <c r="CN734" s="371"/>
      <c r="CO734" s="232" t="str">
        <f t="shared" ref="CO734:CO745" si="1687">IF($I734="x",CK734,"")</f>
        <v/>
      </c>
      <c r="CP734" s="232" t="str">
        <f t="shared" ref="CP734:CP745" si="1688">IF($J734="x",CL734,"")</f>
        <v/>
      </c>
      <c r="CQ734" s="232" t="str">
        <f t="shared" ref="CQ734:CQ745" si="1689">IF($K734="x",CM734,"")</f>
        <v/>
      </c>
      <c r="CR734" s="232" t="str">
        <f>IF((MAX(CO734,CP734,CQ734))=0,"",IF((MAX(CO734,CP734,CQ734))=(MAX(CK734,CL734,CM734)),1,""))</f>
        <v/>
      </c>
      <c r="CS734" s="232"/>
      <c r="CT734" s="371"/>
      <c r="CU734" s="296"/>
      <c r="CV734" s="246"/>
      <c r="CW734" s="264"/>
    </row>
    <row r="735" spans="1:101" x14ac:dyDescent="0.2">
      <c r="A735" s="264"/>
      <c r="B735" s="264"/>
      <c r="C735" s="202"/>
      <c r="D735" s="271">
        <v>2</v>
      </c>
      <c r="E735" s="167"/>
      <c r="F735" s="469"/>
      <c r="G735" s="474"/>
      <c r="H735" s="475"/>
      <c r="I735" s="389" t="str">
        <f t="shared" si="1650"/>
        <v/>
      </c>
      <c r="J735" s="390" t="str">
        <f t="shared" si="1651"/>
        <v/>
      </c>
      <c r="K735" s="391" t="str">
        <f t="shared" si="1652"/>
        <v/>
      </c>
      <c r="L735" s="299"/>
      <c r="M735" s="375"/>
      <c r="N735" s="379"/>
      <c r="O735" s="236"/>
      <c r="P735" s="236"/>
      <c r="Q735" s="483"/>
      <c r="R735" s="484"/>
      <c r="S735" s="485" t="str">
        <f t="shared" ref="S735:S745" si="1690">IF(Q735="","",100-SUM(Q735:R735))</f>
        <v/>
      </c>
      <c r="T735" s="371"/>
      <c r="U735" s="232" t="str">
        <f t="shared" si="1653"/>
        <v/>
      </c>
      <c r="V735" s="232" t="str">
        <f t="shared" si="1654"/>
        <v/>
      </c>
      <c r="W735" s="232" t="str">
        <f t="shared" si="1655"/>
        <v/>
      </c>
      <c r="X735" s="232" t="str">
        <f t="shared" ref="X735:X745" si="1691">IF((MAX(U735,V735,W735))=0,"",IF((MAX(U735,V735,W735))=(MAX(Q735,R735,S735)),1,""))</f>
        <v/>
      </c>
      <c r="Y735" s="371"/>
      <c r="Z735" s="497"/>
      <c r="AA735" s="498"/>
      <c r="AB735" s="485" t="str">
        <f t="shared" si="1656"/>
        <v/>
      </c>
      <c r="AC735" s="371"/>
      <c r="AD735" s="232" t="str">
        <f t="shared" si="1657"/>
        <v/>
      </c>
      <c r="AE735" s="232" t="str">
        <f t="shared" si="1658"/>
        <v/>
      </c>
      <c r="AF735" s="232" t="str">
        <f t="shared" si="1659"/>
        <v/>
      </c>
      <c r="AG735" s="232" t="str">
        <f t="shared" ref="AG735:AG745" si="1692">IF((MAX(AD735,AE735,AF735))=0,"",IF((MAX(AD735,AE735,AF735))=(MAX(Z735,AA735,AB735)),1,""))</f>
        <v/>
      </c>
      <c r="AH735" s="371"/>
      <c r="AI735" s="497"/>
      <c r="AJ735" s="498"/>
      <c r="AK735" s="485" t="str">
        <f t="shared" si="1660"/>
        <v/>
      </c>
      <c r="AL735" s="371"/>
      <c r="AM735" s="232" t="str">
        <f t="shared" si="1661"/>
        <v/>
      </c>
      <c r="AN735" s="232" t="str">
        <f t="shared" si="1662"/>
        <v/>
      </c>
      <c r="AO735" s="232" t="str">
        <f t="shared" si="1663"/>
        <v/>
      </c>
      <c r="AP735" s="232" t="str">
        <f t="shared" ref="AP735:AP745" si="1693">IF((MAX(AM735,AN735,AO735))=0,"",IF((MAX(AM735,AN735,AO735))=(MAX(AI735,AJ735,AK735)),1,""))</f>
        <v/>
      </c>
      <c r="AQ735" s="371"/>
      <c r="AR735" s="497"/>
      <c r="AS735" s="498"/>
      <c r="AT735" s="485" t="str">
        <f t="shared" si="1664"/>
        <v/>
      </c>
      <c r="AU735" s="371"/>
      <c r="AV735" s="232" t="str">
        <f t="shared" si="1665"/>
        <v/>
      </c>
      <c r="AW735" s="232" t="str">
        <f t="shared" si="1666"/>
        <v/>
      </c>
      <c r="AX735" s="232" t="str">
        <f t="shared" si="1667"/>
        <v/>
      </c>
      <c r="AY735" s="232" t="str">
        <f t="shared" ref="AY735:AY745" si="1694">IF((MAX(AV735,AW735,AX735))=0,"",IF((MAX(AV735,AW735,AX735))=(MAX(AR735,AS735,AT735)),1,""))</f>
        <v/>
      </c>
      <c r="AZ735" s="371"/>
      <c r="BA735" s="497"/>
      <c r="BB735" s="498"/>
      <c r="BC735" s="485" t="str">
        <f t="shared" si="1668"/>
        <v/>
      </c>
      <c r="BD735" s="371"/>
      <c r="BE735" s="232" t="str">
        <f t="shared" si="1669"/>
        <v/>
      </c>
      <c r="BF735" s="232" t="str">
        <f t="shared" si="1670"/>
        <v/>
      </c>
      <c r="BG735" s="232" t="str">
        <f t="shared" si="1671"/>
        <v/>
      </c>
      <c r="BH735" s="232" t="str">
        <f t="shared" ref="BH735:BH745" si="1695">IF((MAX(BE735,BF735,BG735))=0,"",IF((MAX(BE735,BF735,BG735))=(MAX(BA735,BB735,BC735)),1,""))</f>
        <v/>
      </c>
      <c r="BI735" s="371"/>
      <c r="BJ735" s="497"/>
      <c r="BK735" s="498"/>
      <c r="BL735" s="485" t="str">
        <f t="shared" si="1672"/>
        <v/>
      </c>
      <c r="BM735" s="371"/>
      <c r="BN735" s="232" t="str">
        <f t="shared" si="1673"/>
        <v/>
      </c>
      <c r="BO735" s="232" t="str">
        <f t="shared" si="1674"/>
        <v/>
      </c>
      <c r="BP735" s="232" t="str">
        <f t="shared" si="1675"/>
        <v/>
      </c>
      <c r="BQ735" s="232" t="str">
        <f t="shared" ref="BQ735:BQ745" si="1696">IF((MAX(BN735,BO735,BP735))=0,"",IF((MAX(BN735,BO735,BP735))=(MAX(BJ735,BK735,BL735)),1,""))</f>
        <v/>
      </c>
      <c r="BR735" s="371"/>
      <c r="BS735" s="497"/>
      <c r="BT735" s="498"/>
      <c r="BU735" s="485" t="str">
        <f t="shared" si="1676"/>
        <v/>
      </c>
      <c r="BV735" s="371"/>
      <c r="BW735" s="232" t="str">
        <f t="shared" si="1677"/>
        <v/>
      </c>
      <c r="BX735" s="232" t="str">
        <f t="shared" si="1678"/>
        <v/>
      </c>
      <c r="BY735" s="232" t="str">
        <f t="shared" si="1679"/>
        <v/>
      </c>
      <c r="BZ735" s="232" t="str">
        <f t="shared" ref="BZ735:BZ745" si="1697">IF((MAX(BW735,BX735,BY735))=0,"",IF((MAX(BW735,BX735,BY735))=(MAX(BS735,BT735,BU735)),1,""))</f>
        <v/>
      </c>
      <c r="CA735" s="371"/>
      <c r="CB735" s="504" t="str">
        <f t="shared" si="1680"/>
        <v/>
      </c>
      <c r="CC735" s="505" t="str">
        <f t="shared" si="1681"/>
        <v/>
      </c>
      <c r="CD735" s="506" t="str">
        <f t="shared" si="1682"/>
        <v/>
      </c>
      <c r="CE735" s="371"/>
      <c r="CF735" s="232" t="str">
        <f t="shared" si="1683"/>
        <v/>
      </c>
      <c r="CG735" s="232" t="str">
        <f t="shared" si="1684"/>
        <v/>
      </c>
      <c r="CH735" s="232" t="str">
        <f t="shared" si="1685"/>
        <v/>
      </c>
      <c r="CI735" s="232" t="str">
        <f t="shared" ref="CI735:CI745" si="1698">IF((MAX(CF735,CG735,CH735))=0,"",IF((MAX(CF735,CG735,CH735))=(MAX(CB735,CC735,CD735)),1,""))</f>
        <v/>
      </c>
      <c r="CJ735" s="232"/>
      <c r="CK735" s="497"/>
      <c r="CL735" s="498"/>
      <c r="CM735" s="485" t="str">
        <f t="shared" si="1686"/>
        <v/>
      </c>
      <c r="CN735" s="371"/>
      <c r="CO735" s="232" t="str">
        <f t="shared" si="1687"/>
        <v/>
      </c>
      <c r="CP735" s="232" t="str">
        <f t="shared" si="1688"/>
        <v/>
      </c>
      <c r="CQ735" s="232" t="str">
        <f t="shared" si="1689"/>
        <v/>
      </c>
      <c r="CR735" s="232" t="str">
        <f t="shared" ref="CR735:CR745" si="1699">IF((MAX(CO735,CP735,CQ735))=0,"",IF((MAX(CO735,CP735,CQ735))=(MAX(CK735,CL735,CM735)),1,""))</f>
        <v/>
      </c>
      <c r="CS735" s="232"/>
      <c r="CT735" s="371"/>
      <c r="CU735" s="296"/>
      <c r="CV735" s="246"/>
      <c r="CW735" s="264"/>
    </row>
    <row r="736" spans="1:101" ht="13.5" thickBot="1" x14ac:dyDescent="0.25">
      <c r="A736" s="264"/>
      <c r="B736" s="264"/>
      <c r="C736" s="202"/>
      <c r="D736" s="271">
        <v>3</v>
      </c>
      <c r="E736" s="168"/>
      <c r="F736" s="470"/>
      <c r="G736" s="476"/>
      <c r="H736" s="477"/>
      <c r="I736" s="392" t="str">
        <f t="shared" si="1650"/>
        <v/>
      </c>
      <c r="J736" s="393" t="str">
        <f t="shared" si="1651"/>
        <v/>
      </c>
      <c r="K736" s="394" t="str">
        <f t="shared" si="1652"/>
        <v/>
      </c>
      <c r="L736" s="299"/>
      <c r="M736" s="375"/>
      <c r="N736" s="379"/>
      <c r="O736" s="236"/>
      <c r="P736" s="236"/>
      <c r="Q736" s="486"/>
      <c r="R736" s="487"/>
      <c r="S736" s="488" t="str">
        <f t="shared" si="1690"/>
        <v/>
      </c>
      <c r="T736" s="371"/>
      <c r="U736" s="232" t="str">
        <f t="shared" si="1653"/>
        <v/>
      </c>
      <c r="V736" s="232" t="str">
        <f t="shared" si="1654"/>
        <v/>
      </c>
      <c r="W736" s="232" t="str">
        <f t="shared" si="1655"/>
        <v/>
      </c>
      <c r="X736" s="232" t="str">
        <f t="shared" si="1691"/>
        <v/>
      </c>
      <c r="Y736" s="371"/>
      <c r="Z736" s="499"/>
      <c r="AA736" s="500"/>
      <c r="AB736" s="488" t="str">
        <f t="shared" si="1656"/>
        <v/>
      </c>
      <c r="AC736" s="371"/>
      <c r="AD736" s="232" t="str">
        <f t="shared" si="1657"/>
        <v/>
      </c>
      <c r="AE736" s="232" t="str">
        <f t="shared" si="1658"/>
        <v/>
      </c>
      <c r="AF736" s="232" t="str">
        <f t="shared" si="1659"/>
        <v/>
      </c>
      <c r="AG736" s="232" t="str">
        <f t="shared" si="1692"/>
        <v/>
      </c>
      <c r="AH736" s="371"/>
      <c r="AI736" s="499"/>
      <c r="AJ736" s="500"/>
      <c r="AK736" s="488" t="str">
        <f t="shared" si="1660"/>
        <v/>
      </c>
      <c r="AL736" s="371"/>
      <c r="AM736" s="232" t="str">
        <f t="shared" si="1661"/>
        <v/>
      </c>
      <c r="AN736" s="232" t="str">
        <f t="shared" si="1662"/>
        <v/>
      </c>
      <c r="AO736" s="232" t="str">
        <f t="shared" si="1663"/>
        <v/>
      </c>
      <c r="AP736" s="232" t="str">
        <f t="shared" si="1693"/>
        <v/>
      </c>
      <c r="AQ736" s="371"/>
      <c r="AR736" s="499"/>
      <c r="AS736" s="500"/>
      <c r="AT736" s="488" t="str">
        <f t="shared" si="1664"/>
        <v/>
      </c>
      <c r="AU736" s="371"/>
      <c r="AV736" s="232" t="str">
        <f t="shared" si="1665"/>
        <v/>
      </c>
      <c r="AW736" s="232" t="str">
        <f t="shared" si="1666"/>
        <v/>
      </c>
      <c r="AX736" s="232" t="str">
        <f t="shared" si="1667"/>
        <v/>
      </c>
      <c r="AY736" s="232" t="str">
        <f t="shared" si="1694"/>
        <v/>
      </c>
      <c r="AZ736" s="371"/>
      <c r="BA736" s="499"/>
      <c r="BB736" s="500"/>
      <c r="BC736" s="488" t="str">
        <f t="shared" si="1668"/>
        <v/>
      </c>
      <c r="BD736" s="371"/>
      <c r="BE736" s="232" t="str">
        <f t="shared" si="1669"/>
        <v/>
      </c>
      <c r="BF736" s="232" t="str">
        <f t="shared" si="1670"/>
        <v/>
      </c>
      <c r="BG736" s="232" t="str">
        <f t="shared" si="1671"/>
        <v/>
      </c>
      <c r="BH736" s="232" t="str">
        <f t="shared" si="1695"/>
        <v/>
      </c>
      <c r="BI736" s="371"/>
      <c r="BJ736" s="499"/>
      <c r="BK736" s="500"/>
      <c r="BL736" s="488" t="str">
        <f t="shared" si="1672"/>
        <v/>
      </c>
      <c r="BM736" s="371"/>
      <c r="BN736" s="232" t="str">
        <f t="shared" si="1673"/>
        <v/>
      </c>
      <c r="BO736" s="232" t="str">
        <f t="shared" si="1674"/>
        <v/>
      </c>
      <c r="BP736" s="232" t="str">
        <f t="shared" si="1675"/>
        <v/>
      </c>
      <c r="BQ736" s="232" t="str">
        <f t="shared" si="1696"/>
        <v/>
      </c>
      <c r="BR736" s="371"/>
      <c r="BS736" s="499"/>
      <c r="BT736" s="500"/>
      <c r="BU736" s="488" t="str">
        <f t="shared" si="1676"/>
        <v/>
      </c>
      <c r="BV736" s="371"/>
      <c r="BW736" s="232" t="str">
        <f t="shared" si="1677"/>
        <v/>
      </c>
      <c r="BX736" s="232" t="str">
        <f t="shared" si="1678"/>
        <v/>
      </c>
      <c r="BY736" s="232" t="str">
        <f t="shared" si="1679"/>
        <v/>
      </c>
      <c r="BZ736" s="232" t="str">
        <f t="shared" si="1697"/>
        <v/>
      </c>
      <c r="CA736" s="371"/>
      <c r="CB736" s="507" t="str">
        <f t="shared" si="1680"/>
        <v/>
      </c>
      <c r="CC736" s="508" t="str">
        <f t="shared" si="1681"/>
        <v/>
      </c>
      <c r="CD736" s="509" t="str">
        <f t="shared" si="1682"/>
        <v/>
      </c>
      <c r="CE736" s="371"/>
      <c r="CF736" s="232" t="str">
        <f t="shared" si="1683"/>
        <v/>
      </c>
      <c r="CG736" s="232" t="str">
        <f t="shared" si="1684"/>
        <v/>
      </c>
      <c r="CH736" s="232" t="str">
        <f t="shared" si="1685"/>
        <v/>
      </c>
      <c r="CI736" s="232" t="str">
        <f t="shared" si="1698"/>
        <v/>
      </c>
      <c r="CJ736" s="232"/>
      <c r="CK736" s="499"/>
      <c r="CL736" s="500"/>
      <c r="CM736" s="488" t="str">
        <f t="shared" si="1686"/>
        <v/>
      </c>
      <c r="CN736" s="371"/>
      <c r="CO736" s="232" t="str">
        <f t="shared" si="1687"/>
        <v/>
      </c>
      <c r="CP736" s="232" t="str">
        <f t="shared" si="1688"/>
        <v/>
      </c>
      <c r="CQ736" s="232" t="str">
        <f t="shared" si="1689"/>
        <v/>
      </c>
      <c r="CR736" s="232" t="str">
        <f t="shared" si="1699"/>
        <v/>
      </c>
      <c r="CS736" s="232"/>
      <c r="CT736" s="371"/>
      <c r="CU736" s="296"/>
      <c r="CV736" s="246"/>
      <c r="CW736" s="264"/>
    </row>
    <row r="737" spans="1:101" x14ac:dyDescent="0.2">
      <c r="A737" s="264"/>
      <c r="B737" s="264"/>
      <c r="C737" s="202"/>
      <c r="D737" s="271">
        <v>4</v>
      </c>
      <c r="E737" s="166"/>
      <c r="F737" s="468"/>
      <c r="G737" s="472"/>
      <c r="H737" s="473"/>
      <c r="I737" s="170" t="str">
        <f t="shared" si="1650"/>
        <v/>
      </c>
      <c r="J737" s="387" t="str">
        <f t="shared" si="1651"/>
        <v/>
      </c>
      <c r="K737" s="388" t="str">
        <f t="shared" si="1652"/>
        <v/>
      </c>
      <c r="L737" s="299"/>
      <c r="M737" s="375"/>
      <c r="N737" s="379"/>
      <c r="O737" s="236"/>
      <c r="P737" s="236"/>
      <c r="Q737" s="480"/>
      <c r="R737" s="481"/>
      <c r="S737" s="482" t="str">
        <f t="shared" si="1690"/>
        <v/>
      </c>
      <c r="T737" s="371"/>
      <c r="U737" s="232" t="str">
        <f t="shared" si="1653"/>
        <v/>
      </c>
      <c r="V737" s="232" t="str">
        <f t="shared" si="1654"/>
        <v/>
      </c>
      <c r="W737" s="232" t="str">
        <f t="shared" si="1655"/>
        <v/>
      </c>
      <c r="X737" s="232" t="str">
        <f t="shared" si="1691"/>
        <v/>
      </c>
      <c r="Y737" s="371"/>
      <c r="Z737" s="495"/>
      <c r="AA737" s="496"/>
      <c r="AB737" s="482" t="str">
        <f t="shared" si="1656"/>
        <v/>
      </c>
      <c r="AC737" s="371"/>
      <c r="AD737" s="232" t="str">
        <f t="shared" si="1657"/>
        <v/>
      </c>
      <c r="AE737" s="232" t="str">
        <f t="shared" si="1658"/>
        <v/>
      </c>
      <c r="AF737" s="232" t="str">
        <f t="shared" si="1659"/>
        <v/>
      </c>
      <c r="AG737" s="232" t="str">
        <f t="shared" si="1692"/>
        <v/>
      </c>
      <c r="AH737" s="371"/>
      <c r="AI737" s="495"/>
      <c r="AJ737" s="496"/>
      <c r="AK737" s="482" t="str">
        <f t="shared" si="1660"/>
        <v/>
      </c>
      <c r="AL737" s="371"/>
      <c r="AM737" s="232" t="str">
        <f t="shared" si="1661"/>
        <v/>
      </c>
      <c r="AN737" s="232" t="str">
        <f t="shared" si="1662"/>
        <v/>
      </c>
      <c r="AO737" s="232" t="str">
        <f t="shared" si="1663"/>
        <v/>
      </c>
      <c r="AP737" s="232" t="str">
        <f t="shared" si="1693"/>
        <v/>
      </c>
      <c r="AQ737" s="371"/>
      <c r="AR737" s="495"/>
      <c r="AS737" s="496"/>
      <c r="AT737" s="482" t="str">
        <f t="shared" si="1664"/>
        <v/>
      </c>
      <c r="AU737" s="371"/>
      <c r="AV737" s="232" t="str">
        <f t="shared" si="1665"/>
        <v/>
      </c>
      <c r="AW737" s="232" t="str">
        <f t="shared" si="1666"/>
        <v/>
      </c>
      <c r="AX737" s="232" t="str">
        <f t="shared" si="1667"/>
        <v/>
      </c>
      <c r="AY737" s="232" t="str">
        <f t="shared" si="1694"/>
        <v/>
      </c>
      <c r="AZ737" s="371"/>
      <c r="BA737" s="495"/>
      <c r="BB737" s="496"/>
      <c r="BC737" s="482" t="str">
        <f t="shared" si="1668"/>
        <v/>
      </c>
      <c r="BD737" s="371"/>
      <c r="BE737" s="232" t="str">
        <f t="shared" si="1669"/>
        <v/>
      </c>
      <c r="BF737" s="232" t="str">
        <f t="shared" si="1670"/>
        <v/>
      </c>
      <c r="BG737" s="232" t="str">
        <f t="shared" si="1671"/>
        <v/>
      </c>
      <c r="BH737" s="232" t="str">
        <f t="shared" si="1695"/>
        <v/>
      </c>
      <c r="BI737" s="371"/>
      <c r="BJ737" s="495"/>
      <c r="BK737" s="496"/>
      <c r="BL737" s="482" t="str">
        <f t="shared" si="1672"/>
        <v/>
      </c>
      <c r="BM737" s="371"/>
      <c r="BN737" s="232" t="str">
        <f t="shared" si="1673"/>
        <v/>
      </c>
      <c r="BO737" s="232" t="str">
        <f t="shared" si="1674"/>
        <v/>
      </c>
      <c r="BP737" s="232" t="str">
        <f t="shared" si="1675"/>
        <v/>
      </c>
      <c r="BQ737" s="232" t="str">
        <f t="shared" si="1696"/>
        <v/>
      </c>
      <c r="BR737" s="371"/>
      <c r="BS737" s="495"/>
      <c r="BT737" s="496"/>
      <c r="BU737" s="482" t="str">
        <f t="shared" si="1676"/>
        <v/>
      </c>
      <c r="BV737" s="371"/>
      <c r="BW737" s="232" t="str">
        <f t="shared" si="1677"/>
        <v/>
      </c>
      <c r="BX737" s="232" t="str">
        <f t="shared" si="1678"/>
        <v/>
      </c>
      <c r="BY737" s="232" t="str">
        <f t="shared" si="1679"/>
        <v/>
      </c>
      <c r="BZ737" s="232" t="str">
        <f t="shared" si="1697"/>
        <v/>
      </c>
      <c r="CA737" s="371"/>
      <c r="CB737" s="501" t="str">
        <f t="shared" si="1680"/>
        <v/>
      </c>
      <c r="CC737" s="502" t="str">
        <f t="shared" si="1681"/>
        <v/>
      </c>
      <c r="CD737" s="503" t="str">
        <f t="shared" si="1682"/>
        <v/>
      </c>
      <c r="CE737" s="371"/>
      <c r="CF737" s="232" t="str">
        <f t="shared" si="1683"/>
        <v/>
      </c>
      <c r="CG737" s="232" t="str">
        <f t="shared" si="1684"/>
        <v/>
      </c>
      <c r="CH737" s="232" t="str">
        <f t="shared" si="1685"/>
        <v/>
      </c>
      <c r="CI737" s="232" t="str">
        <f t="shared" si="1698"/>
        <v/>
      </c>
      <c r="CJ737" s="232"/>
      <c r="CK737" s="495"/>
      <c r="CL737" s="496"/>
      <c r="CM737" s="482" t="str">
        <f t="shared" si="1686"/>
        <v/>
      </c>
      <c r="CN737" s="371"/>
      <c r="CO737" s="232" t="str">
        <f t="shared" si="1687"/>
        <v/>
      </c>
      <c r="CP737" s="232" t="str">
        <f t="shared" si="1688"/>
        <v/>
      </c>
      <c r="CQ737" s="232" t="str">
        <f t="shared" si="1689"/>
        <v/>
      </c>
      <c r="CR737" s="232" t="str">
        <f t="shared" si="1699"/>
        <v/>
      </c>
      <c r="CS737" s="232"/>
      <c r="CT737" s="371"/>
      <c r="CU737" s="296"/>
      <c r="CV737" s="246"/>
      <c r="CW737" s="264"/>
    </row>
    <row r="738" spans="1:101" x14ac:dyDescent="0.2">
      <c r="A738" s="264"/>
      <c r="B738" s="264"/>
      <c r="C738" s="202"/>
      <c r="D738" s="271">
        <v>5</v>
      </c>
      <c r="E738" s="167"/>
      <c r="F738" s="469"/>
      <c r="G738" s="474"/>
      <c r="H738" s="475"/>
      <c r="I738" s="389" t="str">
        <f t="shared" si="1650"/>
        <v/>
      </c>
      <c r="J738" s="390" t="str">
        <f t="shared" si="1651"/>
        <v/>
      </c>
      <c r="K738" s="391" t="str">
        <f t="shared" si="1652"/>
        <v/>
      </c>
      <c r="L738" s="299"/>
      <c r="M738" s="375"/>
      <c r="N738" s="379"/>
      <c r="O738" s="236"/>
      <c r="P738" s="236"/>
      <c r="Q738" s="483"/>
      <c r="R738" s="484"/>
      <c r="S738" s="485" t="str">
        <f t="shared" si="1690"/>
        <v/>
      </c>
      <c r="T738" s="371"/>
      <c r="U738" s="232" t="str">
        <f t="shared" si="1653"/>
        <v/>
      </c>
      <c r="V738" s="232" t="str">
        <f t="shared" si="1654"/>
        <v/>
      </c>
      <c r="W738" s="232" t="str">
        <f t="shared" si="1655"/>
        <v/>
      </c>
      <c r="X738" s="232" t="str">
        <f t="shared" si="1691"/>
        <v/>
      </c>
      <c r="Y738" s="371"/>
      <c r="Z738" s="497"/>
      <c r="AA738" s="498"/>
      <c r="AB738" s="485" t="str">
        <f t="shared" si="1656"/>
        <v/>
      </c>
      <c r="AC738" s="371"/>
      <c r="AD738" s="232" t="str">
        <f t="shared" si="1657"/>
        <v/>
      </c>
      <c r="AE738" s="232" t="str">
        <f t="shared" si="1658"/>
        <v/>
      </c>
      <c r="AF738" s="232" t="str">
        <f t="shared" si="1659"/>
        <v/>
      </c>
      <c r="AG738" s="232" t="str">
        <f t="shared" si="1692"/>
        <v/>
      </c>
      <c r="AH738" s="371"/>
      <c r="AI738" s="497"/>
      <c r="AJ738" s="498"/>
      <c r="AK738" s="485" t="str">
        <f t="shared" si="1660"/>
        <v/>
      </c>
      <c r="AL738" s="371"/>
      <c r="AM738" s="232" t="str">
        <f t="shared" si="1661"/>
        <v/>
      </c>
      <c r="AN738" s="232" t="str">
        <f t="shared" si="1662"/>
        <v/>
      </c>
      <c r="AO738" s="232" t="str">
        <f t="shared" si="1663"/>
        <v/>
      </c>
      <c r="AP738" s="232" t="str">
        <f t="shared" si="1693"/>
        <v/>
      </c>
      <c r="AQ738" s="371"/>
      <c r="AR738" s="497"/>
      <c r="AS738" s="498"/>
      <c r="AT738" s="485" t="str">
        <f t="shared" si="1664"/>
        <v/>
      </c>
      <c r="AU738" s="371"/>
      <c r="AV738" s="232" t="str">
        <f t="shared" si="1665"/>
        <v/>
      </c>
      <c r="AW738" s="232" t="str">
        <f t="shared" si="1666"/>
        <v/>
      </c>
      <c r="AX738" s="232" t="str">
        <f t="shared" si="1667"/>
        <v/>
      </c>
      <c r="AY738" s="232" t="str">
        <f t="shared" si="1694"/>
        <v/>
      </c>
      <c r="AZ738" s="371"/>
      <c r="BA738" s="497"/>
      <c r="BB738" s="498"/>
      <c r="BC738" s="485" t="str">
        <f t="shared" si="1668"/>
        <v/>
      </c>
      <c r="BD738" s="371"/>
      <c r="BE738" s="232" t="str">
        <f t="shared" si="1669"/>
        <v/>
      </c>
      <c r="BF738" s="232" t="str">
        <f t="shared" si="1670"/>
        <v/>
      </c>
      <c r="BG738" s="232" t="str">
        <f t="shared" si="1671"/>
        <v/>
      </c>
      <c r="BH738" s="232" t="str">
        <f t="shared" si="1695"/>
        <v/>
      </c>
      <c r="BI738" s="371"/>
      <c r="BJ738" s="497"/>
      <c r="BK738" s="498"/>
      <c r="BL738" s="485" t="str">
        <f t="shared" si="1672"/>
        <v/>
      </c>
      <c r="BM738" s="371"/>
      <c r="BN738" s="232" t="str">
        <f t="shared" si="1673"/>
        <v/>
      </c>
      <c r="BO738" s="232" t="str">
        <f t="shared" si="1674"/>
        <v/>
      </c>
      <c r="BP738" s="232" t="str">
        <f t="shared" si="1675"/>
        <v/>
      </c>
      <c r="BQ738" s="232" t="str">
        <f t="shared" si="1696"/>
        <v/>
      </c>
      <c r="BR738" s="371"/>
      <c r="BS738" s="497"/>
      <c r="BT738" s="498"/>
      <c r="BU738" s="485" t="str">
        <f t="shared" si="1676"/>
        <v/>
      </c>
      <c r="BV738" s="371"/>
      <c r="BW738" s="232" t="str">
        <f t="shared" si="1677"/>
        <v/>
      </c>
      <c r="BX738" s="232" t="str">
        <f t="shared" si="1678"/>
        <v/>
      </c>
      <c r="BY738" s="232" t="str">
        <f t="shared" si="1679"/>
        <v/>
      </c>
      <c r="BZ738" s="232" t="str">
        <f t="shared" si="1697"/>
        <v/>
      </c>
      <c r="CA738" s="371"/>
      <c r="CB738" s="504" t="str">
        <f t="shared" si="1680"/>
        <v/>
      </c>
      <c r="CC738" s="505" t="str">
        <f t="shared" si="1681"/>
        <v/>
      </c>
      <c r="CD738" s="506" t="str">
        <f t="shared" si="1682"/>
        <v/>
      </c>
      <c r="CE738" s="371"/>
      <c r="CF738" s="232" t="str">
        <f t="shared" si="1683"/>
        <v/>
      </c>
      <c r="CG738" s="232" t="str">
        <f t="shared" si="1684"/>
        <v/>
      </c>
      <c r="CH738" s="232" t="str">
        <f t="shared" si="1685"/>
        <v/>
      </c>
      <c r="CI738" s="232" t="str">
        <f t="shared" si="1698"/>
        <v/>
      </c>
      <c r="CJ738" s="232"/>
      <c r="CK738" s="497"/>
      <c r="CL738" s="498"/>
      <c r="CM738" s="485" t="str">
        <f t="shared" si="1686"/>
        <v/>
      </c>
      <c r="CN738" s="371"/>
      <c r="CO738" s="232" t="str">
        <f t="shared" si="1687"/>
        <v/>
      </c>
      <c r="CP738" s="232" t="str">
        <f t="shared" si="1688"/>
        <v/>
      </c>
      <c r="CQ738" s="232" t="str">
        <f t="shared" si="1689"/>
        <v/>
      </c>
      <c r="CR738" s="232" t="str">
        <f t="shared" si="1699"/>
        <v/>
      </c>
      <c r="CS738" s="232"/>
      <c r="CT738" s="371"/>
      <c r="CU738" s="296"/>
      <c r="CV738" s="246"/>
      <c r="CW738" s="264"/>
    </row>
    <row r="739" spans="1:101" ht="13.5" thickBot="1" x14ac:dyDescent="0.25">
      <c r="A739" s="264"/>
      <c r="B739" s="264"/>
      <c r="C739" s="202"/>
      <c r="D739" s="271">
        <v>6</v>
      </c>
      <c r="E739" s="168"/>
      <c r="F739" s="470"/>
      <c r="G739" s="476"/>
      <c r="H739" s="477"/>
      <c r="I739" s="392" t="str">
        <f t="shared" si="1650"/>
        <v/>
      </c>
      <c r="J739" s="393" t="str">
        <f t="shared" si="1651"/>
        <v/>
      </c>
      <c r="K739" s="394" t="str">
        <f t="shared" si="1652"/>
        <v/>
      </c>
      <c r="L739" s="299"/>
      <c r="M739" s="375"/>
      <c r="N739" s="379"/>
      <c r="O739" s="236"/>
      <c r="P739" s="236"/>
      <c r="Q739" s="489"/>
      <c r="R739" s="490"/>
      <c r="S739" s="491" t="str">
        <f t="shared" si="1690"/>
        <v/>
      </c>
      <c r="T739" s="371"/>
      <c r="U739" s="232" t="str">
        <f t="shared" si="1653"/>
        <v/>
      </c>
      <c r="V739" s="232" t="str">
        <f t="shared" si="1654"/>
        <v/>
      </c>
      <c r="W739" s="232" t="str">
        <f t="shared" si="1655"/>
        <v/>
      </c>
      <c r="X739" s="232" t="str">
        <f t="shared" si="1691"/>
        <v/>
      </c>
      <c r="Y739" s="371"/>
      <c r="Z739" s="499"/>
      <c r="AA739" s="500"/>
      <c r="AB739" s="491" t="str">
        <f t="shared" si="1656"/>
        <v/>
      </c>
      <c r="AC739" s="371"/>
      <c r="AD739" s="232" t="str">
        <f t="shared" si="1657"/>
        <v/>
      </c>
      <c r="AE739" s="232" t="str">
        <f t="shared" si="1658"/>
        <v/>
      </c>
      <c r="AF739" s="232" t="str">
        <f t="shared" si="1659"/>
        <v/>
      </c>
      <c r="AG739" s="232" t="str">
        <f t="shared" si="1692"/>
        <v/>
      </c>
      <c r="AH739" s="371"/>
      <c r="AI739" s="499"/>
      <c r="AJ739" s="500"/>
      <c r="AK739" s="491" t="str">
        <f t="shared" si="1660"/>
        <v/>
      </c>
      <c r="AL739" s="371"/>
      <c r="AM739" s="232" t="str">
        <f t="shared" si="1661"/>
        <v/>
      </c>
      <c r="AN739" s="232" t="str">
        <f t="shared" si="1662"/>
        <v/>
      </c>
      <c r="AO739" s="232" t="str">
        <f t="shared" si="1663"/>
        <v/>
      </c>
      <c r="AP739" s="232" t="str">
        <f t="shared" si="1693"/>
        <v/>
      </c>
      <c r="AQ739" s="371"/>
      <c r="AR739" s="499"/>
      <c r="AS739" s="500"/>
      <c r="AT739" s="491" t="str">
        <f t="shared" si="1664"/>
        <v/>
      </c>
      <c r="AU739" s="371"/>
      <c r="AV739" s="232" t="str">
        <f t="shared" si="1665"/>
        <v/>
      </c>
      <c r="AW739" s="232" t="str">
        <f t="shared" si="1666"/>
        <v/>
      </c>
      <c r="AX739" s="232" t="str">
        <f t="shared" si="1667"/>
        <v/>
      </c>
      <c r="AY739" s="232" t="str">
        <f t="shared" si="1694"/>
        <v/>
      </c>
      <c r="AZ739" s="371"/>
      <c r="BA739" s="499"/>
      <c r="BB739" s="500"/>
      <c r="BC739" s="491" t="str">
        <f>IF(BA739="","",100-SUM(BA739:BB739))</f>
        <v/>
      </c>
      <c r="BD739" s="371"/>
      <c r="BE739" s="232" t="str">
        <f t="shared" si="1669"/>
        <v/>
      </c>
      <c r="BF739" s="232" t="str">
        <f t="shared" si="1670"/>
        <v/>
      </c>
      <c r="BG739" s="232" t="str">
        <f t="shared" si="1671"/>
        <v/>
      </c>
      <c r="BH739" s="232" t="str">
        <f t="shared" si="1695"/>
        <v/>
      </c>
      <c r="BI739" s="371"/>
      <c r="BJ739" s="499"/>
      <c r="BK739" s="500"/>
      <c r="BL739" s="491" t="str">
        <f t="shared" si="1672"/>
        <v/>
      </c>
      <c r="BM739" s="371"/>
      <c r="BN739" s="232" t="str">
        <f t="shared" si="1673"/>
        <v/>
      </c>
      <c r="BO739" s="232" t="str">
        <f t="shared" si="1674"/>
        <v/>
      </c>
      <c r="BP739" s="232" t="str">
        <f t="shared" si="1675"/>
        <v/>
      </c>
      <c r="BQ739" s="232" t="str">
        <f t="shared" si="1696"/>
        <v/>
      </c>
      <c r="BR739" s="371"/>
      <c r="BS739" s="499"/>
      <c r="BT739" s="500"/>
      <c r="BU739" s="491" t="str">
        <f t="shared" si="1676"/>
        <v/>
      </c>
      <c r="BV739" s="371"/>
      <c r="BW739" s="232" t="str">
        <f t="shared" si="1677"/>
        <v/>
      </c>
      <c r="BX739" s="232" t="str">
        <f t="shared" si="1678"/>
        <v/>
      </c>
      <c r="BY739" s="232" t="str">
        <f t="shared" si="1679"/>
        <v/>
      </c>
      <c r="BZ739" s="232" t="str">
        <f t="shared" si="1697"/>
        <v/>
      </c>
      <c r="CA739" s="371"/>
      <c r="CB739" s="507" t="str">
        <f t="shared" si="1680"/>
        <v/>
      </c>
      <c r="CC739" s="508" t="str">
        <f t="shared" si="1681"/>
        <v/>
      </c>
      <c r="CD739" s="509" t="str">
        <f t="shared" si="1682"/>
        <v/>
      </c>
      <c r="CE739" s="371"/>
      <c r="CF739" s="232" t="str">
        <f t="shared" si="1683"/>
        <v/>
      </c>
      <c r="CG739" s="232" t="str">
        <f t="shared" si="1684"/>
        <v/>
      </c>
      <c r="CH739" s="232" t="str">
        <f t="shared" si="1685"/>
        <v/>
      </c>
      <c r="CI739" s="232" t="str">
        <f t="shared" si="1698"/>
        <v/>
      </c>
      <c r="CJ739" s="232"/>
      <c r="CK739" s="499"/>
      <c r="CL739" s="500"/>
      <c r="CM739" s="491" t="str">
        <f t="shared" si="1686"/>
        <v/>
      </c>
      <c r="CN739" s="371"/>
      <c r="CO739" s="232" t="str">
        <f t="shared" si="1687"/>
        <v/>
      </c>
      <c r="CP739" s="232" t="str">
        <f t="shared" si="1688"/>
        <v/>
      </c>
      <c r="CQ739" s="232" t="str">
        <f t="shared" si="1689"/>
        <v/>
      </c>
      <c r="CR739" s="232" t="str">
        <f t="shared" si="1699"/>
        <v/>
      </c>
      <c r="CS739" s="232"/>
      <c r="CT739" s="371"/>
      <c r="CU739" s="296"/>
      <c r="CV739" s="246"/>
      <c r="CW739" s="264"/>
    </row>
    <row r="740" spans="1:101" x14ac:dyDescent="0.2">
      <c r="A740" s="264"/>
      <c r="B740" s="264"/>
      <c r="C740" s="202"/>
      <c r="D740" s="271">
        <v>7</v>
      </c>
      <c r="E740" s="166"/>
      <c r="F740" s="468"/>
      <c r="G740" s="472"/>
      <c r="H740" s="473"/>
      <c r="I740" s="170" t="str">
        <f t="shared" si="1650"/>
        <v/>
      </c>
      <c r="J740" s="387" t="str">
        <f t="shared" si="1651"/>
        <v/>
      </c>
      <c r="K740" s="388" t="str">
        <f t="shared" si="1652"/>
        <v/>
      </c>
      <c r="L740" s="299"/>
      <c r="M740" s="375"/>
      <c r="N740" s="379"/>
      <c r="O740" s="236"/>
      <c r="P740" s="236"/>
      <c r="Q740" s="480"/>
      <c r="R740" s="481"/>
      <c r="S740" s="482" t="str">
        <f t="shared" si="1690"/>
        <v/>
      </c>
      <c r="T740" s="371"/>
      <c r="U740" s="232" t="str">
        <f t="shared" si="1653"/>
        <v/>
      </c>
      <c r="V740" s="232" t="str">
        <f t="shared" si="1654"/>
        <v/>
      </c>
      <c r="W740" s="232" t="str">
        <f t="shared" si="1655"/>
        <v/>
      </c>
      <c r="X740" s="232" t="str">
        <f t="shared" si="1691"/>
        <v/>
      </c>
      <c r="Y740" s="371"/>
      <c r="Z740" s="495"/>
      <c r="AA740" s="496"/>
      <c r="AB740" s="482" t="str">
        <f t="shared" si="1656"/>
        <v/>
      </c>
      <c r="AC740" s="371"/>
      <c r="AD740" s="232" t="str">
        <f t="shared" si="1657"/>
        <v/>
      </c>
      <c r="AE740" s="232" t="str">
        <f t="shared" si="1658"/>
        <v/>
      </c>
      <c r="AF740" s="232" t="str">
        <f t="shared" si="1659"/>
        <v/>
      </c>
      <c r="AG740" s="232" t="str">
        <f t="shared" si="1692"/>
        <v/>
      </c>
      <c r="AH740" s="371"/>
      <c r="AI740" s="495"/>
      <c r="AJ740" s="496"/>
      <c r="AK740" s="482" t="str">
        <f t="shared" si="1660"/>
        <v/>
      </c>
      <c r="AL740" s="371"/>
      <c r="AM740" s="232" t="str">
        <f t="shared" si="1661"/>
        <v/>
      </c>
      <c r="AN740" s="232" t="str">
        <f t="shared" si="1662"/>
        <v/>
      </c>
      <c r="AO740" s="232" t="str">
        <f t="shared" si="1663"/>
        <v/>
      </c>
      <c r="AP740" s="232" t="str">
        <f t="shared" si="1693"/>
        <v/>
      </c>
      <c r="AQ740" s="371"/>
      <c r="AR740" s="495"/>
      <c r="AS740" s="496"/>
      <c r="AT740" s="482" t="str">
        <f t="shared" si="1664"/>
        <v/>
      </c>
      <c r="AU740" s="371"/>
      <c r="AV740" s="232" t="str">
        <f t="shared" si="1665"/>
        <v/>
      </c>
      <c r="AW740" s="232" t="str">
        <f t="shared" si="1666"/>
        <v/>
      </c>
      <c r="AX740" s="232" t="str">
        <f t="shared" si="1667"/>
        <v/>
      </c>
      <c r="AY740" s="232" t="str">
        <f t="shared" si="1694"/>
        <v/>
      </c>
      <c r="AZ740" s="371"/>
      <c r="BA740" s="495"/>
      <c r="BB740" s="496"/>
      <c r="BC740" s="482" t="str">
        <f t="shared" si="1668"/>
        <v/>
      </c>
      <c r="BD740" s="371"/>
      <c r="BE740" s="232" t="str">
        <f t="shared" si="1669"/>
        <v/>
      </c>
      <c r="BF740" s="232" t="str">
        <f t="shared" si="1670"/>
        <v/>
      </c>
      <c r="BG740" s="232" t="str">
        <f t="shared" si="1671"/>
        <v/>
      </c>
      <c r="BH740" s="232" t="str">
        <f t="shared" si="1695"/>
        <v/>
      </c>
      <c r="BI740" s="371"/>
      <c r="BJ740" s="495"/>
      <c r="BK740" s="496"/>
      <c r="BL740" s="482" t="str">
        <f t="shared" si="1672"/>
        <v/>
      </c>
      <c r="BM740" s="371"/>
      <c r="BN740" s="232" t="str">
        <f t="shared" si="1673"/>
        <v/>
      </c>
      <c r="BO740" s="232" t="str">
        <f t="shared" si="1674"/>
        <v/>
      </c>
      <c r="BP740" s="232" t="str">
        <f t="shared" si="1675"/>
        <v/>
      </c>
      <c r="BQ740" s="232" t="str">
        <f t="shared" si="1696"/>
        <v/>
      </c>
      <c r="BR740" s="371"/>
      <c r="BS740" s="495"/>
      <c r="BT740" s="496"/>
      <c r="BU740" s="482" t="str">
        <f t="shared" si="1676"/>
        <v/>
      </c>
      <c r="BV740" s="371"/>
      <c r="BW740" s="232" t="str">
        <f t="shared" si="1677"/>
        <v/>
      </c>
      <c r="BX740" s="232" t="str">
        <f t="shared" si="1678"/>
        <v/>
      </c>
      <c r="BY740" s="232" t="str">
        <f t="shared" si="1679"/>
        <v/>
      </c>
      <c r="BZ740" s="232" t="str">
        <f t="shared" si="1697"/>
        <v/>
      </c>
      <c r="CA740" s="371"/>
      <c r="CB740" s="501" t="str">
        <f t="shared" si="1680"/>
        <v/>
      </c>
      <c r="CC740" s="502" t="str">
        <f t="shared" si="1681"/>
        <v/>
      </c>
      <c r="CD740" s="503" t="str">
        <f t="shared" si="1682"/>
        <v/>
      </c>
      <c r="CE740" s="371"/>
      <c r="CF740" s="232" t="str">
        <f t="shared" si="1683"/>
        <v/>
      </c>
      <c r="CG740" s="232" t="str">
        <f t="shared" si="1684"/>
        <v/>
      </c>
      <c r="CH740" s="232" t="str">
        <f t="shared" si="1685"/>
        <v/>
      </c>
      <c r="CI740" s="232" t="str">
        <f t="shared" si="1698"/>
        <v/>
      </c>
      <c r="CJ740" s="232"/>
      <c r="CK740" s="495"/>
      <c r="CL740" s="496"/>
      <c r="CM740" s="482" t="str">
        <f t="shared" si="1686"/>
        <v/>
      </c>
      <c r="CN740" s="371"/>
      <c r="CO740" s="232" t="str">
        <f t="shared" si="1687"/>
        <v/>
      </c>
      <c r="CP740" s="232" t="str">
        <f t="shared" si="1688"/>
        <v/>
      </c>
      <c r="CQ740" s="232" t="str">
        <f t="shared" si="1689"/>
        <v/>
      </c>
      <c r="CR740" s="232" t="str">
        <f t="shared" si="1699"/>
        <v/>
      </c>
      <c r="CS740" s="232"/>
      <c r="CT740" s="371"/>
      <c r="CU740" s="300"/>
      <c r="CV740" s="246"/>
      <c r="CW740" s="264"/>
    </row>
    <row r="741" spans="1:101" x14ac:dyDescent="0.2">
      <c r="A741" s="264"/>
      <c r="B741" s="264"/>
      <c r="C741" s="202"/>
      <c r="D741" s="271">
        <v>8</v>
      </c>
      <c r="E741" s="167"/>
      <c r="F741" s="469"/>
      <c r="G741" s="474"/>
      <c r="H741" s="475"/>
      <c r="I741" s="389" t="str">
        <f t="shared" si="1650"/>
        <v/>
      </c>
      <c r="J741" s="390" t="str">
        <f t="shared" si="1651"/>
        <v/>
      </c>
      <c r="K741" s="391" t="str">
        <f t="shared" si="1652"/>
        <v/>
      </c>
      <c r="L741" s="299"/>
      <c r="M741" s="375"/>
      <c r="N741" s="379"/>
      <c r="O741" s="236"/>
      <c r="P741" s="236"/>
      <c r="Q741" s="483"/>
      <c r="R741" s="484"/>
      <c r="S741" s="485" t="str">
        <f t="shared" si="1690"/>
        <v/>
      </c>
      <c r="T741" s="371"/>
      <c r="U741" s="232" t="str">
        <f t="shared" si="1653"/>
        <v/>
      </c>
      <c r="V741" s="232" t="str">
        <f t="shared" si="1654"/>
        <v/>
      </c>
      <c r="W741" s="232" t="str">
        <f t="shared" si="1655"/>
        <v/>
      </c>
      <c r="X741" s="232" t="str">
        <f t="shared" si="1691"/>
        <v/>
      </c>
      <c r="Y741" s="371"/>
      <c r="Z741" s="497"/>
      <c r="AA741" s="498"/>
      <c r="AB741" s="485" t="str">
        <f t="shared" si="1656"/>
        <v/>
      </c>
      <c r="AC741" s="371"/>
      <c r="AD741" s="232" t="str">
        <f t="shared" si="1657"/>
        <v/>
      </c>
      <c r="AE741" s="232" t="str">
        <f t="shared" si="1658"/>
        <v/>
      </c>
      <c r="AF741" s="232" t="str">
        <f t="shared" si="1659"/>
        <v/>
      </c>
      <c r="AG741" s="232" t="str">
        <f t="shared" si="1692"/>
        <v/>
      </c>
      <c r="AH741" s="371"/>
      <c r="AI741" s="497"/>
      <c r="AJ741" s="498"/>
      <c r="AK741" s="485" t="str">
        <f t="shared" si="1660"/>
        <v/>
      </c>
      <c r="AL741" s="371"/>
      <c r="AM741" s="232" t="str">
        <f t="shared" si="1661"/>
        <v/>
      </c>
      <c r="AN741" s="232" t="str">
        <f t="shared" si="1662"/>
        <v/>
      </c>
      <c r="AO741" s="232" t="str">
        <f t="shared" si="1663"/>
        <v/>
      </c>
      <c r="AP741" s="232" t="str">
        <f t="shared" si="1693"/>
        <v/>
      </c>
      <c r="AQ741" s="371"/>
      <c r="AR741" s="497"/>
      <c r="AS741" s="498"/>
      <c r="AT741" s="485" t="str">
        <f t="shared" si="1664"/>
        <v/>
      </c>
      <c r="AU741" s="371"/>
      <c r="AV741" s="232" t="str">
        <f t="shared" si="1665"/>
        <v/>
      </c>
      <c r="AW741" s="232" t="str">
        <f t="shared" si="1666"/>
        <v/>
      </c>
      <c r="AX741" s="232" t="str">
        <f t="shared" si="1667"/>
        <v/>
      </c>
      <c r="AY741" s="232" t="str">
        <f t="shared" si="1694"/>
        <v/>
      </c>
      <c r="AZ741" s="371"/>
      <c r="BA741" s="497"/>
      <c r="BB741" s="498"/>
      <c r="BC741" s="485" t="str">
        <f t="shared" si="1668"/>
        <v/>
      </c>
      <c r="BD741" s="371"/>
      <c r="BE741" s="232" t="str">
        <f t="shared" si="1669"/>
        <v/>
      </c>
      <c r="BF741" s="232" t="str">
        <f t="shared" si="1670"/>
        <v/>
      </c>
      <c r="BG741" s="232" t="str">
        <f t="shared" si="1671"/>
        <v/>
      </c>
      <c r="BH741" s="232" t="str">
        <f t="shared" si="1695"/>
        <v/>
      </c>
      <c r="BI741" s="371"/>
      <c r="BJ741" s="497"/>
      <c r="BK741" s="498"/>
      <c r="BL741" s="485" t="str">
        <f t="shared" si="1672"/>
        <v/>
      </c>
      <c r="BM741" s="371"/>
      <c r="BN741" s="232" t="str">
        <f t="shared" si="1673"/>
        <v/>
      </c>
      <c r="BO741" s="232" t="str">
        <f t="shared" si="1674"/>
        <v/>
      </c>
      <c r="BP741" s="232" t="str">
        <f t="shared" si="1675"/>
        <v/>
      </c>
      <c r="BQ741" s="232" t="str">
        <f t="shared" si="1696"/>
        <v/>
      </c>
      <c r="BR741" s="371"/>
      <c r="BS741" s="497"/>
      <c r="BT741" s="498"/>
      <c r="BU741" s="485" t="str">
        <f t="shared" si="1676"/>
        <v/>
      </c>
      <c r="BV741" s="371"/>
      <c r="BW741" s="232" t="str">
        <f t="shared" si="1677"/>
        <v/>
      </c>
      <c r="BX741" s="232" t="str">
        <f t="shared" si="1678"/>
        <v/>
      </c>
      <c r="BY741" s="232" t="str">
        <f t="shared" si="1679"/>
        <v/>
      </c>
      <c r="BZ741" s="232" t="str">
        <f t="shared" si="1697"/>
        <v/>
      </c>
      <c r="CA741" s="371"/>
      <c r="CB741" s="504" t="str">
        <f t="shared" si="1680"/>
        <v/>
      </c>
      <c r="CC741" s="505" t="str">
        <f t="shared" si="1681"/>
        <v/>
      </c>
      <c r="CD741" s="506" t="str">
        <f t="shared" si="1682"/>
        <v/>
      </c>
      <c r="CE741" s="371"/>
      <c r="CF741" s="232" t="str">
        <f t="shared" si="1683"/>
        <v/>
      </c>
      <c r="CG741" s="232" t="str">
        <f t="shared" si="1684"/>
        <v/>
      </c>
      <c r="CH741" s="232" t="str">
        <f t="shared" si="1685"/>
        <v/>
      </c>
      <c r="CI741" s="232" t="str">
        <f t="shared" si="1698"/>
        <v/>
      </c>
      <c r="CJ741" s="232"/>
      <c r="CK741" s="497"/>
      <c r="CL741" s="498"/>
      <c r="CM741" s="485" t="str">
        <f t="shared" si="1686"/>
        <v/>
      </c>
      <c r="CN741" s="371"/>
      <c r="CO741" s="232" t="str">
        <f t="shared" si="1687"/>
        <v/>
      </c>
      <c r="CP741" s="232" t="str">
        <f t="shared" si="1688"/>
        <v/>
      </c>
      <c r="CQ741" s="232" t="str">
        <f t="shared" si="1689"/>
        <v/>
      </c>
      <c r="CR741" s="232" t="str">
        <f t="shared" si="1699"/>
        <v/>
      </c>
      <c r="CS741" s="232"/>
      <c r="CT741" s="371"/>
      <c r="CU741" s="300"/>
      <c r="CV741" s="246"/>
      <c r="CW741" s="264"/>
    </row>
    <row r="742" spans="1:101" ht="13.5" thickBot="1" x14ac:dyDescent="0.25">
      <c r="A742" s="264"/>
      <c r="B742" s="264"/>
      <c r="C742" s="202"/>
      <c r="D742" s="271">
        <v>9</v>
      </c>
      <c r="E742" s="168"/>
      <c r="F742" s="470"/>
      <c r="G742" s="476"/>
      <c r="H742" s="477"/>
      <c r="I742" s="392" t="str">
        <f t="shared" si="1650"/>
        <v/>
      </c>
      <c r="J742" s="393" t="str">
        <f t="shared" si="1651"/>
        <v/>
      </c>
      <c r="K742" s="394" t="str">
        <f t="shared" si="1652"/>
        <v/>
      </c>
      <c r="L742" s="299"/>
      <c r="M742" s="375"/>
      <c r="N742" s="379"/>
      <c r="O742" s="236"/>
      <c r="P742" s="236"/>
      <c r="Q742" s="489"/>
      <c r="R742" s="490"/>
      <c r="S742" s="491" t="str">
        <f t="shared" si="1690"/>
        <v/>
      </c>
      <c r="T742" s="371"/>
      <c r="U742" s="232" t="str">
        <f t="shared" si="1653"/>
        <v/>
      </c>
      <c r="V742" s="232" t="str">
        <f t="shared" si="1654"/>
        <v/>
      </c>
      <c r="W742" s="232" t="str">
        <f t="shared" si="1655"/>
        <v/>
      </c>
      <c r="X742" s="232" t="str">
        <f t="shared" si="1691"/>
        <v/>
      </c>
      <c r="Y742" s="371"/>
      <c r="Z742" s="499"/>
      <c r="AA742" s="500"/>
      <c r="AB742" s="491" t="str">
        <f t="shared" si="1656"/>
        <v/>
      </c>
      <c r="AC742" s="371"/>
      <c r="AD742" s="232" t="str">
        <f t="shared" si="1657"/>
        <v/>
      </c>
      <c r="AE742" s="232" t="str">
        <f t="shared" si="1658"/>
        <v/>
      </c>
      <c r="AF742" s="232" t="str">
        <f t="shared" si="1659"/>
        <v/>
      </c>
      <c r="AG742" s="232" t="str">
        <f t="shared" si="1692"/>
        <v/>
      </c>
      <c r="AH742" s="371"/>
      <c r="AI742" s="499"/>
      <c r="AJ742" s="500"/>
      <c r="AK742" s="491" t="str">
        <f t="shared" si="1660"/>
        <v/>
      </c>
      <c r="AL742" s="371"/>
      <c r="AM742" s="232" t="str">
        <f t="shared" si="1661"/>
        <v/>
      </c>
      <c r="AN742" s="232" t="str">
        <f t="shared" si="1662"/>
        <v/>
      </c>
      <c r="AO742" s="232" t="str">
        <f t="shared" si="1663"/>
        <v/>
      </c>
      <c r="AP742" s="232" t="str">
        <f t="shared" si="1693"/>
        <v/>
      </c>
      <c r="AQ742" s="371"/>
      <c r="AR742" s="499"/>
      <c r="AS742" s="500"/>
      <c r="AT742" s="491" t="str">
        <f t="shared" si="1664"/>
        <v/>
      </c>
      <c r="AU742" s="371"/>
      <c r="AV742" s="232" t="str">
        <f t="shared" si="1665"/>
        <v/>
      </c>
      <c r="AW742" s="232" t="str">
        <f t="shared" si="1666"/>
        <v/>
      </c>
      <c r="AX742" s="232" t="str">
        <f t="shared" si="1667"/>
        <v/>
      </c>
      <c r="AY742" s="232" t="str">
        <f t="shared" si="1694"/>
        <v/>
      </c>
      <c r="AZ742" s="371"/>
      <c r="BA742" s="499"/>
      <c r="BB742" s="500"/>
      <c r="BC742" s="491" t="str">
        <f t="shared" si="1668"/>
        <v/>
      </c>
      <c r="BD742" s="371"/>
      <c r="BE742" s="232" t="str">
        <f t="shared" si="1669"/>
        <v/>
      </c>
      <c r="BF742" s="232" t="str">
        <f t="shared" si="1670"/>
        <v/>
      </c>
      <c r="BG742" s="232" t="str">
        <f t="shared" si="1671"/>
        <v/>
      </c>
      <c r="BH742" s="232" t="str">
        <f t="shared" si="1695"/>
        <v/>
      </c>
      <c r="BI742" s="371"/>
      <c r="BJ742" s="499"/>
      <c r="BK742" s="500"/>
      <c r="BL742" s="491" t="str">
        <f t="shared" si="1672"/>
        <v/>
      </c>
      <c r="BM742" s="371"/>
      <c r="BN742" s="232" t="str">
        <f t="shared" si="1673"/>
        <v/>
      </c>
      <c r="BO742" s="232" t="str">
        <f t="shared" si="1674"/>
        <v/>
      </c>
      <c r="BP742" s="232" t="str">
        <f t="shared" si="1675"/>
        <v/>
      </c>
      <c r="BQ742" s="232" t="str">
        <f t="shared" si="1696"/>
        <v/>
      </c>
      <c r="BR742" s="371"/>
      <c r="BS742" s="499"/>
      <c r="BT742" s="500"/>
      <c r="BU742" s="491" t="str">
        <f t="shared" si="1676"/>
        <v/>
      </c>
      <c r="BV742" s="371"/>
      <c r="BW742" s="232" t="str">
        <f t="shared" si="1677"/>
        <v/>
      </c>
      <c r="BX742" s="232" t="str">
        <f t="shared" si="1678"/>
        <v/>
      </c>
      <c r="BY742" s="232" t="str">
        <f t="shared" si="1679"/>
        <v/>
      </c>
      <c r="BZ742" s="232" t="str">
        <f t="shared" si="1697"/>
        <v/>
      </c>
      <c r="CA742" s="371"/>
      <c r="CB742" s="507" t="str">
        <f t="shared" si="1680"/>
        <v/>
      </c>
      <c r="CC742" s="508" t="str">
        <f t="shared" si="1681"/>
        <v/>
      </c>
      <c r="CD742" s="509" t="str">
        <f t="shared" si="1682"/>
        <v/>
      </c>
      <c r="CE742" s="371"/>
      <c r="CF742" s="232" t="str">
        <f t="shared" si="1683"/>
        <v/>
      </c>
      <c r="CG742" s="232" t="str">
        <f t="shared" si="1684"/>
        <v/>
      </c>
      <c r="CH742" s="232" t="str">
        <f t="shared" si="1685"/>
        <v/>
      </c>
      <c r="CI742" s="232" t="str">
        <f t="shared" si="1698"/>
        <v/>
      </c>
      <c r="CJ742" s="232"/>
      <c r="CK742" s="499"/>
      <c r="CL742" s="500"/>
      <c r="CM742" s="491" t="str">
        <f t="shared" si="1686"/>
        <v/>
      </c>
      <c r="CN742" s="371"/>
      <c r="CO742" s="232" t="str">
        <f t="shared" si="1687"/>
        <v/>
      </c>
      <c r="CP742" s="232" t="str">
        <f t="shared" si="1688"/>
        <v/>
      </c>
      <c r="CQ742" s="232" t="str">
        <f t="shared" si="1689"/>
        <v/>
      </c>
      <c r="CR742" s="232" t="str">
        <f t="shared" si="1699"/>
        <v/>
      </c>
      <c r="CS742" s="232"/>
      <c r="CT742" s="371"/>
      <c r="CU742" s="300"/>
      <c r="CV742" s="246"/>
      <c r="CW742" s="264"/>
    </row>
    <row r="743" spans="1:101" x14ac:dyDescent="0.2">
      <c r="A743" s="264"/>
      <c r="B743" s="264"/>
      <c r="C743" s="202"/>
      <c r="D743" s="271">
        <v>10</v>
      </c>
      <c r="E743" s="169"/>
      <c r="F743" s="471"/>
      <c r="G743" s="478"/>
      <c r="H743" s="479"/>
      <c r="I743" s="170" t="str">
        <f t="shared" si="1650"/>
        <v/>
      </c>
      <c r="J743" s="387" t="str">
        <f t="shared" si="1651"/>
        <v/>
      </c>
      <c r="K743" s="388" t="str">
        <f t="shared" si="1652"/>
        <v/>
      </c>
      <c r="L743" s="299"/>
      <c r="M743" s="375"/>
      <c r="N743" s="379"/>
      <c r="O743" s="236"/>
      <c r="P743" s="236"/>
      <c r="Q743" s="492"/>
      <c r="R743" s="493"/>
      <c r="S743" s="494" t="str">
        <f t="shared" si="1690"/>
        <v/>
      </c>
      <c r="T743" s="371"/>
      <c r="U743" s="232" t="str">
        <f t="shared" si="1653"/>
        <v/>
      </c>
      <c r="V743" s="232" t="str">
        <f t="shared" si="1654"/>
        <v/>
      </c>
      <c r="W743" s="232" t="str">
        <f t="shared" si="1655"/>
        <v/>
      </c>
      <c r="X743" s="232" t="str">
        <f t="shared" si="1691"/>
        <v/>
      </c>
      <c r="Y743" s="371"/>
      <c r="Z743" s="495"/>
      <c r="AA743" s="496"/>
      <c r="AB743" s="494" t="str">
        <f t="shared" si="1656"/>
        <v/>
      </c>
      <c r="AC743" s="371"/>
      <c r="AD743" s="232" t="str">
        <f t="shared" si="1657"/>
        <v/>
      </c>
      <c r="AE743" s="232" t="str">
        <f t="shared" si="1658"/>
        <v/>
      </c>
      <c r="AF743" s="232" t="str">
        <f t="shared" si="1659"/>
        <v/>
      </c>
      <c r="AG743" s="232" t="str">
        <f t="shared" si="1692"/>
        <v/>
      </c>
      <c r="AH743" s="371"/>
      <c r="AI743" s="495"/>
      <c r="AJ743" s="496"/>
      <c r="AK743" s="494" t="str">
        <f t="shared" si="1660"/>
        <v/>
      </c>
      <c r="AL743" s="371"/>
      <c r="AM743" s="232" t="str">
        <f t="shared" si="1661"/>
        <v/>
      </c>
      <c r="AN743" s="232" t="str">
        <f t="shared" si="1662"/>
        <v/>
      </c>
      <c r="AO743" s="232" t="str">
        <f t="shared" si="1663"/>
        <v/>
      </c>
      <c r="AP743" s="232" t="str">
        <f t="shared" si="1693"/>
        <v/>
      </c>
      <c r="AQ743" s="371"/>
      <c r="AR743" s="495"/>
      <c r="AS743" s="496"/>
      <c r="AT743" s="494" t="str">
        <f t="shared" si="1664"/>
        <v/>
      </c>
      <c r="AU743" s="371"/>
      <c r="AV743" s="232" t="str">
        <f t="shared" si="1665"/>
        <v/>
      </c>
      <c r="AW743" s="232" t="str">
        <f t="shared" si="1666"/>
        <v/>
      </c>
      <c r="AX743" s="232" t="str">
        <f t="shared" si="1667"/>
        <v/>
      </c>
      <c r="AY743" s="232" t="str">
        <f t="shared" si="1694"/>
        <v/>
      </c>
      <c r="AZ743" s="371"/>
      <c r="BA743" s="495"/>
      <c r="BB743" s="496"/>
      <c r="BC743" s="494" t="str">
        <f>IF(BA743="","",100-SUM(BA743:BB743))</f>
        <v/>
      </c>
      <c r="BD743" s="371"/>
      <c r="BE743" s="232" t="str">
        <f t="shared" si="1669"/>
        <v/>
      </c>
      <c r="BF743" s="232" t="str">
        <f t="shared" si="1670"/>
        <v/>
      </c>
      <c r="BG743" s="232" t="str">
        <f t="shared" si="1671"/>
        <v/>
      </c>
      <c r="BH743" s="232" t="str">
        <f t="shared" si="1695"/>
        <v/>
      </c>
      <c r="BI743" s="371"/>
      <c r="BJ743" s="495"/>
      <c r="BK743" s="496"/>
      <c r="BL743" s="494" t="str">
        <f t="shared" si="1672"/>
        <v/>
      </c>
      <c r="BM743" s="371"/>
      <c r="BN743" s="232" t="str">
        <f t="shared" si="1673"/>
        <v/>
      </c>
      <c r="BO743" s="232" t="str">
        <f t="shared" si="1674"/>
        <v/>
      </c>
      <c r="BP743" s="232" t="str">
        <f t="shared" si="1675"/>
        <v/>
      </c>
      <c r="BQ743" s="232" t="str">
        <f t="shared" si="1696"/>
        <v/>
      </c>
      <c r="BR743" s="371"/>
      <c r="BS743" s="495"/>
      <c r="BT743" s="496"/>
      <c r="BU743" s="494" t="str">
        <f t="shared" si="1676"/>
        <v/>
      </c>
      <c r="BV743" s="371"/>
      <c r="BW743" s="232" t="str">
        <f t="shared" si="1677"/>
        <v/>
      </c>
      <c r="BX743" s="232" t="str">
        <f t="shared" si="1678"/>
        <v/>
      </c>
      <c r="BY743" s="232" t="str">
        <f t="shared" si="1679"/>
        <v/>
      </c>
      <c r="BZ743" s="232" t="str">
        <f t="shared" si="1697"/>
        <v/>
      </c>
      <c r="CA743" s="371"/>
      <c r="CB743" s="501" t="str">
        <f t="shared" si="1680"/>
        <v/>
      </c>
      <c r="CC743" s="502" t="str">
        <f t="shared" si="1681"/>
        <v/>
      </c>
      <c r="CD743" s="503" t="str">
        <f t="shared" si="1682"/>
        <v/>
      </c>
      <c r="CE743" s="371"/>
      <c r="CF743" s="232" t="str">
        <f t="shared" si="1683"/>
        <v/>
      </c>
      <c r="CG743" s="232" t="str">
        <f t="shared" si="1684"/>
        <v/>
      </c>
      <c r="CH743" s="232" t="str">
        <f t="shared" si="1685"/>
        <v/>
      </c>
      <c r="CI743" s="232" t="str">
        <f t="shared" si="1698"/>
        <v/>
      </c>
      <c r="CJ743" s="232"/>
      <c r="CK743" s="495"/>
      <c r="CL743" s="496"/>
      <c r="CM743" s="494" t="str">
        <f t="shared" si="1686"/>
        <v/>
      </c>
      <c r="CN743" s="371"/>
      <c r="CO743" s="232" t="str">
        <f t="shared" si="1687"/>
        <v/>
      </c>
      <c r="CP743" s="232" t="str">
        <f t="shared" si="1688"/>
        <v/>
      </c>
      <c r="CQ743" s="232" t="str">
        <f t="shared" si="1689"/>
        <v/>
      </c>
      <c r="CR743" s="232" t="str">
        <f t="shared" si="1699"/>
        <v/>
      </c>
      <c r="CS743" s="232"/>
      <c r="CT743" s="371"/>
      <c r="CU743" s="300"/>
      <c r="CV743" s="246"/>
      <c r="CW743" s="264"/>
    </row>
    <row r="744" spans="1:101" x14ac:dyDescent="0.2">
      <c r="A744" s="264"/>
      <c r="B744" s="264"/>
      <c r="C744" s="202"/>
      <c r="D744" s="271">
        <v>11</v>
      </c>
      <c r="E744" s="167"/>
      <c r="F744" s="469"/>
      <c r="G744" s="474"/>
      <c r="H744" s="475"/>
      <c r="I744" s="389" t="str">
        <f t="shared" si="1650"/>
        <v/>
      </c>
      <c r="J744" s="390" t="str">
        <f t="shared" si="1651"/>
        <v/>
      </c>
      <c r="K744" s="391" t="str">
        <f t="shared" si="1652"/>
        <v/>
      </c>
      <c r="L744" s="299"/>
      <c r="M744" s="375"/>
      <c r="N744" s="379"/>
      <c r="O744" s="236"/>
      <c r="P744" s="236"/>
      <c r="Q744" s="483"/>
      <c r="R744" s="484"/>
      <c r="S744" s="485" t="str">
        <f t="shared" si="1690"/>
        <v/>
      </c>
      <c r="T744" s="371"/>
      <c r="U744" s="232" t="str">
        <f t="shared" si="1653"/>
        <v/>
      </c>
      <c r="V744" s="232" t="str">
        <f t="shared" si="1654"/>
        <v/>
      </c>
      <c r="W744" s="232" t="str">
        <f t="shared" si="1655"/>
        <v/>
      </c>
      <c r="X744" s="232" t="str">
        <f t="shared" si="1691"/>
        <v/>
      </c>
      <c r="Y744" s="371"/>
      <c r="Z744" s="497"/>
      <c r="AA744" s="498"/>
      <c r="AB744" s="485" t="str">
        <f t="shared" si="1656"/>
        <v/>
      </c>
      <c r="AC744" s="371"/>
      <c r="AD744" s="232" t="str">
        <f t="shared" si="1657"/>
        <v/>
      </c>
      <c r="AE744" s="232" t="str">
        <f t="shared" si="1658"/>
        <v/>
      </c>
      <c r="AF744" s="232" t="str">
        <f t="shared" si="1659"/>
        <v/>
      </c>
      <c r="AG744" s="232" t="str">
        <f t="shared" si="1692"/>
        <v/>
      </c>
      <c r="AH744" s="371"/>
      <c r="AI744" s="497"/>
      <c r="AJ744" s="498"/>
      <c r="AK744" s="485" t="str">
        <f t="shared" si="1660"/>
        <v/>
      </c>
      <c r="AL744" s="371"/>
      <c r="AM744" s="232" t="str">
        <f t="shared" si="1661"/>
        <v/>
      </c>
      <c r="AN744" s="232" t="str">
        <f t="shared" si="1662"/>
        <v/>
      </c>
      <c r="AO744" s="232" t="str">
        <f t="shared" si="1663"/>
        <v/>
      </c>
      <c r="AP744" s="232" t="str">
        <f t="shared" si="1693"/>
        <v/>
      </c>
      <c r="AQ744" s="371"/>
      <c r="AR744" s="497"/>
      <c r="AS744" s="498"/>
      <c r="AT744" s="485" t="str">
        <f t="shared" si="1664"/>
        <v/>
      </c>
      <c r="AU744" s="371"/>
      <c r="AV744" s="232" t="str">
        <f t="shared" si="1665"/>
        <v/>
      </c>
      <c r="AW744" s="232" t="str">
        <f t="shared" si="1666"/>
        <v/>
      </c>
      <c r="AX744" s="232" t="str">
        <f t="shared" si="1667"/>
        <v/>
      </c>
      <c r="AY744" s="232" t="str">
        <f t="shared" si="1694"/>
        <v/>
      </c>
      <c r="AZ744" s="371"/>
      <c r="BA744" s="497"/>
      <c r="BB744" s="498"/>
      <c r="BC744" s="485" t="str">
        <f t="shared" si="1668"/>
        <v/>
      </c>
      <c r="BD744" s="371"/>
      <c r="BE744" s="232" t="str">
        <f t="shared" si="1669"/>
        <v/>
      </c>
      <c r="BF744" s="232" t="str">
        <f t="shared" si="1670"/>
        <v/>
      </c>
      <c r="BG744" s="232" t="str">
        <f t="shared" si="1671"/>
        <v/>
      </c>
      <c r="BH744" s="232" t="str">
        <f t="shared" si="1695"/>
        <v/>
      </c>
      <c r="BI744" s="371"/>
      <c r="BJ744" s="497"/>
      <c r="BK744" s="498"/>
      <c r="BL744" s="485" t="str">
        <f t="shared" si="1672"/>
        <v/>
      </c>
      <c r="BM744" s="371"/>
      <c r="BN744" s="232" t="str">
        <f t="shared" si="1673"/>
        <v/>
      </c>
      <c r="BO744" s="232" t="str">
        <f t="shared" si="1674"/>
        <v/>
      </c>
      <c r="BP744" s="232" t="str">
        <f t="shared" si="1675"/>
        <v/>
      </c>
      <c r="BQ744" s="232" t="str">
        <f t="shared" si="1696"/>
        <v/>
      </c>
      <c r="BR744" s="371"/>
      <c r="BS744" s="497"/>
      <c r="BT744" s="498"/>
      <c r="BU744" s="485" t="str">
        <f t="shared" si="1676"/>
        <v/>
      </c>
      <c r="BV744" s="371"/>
      <c r="BW744" s="232" t="str">
        <f t="shared" si="1677"/>
        <v/>
      </c>
      <c r="BX744" s="232" t="str">
        <f t="shared" si="1678"/>
        <v/>
      </c>
      <c r="BY744" s="232" t="str">
        <f t="shared" si="1679"/>
        <v/>
      </c>
      <c r="BZ744" s="232" t="str">
        <f t="shared" si="1697"/>
        <v/>
      </c>
      <c r="CA744" s="371"/>
      <c r="CB744" s="504" t="str">
        <f t="shared" si="1680"/>
        <v/>
      </c>
      <c r="CC744" s="505" t="str">
        <f t="shared" si="1681"/>
        <v/>
      </c>
      <c r="CD744" s="506" t="str">
        <f t="shared" si="1682"/>
        <v/>
      </c>
      <c r="CE744" s="371"/>
      <c r="CF744" s="232" t="str">
        <f t="shared" si="1683"/>
        <v/>
      </c>
      <c r="CG744" s="232" t="str">
        <f t="shared" si="1684"/>
        <v/>
      </c>
      <c r="CH744" s="232" t="str">
        <f t="shared" si="1685"/>
        <v/>
      </c>
      <c r="CI744" s="232" t="str">
        <f t="shared" si="1698"/>
        <v/>
      </c>
      <c r="CJ744" s="232"/>
      <c r="CK744" s="497"/>
      <c r="CL744" s="498"/>
      <c r="CM744" s="485" t="str">
        <f t="shared" si="1686"/>
        <v/>
      </c>
      <c r="CN744" s="371"/>
      <c r="CO744" s="232" t="str">
        <f t="shared" si="1687"/>
        <v/>
      </c>
      <c r="CP744" s="232" t="str">
        <f t="shared" si="1688"/>
        <v/>
      </c>
      <c r="CQ744" s="232" t="str">
        <f t="shared" si="1689"/>
        <v/>
      </c>
      <c r="CR744" s="232" t="str">
        <f t="shared" si="1699"/>
        <v/>
      </c>
      <c r="CS744" s="232"/>
      <c r="CT744" s="371"/>
      <c r="CU744" s="300"/>
      <c r="CV744" s="246"/>
      <c r="CW744" s="264"/>
    </row>
    <row r="745" spans="1:101" ht="13.5" thickBot="1" x14ac:dyDescent="0.25">
      <c r="A745" s="264"/>
      <c r="B745" s="264"/>
      <c r="C745" s="202"/>
      <c r="D745" s="271">
        <v>12</v>
      </c>
      <c r="E745" s="168"/>
      <c r="F745" s="470"/>
      <c r="G745" s="476"/>
      <c r="H745" s="477"/>
      <c r="I745" s="392" t="str">
        <f t="shared" si="1650"/>
        <v/>
      </c>
      <c r="J745" s="393" t="str">
        <f t="shared" si="1651"/>
        <v/>
      </c>
      <c r="K745" s="394" t="str">
        <f t="shared" si="1652"/>
        <v/>
      </c>
      <c r="L745" s="299"/>
      <c r="M745" s="375"/>
      <c r="N745" s="379"/>
      <c r="O745" s="236"/>
      <c r="P745" s="236"/>
      <c r="Q745" s="489"/>
      <c r="R745" s="490"/>
      <c r="S745" s="491" t="str">
        <f t="shared" si="1690"/>
        <v/>
      </c>
      <c r="T745" s="371"/>
      <c r="U745" s="232" t="str">
        <f t="shared" si="1653"/>
        <v/>
      </c>
      <c r="V745" s="232" t="str">
        <f t="shared" si="1654"/>
        <v/>
      </c>
      <c r="W745" s="232" t="str">
        <f t="shared" si="1655"/>
        <v/>
      </c>
      <c r="X745" s="232" t="str">
        <f t="shared" si="1691"/>
        <v/>
      </c>
      <c r="Y745" s="371"/>
      <c r="Z745" s="499"/>
      <c r="AA745" s="500"/>
      <c r="AB745" s="491" t="str">
        <f t="shared" si="1656"/>
        <v/>
      </c>
      <c r="AC745" s="371"/>
      <c r="AD745" s="232" t="str">
        <f t="shared" si="1657"/>
        <v/>
      </c>
      <c r="AE745" s="232" t="str">
        <f t="shared" si="1658"/>
        <v/>
      </c>
      <c r="AF745" s="232" t="str">
        <f t="shared" si="1659"/>
        <v/>
      </c>
      <c r="AG745" s="232" t="str">
        <f t="shared" si="1692"/>
        <v/>
      </c>
      <c r="AH745" s="371"/>
      <c r="AI745" s="499"/>
      <c r="AJ745" s="500"/>
      <c r="AK745" s="491" t="str">
        <f t="shared" si="1660"/>
        <v/>
      </c>
      <c r="AL745" s="371"/>
      <c r="AM745" s="232" t="str">
        <f t="shared" si="1661"/>
        <v/>
      </c>
      <c r="AN745" s="232" t="str">
        <f t="shared" si="1662"/>
        <v/>
      </c>
      <c r="AO745" s="232" t="str">
        <f t="shared" si="1663"/>
        <v/>
      </c>
      <c r="AP745" s="232" t="str">
        <f t="shared" si="1693"/>
        <v/>
      </c>
      <c r="AQ745" s="371"/>
      <c r="AR745" s="499"/>
      <c r="AS745" s="500"/>
      <c r="AT745" s="491" t="str">
        <f t="shared" si="1664"/>
        <v/>
      </c>
      <c r="AU745" s="371"/>
      <c r="AV745" s="232" t="str">
        <f t="shared" si="1665"/>
        <v/>
      </c>
      <c r="AW745" s="232" t="str">
        <f t="shared" si="1666"/>
        <v/>
      </c>
      <c r="AX745" s="232" t="str">
        <f t="shared" si="1667"/>
        <v/>
      </c>
      <c r="AY745" s="232" t="str">
        <f t="shared" si="1694"/>
        <v/>
      </c>
      <c r="AZ745" s="371"/>
      <c r="BA745" s="499"/>
      <c r="BB745" s="500"/>
      <c r="BC745" s="491" t="str">
        <f t="shared" si="1668"/>
        <v/>
      </c>
      <c r="BD745" s="371"/>
      <c r="BE745" s="232" t="str">
        <f t="shared" si="1669"/>
        <v/>
      </c>
      <c r="BF745" s="232" t="str">
        <f t="shared" si="1670"/>
        <v/>
      </c>
      <c r="BG745" s="232" t="str">
        <f t="shared" si="1671"/>
        <v/>
      </c>
      <c r="BH745" s="232" t="str">
        <f t="shared" si="1695"/>
        <v/>
      </c>
      <c r="BI745" s="371"/>
      <c r="BJ745" s="499"/>
      <c r="BK745" s="500"/>
      <c r="BL745" s="491" t="str">
        <f t="shared" si="1672"/>
        <v/>
      </c>
      <c r="BM745" s="371"/>
      <c r="BN745" s="232" t="str">
        <f t="shared" si="1673"/>
        <v/>
      </c>
      <c r="BO745" s="232" t="str">
        <f t="shared" si="1674"/>
        <v/>
      </c>
      <c r="BP745" s="232" t="str">
        <f t="shared" si="1675"/>
        <v/>
      </c>
      <c r="BQ745" s="232" t="str">
        <f t="shared" si="1696"/>
        <v/>
      </c>
      <c r="BR745" s="371"/>
      <c r="BS745" s="499"/>
      <c r="BT745" s="500"/>
      <c r="BU745" s="491" t="str">
        <f t="shared" si="1676"/>
        <v/>
      </c>
      <c r="BV745" s="371"/>
      <c r="BW745" s="232" t="str">
        <f t="shared" si="1677"/>
        <v/>
      </c>
      <c r="BX745" s="232" t="str">
        <f t="shared" si="1678"/>
        <v/>
      </c>
      <c r="BY745" s="232" t="str">
        <f t="shared" si="1679"/>
        <v/>
      </c>
      <c r="BZ745" s="232" t="str">
        <f t="shared" si="1697"/>
        <v/>
      </c>
      <c r="CA745" s="371"/>
      <c r="CB745" s="507" t="str">
        <f t="shared" si="1680"/>
        <v/>
      </c>
      <c r="CC745" s="508" t="str">
        <f t="shared" si="1681"/>
        <v/>
      </c>
      <c r="CD745" s="509" t="str">
        <f t="shared" si="1682"/>
        <v/>
      </c>
      <c r="CE745" s="371"/>
      <c r="CF745" s="232" t="str">
        <f t="shared" si="1683"/>
        <v/>
      </c>
      <c r="CG745" s="232" t="str">
        <f t="shared" si="1684"/>
        <v/>
      </c>
      <c r="CH745" s="232" t="str">
        <f t="shared" si="1685"/>
        <v/>
      </c>
      <c r="CI745" s="232" t="str">
        <f t="shared" si="1698"/>
        <v/>
      </c>
      <c r="CJ745" s="232"/>
      <c r="CK745" s="499"/>
      <c r="CL745" s="500"/>
      <c r="CM745" s="491" t="str">
        <f t="shared" si="1686"/>
        <v/>
      </c>
      <c r="CN745" s="371"/>
      <c r="CO745" s="232" t="str">
        <f t="shared" si="1687"/>
        <v/>
      </c>
      <c r="CP745" s="232" t="str">
        <f t="shared" si="1688"/>
        <v/>
      </c>
      <c r="CQ745" s="232" t="str">
        <f t="shared" si="1689"/>
        <v/>
      </c>
      <c r="CR745" s="232" t="str">
        <f t="shared" si="1699"/>
        <v/>
      </c>
      <c r="CS745" s="232"/>
      <c r="CT745" s="371"/>
      <c r="CU745" s="300"/>
      <c r="CV745" s="246"/>
      <c r="CW745" s="264"/>
    </row>
    <row r="746" spans="1:101" x14ac:dyDescent="0.2">
      <c r="A746" s="264"/>
      <c r="B746" s="264"/>
      <c r="C746" s="202"/>
      <c r="D746" s="272"/>
      <c r="E746" s="235"/>
      <c r="F746" s="395" t="str">
        <f>IF(SUM(F734:F745)=0,"",SUM(F734:F745))</f>
        <v/>
      </c>
      <c r="G746" s="370" t="s">
        <v>49</v>
      </c>
      <c r="H746" s="396" t="str">
        <f>IF(SUM(H734:H745)=0,"",SUM(H734:H745))</f>
        <v/>
      </c>
      <c r="I746" s="397" t="str">
        <f>IF(COUNTIF(I734:I745,"=x")=0,"",COUNTIF(I734:I745,"=x"))</f>
        <v/>
      </c>
      <c r="J746" s="398" t="str">
        <f>IF(COUNTIF(J734:J745,"=x")=0,"",COUNTIF(J734:J745,"=x"))</f>
        <v/>
      </c>
      <c r="K746" s="399" t="str">
        <f>IF(COUNTIF(K734:K745,"=x")=0,"",COUNTIF(K734:K745,"=x"))</f>
        <v/>
      </c>
      <c r="L746" s="299"/>
      <c r="M746" s="375"/>
      <c r="N746" s="379"/>
      <c r="O746" s="236"/>
      <c r="P746" s="369"/>
      <c r="Q746" s="466">
        <f>SUM(U734:U745)</f>
        <v>0</v>
      </c>
      <c r="R746" s="466">
        <f>SUM(V734:V745)</f>
        <v>0</v>
      </c>
      <c r="S746" s="466">
        <f>SUM(W734:W745)</f>
        <v>0</v>
      </c>
      <c r="T746" s="368"/>
      <c r="U746" s="232"/>
      <c r="V746" s="232"/>
      <c r="W746" s="232"/>
      <c r="X746" s="232"/>
      <c r="Y746" s="367"/>
      <c r="Z746" s="466">
        <f>SUM(AD734:AD745)</f>
        <v>0</v>
      </c>
      <c r="AA746" s="466">
        <f>SUM(AE734:AE745)</f>
        <v>0</v>
      </c>
      <c r="AB746" s="466">
        <f>SUM(AF734:AF745)</f>
        <v>0</v>
      </c>
      <c r="AC746" s="368"/>
      <c r="AD746" s="232"/>
      <c r="AE746" s="232"/>
      <c r="AF746" s="232"/>
      <c r="AG746" s="232"/>
      <c r="AH746" s="367"/>
      <c r="AI746" s="466">
        <f>SUM(AM734:AM745)</f>
        <v>0</v>
      </c>
      <c r="AJ746" s="466">
        <f>SUM(AN734:AN745)</f>
        <v>0</v>
      </c>
      <c r="AK746" s="466">
        <f>SUM(AO734:AO745)</f>
        <v>0</v>
      </c>
      <c r="AL746" s="368"/>
      <c r="AM746" s="232"/>
      <c r="AN746" s="232"/>
      <c r="AO746" s="232"/>
      <c r="AP746" s="232"/>
      <c r="AQ746" s="367"/>
      <c r="AR746" s="466">
        <f>SUM(AV734:AV745)</f>
        <v>0</v>
      </c>
      <c r="AS746" s="466">
        <f>SUM(AW734:AW745)</f>
        <v>0</v>
      </c>
      <c r="AT746" s="466">
        <f>SUM(AX734:AX745)</f>
        <v>0</v>
      </c>
      <c r="AU746" s="368"/>
      <c r="AV746" s="232"/>
      <c r="AW746" s="232"/>
      <c r="AX746" s="232"/>
      <c r="AY746" s="232"/>
      <c r="AZ746" s="367"/>
      <c r="BA746" s="466">
        <f>SUM(BE734:BE745)</f>
        <v>0</v>
      </c>
      <c r="BB746" s="466">
        <f>SUM(BF734:BF745)</f>
        <v>0</v>
      </c>
      <c r="BC746" s="466">
        <f>SUM(BG734:BG745)</f>
        <v>0</v>
      </c>
      <c r="BD746" s="368"/>
      <c r="BE746" s="232"/>
      <c r="BF746" s="232"/>
      <c r="BG746" s="232"/>
      <c r="BH746" s="232"/>
      <c r="BI746" s="367"/>
      <c r="BJ746" s="466">
        <f>SUM(BN734:BN745)</f>
        <v>0</v>
      </c>
      <c r="BK746" s="466">
        <f>SUM(BO734:BO745)</f>
        <v>0</v>
      </c>
      <c r="BL746" s="466">
        <f>SUM(BP734:BP745)</f>
        <v>0</v>
      </c>
      <c r="BM746" s="368"/>
      <c r="BN746" s="232"/>
      <c r="BO746" s="232"/>
      <c r="BP746" s="232"/>
      <c r="BQ746" s="232"/>
      <c r="BR746" s="367"/>
      <c r="BS746" s="466">
        <f>SUM(BW734:BW745)</f>
        <v>0</v>
      </c>
      <c r="BT746" s="466">
        <f>SUM(BX734:BX745)</f>
        <v>0</v>
      </c>
      <c r="BU746" s="466">
        <f>SUM(BY734:BY745)</f>
        <v>0</v>
      </c>
      <c r="BV746" s="368"/>
      <c r="BW746" s="232"/>
      <c r="BX746" s="232"/>
      <c r="BY746" s="232"/>
      <c r="BZ746" s="232"/>
      <c r="CA746" s="369"/>
      <c r="CB746" s="466">
        <f>SUM(CF734:CF745)</f>
        <v>0</v>
      </c>
      <c r="CC746" s="466">
        <f>SUM(CG734:CG745)</f>
        <v>0</v>
      </c>
      <c r="CD746" s="466">
        <f>SUM(CH734:CH745)</f>
        <v>0</v>
      </c>
      <c r="CE746" s="368"/>
      <c r="CF746" s="232"/>
      <c r="CG746" s="232"/>
      <c r="CH746" s="232"/>
      <c r="CI746" s="232"/>
      <c r="CJ746" s="232"/>
      <c r="CK746" s="466">
        <f>SUM(CO734:CO745)</f>
        <v>0</v>
      </c>
      <c r="CL746" s="466">
        <f>SUM(CP734:CP745)</f>
        <v>0</v>
      </c>
      <c r="CM746" s="466">
        <f>SUM(CQ734:CQ745)</f>
        <v>0</v>
      </c>
      <c r="CN746" s="368"/>
      <c r="CO746" s="232"/>
      <c r="CP746" s="232"/>
      <c r="CQ746" s="232"/>
      <c r="CR746" s="232"/>
      <c r="CS746" s="232"/>
      <c r="CT746" s="232"/>
      <c r="CU746" s="300"/>
      <c r="CV746" s="246"/>
      <c r="CW746" s="265"/>
    </row>
    <row r="747" spans="1:101" ht="13.5" thickBot="1" x14ac:dyDescent="0.25">
      <c r="A747" s="264"/>
      <c r="B747" s="264"/>
      <c r="C747" s="202"/>
      <c r="D747" s="289"/>
      <c r="E747" s="282"/>
      <c r="F747" s="283"/>
      <c r="G747" s="282"/>
      <c r="H747" s="282"/>
      <c r="I747" s="282"/>
      <c r="J747" s="282"/>
      <c r="K747" s="282"/>
      <c r="L747" s="293"/>
      <c r="M747" s="301"/>
      <c r="N747" s="380"/>
      <c r="O747" s="376"/>
      <c r="P747" s="284"/>
      <c r="Q747" s="285"/>
      <c r="R747" s="285"/>
      <c r="S747" s="285"/>
      <c r="T747" s="286"/>
      <c r="U747" s="287"/>
      <c r="V747" s="287"/>
      <c r="W747" s="287"/>
      <c r="X747" s="287"/>
      <c r="Y747" s="284"/>
      <c r="Z747" s="285"/>
      <c r="AA747" s="285"/>
      <c r="AB747" s="285"/>
      <c r="AC747" s="286"/>
      <c r="AD747" s="287"/>
      <c r="AE747" s="287"/>
      <c r="AF747" s="287"/>
      <c r="AG747" s="288"/>
      <c r="AH747" s="284"/>
      <c r="AI747" s="285"/>
      <c r="AJ747" s="285"/>
      <c r="AK747" s="285"/>
      <c r="AL747" s="286"/>
      <c r="AM747" s="287"/>
      <c r="AN747" s="287"/>
      <c r="AO747" s="287"/>
      <c r="AP747" s="288"/>
      <c r="AQ747" s="284"/>
      <c r="AR747" s="285"/>
      <c r="AS747" s="285"/>
      <c r="AT747" s="285"/>
      <c r="AU747" s="286"/>
      <c r="AV747" s="287"/>
      <c r="AW747" s="287"/>
      <c r="AX747" s="287"/>
      <c r="AY747" s="288"/>
      <c r="AZ747" s="284"/>
      <c r="BA747" s="285"/>
      <c r="BB747" s="285"/>
      <c r="BC747" s="285"/>
      <c r="BD747" s="286"/>
      <c r="BE747" s="287"/>
      <c r="BF747" s="287"/>
      <c r="BG747" s="287"/>
      <c r="BH747" s="288"/>
      <c r="BI747" s="284"/>
      <c r="BJ747" s="284"/>
      <c r="BK747" s="284"/>
      <c r="BL747" s="284"/>
      <c r="BM747" s="284"/>
      <c r="BN747" s="284"/>
      <c r="BO747" s="284"/>
      <c r="BP747" s="284"/>
      <c r="BQ747" s="284"/>
      <c r="BR747" s="284"/>
      <c r="BS747" s="284"/>
      <c r="BT747" s="284"/>
      <c r="BU747" s="284"/>
      <c r="BV747" s="284"/>
      <c r="BW747" s="284"/>
      <c r="BX747" s="284"/>
      <c r="BY747" s="284"/>
      <c r="BZ747" s="284"/>
      <c r="CA747" s="284"/>
      <c r="CB747" s="284"/>
      <c r="CC747" s="284"/>
      <c r="CD747" s="284"/>
      <c r="CE747" s="284"/>
      <c r="CF747" s="284"/>
      <c r="CG747" s="284"/>
      <c r="CH747" s="284"/>
      <c r="CI747" s="284"/>
      <c r="CJ747" s="288"/>
      <c r="CK747" s="288"/>
      <c r="CL747" s="288"/>
      <c r="CM747" s="288"/>
      <c r="CN747" s="288"/>
      <c r="CO747" s="288"/>
      <c r="CP747" s="288"/>
      <c r="CQ747" s="288"/>
      <c r="CR747" s="288"/>
      <c r="CS747" s="288"/>
      <c r="CT747" s="282"/>
      <c r="CU747" s="294"/>
      <c r="CV747" s="246"/>
      <c r="CW747" s="265"/>
    </row>
    <row r="748" spans="1:101" ht="14.25" thickTop="1" thickBot="1" x14ac:dyDescent="0.25">
      <c r="A748" s="256"/>
      <c r="B748" s="256"/>
      <c r="C748" s="210"/>
      <c r="D748" s="211"/>
      <c r="E748" s="247"/>
      <c r="F748" s="248"/>
      <c r="G748" s="247"/>
      <c r="H748" s="247"/>
      <c r="I748" s="247"/>
      <c r="J748" s="247"/>
      <c r="K748" s="247"/>
      <c r="L748" s="249"/>
      <c r="M748" s="250"/>
      <c r="N748" s="250"/>
      <c r="O748" s="250"/>
      <c r="P748" s="250"/>
      <c r="Q748" s="247"/>
      <c r="R748" s="247"/>
      <c r="S748" s="247"/>
      <c r="T748" s="251"/>
      <c r="U748" s="252"/>
      <c r="V748" s="252"/>
      <c r="W748" s="252"/>
      <c r="X748" s="252"/>
      <c r="Y748" s="250"/>
      <c r="Z748" s="247"/>
      <c r="AA748" s="247"/>
      <c r="AB748" s="247"/>
      <c r="AC748" s="251"/>
      <c r="AD748" s="252"/>
      <c r="AE748" s="252"/>
      <c r="AF748" s="252"/>
      <c r="AG748" s="247"/>
      <c r="AH748" s="250"/>
      <c r="AI748" s="247"/>
      <c r="AJ748" s="247"/>
      <c r="AK748" s="247"/>
      <c r="AL748" s="251"/>
      <c r="AM748" s="252"/>
      <c r="AN748" s="252"/>
      <c r="AO748" s="252"/>
      <c r="AP748" s="253"/>
      <c r="AQ748" s="250"/>
      <c r="AR748" s="247"/>
      <c r="AS748" s="247"/>
      <c r="AT748" s="247"/>
      <c r="AU748" s="251"/>
      <c r="AV748" s="252"/>
      <c r="AW748" s="252"/>
      <c r="AX748" s="252"/>
      <c r="AY748" s="247"/>
      <c r="AZ748" s="250"/>
      <c r="BA748" s="247"/>
      <c r="BB748" s="247"/>
      <c r="BC748" s="247"/>
      <c r="BD748" s="251"/>
      <c r="BE748" s="252"/>
      <c r="BF748" s="252"/>
      <c r="BG748" s="252"/>
      <c r="BH748" s="247"/>
      <c r="BI748" s="250"/>
      <c r="BJ748" s="247"/>
      <c r="BK748" s="247"/>
      <c r="BL748" s="247"/>
      <c r="BM748" s="251"/>
      <c r="BN748" s="252"/>
      <c r="BO748" s="252"/>
      <c r="BP748" s="252"/>
      <c r="BQ748" s="247"/>
      <c r="BR748" s="212"/>
      <c r="BS748" s="247"/>
      <c r="BT748" s="247"/>
      <c r="BU748" s="247"/>
      <c r="BV748" s="250"/>
      <c r="BW748" s="252"/>
      <c r="BX748" s="252"/>
      <c r="BY748" s="252"/>
      <c r="BZ748" s="247"/>
      <c r="CA748" s="247"/>
      <c r="CB748" s="253"/>
      <c r="CC748" s="253"/>
      <c r="CD748" s="253"/>
      <c r="CE748" s="253"/>
      <c r="CF748" s="247"/>
      <c r="CG748" s="247"/>
      <c r="CH748" s="247"/>
      <c r="CI748" s="247"/>
      <c r="CJ748" s="247"/>
      <c r="CK748" s="247"/>
      <c r="CL748" s="247"/>
      <c r="CM748" s="247"/>
      <c r="CN748" s="247"/>
      <c r="CO748" s="247"/>
      <c r="CP748" s="247"/>
      <c r="CQ748" s="247"/>
      <c r="CR748" s="247"/>
      <c r="CS748" s="247"/>
      <c r="CT748" s="247"/>
      <c r="CU748" s="247"/>
      <c r="CV748" s="254"/>
      <c r="CW748" s="255"/>
    </row>
    <row r="749" spans="1:101" ht="14.25" thickTop="1" thickBot="1" x14ac:dyDescent="0.25">
      <c r="A749" s="255"/>
      <c r="B749" s="255"/>
      <c r="C749" s="255"/>
      <c r="D749" s="255"/>
      <c r="E749" s="255"/>
      <c r="F749" s="255"/>
      <c r="G749" s="255"/>
      <c r="H749" s="255"/>
      <c r="I749" s="255"/>
      <c r="J749" s="255"/>
      <c r="K749" s="255"/>
      <c r="L749" s="255"/>
      <c r="M749" s="255"/>
      <c r="N749" s="255"/>
      <c r="O749" s="255"/>
      <c r="P749" s="255"/>
      <c r="Q749" s="255"/>
      <c r="R749" s="255"/>
      <c r="S749" s="255"/>
      <c r="T749" s="255"/>
      <c r="U749" s="255"/>
      <c r="V749" s="255"/>
      <c r="W749" s="255"/>
      <c r="X749" s="255"/>
      <c r="Y749" s="255"/>
      <c r="Z749" s="255"/>
      <c r="AA749" s="255"/>
      <c r="AB749" s="255"/>
      <c r="AC749" s="255"/>
      <c r="AD749" s="255"/>
      <c r="AE749" s="255"/>
      <c r="AF749" s="255"/>
      <c r="AG749" s="255"/>
      <c r="AH749" s="255"/>
      <c r="AI749" s="255"/>
      <c r="AJ749" s="255"/>
      <c r="AK749" s="255"/>
      <c r="AL749" s="255"/>
      <c r="AM749" s="255"/>
      <c r="AN749" s="255"/>
      <c r="AO749" s="255"/>
      <c r="AP749" s="255"/>
      <c r="AQ749" s="255"/>
      <c r="AR749" s="255"/>
      <c r="AS749" s="255"/>
      <c r="AT749" s="255"/>
      <c r="AU749" s="255"/>
      <c r="AV749" s="255"/>
      <c r="AW749" s="255"/>
      <c r="AX749" s="255"/>
      <c r="AY749" s="255"/>
      <c r="AZ749" s="255"/>
      <c r="BA749" s="255"/>
      <c r="BB749" s="255"/>
      <c r="BC749" s="255"/>
      <c r="BD749" s="255"/>
      <c r="BE749" s="255"/>
      <c r="BF749" s="255"/>
      <c r="BG749" s="255"/>
      <c r="BH749" s="255"/>
      <c r="BI749" s="255"/>
      <c r="BJ749" s="255"/>
      <c r="BK749" s="255"/>
      <c r="BL749" s="255"/>
      <c r="BM749" s="255"/>
      <c r="BN749" s="255"/>
      <c r="BO749" s="255"/>
      <c r="BP749" s="255"/>
      <c r="BQ749" s="255"/>
      <c r="BR749" s="255"/>
      <c r="BS749" s="255"/>
      <c r="BT749" s="255"/>
      <c r="BU749" s="255"/>
      <c r="BV749" s="255"/>
      <c r="BW749" s="255"/>
      <c r="BX749" s="255"/>
      <c r="BY749" s="255"/>
      <c r="BZ749" s="255"/>
      <c r="CA749" s="255"/>
      <c r="CB749" s="436"/>
      <c r="CC749" s="436"/>
      <c r="CD749" s="436"/>
      <c r="CE749" s="436"/>
      <c r="CF749" s="255"/>
      <c r="CG749" s="255"/>
      <c r="CH749" s="255"/>
      <c r="CI749" s="255"/>
      <c r="CJ749" s="255"/>
      <c r="CK749" s="255"/>
      <c r="CL749" s="255"/>
      <c r="CM749" s="255"/>
      <c r="CN749" s="255"/>
      <c r="CO749" s="255"/>
      <c r="CP749" s="255"/>
      <c r="CQ749" s="255"/>
      <c r="CR749" s="255"/>
      <c r="CS749" s="255"/>
      <c r="CT749" s="255"/>
      <c r="CU749" s="255"/>
      <c r="CV749" s="255"/>
      <c r="CW749" s="255"/>
    </row>
    <row r="750" spans="1:101" ht="21" thickTop="1" x14ac:dyDescent="0.3">
      <c r="A750" s="256"/>
      <c r="B750" s="256"/>
      <c r="C750" s="190"/>
      <c r="D750" s="191"/>
      <c r="E750" s="866" t="str">
        <f>E2</f>
        <v>STPS 2026</v>
      </c>
      <c r="F750" s="267"/>
      <c r="G750" s="267"/>
      <c r="H750" s="267"/>
      <c r="I750" s="192"/>
      <c r="J750" s="192"/>
      <c r="K750" s="192"/>
      <c r="L750" s="193"/>
      <c r="M750" s="192"/>
      <c r="N750" s="192"/>
      <c r="O750" s="192"/>
      <c r="P750" s="194"/>
      <c r="Q750" s="192"/>
      <c r="R750" s="192"/>
      <c r="S750" s="192"/>
      <c r="T750" s="195"/>
      <c r="U750" s="196"/>
      <c r="V750" s="196"/>
      <c r="W750" s="196"/>
      <c r="X750" s="196"/>
      <c r="Y750" s="194"/>
      <c r="Z750" s="192"/>
      <c r="AA750" s="192"/>
      <c r="AB750" s="192"/>
      <c r="AC750" s="195"/>
      <c r="AD750" s="196"/>
      <c r="AE750" s="196"/>
      <c r="AF750" s="196"/>
      <c r="AG750" s="197"/>
      <c r="AH750" s="194"/>
      <c r="AI750" s="192"/>
      <c r="AJ750" s="237"/>
      <c r="AK750" s="237"/>
      <c r="AL750" s="198"/>
      <c r="AM750" s="238"/>
      <c r="AN750" s="238"/>
      <c r="AO750" s="238"/>
      <c r="AP750" s="197"/>
      <c r="AQ750" s="239"/>
      <c r="AR750" s="240"/>
      <c r="AS750" s="199"/>
      <c r="AT750" s="200"/>
      <c r="AU750" s="198"/>
      <c r="AV750" s="196"/>
      <c r="AW750" s="196"/>
      <c r="AX750" s="196"/>
      <c r="AY750" s="197"/>
      <c r="AZ750" s="239"/>
      <c r="BA750" s="240"/>
      <c r="BB750" s="200"/>
      <c r="BC750" s="237"/>
      <c r="BD750" s="241"/>
      <c r="BE750" s="196"/>
      <c r="BF750" s="196"/>
      <c r="BG750" s="196"/>
      <c r="BH750" s="197"/>
      <c r="BI750" s="242"/>
      <c r="BJ750" s="237"/>
      <c r="BK750" s="237"/>
      <c r="BL750" s="237"/>
      <c r="BM750" s="241"/>
      <c r="BN750" s="196"/>
      <c r="BO750" s="196"/>
      <c r="BP750" s="196"/>
      <c r="BQ750" s="197"/>
      <c r="BR750" s="201"/>
      <c r="BS750" s="237"/>
      <c r="BT750" s="237"/>
      <c r="BU750" s="237"/>
      <c r="BV750" s="242"/>
      <c r="BW750" s="237"/>
      <c r="BX750" s="237"/>
      <c r="BY750" s="237"/>
      <c r="BZ750" s="237"/>
      <c r="CA750" s="237"/>
      <c r="CB750" s="437"/>
      <c r="CC750" s="437"/>
      <c r="CD750" s="437"/>
      <c r="CE750" s="437"/>
      <c r="CF750" s="237"/>
      <c r="CG750" s="237"/>
      <c r="CH750" s="237"/>
      <c r="CI750" s="237"/>
      <c r="CJ750" s="197"/>
      <c r="CK750" s="197"/>
      <c r="CL750" s="197"/>
      <c r="CM750" s="197"/>
      <c r="CN750" s="197"/>
      <c r="CO750" s="197"/>
      <c r="CP750" s="197"/>
      <c r="CQ750" s="197"/>
      <c r="CR750" s="197"/>
      <c r="CS750" s="197"/>
      <c r="CT750" s="401"/>
      <c r="CU750" s="237"/>
      <c r="CV750" s="243"/>
      <c r="CW750" s="255"/>
    </row>
    <row r="751" spans="1:101" ht="13.5" thickBot="1" x14ac:dyDescent="0.25">
      <c r="A751" s="256"/>
      <c r="B751" s="256"/>
      <c r="C751" s="202"/>
      <c r="D751" s="188"/>
      <c r="E751" s="266" t="str">
        <f>E3</f>
        <v>Skorgen Tippelag</v>
      </c>
      <c r="F751" s="406"/>
      <c r="G751" s="406"/>
      <c r="H751" s="406"/>
      <c r="I751" s="406"/>
      <c r="J751" s="406"/>
      <c r="K751" s="406"/>
      <c r="L751" s="406"/>
      <c r="M751" s="406"/>
      <c r="N751" s="406"/>
      <c r="O751" s="406"/>
      <c r="P751" s="406"/>
      <c r="Q751" s="406"/>
      <c r="R751" s="406"/>
      <c r="S751" s="406"/>
      <c r="T751" s="406"/>
      <c r="U751" s="406"/>
      <c r="V751" s="406"/>
      <c r="W751" s="406"/>
      <c r="X751" s="406"/>
      <c r="Y751" s="406"/>
      <c r="Z751" s="406"/>
      <c r="AA751" s="406"/>
      <c r="AB751" s="406"/>
      <c r="AC751" s="406"/>
      <c r="AD751" s="406"/>
      <c r="AE751" s="406"/>
      <c r="AF751" s="406"/>
      <c r="AG751" s="406"/>
      <c r="AH751" s="406"/>
      <c r="AI751" s="406"/>
      <c r="AJ751" s="406"/>
      <c r="AK751" s="406"/>
      <c r="AL751" s="406"/>
      <c r="AM751" s="406"/>
      <c r="AN751" s="406"/>
      <c r="AO751" s="406"/>
      <c r="AP751" s="406"/>
      <c r="AQ751" s="406"/>
      <c r="AR751" s="406"/>
      <c r="AS751" s="406"/>
      <c r="AT751" s="406"/>
      <c r="AU751" s="406"/>
      <c r="AV751" s="406"/>
      <c r="AW751" s="406"/>
      <c r="AX751" s="406"/>
      <c r="AY751" s="406"/>
      <c r="AZ751" s="406"/>
      <c r="BA751" s="406"/>
      <c r="BB751" s="406"/>
      <c r="BC751" s="406"/>
      <c r="BD751" s="406"/>
      <c r="BE751" s="406"/>
      <c r="BF751" s="406"/>
      <c r="BG751" s="406"/>
      <c r="BH751" s="406"/>
      <c r="BI751" s="406"/>
      <c r="BJ751" s="406"/>
      <c r="BK751" s="406"/>
      <c r="BL751" s="406"/>
      <c r="BM751" s="406"/>
      <c r="BN751" s="406"/>
      <c r="BO751" s="406"/>
      <c r="BP751" s="406"/>
      <c r="BQ751" s="406"/>
      <c r="BR751" s="406"/>
      <c r="BS751" s="406"/>
      <c r="BT751" s="406"/>
      <c r="BU751" s="406"/>
      <c r="BV751" s="406"/>
      <c r="BW751" s="406"/>
      <c r="BX751" s="406"/>
      <c r="BY751" s="406"/>
      <c r="BZ751" s="406"/>
      <c r="CA751" s="406"/>
      <c r="CB751" s="438"/>
      <c r="CC751" s="438"/>
      <c r="CD751" s="438"/>
      <c r="CE751" s="438"/>
      <c r="CF751" s="406"/>
      <c r="CG751" s="406"/>
      <c r="CH751" s="406"/>
      <c r="CI751" s="406"/>
      <c r="CJ751" s="406"/>
      <c r="CK751" s="406"/>
      <c r="CL751" s="406"/>
      <c r="CM751" s="406"/>
      <c r="CN751" s="366"/>
      <c r="CO751" s="366"/>
      <c r="CP751" s="366"/>
      <c r="CQ751" s="366"/>
      <c r="CR751" s="366"/>
      <c r="CS751" s="366"/>
      <c r="CT751" s="187"/>
      <c r="CU751" s="310"/>
      <c r="CV751" s="246"/>
      <c r="CW751" s="255"/>
    </row>
    <row r="752" spans="1:101" ht="18.75" thickTop="1" x14ac:dyDescent="0.2">
      <c r="A752" s="256"/>
      <c r="B752" s="256"/>
      <c r="C752" s="209"/>
      <c r="D752" s="290"/>
      <c r="E752" s="273"/>
      <c r="F752" s="274"/>
      <c r="G752" s="273"/>
      <c r="H752" s="273"/>
      <c r="I752" s="803" t="s">
        <v>39</v>
      </c>
      <c r="J752" s="805"/>
      <c r="K752" s="805"/>
      <c r="L752" s="291"/>
      <c r="M752" s="302"/>
      <c r="N752" s="242"/>
      <c r="O752" s="275"/>
      <c r="P752" s="275"/>
      <c r="Q752" s="808" t="str">
        <f>IF($F756="","",SUM(Q768:S768)-S754)</f>
        <v/>
      </c>
      <c r="R752" s="808"/>
      <c r="S752" s="808"/>
      <c r="T752" s="276"/>
      <c r="U752" s="277"/>
      <c r="V752" s="277"/>
      <c r="W752" s="277"/>
      <c r="X752" s="277"/>
      <c r="Y752" s="275"/>
      <c r="Z752" s="808" t="str">
        <f>IF($F756="","",SUM(Z768:AB768)-AB754)</f>
        <v/>
      </c>
      <c r="AA752" s="808"/>
      <c r="AB752" s="808"/>
      <c r="AC752" s="276"/>
      <c r="AD752" s="277"/>
      <c r="AE752" s="277"/>
      <c r="AF752" s="277"/>
      <c r="AG752" s="273"/>
      <c r="AH752" s="275"/>
      <c r="AI752" s="808" t="str">
        <f>IF($F756="","",SUM(AI768:AK768)-AK754)</f>
        <v/>
      </c>
      <c r="AJ752" s="808"/>
      <c r="AK752" s="808"/>
      <c r="AL752" s="276"/>
      <c r="AM752" s="277"/>
      <c r="AN752" s="277"/>
      <c r="AO752" s="277"/>
      <c r="AP752" s="273"/>
      <c r="AQ752" s="275"/>
      <c r="AR752" s="808" t="str">
        <f>IF($F756="","",SUM(AR768:AT768)-AT754)</f>
        <v/>
      </c>
      <c r="AS752" s="808"/>
      <c r="AT752" s="808"/>
      <c r="AU752" s="278"/>
      <c r="AV752" s="277"/>
      <c r="AW752" s="277"/>
      <c r="AX752" s="277"/>
      <c r="AY752" s="279"/>
      <c r="AZ752" s="280"/>
      <c r="BA752" s="808" t="str">
        <f>IF($F756="","",SUM(BA768:BC768)-BC754)</f>
        <v/>
      </c>
      <c r="BB752" s="808"/>
      <c r="BC752" s="808"/>
      <c r="BD752" s="278"/>
      <c r="BE752" s="277"/>
      <c r="BF752" s="277"/>
      <c r="BG752" s="277"/>
      <c r="BH752" s="279"/>
      <c r="BI752" s="280"/>
      <c r="BJ752" s="808" t="str">
        <f>IF($F756="","",SUM(BJ768:BL768)-BL754)</f>
        <v/>
      </c>
      <c r="BK752" s="808"/>
      <c r="BL752" s="808"/>
      <c r="BM752" s="278"/>
      <c r="BN752" s="277"/>
      <c r="BO752" s="277"/>
      <c r="BP752" s="277"/>
      <c r="BQ752" s="279"/>
      <c r="BR752" s="281"/>
      <c r="BS752" s="808" t="str">
        <f>IF($F756="","",SUM(BS768:BU768)-BU754)</f>
        <v/>
      </c>
      <c r="BT752" s="808"/>
      <c r="BU752" s="808"/>
      <c r="BV752" s="280"/>
      <c r="BW752" s="279"/>
      <c r="BX752" s="279"/>
      <c r="BY752" s="279"/>
      <c r="BZ752" s="279"/>
      <c r="CA752" s="281"/>
      <c r="CB752" s="808" t="str">
        <f>IF($F756="","",SUM(CB768:CD768)-CD754)</f>
        <v/>
      </c>
      <c r="CC752" s="808"/>
      <c r="CD752" s="808"/>
      <c r="CE752" s="280"/>
      <c r="CF752" s="279"/>
      <c r="CG752" s="279"/>
      <c r="CH752" s="279"/>
      <c r="CI752" s="279"/>
      <c r="CJ752" s="273"/>
      <c r="CK752" s="808" t="str">
        <f>IF($F756="","",SUM(CK768:CM768))</f>
        <v/>
      </c>
      <c r="CL752" s="808"/>
      <c r="CM752" s="808"/>
      <c r="CN752" s="280"/>
      <c r="CO752" s="279"/>
      <c r="CP752" s="279"/>
      <c r="CQ752" s="279"/>
      <c r="CR752" s="273"/>
      <c r="CS752" s="273"/>
      <c r="CT752" s="273"/>
      <c r="CU752" s="292"/>
      <c r="CV752" s="246"/>
      <c r="CW752" s="255"/>
    </row>
    <row r="753" spans="1:101" x14ac:dyDescent="0.2">
      <c r="A753" s="256"/>
      <c r="B753" s="256"/>
      <c r="C753" s="209"/>
      <c r="D753" s="916"/>
      <c r="E753" s="588" t="str">
        <f>IF(D753="","",DATE($D$3,1,1)+(D753-1)*7+(6-WEEKDAY(DATE($D$3,1,1),2)))</f>
        <v/>
      </c>
      <c r="F753" s="213"/>
      <c r="G753" s="214"/>
      <c r="H753" s="214"/>
      <c r="I753" s="804" t="str">
        <f>IF(ISERROR(AVERAGE(Q752,Z752,AI752,AR752,BA752,BJ752,BS752,CB752,CK752)),"",AVERAGE(Q752,Z752,AI752,AR752,BA752,BJ752,BS752,CB752,CK752))</f>
        <v/>
      </c>
      <c r="J753" s="806"/>
      <c r="K753" s="806"/>
      <c r="L753" s="295"/>
      <c r="M753" s="372"/>
      <c r="N753" s="245"/>
      <c r="O753" s="215"/>
      <c r="P753" s="215"/>
      <c r="Q753" s="710" t="str">
        <f>IF(Q752="","",Q752/Data!$X$1)</f>
        <v/>
      </c>
      <c r="R753" s="710"/>
      <c r="S753" s="711" t="str">
        <f>IF(SUM(X756:X767)=0,"",SUM(X756:X767))</f>
        <v/>
      </c>
      <c r="T753" s="216"/>
      <c r="U753" s="217"/>
      <c r="V753" s="217"/>
      <c r="W753" s="217"/>
      <c r="X753" s="217"/>
      <c r="Y753" s="215"/>
      <c r="Z753" s="710" t="str">
        <f>IF(Z752="","",Z752/Data!$X$1)</f>
        <v/>
      </c>
      <c r="AA753" s="710"/>
      <c r="AB753" s="711" t="str">
        <f>IF(SUM(AG756:AG767)=0,"",SUM(AG756:AG767))</f>
        <v/>
      </c>
      <c r="AC753" s="216"/>
      <c r="AD753" s="217"/>
      <c r="AE753" s="217"/>
      <c r="AF753" s="217"/>
      <c r="AG753" s="217"/>
      <c r="AH753" s="215"/>
      <c r="AI753" s="710" t="str">
        <f>IF(AI752="","",AI752/Data!$X$1)</f>
        <v/>
      </c>
      <c r="AJ753" s="710"/>
      <c r="AK753" s="711" t="str">
        <f>IF(SUM(AP756:AP767)=0,"",SUM(AP756:AP767))</f>
        <v/>
      </c>
      <c r="AL753" s="216"/>
      <c r="AM753" s="217"/>
      <c r="AN753" s="217"/>
      <c r="AO753" s="217"/>
      <c r="AP753" s="217"/>
      <c r="AQ753" s="215"/>
      <c r="AR753" s="710" t="str">
        <f>IF(AR752="","",AR752/Data!$X$1)</f>
        <v/>
      </c>
      <c r="AS753" s="710"/>
      <c r="AT753" s="711" t="str">
        <f>IF(SUM(AY756:AY767)=0,"",SUM(AY756:AY767))</f>
        <v/>
      </c>
      <c r="AU753" s="218"/>
      <c r="AV753" s="217"/>
      <c r="AW753" s="217"/>
      <c r="AX753" s="217"/>
      <c r="AY753" s="217"/>
      <c r="AZ753" s="219"/>
      <c r="BA753" s="710" t="str">
        <f>IF(BA752="","",BA752/Data!$X$1)</f>
        <v/>
      </c>
      <c r="BB753" s="710"/>
      <c r="BC753" s="711" t="str">
        <f>IF(SUM(BH756:BH767)=0,"",SUM(BH756:BH767))</f>
        <v/>
      </c>
      <c r="BD753" s="218"/>
      <c r="BE753" s="217"/>
      <c r="BF753" s="217"/>
      <c r="BG753" s="217"/>
      <c r="BH753" s="217"/>
      <c r="BI753" s="219"/>
      <c r="BJ753" s="710" t="str">
        <f>IF(BJ752="","",BJ752/Data!$X$1)</f>
        <v/>
      </c>
      <c r="BK753" s="710"/>
      <c r="BL753" s="711" t="str">
        <f>IF(SUM(BQ756:BQ767)=0,"",SUM(BQ756:BQ767))</f>
        <v/>
      </c>
      <c r="BM753" s="218"/>
      <c r="BN753" s="217"/>
      <c r="BO753" s="217"/>
      <c r="BP753" s="217"/>
      <c r="BQ753" s="217"/>
      <c r="BR753" s="220"/>
      <c r="BS753" s="710" t="str">
        <f>IF(BS752="","",BS752/Data!$X$1)</f>
        <v/>
      </c>
      <c r="BT753" s="710"/>
      <c r="BU753" s="711" t="str">
        <f>IF(SUM(BZ756:BZ767)=0,"",SUM(BZ756:BZ767))</f>
        <v/>
      </c>
      <c r="BV753" s="219"/>
      <c r="BW753" s="217"/>
      <c r="BX753" s="217"/>
      <c r="BY753" s="217"/>
      <c r="BZ753" s="217"/>
      <c r="CA753" s="220"/>
      <c r="CB753" s="710" t="str">
        <f>IF(CB752="","",CB752/Data!$X$1)</f>
        <v/>
      </c>
      <c r="CC753" s="710"/>
      <c r="CD753" s="711" t="str">
        <f>IF(SUM(CI756:CI767)=0,"",SUM(CI756:CI767))</f>
        <v/>
      </c>
      <c r="CE753" s="219"/>
      <c r="CF753" s="217"/>
      <c r="CG753" s="217"/>
      <c r="CH753" s="217"/>
      <c r="CI753" s="217"/>
      <c r="CJ753" s="217"/>
      <c r="CK753" s="710" t="str">
        <f>IF(CK752="","",CK752/Data!$X$1)</f>
        <v/>
      </c>
      <c r="CL753" s="710"/>
      <c r="CM753" s="711" t="str">
        <f>IF(SUM(CR756:CR767)=0,"",SUM(CR756:CR767))</f>
        <v/>
      </c>
      <c r="CN753" s="219"/>
      <c r="CO753" s="217"/>
      <c r="CP753" s="217"/>
      <c r="CQ753" s="217"/>
      <c r="CR753" s="217"/>
      <c r="CS753" s="217"/>
      <c r="CT753" s="217"/>
      <c r="CU753" s="296"/>
      <c r="CV753" s="246"/>
      <c r="CW753" s="255"/>
    </row>
    <row r="754" spans="1:101" ht="13.5" thickBot="1" x14ac:dyDescent="0.25">
      <c r="A754" s="256"/>
      <c r="B754" s="256"/>
      <c r="C754" s="209"/>
      <c r="D754" s="269">
        <f>D732+1</f>
        <v>35</v>
      </c>
      <c r="E754" s="402" t="str">
        <f>IF(E753="","Sett inn dato over her",TEXT(E753,"dddd"))</f>
        <v>Sett inn dato over her</v>
      </c>
      <c r="F754" s="221"/>
      <c r="G754" s="222"/>
      <c r="H754" s="222"/>
      <c r="I754" s="802"/>
      <c r="J754" s="807"/>
      <c r="K754" s="807"/>
      <c r="L754" s="297"/>
      <c r="M754" s="373"/>
      <c r="N754" s="377"/>
      <c r="O754" s="222"/>
      <c r="P754" s="222"/>
      <c r="Q754" s="385" t="str">
        <f>Data!$E$11</f>
        <v>AHH</v>
      </c>
      <c r="R754" s="386" t="str">
        <f>IF($F767="","",RANK(Q752,$Q752:$CL752))</f>
        <v/>
      </c>
      <c r="S754" s="510"/>
      <c r="T754" s="216">
        <v>0</v>
      </c>
      <c r="U754" s="217"/>
      <c r="V754" s="217"/>
      <c r="W754" s="217"/>
      <c r="X754" s="217"/>
      <c r="Y754" s="215"/>
      <c r="Z754" s="385" t="str">
        <f>Data!$E$12</f>
        <v>RB</v>
      </c>
      <c r="AA754" s="386" t="str">
        <f>IF($F767="","",RANK(Z752,$Q752:$CL752))</f>
        <v/>
      </c>
      <c r="AB754" s="510"/>
      <c r="AC754" s="216"/>
      <c r="AD754" s="217"/>
      <c r="AE754" s="217"/>
      <c r="AF754" s="217"/>
      <c r="AG754" s="217"/>
      <c r="AH754" s="215"/>
      <c r="AI754" s="385" t="str">
        <f>Data!$E$13</f>
        <v>EB</v>
      </c>
      <c r="AJ754" s="386" t="str">
        <f>IF($F767="","",RANK(AI752,$Q752:$CL752))</f>
        <v/>
      </c>
      <c r="AK754" s="510"/>
      <c r="AL754" s="216"/>
      <c r="AM754" s="217"/>
      <c r="AN754" s="217"/>
      <c r="AO754" s="217"/>
      <c r="AP754" s="217"/>
      <c r="AQ754" s="215"/>
      <c r="AR754" s="346" t="str">
        <f>Data!$E$14</f>
        <v>KAF</v>
      </c>
      <c r="AS754" s="386" t="str">
        <f>IF($F767="","",RANK(AR752,$Q752:$CL752))</f>
        <v/>
      </c>
      <c r="AT754" s="510"/>
      <c r="AU754" s="216"/>
      <c r="AV754" s="217"/>
      <c r="AW754" s="217"/>
      <c r="AX754" s="217"/>
      <c r="AY754" s="217"/>
      <c r="AZ754" s="215"/>
      <c r="BA754" s="346" t="str">
        <f>Data!$E$15</f>
        <v>ØG</v>
      </c>
      <c r="BB754" s="386" t="str">
        <f>IF($F767="","",RANK(BA752,$Q752:$CL752))</f>
        <v/>
      </c>
      <c r="BC754" s="510"/>
      <c r="BD754" s="216"/>
      <c r="BE754" s="217"/>
      <c r="BF754" s="217"/>
      <c r="BG754" s="217"/>
      <c r="BH754" s="217"/>
      <c r="BI754" s="215"/>
      <c r="BJ754" s="346" t="str">
        <f>Data!$E$16</f>
        <v>JH</v>
      </c>
      <c r="BK754" s="386" t="str">
        <f>IF($F767="","",RANK(BJ752,$Q752:$CL752))</f>
        <v/>
      </c>
      <c r="BL754" s="510"/>
      <c r="BM754" s="216"/>
      <c r="BN754" s="217"/>
      <c r="BO754" s="217"/>
      <c r="BP754" s="217"/>
      <c r="BQ754" s="217"/>
      <c r="BR754" s="223"/>
      <c r="BS754" s="346" t="str">
        <f>Data!$E$17</f>
        <v>TOH</v>
      </c>
      <c r="BT754" s="386" t="str">
        <f>IF($F767="","",RANK(BS752,$Q752:$CL752))</f>
        <v/>
      </c>
      <c r="BU754" s="510"/>
      <c r="BV754" s="215"/>
      <c r="BW754" s="217"/>
      <c r="BX754" s="217"/>
      <c r="BY754" s="217"/>
      <c r="BZ754" s="217"/>
      <c r="CA754" s="223"/>
      <c r="CB754" s="346" t="s">
        <v>26</v>
      </c>
      <c r="CC754" s="386" t="str">
        <f>IF($F767="","",RANK(CB752,$Q752:$CM752))</f>
        <v/>
      </c>
      <c r="CD754" s="511"/>
      <c r="CE754" s="215"/>
      <c r="CF754" s="217"/>
      <c r="CG754" s="217"/>
      <c r="CH754" s="217"/>
      <c r="CI754" s="217"/>
      <c r="CJ754" s="217"/>
      <c r="CK754" s="346" t="s">
        <v>27</v>
      </c>
      <c r="CL754" s="386" t="str">
        <f>IF($F767="","",RANK(CK752,$Q752:$CM752))</f>
        <v/>
      </c>
      <c r="CM754" s="798"/>
      <c r="CN754" s="215"/>
      <c r="CO754" s="217"/>
      <c r="CP754" s="217"/>
      <c r="CQ754" s="217"/>
      <c r="CR754" s="217"/>
      <c r="CS754" s="217"/>
      <c r="CT754" s="217"/>
      <c r="CU754" s="296"/>
      <c r="CV754" s="246"/>
      <c r="CW754" s="255"/>
    </row>
    <row r="755" spans="1:101" ht="13.5" thickBot="1" x14ac:dyDescent="0.25">
      <c r="A755" s="264"/>
      <c r="B755" s="264"/>
      <c r="C755" s="202"/>
      <c r="D755" s="270"/>
      <c r="E755" s="224"/>
      <c r="F755" s="225"/>
      <c r="G755" s="226"/>
      <c r="H755" s="226"/>
      <c r="I755" s="227" t="s">
        <v>45</v>
      </c>
      <c r="J755" s="228" t="s">
        <v>46</v>
      </c>
      <c r="K755" s="229" t="s">
        <v>47</v>
      </c>
      <c r="L755" s="298"/>
      <c r="M755" s="374"/>
      <c r="N755" s="378"/>
      <c r="O755" s="230"/>
      <c r="P755" s="230"/>
      <c r="Q755" s="227" t="s">
        <v>45</v>
      </c>
      <c r="R755" s="228" t="s">
        <v>46</v>
      </c>
      <c r="S755" s="229" t="s">
        <v>47</v>
      </c>
      <c r="T755" s="231"/>
      <c r="U755" s="232"/>
      <c r="V755" s="232"/>
      <c r="W755" s="232"/>
      <c r="X755" s="232"/>
      <c r="Y755" s="230"/>
      <c r="Z755" s="227" t="s">
        <v>45</v>
      </c>
      <c r="AA755" s="228" t="s">
        <v>46</v>
      </c>
      <c r="AB755" s="229" t="s">
        <v>47</v>
      </c>
      <c r="AC755" s="231"/>
      <c r="AD755" s="232"/>
      <c r="AE755" s="232"/>
      <c r="AF755" s="232"/>
      <c r="AG755" s="232"/>
      <c r="AH755" s="230"/>
      <c r="AI755" s="227" t="s">
        <v>45</v>
      </c>
      <c r="AJ755" s="228" t="s">
        <v>46</v>
      </c>
      <c r="AK755" s="229" t="s">
        <v>47</v>
      </c>
      <c r="AL755" s="231"/>
      <c r="AM755" s="232"/>
      <c r="AN755" s="232"/>
      <c r="AO755" s="232"/>
      <c r="AP755" s="232"/>
      <c r="AQ755" s="230"/>
      <c r="AR755" s="227" t="s">
        <v>45</v>
      </c>
      <c r="AS755" s="228" t="s">
        <v>46</v>
      </c>
      <c r="AT755" s="229" t="s">
        <v>47</v>
      </c>
      <c r="AU755" s="231"/>
      <c r="AV755" s="232"/>
      <c r="AW755" s="232"/>
      <c r="AX755" s="232"/>
      <c r="AY755" s="232"/>
      <c r="AZ755" s="230"/>
      <c r="BA755" s="227" t="s">
        <v>45</v>
      </c>
      <c r="BB755" s="228" t="s">
        <v>46</v>
      </c>
      <c r="BC755" s="229" t="s">
        <v>47</v>
      </c>
      <c r="BD755" s="231"/>
      <c r="BE755" s="232"/>
      <c r="BF755" s="232"/>
      <c r="BG755" s="232"/>
      <c r="BH755" s="232"/>
      <c r="BI755" s="230"/>
      <c r="BJ755" s="227" t="s">
        <v>45</v>
      </c>
      <c r="BK755" s="228" t="s">
        <v>46</v>
      </c>
      <c r="BL755" s="229" t="s">
        <v>47</v>
      </c>
      <c r="BM755" s="231"/>
      <c r="BN755" s="232"/>
      <c r="BO755" s="232"/>
      <c r="BP755" s="232"/>
      <c r="BQ755" s="232"/>
      <c r="BR755" s="230"/>
      <c r="BS755" s="227" t="s">
        <v>45</v>
      </c>
      <c r="BT755" s="228" t="s">
        <v>46</v>
      </c>
      <c r="BU755" s="229" t="s">
        <v>47</v>
      </c>
      <c r="BV755" s="231"/>
      <c r="BW755" s="232"/>
      <c r="BX755" s="232"/>
      <c r="BY755" s="232"/>
      <c r="BZ755" s="233"/>
      <c r="CA755" s="230"/>
      <c r="CB755" s="227" t="s">
        <v>45</v>
      </c>
      <c r="CC755" s="228" t="s">
        <v>46</v>
      </c>
      <c r="CD755" s="229" t="s">
        <v>47</v>
      </c>
      <c r="CE755" s="231"/>
      <c r="CF755" s="232"/>
      <c r="CG755" s="232"/>
      <c r="CH755" s="232"/>
      <c r="CI755" s="232"/>
      <c r="CJ755" s="232"/>
      <c r="CK755" s="227" t="s">
        <v>45</v>
      </c>
      <c r="CL755" s="228" t="s">
        <v>46</v>
      </c>
      <c r="CM755" s="229" t="s">
        <v>47</v>
      </c>
      <c r="CN755" s="231"/>
      <c r="CO755" s="232"/>
      <c r="CP755" s="232"/>
      <c r="CQ755" s="232"/>
      <c r="CR755" s="232"/>
      <c r="CS755" s="232"/>
      <c r="CT755" s="234"/>
      <c r="CU755" s="296"/>
      <c r="CV755" s="246"/>
      <c r="CW755" s="265"/>
    </row>
    <row r="756" spans="1:101" x14ac:dyDescent="0.2">
      <c r="A756" s="264"/>
      <c r="B756" s="264"/>
      <c r="C756" s="202"/>
      <c r="D756" s="271">
        <v>1</v>
      </c>
      <c r="E756" s="166"/>
      <c r="F756" s="468"/>
      <c r="G756" s="472"/>
      <c r="H756" s="473"/>
      <c r="I756" s="170" t="str">
        <f t="shared" ref="I756:I767" si="1700">IF($F756&gt;$H756,"x","")</f>
        <v/>
      </c>
      <c r="J756" s="387" t="str">
        <f t="shared" ref="J756:J767" si="1701">IF(F756&lt;&gt;"",IF(H756&lt;&gt;"",IF(F756=H756,"x",""),""),"")</f>
        <v/>
      </c>
      <c r="K756" s="388" t="str">
        <f t="shared" ref="K756:K767" si="1702">IF($F756&lt;$H756,"x","")</f>
        <v/>
      </c>
      <c r="L756" s="900"/>
      <c r="M756" s="375"/>
      <c r="N756" s="379"/>
      <c r="O756" s="236"/>
      <c r="P756" s="236"/>
      <c r="Q756" s="480"/>
      <c r="R756" s="481"/>
      <c r="S756" s="482" t="str">
        <f>IF(Q756="","",100-SUM(Q756:R756))</f>
        <v/>
      </c>
      <c r="T756" s="371"/>
      <c r="U756" s="232" t="str">
        <f t="shared" ref="U756:U767" si="1703">IF($I756="x",Q756,"")</f>
        <v/>
      </c>
      <c r="V756" s="232" t="str">
        <f t="shared" ref="V756:V767" si="1704">IF($J756="x",R756,"")</f>
        <v/>
      </c>
      <c r="W756" s="232" t="str">
        <f t="shared" ref="W756:W767" si="1705">IF($K756="x",S756,"")</f>
        <v/>
      </c>
      <c r="X756" s="232" t="str">
        <f>IF((MAX(U756,V756,W756))=0,"",IF((MAX(U756,V756,W756))=(MAX(Q756,R756,S756)),1,""))</f>
        <v/>
      </c>
      <c r="Y756" s="371"/>
      <c r="Z756" s="495"/>
      <c r="AA756" s="496"/>
      <c r="AB756" s="482" t="str">
        <f t="shared" ref="AB756:AB767" si="1706">IF(Z756="","",100-SUM(Z756:AA756))</f>
        <v/>
      </c>
      <c r="AC756" s="371"/>
      <c r="AD756" s="232" t="str">
        <f t="shared" ref="AD756:AD767" si="1707">IF($I756="x",Z756,"")</f>
        <v/>
      </c>
      <c r="AE756" s="232" t="str">
        <f t="shared" ref="AE756:AE767" si="1708">IF($J756="x",AA756,"")</f>
        <v/>
      </c>
      <c r="AF756" s="232" t="str">
        <f t="shared" ref="AF756:AF767" si="1709">IF($K756="x",AB756,"")</f>
        <v/>
      </c>
      <c r="AG756" s="232" t="str">
        <f>IF((MAX(AD756,AE756,AF756))=0,"",IF((MAX(AD756,AE756,AF756))=(MAX(Z756,AA756,AB756)),1,""))</f>
        <v/>
      </c>
      <c r="AH756" s="371"/>
      <c r="AI756" s="495"/>
      <c r="AJ756" s="496"/>
      <c r="AK756" s="482" t="str">
        <f t="shared" ref="AK756:AK767" si="1710">IF(AI756="","",100-SUM(AI756:AJ756))</f>
        <v/>
      </c>
      <c r="AL756" s="371"/>
      <c r="AM756" s="232" t="str">
        <f t="shared" ref="AM756:AM767" si="1711">IF($I756="x",AI756,"")</f>
        <v/>
      </c>
      <c r="AN756" s="232" t="str">
        <f t="shared" ref="AN756:AN767" si="1712">IF($J756="x",AJ756,"")</f>
        <v/>
      </c>
      <c r="AO756" s="232" t="str">
        <f t="shared" ref="AO756:AO767" si="1713">IF($K756="x",AK756,"")</f>
        <v/>
      </c>
      <c r="AP756" s="232" t="str">
        <f>IF((MAX(AM756,AN756,AO756))=0,"",IF((MAX(AM756,AN756,AO756))=(MAX(AI756,AJ756,AK756)),1,""))</f>
        <v/>
      </c>
      <c r="AQ756" s="371"/>
      <c r="AR756" s="495"/>
      <c r="AS756" s="496"/>
      <c r="AT756" s="482" t="str">
        <f t="shared" ref="AT756:AT767" si="1714">IF(AR756="","",100-SUM(AR756:AS756))</f>
        <v/>
      </c>
      <c r="AU756" s="371"/>
      <c r="AV756" s="232" t="str">
        <f t="shared" ref="AV756:AV767" si="1715">IF($I756="x",AR756,"")</f>
        <v/>
      </c>
      <c r="AW756" s="232" t="str">
        <f t="shared" ref="AW756:AW767" si="1716">IF($J756="x",AS756,"")</f>
        <v/>
      </c>
      <c r="AX756" s="232" t="str">
        <f t="shared" ref="AX756:AX767" si="1717">IF($K756="x",AT756,"")</f>
        <v/>
      </c>
      <c r="AY756" s="232" t="str">
        <f>IF((MAX(AV756,AW756,AX756))=0,"",IF((MAX(AV756,AW756,AX756))=(MAX(AR756,AS756,AT756)),1,""))</f>
        <v/>
      </c>
      <c r="AZ756" s="371"/>
      <c r="BA756" s="495"/>
      <c r="BB756" s="496"/>
      <c r="BC756" s="482" t="str">
        <f t="shared" ref="BC756:BC767" si="1718">IF(BA756="","",100-SUM(BA756:BB756))</f>
        <v/>
      </c>
      <c r="BD756" s="371"/>
      <c r="BE756" s="232" t="str">
        <f t="shared" ref="BE756:BE767" si="1719">IF($I756="x",BA756,"")</f>
        <v/>
      </c>
      <c r="BF756" s="232" t="str">
        <f t="shared" ref="BF756:BF767" si="1720">IF($J756="x",BB756,"")</f>
        <v/>
      </c>
      <c r="BG756" s="232" t="str">
        <f t="shared" ref="BG756:BG767" si="1721">IF($K756="x",BC756,"")</f>
        <v/>
      </c>
      <c r="BH756" s="232" t="str">
        <f>IF((MAX(BE756,BF756,BG756))=0,"",IF((MAX(BE756,BF756,BG756))=(MAX(BA756,BB756,BC756)),1,""))</f>
        <v/>
      </c>
      <c r="BI756" s="371"/>
      <c r="BJ756" s="495"/>
      <c r="BK756" s="496"/>
      <c r="BL756" s="482" t="str">
        <f t="shared" ref="BL756:BL767" si="1722">IF(BJ756="","",100-SUM(BJ756:BK756))</f>
        <v/>
      </c>
      <c r="BM756" s="371"/>
      <c r="BN756" s="232" t="str">
        <f t="shared" ref="BN756:BN767" si="1723">IF($I756="x",BJ756,"")</f>
        <v/>
      </c>
      <c r="BO756" s="232" t="str">
        <f t="shared" ref="BO756:BO767" si="1724">IF($J756="x",BK756,"")</f>
        <v/>
      </c>
      <c r="BP756" s="232" t="str">
        <f t="shared" ref="BP756:BP767" si="1725">IF($K756="x",BL756,"")</f>
        <v/>
      </c>
      <c r="BQ756" s="232" t="str">
        <f>IF((MAX(BN756,BO756,BP756))=0,"",IF((MAX(BN756,BO756,BP756))=(MAX(BJ756,BK756,BL756)),1,""))</f>
        <v/>
      </c>
      <c r="BR756" s="371"/>
      <c r="BS756" s="495"/>
      <c r="BT756" s="496"/>
      <c r="BU756" s="482" t="str">
        <f t="shared" ref="BU756:BU767" si="1726">IF(BS756="","",100-SUM(BS756:BT756))</f>
        <v/>
      </c>
      <c r="BV756" s="371"/>
      <c r="BW756" s="232" t="str">
        <f t="shared" ref="BW756:BW767" si="1727">IF($I756="x",BS756,"")</f>
        <v/>
      </c>
      <c r="BX756" s="232" t="str">
        <f t="shared" ref="BX756:BX767" si="1728">IF($J756="x",BT756,"")</f>
        <v/>
      </c>
      <c r="BY756" s="232" t="str">
        <f t="shared" ref="BY756:BY767" si="1729">IF($K756="x",BU756,"")</f>
        <v/>
      </c>
      <c r="BZ756" s="232" t="str">
        <f>IF((MAX(BW756,BX756,BY756))=0,"",IF((MAX(BW756,BX756,BY756))=(MAX(BS756,BT756,BU756)),1,""))</f>
        <v/>
      </c>
      <c r="CA756" s="371"/>
      <c r="CB756" s="501" t="str">
        <f t="shared" ref="CB756:CB767" si="1730">IFERROR(ROUNDUP((SUM(Q756,Z756,AI756,AR756,BA756,BJ756,BS756)/SUM($Q756:$S756,$Z756:$AB756,$AI756:$AK756,$AR756:$AT756,$BA756:$BC756,$BJ756:$BL756,$BS756:$BU756))*100,-1),"")</f>
        <v/>
      </c>
      <c r="CC756" s="502" t="str">
        <f t="shared" ref="CC756:CC767" si="1731">IFERROR(ROUNDDOWN((SUM(R756,AA756,AJ756,AS756,BB756,BK756,BT756)/SUM($Q756:$S756,$Z756:$AB756,$AI756:$AK756,$AR756:$AT756,$BA756:$BC756,$BJ756:$BL756,$BS756:$BU756))*100,-1),"")</f>
        <v/>
      </c>
      <c r="CD756" s="503" t="str">
        <f t="shared" ref="CD756:CD767" si="1732">IF(CB756="","",100-SUM(CB756:CC756))</f>
        <v/>
      </c>
      <c r="CE756" s="371"/>
      <c r="CF756" s="232" t="str">
        <f t="shared" ref="CF756:CF767" si="1733">IF($I756="x",CB756,"")</f>
        <v/>
      </c>
      <c r="CG756" s="232" t="str">
        <f t="shared" ref="CG756:CG767" si="1734">IF($J756="x",CC756,"")</f>
        <v/>
      </c>
      <c r="CH756" s="232" t="str">
        <f t="shared" ref="CH756:CH767" si="1735">IF($K756="x",CD756,"")</f>
        <v/>
      </c>
      <c r="CI756" s="232" t="str">
        <f>IF((MAX(CF756,CG756,CH756))=0,"",IF((MAX(CF756,CG756,CH756))=(MAX(CB756,CC756,CD756)),1,""))</f>
        <v/>
      </c>
      <c r="CJ756" s="232"/>
      <c r="CK756" s="495"/>
      <c r="CL756" s="496"/>
      <c r="CM756" s="482" t="str">
        <f t="shared" ref="CM756:CM767" si="1736">IF(CK756="","",100-SUM(CK756:CL756))</f>
        <v/>
      </c>
      <c r="CN756" s="371"/>
      <c r="CO756" s="232" t="str">
        <f t="shared" ref="CO756:CO767" si="1737">IF($I756="x",CK756,"")</f>
        <v/>
      </c>
      <c r="CP756" s="232" t="str">
        <f t="shared" ref="CP756:CP767" si="1738">IF($J756="x",CL756,"")</f>
        <v/>
      </c>
      <c r="CQ756" s="232" t="str">
        <f t="shared" ref="CQ756:CQ767" si="1739">IF($K756="x",CM756,"")</f>
        <v/>
      </c>
      <c r="CR756" s="232" t="str">
        <f>IF((MAX(CO756,CP756,CQ756))=0,"",IF((MAX(CO756,CP756,CQ756))=(MAX(CK756,CL756,CM756)),1,""))</f>
        <v/>
      </c>
      <c r="CS756" s="232"/>
      <c r="CT756" s="371"/>
      <c r="CU756" s="296"/>
      <c r="CV756" s="246"/>
      <c r="CW756" s="264"/>
    </row>
    <row r="757" spans="1:101" x14ac:dyDescent="0.2">
      <c r="A757" s="264"/>
      <c r="B757" s="264"/>
      <c r="C757" s="202"/>
      <c r="D757" s="271">
        <v>2</v>
      </c>
      <c r="E757" s="167"/>
      <c r="F757" s="469"/>
      <c r="G757" s="474"/>
      <c r="H757" s="475"/>
      <c r="I757" s="389" t="str">
        <f t="shared" si="1700"/>
        <v/>
      </c>
      <c r="J757" s="390" t="str">
        <f t="shared" si="1701"/>
        <v/>
      </c>
      <c r="K757" s="391" t="str">
        <f t="shared" si="1702"/>
        <v/>
      </c>
      <c r="L757" s="900"/>
      <c r="M757" s="375"/>
      <c r="N757" s="379"/>
      <c r="O757" s="236"/>
      <c r="P757" s="236"/>
      <c r="Q757" s="483"/>
      <c r="R757" s="484"/>
      <c r="S757" s="485" t="str">
        <f t="shared" ref="S757:S767" si="1740">IF(Q757="","",100-SUM(Q757:R757))</f>
        <v/>
      </c>
      <c r="T757" s="371"/>
      <c r="U757" s="232" t="str">
        <f t="shared" si="1703"/>
        <v/>
      </c>
      <c r="V757" s="232" t="str">
        <f t="shared" si="1704"/>
        <v/>
      </c>
      <c r="W757" s="232" t="str">
        <f t="shared" si="1705"/>
        <v/>
      </c>
      <c r="X757" s="232" t="str">
        <f t="shared" ref="X757:X767" si="1741">IF((MAX(U757,V757,W757))=0,"",IF((MAX(U757,V757,W757))=(MAX(Q757,R757,S757)),1,""))</f>
        <v/>
      </c>
      <c r="Y757" s="371"/>
      <c r="Z757" s="497"/>
      <c r="AA757" s="498"/>
      <c r="AB757" s="485" t="str">
        <f t="shared" si="1706"/>
        <v/>
      </c>
      <c r="AC757" s="371"/>
      <c r="AD757" s="232" t="str">
        <f t="shared" si="1707"/>
        <v/>
      </c>
      <c r="AE757" s="232" t="str">
        <f t="shared" si="1708"/>
        <v/>
      </c>
      <c r="AF757" s="232" t="str">
        <f t="shared" si="1709"/>
        <v/>
      </c>
      <c r="AG757" s="232" t="str">
        <f t="shared" ref="AG757:AG767" si="1742">IF((MAX(AD757,AE757,AF757))=0,"",IF((MAX(AD757,AE757,AF757))=(MAX(Z757,AA757,AB757)),1,""))</f>
        <v/>
      </c>
      <c r="AH757" s="371"/>
      <c r="AI757" s="497"/>
      <c r="AJ757" s="498"/>
      <c r="AK757" s="485" t="str">
        <f t="shared" si="1710"/>
        <v/>
      </c>
      <c r="AL757" s="371"/>
      <c r="AM757" s="232" t="str">
        <f t="shared" si="1711"/>
        <v/>
      </c>
      <c r="AN757" s="232" t="str">
        <f t="shared" si="1712"/>
        <v/>
      </c>
      <c r="AO757" s="232" t="str">
        <f t="shared" si="1713"/>
        <v/>
      </c>
      <c r="AP757" s="232" t="str">
        <f t="shared" ref="AP757:AP767" si="1743">IF((MAX(AM757,AN757,AO757))=0,"",IF((MAX(AM757,AN757,AO757))=(MAX(AI757,AJ757,AK757)),1,""))</f>
        <v/>
      </c>
      <c r="AQ757" s="371"/>
      <c r="AR757" s="497"/>
      <c r="AS757" s="498"/>
      <c r="AT757" s="485" t="str">
        <f t="shared" si="1714"/>
        <v/>
      </c>
      <c r="AU757" s="371"/>
      <c r="AV757" s="232" t="str">
        <f t="shared" si="1715"/>
        <v/>
      </c>
      <c r="AW757" s="232" t="str">
        <f t="shared" si="1716"/>
        <v/>
      </c>
      <c r="AX757" s="232" t="str">
        <f t="shared" si="1717"/>
        <v/>
      </c>
      <c r="AY757" s="232" t="str">
        <f t="shared" ref="AY757:AY767" si="1744">IF((MAX(AV757,AW757,AX757))=0,"",IF((MAX(AV757,AW757,AX757))=(MAX(AR757,AS757,AT757)),1,""))</f>
        <v/>
      </c>
      <c r="AZ757" s="371"/>
      <c r="BA757" s="497"/>
      <c r="BB757" s="498"/>
      <c r="BC757" s="485" t="str">
        <f t="shared" si="1718"/>
        <v/>
      </c>
      <c r="BD757" s="371"/>
      <c r="BE757" s="232" t="str">
        <f t="shared" si="1719"/>
        <v/>
      </c>
      <c r="BF757" s="232" t="str">
        <f t="shared" si="1720"/>
        <v/>
      </c>
      <c r="BG757" s="232" t="str">
        <f t="shared" si="1721"/>
        <v/>
      </c>
      <c r="BH757" s="232" t="str">
        <f t="shared" ref="BH757:BH767" si="1745">IF((MAX(BE757,BF757,BG757))=0,"",IF((MAX(BE757,BF757,BG757))=(MAX(BA757,BB757,BC757)),1,""))</f>
        <v/>
      </c>
      <c r="BI757" s="371"/>
      <c r="BJ757" s="497"/>
      <c r="BK757" s="498"/>
      <c r="BL757" s="485" t="str">
        <f t="shared" si="1722"/>
        <v/>
      </c>
      <c r="BM757" s="371"/>
      <c r="BN757" s="232" t="str">
        <f t="shared" si="1723"/>
        <v/>
      </c>
      <c r="BO757" s="232" t="str">
        <f t="shared" si="1724"/>
        <v/>
      </c>
      <c r="BP757" s="232" t="str">
        <f t="shared" si="1725"/>
        <v/>
      </c>
      <c r="BQ757" s="232" t="str">
        <f t="shared" ref="BQ757:BQ767" si="1746">IF((MAX(BN757,BO757,BP757))=0,"",IF((MAX(BN757,BO757,BP757))=(MAX(BJ757,BK757,BL757)),1,""))</f>
        <v/>
      </c>
      <c r="BR757" s="371"/>
      <c r="BS757" s="497"/>
      <c r="BT757" s="498"/>
      <c r="BU757" s="485" t="str">
        <f t="shared" si="1726"/>
        <v/>
      </c>
      <c r="BV757" s="371"/>
      <c r="BW757" s="232" t="str">
        <f t="shared" si="1727"/>
        <v/>
      </c>
      <c r="BX757" s="232" t="str">
        <f t="shared" si="1728"/>
        <v/>
      </c>
      <c r="BY757" s="232" t="str">
        <f t="shared" si="1729"/>
        <v/>
      </c>
      <c r="BZ757" s="232" t="str">
        <f t="shared" ref="BZ757:BZ767" si="1747">IF((MAX(BW757,BX757,BY757))=0,"",IF((MAX(BW757,BX757,BY757))=(MAX(BS757,BT757,BU757)),1,""))</f>
        <v/>
      </c>
      <c r="CA757" s="371"/>
      <c r="CB757" s="504" t="str">
        <f t="shared" si="1730"/>
        <v/>
      </c>
      <c r="CC757" s="505" t="str">
        <f t="shared" si="1731"/>
        <v/>
      </c>
      <c r="CD757" s="506" t="str">
        <f t="shared" si="1732"/>
        <v/>
      </c>
      <c r="CE757" s="371"/>
      <c r="CF757" s="232" t="str">
        <f t="shared" si="1733"/>
        <v/>
      </c>
      <c r="CG757" s="232" t="str">
        <f t="shared" si="1734"/>
        <v/>
      </c>
      <c r="CH757" s="232" t="str">
        <f t="shared" si="1735"/>
        <v/>
      </c>
      <c r="CI757" s="232" t="str">
        <f t="shared" ref="CI757:CI767" si="1748">IF((MAX(CF757,CG757,CH757))=0,"",IF((MAX(CF757,CG757,CH757))=(MAX(CB757,CC757,CD757)),1,""))</f>
        <v/>
      </c>
      <c r="CJ757" s="232"/>
      <c r="CK757" s="497"/>
      <c r="CL757" s="498"/>
      <c r="CM757" s="485" t="str">
        <f t="shared" si="1736"/>
        <v/>
      </c>
      <c r="CN757" s="371"/>
      <c r="CO757" s="232" t="str">
        <f t="shared" si="1737"/>
        <v/>
      </c>
      <c r="CP757" s="232" t="str">
        <f t="shared" si="1738"/>
        <v/>
      </c>
      <c r="CQ757" s="232" t="str">
        <f t="shared" si="1739"/>
        <v/>
      </c>
      <c r="CR757" s="232" t="str">
        <f t="shared" ref="CR757:CR767" si="1749">IF((MAX(CO757,CP757,CQ757))=0,"",IF((MAX(CO757,CP757,CQ757))=(MAX(CK757,CL757,CM757)),1,""))</f>
        <v/>
      </c>
      <c r="CS757" s="232"/>
      <c r="CT757" s="371"/>
      <c r="CU757" s="296"/>
      <c r="CV757" s="246"/>
      <c r="CW757" s="264"/>
    </row>
    <row r="758" spans="1:101" ht="13.5" thickBot="1" x14ac:dyDescent="0.25">
      <c r="A758" s="264"/>
      <c r="B758" s="264"/>
      <c r="C758" s="202"/>
      <c r="D758" s="271">
        <v>3</v>
      </c>
      <c r="E758" s="168"/>
      <c r="F758" s="470"/>
      <c r="G758" s="476"/>
      <c r="H758" s="477"/>
      <c r="I758" s="392" t="str">
        <f t="shared" si="1700"/>
        <v/>
      </c>
      <c r="J758" s="393" t="str">
        <f t="shared" si="1701"/>
        <v/>
      </c>
      <c r="K758" s="394" t="str">
        <f t="shared" si="1702"/>
        <v/>
      </c>
      <c r="L758" s="900"/>
      <c r="M758" s="375"/>
      <c r="N758" s="379"/>
      <c r="O758" s="236"/>
      <c r="P758" s="236"/>
      <c r="Q758" s="486"/>
      <c r="R758" s="487"/>
      <c r="S758" s="488" t="str">
        <f t="shared" si="1740"/>
        <v/>
      </c>
      <c r="T758" s="371"/>
      <c r="U758" s="232" t="str">
        <f t="shared" si="1703"/>
        <v/>
      </c>
      <c r="V758" s="232" t="str">
        <f t="shared" si="1704"/>
        <v/>
      </c>
      <c r="W758" s="232" t="str">
        <f t="shared" si="1705"/>
        <v/>
      </c>
      <c r="X758" s="232" t="str">
        <f t="shared" si="1741"/>
        <v/>
      </c>
      <c r="Y758" s="371"/>
      <c r="Z758" s="499"/>
      <c r="AA758" s="500"/>
      <c r="AB758" s="488" t="str">
        <f t="shared" si="1706"/>
        <v/>
      </c>
      <c r="AC758" s="371"/>
      <c r="AD758" s="232" t="str">
        <f t="shared" si="1707"/>
        <v/>
      </c>
      <c r="AE758" s="232" t="str">
        <f t="shared" si="1708"/>
        <v/>
      </c>
      <c r="AF758" s="232" t="str">
        <f t="shared" si="1709"/>
        <v/>
      </c>
      <c r="AG758" s="232" t="str">
        <f t="shared" si="1742"/>
        <v/>
      </c>
      <c r="AH758" s="371"/>
      <c r="AI758" s="499"/>
      <c r="AJ758" s="500"/>
      <c r="AK758" s="488" t="str">
        <f t="shared" si="1710"/>
        <v/>
      </c>
      <c r="AL758" s="371"/>
      <c r="AM758" s="232" t="str">
        <f t="shared" si="1711"/>
        <v/>
      </c>
      <c r="AN758" s="232" t="str">
        <f t="shared" si="1712"/>
        <v/>
      </c>
      <c r="AO758" s="232" t="str">
        <f t="shared" si="1713"/>
        <v/>
      </c>
      <c r="AP758" s="232" t="str">
        <f t="shared" si="1743"/>
        <v/>
      </c>
      <c r="AQ758" s="371"/>
      <c r="AR758" s="499"/>
      <c r="AS758" s="500"/>
      <c r="AT758" s="488" t="str">
        <f t="shared" si="1714"/>
        <v/>
      </c>
      <c r="AU758" s="371"/>
      <c r="AV758" s="232" t="str">
        <f t="shared" si="1715"/>
        <v/>
      </c>
      <c r="AW758" s="232" t="str">
        <f t="shared" si="1716"/>
        <v/>
      </c>
      <c r="AX758" s="232" t="str">
        <f t="shared" si="1717"/>
        <v/>
      </c>
      <c r="AY758" s="232" t="str">
        <f t="shared" si="1744"/>
        <v/>
      </c>
      <c r="AZ758" s="371"/>
      <c r="BA758" s="499"/>
      <c r="BB758" s="500"/>
      <c r="BC758" s="488" t="str">
        <f t="shared" si="1718"/>
        <v/>
      </c>
      <c r="BD758" s="371"/>
      <c r="BE758" s="232" t="str">
        <f t="shared" si="1719"/>
        <v/>
      </c>
      <c r="BF758" s="232" t="str">
        <f t="shared" si="1720"/>
        <v/>
      </c>
      <c r="BG758" s="232" t="str">
        <f t="shared" si="1721"/>
        <v/>
      </c>
      <c r="BH758" s="232" t="str">
        <f t="shared" si="1745"/>
        <v/>
      </c>
      <c r="BI758" s="371"/>
      <c r="BJ758" s="499"/>
      <c r="BK758" s="500"/>
      <c r="BL758" s="488" t="str">
        <f t="shared" si="1722"/>
        <v/>
      </c>
      <c r="BM758" s="371"/>
      <c r="BN758" s="232" t="str">
        <f t="shared" si="1723"/>
        <v/>
      </c>
      <c r="BO758" s="232" t="str">
        <f t="shared" si="1724"/>
        <v/>
      </c>
      <c r="BP758" s="232" t="str">
        <f t="shared" si="1725"/>
        <v/>
      </c>
      <c r="BQ758" s="232" t="str">
        <f t="shared" si="1746"/>
        <v/>
      </c>
      <c r="BR758" s="371"/>
      <c r="BS758" s="499"/>
      <c r="BT758" s="500"/>
      <c r="BU758" s="488" t="str">
        <f t="shared" si="1726"/>
        <v/>
      </c>
      <c r="BV758" s="371"/>
      <c r="BW758" s="232" t="str">
        <f t="shared" si="1727"/>
        <v/>
      </c>
      <c r="BX758" s="232" t="str">
        <f t="shared" si="1728"/>
        <v/>
      </c>
      <c r="BY758" s="232" t="str">
        <f t="shared" si="1729"/>
        <v/>
      </c>
      <c r="BZ758" s="232" t="str">
        <f t="shared" si="1747"/>
        <v/>
      </c>
      <c r="CA758" s="371"/>
      <c r="CB758" s="507" t="str">
        <f t="shared" si="1730"/>
        <v/>
      </c>
      <c r="CC758" s="508" t="str">
        <f t="shared" si="1731"/>
        <v/>
      </c>
      <c r="CD758" s="509" t="str">
        <f t="shared" si="1732"/>
        <v/>
      </c>
      <c r="CE758" s="371"/>
      <c r="CF758" s="232" t="str">
        <f t="shared" si="1733"/>
        <v/>
      </c>
      <c r="CG758" s="232" t="str">
        <f t="shared" si="1734"/>
        <v/>
      </c>
      <c r="CH758" s="232" t="str">
        <f t="shared" si="1735"/>
        <v/>
      </c>
      <c r="CI758" s="232" t="str">
        <f t="shared" si="1748"/>
        <v/>
      </c>
      <c r="CJ758" s="232"/>
      <c r="CK758" s="499"/>
      <c r="CL758" s="500"/>
      <c r="CM758" s="488" t="str">
        <f t="shared" si="1736"/>
        <v/>
      </c>
      <c r="CN758" s="371"/>
      <c r="CO758" s="232" t="str">
        <f t="shared" si="1737"/>
        <v/>
      </c>
      <c r="CP758" s="232" t="str">
        <f t="shared" si="1738"/>
        <v/>
      </c>
      <c r="CQ758" s="232" t="str">
        <f t="shared" si="1739"/>
        <v/>
      </c>
      <c r="CR758" s="232" t="str">
        <f t="shared" si="1749"/>
        <v/>
      </c>
      <c r="CS758" s="232"/>
      <c r="CT758" s="371"/>
      <c r="CU758" s="296"/>
      <c r="CV758" s="246"/>
      <c r="CW758" s="264"/>
    </row>
    <row r="759" spans="1:101" x14ac:dyDescent="0.2">
      <c r="A759" s="264"/>
      <c r="B759" s="264"/>
      <c r="C759" s="202"/>
      <c r="D759" s="271">
        <v>4</v>
      </c>
      <c r="E759" s="166"/>
      <c r="F759" s="468"/>
      <c r="G759" s="472"/>
      <c r="H759" s="473"/>
      <c r="I759" s="170" t="str">
        <f t="shared" si="1700"/>
        <v/>
      </c>
      <c r="J759" s="387" t="str">
        <f t="shared" si="1701"/>
        <v/>
      </c>
      <c r="K759" s="388" t="str">
        <f t="shared" si="1702"/>
        <v/>
      </c>
      <c r="L759" s="900"/>
      <c r="M759" s="375"/>
      <c r="N759" s="379"/>
      <c r="O759" s="236"/>
      <c r="P759" s="236"/>
      <c r="Q759" s="480"/>
      <c r="R759" s="481"/>
      <c r="S759" s="482" t="str">
        <f t="shared" si="1740"/>
        <v/>
      </c>
      <c r="T759" s="371"/>
      <c r="U759" s="232" t="str">
        <f t="shared" si="1703"/>
        <v/>
      </c>
      <c r="V759" s="232" t="str">
        <f t="shared" si="1704"/>
        <v/>
      </c>
      <c r="W759" s="232" t="str">
        <f t="shared" si="1705"/>
        <v/>
      </c>
      <c r="X759" s="232" t="str">
        <f t="shared" si="1741"/>
        <v/>
      </c>
      <c r="Y759" s="371"/>
      <c r="Z759" s="495"/>
      <c r="AA759" s="496"/>
      <c r="AB759" s="482" t="str">
        <f t="shared" si="1706"/>
        <v/>
      </c>
      <c r="AC759" s="371"/>
      <c r="AD759" s="232" t="str">
        <f t="shared" si="1707"/>
        <v/>
      </c>
      <c r="AE759" s="232" t="str">
        <f t="shared" si="1708"/>
        <v/>
      </c>
      <c r="AF759" s="232" t="str">
        <f t="shared" si="1709"/>
        <v/>
      </c>
      <c r="AG759" s="232" t="str">
        <f t="shared" si="1742"/>
        <v/>
      </c>
      <c r="AH759" s="371"/>
      <c r="AI759" s="495"/>
      <c r="AJ759" s="496"/>
      <c r="AK759" s="482" t="str">
        <f t="shared" si="1710"/>
        <v/>
      </c>
      <c r="AL759" s="371"/>
      <c r="AM759" s="232" t="str">
        <f t="shared" si="1711"/>
        <v/>
      </c>
      <c r="AN759" s="232" t="str">
        <f t="shared" si="1712"/>
        <v/>
      </c>
      <c r="AO759" s="232" t="str">
        <f t="shared" si="1713"/>
        <v/>
      </c>
      <c r="AP759" s="232" t="str">
        <f t="shared" si="1743"/>
        <v/>
      </c>
      <c r="AQ759" s="371"/>
      <c r="AR759" s="495"/>
      <c r="AS759" s="496"/>
      <c r="AT759" s="482" t="str">
        <f t="shared" si="1714"/>
        <v/>
      </c>
      <c r="AU759" s="371"/>
      <c r="AV759" s="232" t="str">
        <f t="shared" si="1715"/>
        <v/>
      </c>
      <c r="AW759" s="232" t="str">
        <f t="shared" si="1716"/>
        <v/>
      </c>
      <c r="AX759" s="232" t="str">
        <f t="shared" si="1717"/>
        <v/>
      </c>
      <c r="AY759" s="232" t="str">
        <f t="shared" si="1744"/>
        <v/>
      </c>
      <c r="AZ759" s="371"/>
      <c r="BA759" s="495"/>
      <c r="BB759" s="496"/>
      <c r="BC759" s="482" t="str">
        <f t="shared" si="1718"/>
        <v/>
      </c>
      <c r="BD759" s="371"/>
      <c r="BE759" s="232" t="str">
        <f t="shared" si="1719"/>
        <v/>
      </c>
      <c r="BF759" s="232" t="str">
        <f t="shared" si="1720"/>
        <v/>
      </c>
      <c r="BG759" s="232" t="str">
        <f t="shared" si="1721"/>
        <v/>
      </c>
      <c r="BH759" s="232" t="str">
        <f t="shared" si="1745"/>
        <v/>
      </c>
      <c r="BI759" s="371"/>
      <c r="BJ759" s="495"/>
      <c r="BK759" s="496"/>
      <c r="BL759" s="482" t="str">
        <f t="shared" si="1722"/>
        <v/>
      </c>
      <c r="BM759" s="371"/>
      <c r="BN759" s="232" t="str">
        <f t="shared" si="1723"/>
        <v/>
      </c>
      <c r="BO759" s="232" t="str">
        <f t="shared" si="1724"/>
        <v/>
      </c>
      <c r="BP759" s="232" t="str">
        <f t="shared" si="1725"/>
        <v/>
      </c>
      <c r="BQ759" s="232" t="str">
        <f t="shared" si="1746"/>
        <v/>
      </c>
      <c r="BR759" s="371"/>
      <c r="BS759" s="495"/>
      <c r="BT759" s="496"/>
      <c r="BU759" s="482" t="str">
        <f t="shared" si="1726"/>
        <v/>
      </c>
      <c r="BV759" s="371"/>
      <c r="BW759" s="232" t="str">
        <f t="shared" si="1727"/>
        <v/>
      </c>
      <c r="BX759" s="232" t="str">
        <f t="shared" si="1728"/>
        <v/>
      </c>
      <c r="BY759" s="232" t="str">
        <f t="shared" si="1729"/>
        <v/>
      </c>
      <c r="BZ759" s="232" t="str">
        <f t="shared" si="1747"/>
        <v/>
      </c>
      <c r="CA759" s="371"/>
      <c r="CB759" s="501" t="str">
        <f t="shared" si="1730"/>
        <v/>
      </c>
      <c r="CC759" s="502" t="str">
        <f t="shared" si="1731"/>
        <v/>
      </c>
      <c r="CD759" s="503" t="str">
        <f t="shared" si="1732"/>
        <v/>
      </c>
      <c r="CE759" s="371"/>
      <c r="CF759" s="232" t="str">
        <f t="shared" si="1733"/>
        <v/>
      </c>
      <c r="CG759" s="232" t="str">
        <f t="shared" si="1734"/>
        <v/>
      </c>
      <c r="CH759" s="232" t="str">
        <f t="shared" si="1735"/>
        <v/>
      </c>
      <c r="CI759" s="232" t="str">
        <f t="shared" si="1748"/>
        <v/>
      </c>
      <c r="CJ759" s="232"/>
      <c r="CK759" s="495"/>
      <c r="CL759" s="496"/>
      <c r="CM759" s="482" t="str">
        <f t="shared" si="1736"/>
        <v/>
      </c>
      <c r="CN759" s="371"/>
      <c r="CO759" s="232" t="str">
        <f t="shared" si="1737"/>
        <v/>
      </c>
      <c r="CP759" s="232" t="str">
        <f t="shared" si="1738"/>
        <v/>
      </c>
      <c r="CQ759" s="232" t="str">
        <f t="shared" si="1739"/>
        <v/>
      </c>
      <c r="CR759" s="232" t="str">
        <f t="shared" si="1749"/>
        <v/>
      </c>
      <c r="CS759" s="232"/>
      <c r="CT759" s="371"/>
      <c r="CU759" s="296"/>
      <c r="CV759" s="246"/>
      <c r="CW759" s="264"/>
    </row>
    <row r="760" spans="1:101" x14ac:dyDescent="0.2">
      <c r="A760" s="264"/>
      <c r="B760" s="264"/>
      <c r="C760" s="202"/>
      <c r="D760" s="271">
        <v>5</v>
      </c>
      <c r="E760" s="167"/>
      <c r="F760" s="469"/>
      <c r="G760" s="474"/>
      <c r="H760" s="475"/>
      <c r="I760" s="389" t="str">
        <f t="shared" si="1700"/>
        <v/>
      </c>
      <c r="J760" s="390" t="str">
        <f t="shared" si="1701"/>
        <v/>
      </c>
      <c r="K760" s="391" t="str">
        <f t="shared" si="1702"/>
        <v/>
      </c>
      <c r="L760" s="900"/>
      <c r="M760" s="375"/>
      <c r="N760" s="379"/>
      <c r="O760" s="236"/>
      <c r="P760" s="236"/>
      <c r="Q760" s="483"/>
      <c r="R760" s="484"/>
      <c r="S760" s="485" t="str">
        <f t="shared" si="1740"/>
        <v/>
      </c>
      <c r="T760" s="371"/>
      <c r="U760" s="232" t="str">
        <f t="shared" si="1703"/>
        <v/>
      </c>
      <c r="V760" s="232" t="str">
        <f t="shared" si="1704"/>
        <v/>
      </c>
      <c r="W760" s="232" t="str">
        <f t="shared" si="1705"/>
        <v/>
      </c>
      <c r="X760" s="232" t="str">
        <f t="shared" si="1741"/>
        <v/>
      </c>
      <c r="Y760" s="371"/>
      <c r="Z760" s="497"/>
      <c r="AA760" s="498"/>
      <c r="AB760" s="485" t="str">
        <f t="shared" si="1706"/>
        <v/>
      </c>
      <c r="AC760" s="371"/>
      <c r="AD760" s="232" t="str">
        <f t="shared" si="1707"/>
        <v/>
      </c>
      <c r="AE760" s="232" t="str">
        <f t="shared" si="1708"/>
        <v/>
      </c>
      <c r="AF760" s="232" t="str">
        <f t="shared" si="1709"/>
        <v/>
      </c>
      <c r="AG760" s="232" t="str">
        <f t="shared" si="1742"/>
        <v/>
      </c>
      <c r="AH760" s="371"/>
      <c r="AI760" s="497"/>
      <c r="AJ760" s="498"/>
      <c r="AK760" s="485" t="str">
        <f t="shared" si="1710"/>
        <v/>
      </c>
      <c r="AL760" s="371"/>
      <c r="AM760" s="232" t="str">
        <f t="shared" si="1711"/>
        <v/>
      </c>
      <c r="AN760" s="232" t="str">
        <f t="shared" si="1712"/>
        <v/>
      </c>
      <c r="AO760" s="232" t="str">
        <f t="shared" si="1713"/>
        <v/>
      </c>
      <c r="AP760" s="232" t="str">
        <f t="shared" si="1743"/>
        <v/>
      </c>
      <c r="AQ760" s="371"/>
      <c r="AR760" s="497"/>
      <c r="AS760" s="498"/>
      <c r="AT760" s="485" t="str">
        <f t="shared" si="1714"/>
        <v/>
      </c>
      <c r="AU760" s="371"/>
      <c r="AV760" s="232" t="str">
        <f t="shared" si="1715"/>
        <v/>
      </c>
      <c r="AW760" s="232" t="str">
        <f t="shared" si="1716"/>
        <v/>
      </c>
      <c r="AX760" s="232" t="str">
        <f t="shared" si="1717"/>
        <v/>
      </c>
      <c r="AY760" s="232" t="str">
        <f t="shared" si="1744"/>
        <v/>
      </c>
      <c r="AZ760" s="371"/>
      <c r="BA760" s="497"/>
      <c r="BB760" s="498"/>
      <c r="BC760" s="485" t="str">
        <f t="shared" si="1718"/>
        <v/>
      </c>
      <c r="BD760" s="371"/>
      <c r="BE760" s="232" t="str">
        <f t="shared" si="1719"/>
        <v/>
      </c>
      <c r="BF760" s="232" t="str">
        <f t="shared" si="1720"/>
        <v/>
      </c>
      <c r="BG760" s="232" t="str">
        <f t="shared" si="1721"/>
        <v/>
      </c>
      <c r="BH760" s="232" t="str">
        <f t="shared" si="1745"/>
        <v/>
      </c>
      <c r="BI760" s="371"/>
      <c r="BJ760" s="497"/>
      <c r="BK760" s="498"/>
      <c r="BL760" s="485" t="str">
        <f t="shared" si="1722"/>
        <v/>
      </c>
      <c r="BM760" s="371"/>
      <c r="BN760" s="232" t="str">
        <f t="shared" si="1723"/>
        <v/>
      </c>
      <c r="BO760" s="232" t="str">
        <f t="shared" si="1724"/>
        <v/>
      </c>
      <c r="BP760" s="232" t="str">
        <f t="shared" si="1725"/>
        <v/>
      </c>
      <c r="BQ760" s="232" t="str">
        <f t="shared" si="1746"/>
        <v/>
      </c>
      <c r="BR760" s="371"/>
      <c r="BS760" s="497"/>
      <c r="BT760" s="498"/>
      <c r="BU760" s="485" t="str">
        <f t="shared" si="1726"/>
        <v/>
      </c>
      <c r="BV760" s="371"/>
      <c r="BW760" s="232" t="str">
        <f t="shared" si="1727"/>
        <v/>
      </c>
      <c r="BX760" s="232" t="str">
        <f t="shared" si="1728"/>
        <v/>
      </c>
      <c r="BY760" s="232" t="str">
        <f t="shared" si="1729"/>
        <v/>
      </c>
      <c r="BZ760" s="232" t="str">
        <f t="shared" si="1747"/>
        <v/>
      </c>
      <c r="CA760" s="371"/>
      <c r="CB760" s="504" t="str">
        <f t="shared" si="1730"/>
        <v/>
      </c>
      <c r="CC760" s="505" t="str">
        <f t="shared" si="1731"/>
        <v/>
      </c>
      <c r="CD760" s="506" t="str">
        <f t="shared" si="1732"/>
        <v/>
      </c>
      <c r="CE760" s="371"/>
      <c r="CF760" s="232" t="str">
        <f t="shared" si="1733"/>
        <v/>
      </c>
      <c r="CG760" s="232" t="str">
        <f t="shared" si="1734"/>
        <v/>
      </c>
      <c r="CH760" s="232" t="str">
        <f t="shared" si="1735"/>
        <v/>
      </c>
      <c r="CI760" s="232" t="str">
        <f t="shared" si="1748"/>
        <v/>
      </c>
      <c r="CJ760" s="232"/>
      <c r="CK760" s="497"/>
      <c r="CL760" s="498"/>
      <c r="CM760" s="485" t="str">
        <f t="shared" si="1736"/>
        <v/>
      </c>
      <c r="CN760" s="371"/>
      <c r="CO760" s="232" t="str">
        <f t="shared" si="1737"/>
        <v/>
      </c>
      <c r="CP760" s="232" t="str">
        <f t="shared" si="1738"/>
        <v/>
      </c>
      <c r="CQ760" s="232" t="str">
        <f t="shared" si="1739"/>
        <v/>
      </c>
      <c r="CR760" s="232" t="str">
        <f t="shared" si="1749"/>
        <v/>
      </c>
      <c r="CS760" s="232"/>
      <c r="CT760" s="371"/>
      <c r="CU760" s="296"/>
      <c r="CV760" s="246"/>
      <c r="CW760" s="264"/>
    </row>
    <row r="761" spans="1:101" ht="13.5" thickBot="1" x14ac:dyDescent="0.25">
      <c r="A761" s="264"/>
      <c r="B761" s="264"/>
      <c r="C761" s="202"/>
      <c r="D761" s="271">
        <v>6</v>
      </c>
      <c r="E761" s="168"/>
      <c r="F761" s="470"/>
      <c r="G761" s="476"/>
      <c r="H761" s="477"/>
      <c r="I761" s="392" t="str">
        <f t="shared" si="1700"/>
        <v/>
      </c>
      <c r="J761" s="393" t="str">
        <f t="shared" si="1701"/>
        <v/>
      </c>
      <c r="K761" s="394" t="str">
        <f t="shared" si="1702"/>
        <v/>
      </c>
      <c r="L761" s="900"/>
      <c r="M761" s="375"/>
      <c r="N761" s="379"/>
      <c r="O761" s="236"/>
      <c r="P761" s="236"/>
      <c r="Q761" s="489"/>
      <c r="R761" s="490"/>
      <c r="S761" s="491" t="str">
        <f t="shared" si="1740"/>
        <v/>
      </c>
      <c r="T761" s="371"/>
      <c r="U761" s="232" t="str">
        <f t="shared" si="1703"/>
        <v/>
      </c>
      <c r="V761" s="232" t="str">
        <f t="shared" si="1704"/>
        <v/>
      </c>
      <c r="W761" s="232" t="str">
        <f t="shared" si="1705"/>
        <v/>
      </c>
      <c r="X761" s="232" t="str">
        <f t="shared" si="1741"/>
        <v/>
      </c>
      <c r="Y761" s="371"/>
      <c r="Z761" s="499"/>
      <c r="AA761" s="500"/>
      <c r="AB761" s="491" t="str">
        <f t="shared" si="1706"/>
        <v/>
      </c>
      <c r="AC761" s="371"/>
      <c r="AD761" s="232" t="str">
        <f t="shared" si="1707"/>
        <v/>
      </c>
      <c r="AE761" s="232" t="str">
        <f t="shared" si="1708"/>
        <v/>
      </c>
      <c r="AF761" s="232" t="str">
        <f t="shared" si="1709"/>
        <v/>
      </c>
      <c r="AG761" s="232" t="str">
        <f t="shared" si="1742"/>
        <v/>
      </c>
      <c r="AH761" s="371"/>
      <c r="AI761" s="499"/>
      <c r="AJ761" s="500"/>
      <c r="AK761" s="491" t="str">
        <f t="shared" si="1710"/>
        <v/>
      </c>
      <c r="AL761" s="371"/>
      <c r="AM761" s="232" t="str">
        <f t="shared" si="1711"/>
        <v/>
      </c>
      <c r="AN761" s="232" t="str">
        <f t="shared" si="1712"/>
        <v/>
      </c>
      <c r="AO761" s="232" t="str">
        <f t="shared" si="1713"/>
        <v/>
      </c>
      <c r="AP761" s="232" t="str">
        <f t="shared" si="1743"/>
        <v/>
      </c>
      <c r="AQ761" s="371"/>
      <c r="AR761" s="499"/>
      <c r="AS761" s="500"/>
      <c r="AT761" s="491" t="str">
        <f t="shared" si="1714"/>
        <v/>
      </c>
      <c r="AU761" s="371"/>
      <c r="AV761" s="232" t="str">
        <f t="shared" si="1715"/>
        <v/>
      </c>
      <c r="AW761" s="232" t="str">
        <f t="shared" si="1716"/>
        <v/>
      </c>
      <c r="AX761" s="232" t="str">
        <f t="shared" si="1717"/>
        <v/>
      </c>
      <c r="AY761" s="232" t="str">
        <f t="shared" si="1744"/>
        <v/>
      </c>
      <c r="AZ761" s="371"/>
      <c r="BA761" s="499"/>
      <c r="BB761" s="500"/>
      <c r="BC761" s="491" t="str">
        <f t="shared" si="1718"/>
        <v/>
      </c>
      <c r="BD761" s="371"/>
      <c r="BE761" s="232" t="str">
        <f t="shared" si="1719"/>
        <v/>
      </c>
      <c r="BF761" s="232" t="str">
        <f t="shared" si="1720"/>
        <v/>
      </c>
      <c r="BG761" s="232" t="str">
        <f t="shared" si="1721"/>
        <v/>
      </c>
      <c r="BH761" s="232" t="str">
        <f t="shared" si="1745"/>
        <v/>
      </c>
      <c r="BI761" s="371"/>
      <c r="BJ761" s="499"/>
      <c r="BK761" s="500"/>
      <c r="BL761" s="491" t="str">
        <f t="shared" si="1722"/>
        <v/>
      </c>
      <c r="BM761" s="371"/>
      <c r="BN761" s="232" t="str">
        <f t="shared" si="1723"/>
        <v/>
      </c>
      <c r="BO761" s="232" t="str">
        <f t="shared" si="1724"/>
        <v/>
      </c>
      <c r="BP761" s="232" t="str">
        <f t="shared" si="1725"/>
        <v/>
      </c>
      <c r="BQ761" s="232" t="str">
        <f t="shared" si="1746"/>
        <v/>
      </c>
      <c r="BR761" s="371"/>
      <c r="BS761" s="499"/>
      <c r="BT761" s="500"/>
      <c r="BU761" s="491" t="str">
        <f t="shared" si="1726"/>
        <v/>
      </c>
      <c r="BV761" s="371"/>
      <c r="BW761" s="232" t="str">
        <f t="shared" si="1727"/>
        <v/>
      </c>
      <c r="BX761" s="232" t="str">
        <f t="shared" si="1728"/>
        <v/>
      </c>
      <c r="BY761" s="232" t="str">
        <f t="shared" si="1729"/>
        <v/>
      </c>
      <c r="BZ761" s="232" t="str">
        <f t="shared" si="1747"/>
        <v/>
      </c>
      <c r="CA761" s="371"/>
      <c r="CB761" s="507" t="str">
        <f t="shared" si="1730"/>
        <v/>
      </c>
      <c r="CC761" s="508" t="str">
        <f t="shared" si="1731"/>
        <v/>
      </c>
      <c r="CD761" s="509" t="str">
        <f t="shared" si="1732"/>
        <v/>
      </c>
      <c r="CE761" s="371"/>
      <c r="CF761" s="232" t="str">
        <f t="shared" si="1733"/>
        <v/>
      </c>
      <c r="CG761" s="232" t="str">
        <f t="shared" si="1734"/>
        <v/>
      </c>
      <c r="CH761" s="232" t="str">
        <f t="shared" si="1735"/>
        <v/>
      </c>
      <c r="CI761" s="232" t="str">
        <f t="shared" si="1748"/>
        <v/>
      </c>
      <c r="CJ761" s="232"/>
      <c r="CK761" s="499"/>
      <c r="CL761" s="500"/>
      <c r="CM761" s="491" t="str">
        <f t="shared" si="1736"/>
        <v/>
      </c>
      <c r="CN761" s="371"/>
      <c r="CO761" s="232" t="str">
        <f t="shared" si="1737"/>
        <v/>
      </c>
      <c r="CP761" s="232" t="str">
        <f t="shared" si="1738"/>
        <v/>
      </c>
      <c r="CQ761" s="232" t="str">
        <f t="shared" si="1739"/>
        <v/>
      </c>
      <c r="CR761" s="232" t="str">
        <f t="shared" si="1749"/>
        <v/>
      </c>
      <c r="CS761" s="232"/>
      <c r="CT761" s="371"/>
      <c r="CU761" s="296"/>
      <c r="CV761" s="246"/>
      <c r="CW761" s="264"/>
    </row>
    <row r="762" spans="1:101" x14ac:dyDescent="0.2">
      <c r="A762" s="264"/>
      <c r="B762" s="264"/>
      <c r="C762" s="202"/>
      <c r="D762" s="271">
        <v>7</v>
      </c>
      <c r="E762" s="166"/>
      <c r="F762" s="468"/>
      <c r="G762" s="472"/>
      <c r="H762" s="473"/>
      <c r="I762" s="170" t="str">
        <f t="shared" si="1700"/>
        <v/>
      </c>
      <c r="J762" s="387" t="str">
        <f t="shared" si="1701"/>
        <v/>
      </c>
      <c r="K762" s="388" t="str">
        <f t="shared" si="1702"/>
        <v/>
      </c>
      <c r="L762" s="900"/>
      <c r="M762" s="375"/>
      <c r="N762" s="379"/>
      <c r="O762" s="236"/>
      <c r="P762" s="236"/>
      <c r="Q762" s="480"/>
      <c r="R762" s="481"/>
      <c r="S762" s="482" t="str">
        <f t="shared" si="1740"/>
        <v/>
      </c>
      <c r="T762" s="371"/>
      <c r="U762" s="232" t="str">
        <f t="shared" si="1703"/>
        <v/>
      </c>
      <c r="V762" s="232" t="str">
        <f t="shared" si="1704"/>
        <v/>
      </c>
      <c r="W762" s="232" t="str">
        <f t="shared" si="1705"/>
        <v/>
      </c>
      <c r="X762" s="232" t="str">
        <f t="shared" si="1741"/>
        <v/>
      </c>
      <c r="Y762" s="371"/>
      <c r="Z762" s="495"/>
      <c r="AA762" s="496"/>
      <c r="AB762" s="482" t="str">
        <f t="shared" si="1706"/>
        <v/>
      </c>
      <c r="AC762" s="371"/>
      <c r="AD762" s="232" t="str">
        <f t="shared" si="1707"/>
        <v/>
      </c>
      <c r="AE762" s="232" t="str">
        <f t="shared" si="1708"/>
        <v/>
      </c>
      <c r="AF762" s="232" t="str">
        <f t="shared" si="1709"/>
        <v/>
      </c>
      <c r="AG762" s="232" t="str">
        <f t="shared" si="1742"/>
        <v/>
      </c>
      <c r="AH762" s="371"/>
      <c r="AI762" s="495"/>
      <c r="AJ762" s="496"/>
      <c r="AK762" s="482" t="str">
        <f t="shared" si="1710"/>
        <v/>
      </c>
      <c r="AL762" s="371"/>
      <c r="AM762" s="232" t="str">
        <f t="shared" si="1711"/>
        <v/>
      </c>
      <c r="AN762" s="232" t="str">
        <f t="shared" si="1712"/>
        <v/>
      </c>
      <c r="AO762" s="232" t="str">
        <f t="shared" si="1713"/>
        <v/>
      </c>
      <c r="AP762" s="232" t="str">
        <f t="shared" si="1743"/>
        <v/>
      </c>
      <c r="AQ762" s="371"/>
      <c r="AR762" s="495"/>
      <c r="AS762" s="496"/>
      <c r="AT762" s="482" t="str">
        <f t="shared" si="1714"/>
        <v/>
      </c>
      <c r="AU762" s="371"/>
      <c r="AV762" s="232" t="str">
        <f t="shared" si="1715"/>
        <v/>
      </c>
      <c r="AW762" s="232" t="str">
        <f t="shared" si="1716"/>
        <v/>
      </c>
      <c r="AX762" s="232" t="str">
        <f t="shared" si="1717"/>
        <v/>
      </c>
      <c r="AY762" s="232" t="str">
        <f t="shared" si="1744"/>
        <v/>
      </c>
      <c r="AZ762" s="371"/>
      <c r="BA762" s="495"/>
      <c r="BB762" s="496"/>
      <c r="BC762" s="482" t="str">
        <f t="shared" si="1718"/>
        <v/>
      </c>
      <c r="BD762" s="371"/>
      <c r="BE762" s="232" t="str">
        <f t="shared" si="1719"/>
        <v/>
      </c>
      <c r="BF762" s="232" t="str">
        <f t="shared" si="1720"/>
        <v/>
      </c>
      <c r="BG762" s="232" t="str">
        <f t="shared" si="1721"/>
        <v/>
      </c>
      <c r="BH762" s="232" t="str">
        <f t="shared" si="1745"/>
        <v/>
      </c>
      <c r="BI762" s="371"/>
      <c r="BJ762" s="495"/>
      <c r="BK762" s="496"/>
      <c r="BL762" s="482" t="str">
        <f t="shared" si="1722"/>
        <v/>
      </c>
      <c r="BM762" s="371"/>
      <c r="BN762" s="232" t="str">
        <f t="shared" si="1723"/>
        <v/>
      </c>
      <c r="BO762" s="232" t="str">
        <f t="shared" si="1724"/>
        <v/>
      </c>
      <c r="BP762" s="232" t="str">
        <f t="shared" si="1725"/>
        <v/>
      </c>
      <c r="BQ762" s="232" t="str">
        <f t="shared" si="1746"/>
        <v/>
      </c>
      <c r="BR762" s="371"/>
      <c r="BS762" s="495"/>
      <c r="BT762" s="496"/>
      <c r="BU762" s="482" t="str">
        <f t="shared" si="1726"/>
        <v/>
      </c>
      <c r="BV762" s="371"/>
      <c r="BW762" s="232" t="str">
        <f t="shared" si="1727"/>
        <v/>
      </c>
      <c r="BX762" s="232" t="str">
        <f t="shared" si="1728"/>
        <v/>
      </c>
      <c r="BY762" s="232" t="str">
        <f t="shared" si="1729"/>
        <v/>
      </c>
      <c r="BZ762" s="232" t="str">
        <f t="shared" si="1747"/>
        <v/>
      </c>
      <c r="CA762" s="371"/>
      <c r="CB762" s="501" t="str">
        <f t="shared" si="1730"/>
        <v/>
      </c>
      <c r="CC762" s="502" t="str">
        <f t="shared" si="1731"/>
        <v/>
      </c>
      <c r="CD762" s="503" t="str">
        <f t="shared" si="1732"/>
        <v/>
      </c>
      <c r="CE762" s="371"/>
      <c r="CF762" s="232" t="str">
        <f t="shared" si="1733"/>
        <v/>
      </c>
      <c r="CG762" s="232" t="str">
        <f t="shared" si="1734"/>
        <v/>
      </c>
      <c r="CH762" s="232" t="str">
        <f t="shared" si="1735"/>
        <v/>
      </c>
      <c r="CI762" s="232" t="str">
        <f t="shared" si="1748"/>
        <v/>
      </c>
      <c r="CJ762" s="232"/>
      <c r="CK762" s="495"/>
      <c r="CL762" s="496"/>
      <c r="CM762" s="482" t="str">
        <f t="shared" si="1736"/>
        <v/>
      </c>
      <c r="CN762" s="371"/>
      <c r="CO762" s="232" t="str">
        <f t="shared" si="1737"/>
        <v/>
      </c>
      <c r="CP762" s="232" t="str">
        <f t="shared" si="1738"/>
        <v/>
      </c>
      <c r="CQ762" s="232" t="str">
        <f t="shared" si="1739"/>
        <v/>
      </c>
      <c r="CR762" s="232" t="str">
        <f t="shared" si="1749"/>
        <v/>
      </c>
      <c r="CS762" s="232"/>
      <c r="CT762" s="371"/>
      <c r="CU762" s="300"/>
      <c r="CV762" s="246"/>
      <c r="CW762" s="264"/>
    </row>
    <row r="763" spans="1:101" x14ac:dyDescent="0.2">
      <c r="A763" s="264"/>
      <c r="B763" s="264"/>
      <c r="C763" s="202"/>
      <c r="D763" s="271">
        <v>8</v>
      </c>
      <c r="E763" s="167"/>
      <c r="F763" s="469"/>
      <c r="G763" s="474"/>
      <c r="H763" s="475"/>
      <c r="I763" s="389" t="str">
        <f t="shared" si="1700"/>
        <v/>
      </c>
      <c r="J763" s="390" t="str">
        <f t="shared" si="1701"/>
        <v/>
      </c>
      <c r="K763" s="391" t="str">
        <f t="shared" si="1702"/>
        <v/>
      </c>
      <c r="L763" s="900"/>
      <c r="M763" s="375"/>
      <c r="N763" s="379"/>
      <c r="O763" s="236"/>
      <c r="P763" s="236"/>
      <c r="Q763" s="483"/>
      <c r="R763" s="484"/>
      <c r="S763" s="485" t="str">
        <f t="shared" si="1740"/>
        <v/>
      </c>
      <c r="T763" s="371"/>
      <c r="U763" s="232" t="str">
        <f t="shared" si="1703"/>
        <v/>
      </c>
      <c r="V763" s="232" t="str">
        <f t="shared" si="1704"/>
        <v/>
      </c>
      <c r="W763" s="232" t="str">
        <f t="shared" si="1705"/>
        <v/>
      </c>
      <c r="X763" s="232" t="str">
        <f t="shared" si="1741"/>
        <v/>
      </c>
      <c r="Y763" s="371"/>
      <c r="Z763" s="497"/>
      <c r="AA763" s="498"/>
      <c r="AB763" s="485" t="str">
        <f t="shared" si="1706"/>
        <v/>
      </c>
      <c r="AC763" s="371"/>
      <c r="AD763" s="232" t="str">
        <f t="shared" si="1707"/>
        <v/>
      </c>
      <c r="AE763" s="232" t="str">
        <f t="shared" si="1708"/>
        <v/>
      </c>
      <c r="AF763" s="232" t="str">
        <f t="shared" si="1709"/>
        <v/>
      </c>
      <c r="AG763" s="232" t="str">
        <f t="shared" si="1742"/>
        <v/>
      </c>
      <c r="AH763" s="371"/>
      <c r="AI763" s="497"/>
      <c r="AJ763" s="498"/>
      <c r="AK763" s="485" t="str">
        <f t="shared" si="1710"/>
        <v/>
      </c>
      <c r="AL763" s="371"/>
      <c r="AM763" s="232" t="str">
        <f t="shared" si="1711"/>
        <v/>
      </c>
      <c r="AN763" s="232" t="str">
        <f t="shared" si="1712"/>
        <v/>
      </c>
      <c r="AO763" s="232" t="str">
        <f t="shared" si="1713"/>
        <v/>
      </c>
      <c r="AP763" s="232" t="str">
        <f t="shared" si="1743"/>
        <v/>
      </c>
      <c r="AQ763" s="371"/>
      <c r="AR763" s="497"/>
      <c r="AS763" s="498"/>
      <c r="AT763" s="485" t="str">
        <f t="shared" si="1714"/>
        <v/>
      </c>
      <c r="AU763" s="371"/>
      <c r="AV763" s="232" t="str">
        <f t="shared" si="1715"/>
        <v/>
      </c>
      <c r="AW763" s="232" t="str">
        <f t="shared" si="1716"/>
        <v/>
      </c>
      <c r="AX763" s="232" t="str">
        <f t="shared" si="1717"/>
        <v/>
      </c>
      <c r="AY763" s="232" t="str">
        <f t="shared" si="1744"/>
        <v/>
      </c>
      <c r="AZ763" s="371"/>
      <c r="BA763" s="497"/>
      <c r="BB763" s="498"/>
      <c r="BC763" s="485" t="str">
        <f t="shared" si="1718"/>
        <v/>
      </c>
      <c r="BD763" s="371"/>
      <c r="BE763" s="232" t="str">
        <f t="shared" si="1719"/>
        <v/>
      </c>
      <c r="BF763" s="232" t="str">
        <f t="shared" si="1720"/>
        <v/>
      </c>
      <c r="BG763" s="232" t="str">
        <f t="shared" si="1721"/>
        <v/>
      </c>
      <c r="BH763" s="232" t="str">
        <f t="shared" si="1745"/>
        <v/>
      </c>
      <c r="BI763" s="371"/>
      <c r="BJ763" s="497"/>
      <c r="BK763" s="498"/>
      <c r="BL763" s="485" t="str">
        <f t="shared" si="1722"/>
        <v/>
      </c>
      <c r="BM763" s="371"/>
      <c r="BN763" s="232" t="str">
        <f t="shared" si="1723"/>
        <v/>
      </c>
      <c r="BO763" s="232" t="str">
        <f t="shared" si="1724"/>
        <v/>
      </c>
      <c r="BP763" s="232" t="str">
        <f t="shared" si="1725"/>
        <v/>
      </c>
      <c r="BQ763" s="232" t="str">
        <f t="shared" si="1746"/>
        <v/>
      </c>
      <c r="BR763" s="371"/>
      <c r="BS763" s="497"/>
      <c r="BT763" s="498"/>
      <c r="BU763" s="485" t="str">
        <f t="shared" si="1726"/>
        <v/>
      </c>
      <c r="BV763" s="371"/>
      <c r="BW763" s="232" t="str">
        <f t="shared" si="1727"/>
        <v/>
      </c>
      <c r="BX763" s="232" t="str">
        <f t="shared" si="1728"/>
        <v/>
      </c>
      <c r="BY763" s="232" t="str">
        <f t="shared" si="1729"/>
        <v/>
      </c>
      <c r="BZ763" s="232" t="str">
        <f t="shared" si="1747"/>
        <v/>
      </c>
      <c r="CA763" s="371"/>
      <c r="CB763" s="504" t="str">
        <f t="shared" si="1730"/>
        <v/>
      </c>
      <c r="CC763" s="505" t="str">
        <f t="shared" si="1731"/>
        <v/>
      </c>
      <c r="CD763" s="506" t="str">
        <f t="shared" si="1732"/>
        <v/>
      </c>
      <c r="CE763" s="371"/>
      <c r="CF763" s="232" t="str">
        <f t="shared" si="1733"/>
        <v/>
      </c>
      <c r="CG763" s="232" t="str">
        <f t="shared" si="1734"/>
        <v/>
      </c>
      <c r="CH763" s="232" t="str">
        <f t="shared" si="1735"/>
        <v/>
      </c>
      <c r="CI763" s="232" t="str">
        <f t="shared" si="1748"/>
        <v/>
      </c>
      <c r="CJ763" s="232"/>
      <c r="CK763" s="497"/>
      <c r="CL763" s="498"/>
      <c r="CM763" s="485" t="str">
        <f t="shared" si="1736"/>
        <v/>
      </c>
      <c r="CN763" s="371"/>
      <c r="CO763" s="232" t="str">
        <f t="shared" si="1737"/>
        <v/>
      </c>
      <c r="CP763" s="232" t="str">
        <f t="shared" si="1738"/>
        <v/>
      </c>
      <c r="CQ763" s="232" t="str">
        <f t="shared" si="1739"/>
        <v/>
      </c>
      <c r="CR763" s="232" t="str">
        <f t="shared" si="1749"/>
        <v/>
      </c>
      <c r="CS763" s="232"/>
      <c r="CT763" s="371"/>
      <c r="CU763" s="300"/>
      <c r="CV763" s="246"/>
      <c r="CW763" s="264"/>
    </row>
    <row r="764" spans="1:101" ht="13.5" thickBot="1" x14ac:dyDescent="0.25">
      <c r="A764" s="264"/>
      <c r="B764" s="264"/>
      <c r="C764" s="202"/>
      <c r="D764" s="271">
        <v>9</v>
      </c>
      <c r="E764" s="168"/>
      <c r="F764" s="470"/>
      <c r="G764" s="476"/>
      <c r="H764" s="477"/>
      <c r="I764" s="392" t="str">
        <f t="shared" si="1700"/>
        <v/>
      </c>
      <c r="J764" s="393" t="str">
        <f t="shared" si="1701"/>
        <v/>
      </c>
      <c r="K764" s="394" t="str">
        <f t="shared" si="1702"/>
        <v/>
      </c>
      <c r="L764" s="900"/>
      <c r="M764" s="375"/>
      <c r="N764" s="379"/>
      <c r="O764" s="236"/>
      <c r="P764" s="236"/>
      <c r="Q764" s="489"/>
      <c r="R764" s="490"/>
      <c r="S764" s="491" t="str">
        <f t="shared" si="1740"/>
        <v/>
      </c>
      <c r="T764" s="371"/>
      <c r="U764" s="232" t="str">
        <f t="shared" si="1703"/>
        <v/>
      </c>
      <c r="V764" s="232" t="str">
        <f t="shared" si="1704"/>
        <v/>
      </c>
      <c r="W764" s="232" t="str">
        <f t="shared" si="1705"/>
        <v/>
      </c>
      <c r="X764" s="232" t="str">
        <f t="shared" si="1741"/>
        <v/>
      </c>
      <c r="Y764" s="371"/>
      <c r="Z764" s="499"/>
      <c r="AA764" s="500"/>
      <c r="AB764" s="491" t="str">
        <f t="shared" si="1706"/>
        <v/>
      </c>
      <c r="AC764" s="371"/>
      <c r="AD764" s="232" t="str">
        <f t="shared" si="1707"/>
        <v/>
      </c>
      <c r="AE764" s="232" t="str">
        <f t="shared" si="1708"/>
        <v/>
      </c>
      <c r="AF764" s="232" t="str">
        <f t="shared" si="1709"/>
        <v/>
      </c>
      <c r="AG764" s="232" t="str">
        <f t="shared" si="1742"/>
        <v/>
      </c>
      <c r="AH764" s="371"/>
      <c r="AI764" s="499"/>
      <c r="AJ764" s="500"/>
      <c r="AK764" s="491" t="str">
        <f t="shared" si="1710"/>
        <v/>
      </c>
      <c r="AL764" s="371"/>
      <c r="AM764" s="232" t="str">
        <f t="shared" si="1711"/>
        <v/>
      </c>
      <c r="AN764" s="232" t="str">
        <f t="shared" si="1712"/>
        <v/>
      </c>
      <c r="AO764" s="232" t="str">
        <f t="shared" si="1713"/>
        <v/>
      </c>
      <c r="AP764" s="232" t="str">
        <f t="shared" si="1743"/>
        <v/>
      </c>
      <c r="AQ764" s="371"/>
      <c r="AR764" s="499"/>
      <c r="AS764" s="500"/>
      <c r="AT764" s="491" t="str">
        <f t="shared" si="1714"/>
        <v/>
      </c>
      <c r="AU764" s="371"/>
      <c r="AV764" s="232" t="str">
        <f t="shared" si="1715"/>
        <v/>
      </c>
      <c r="AW764" s="232" t="str">
        <f t="shared" si="1716"/>
        <v/>
      </c>
      <c r="AX764" s="232" t="str">
        <f t="shared" si="1717"/>
        <v/>
      </c>
      <c r="AY764" s="232" t="str">
        <f t="shared" si="1744"/>
        <v/>
      </c>
      <c r="AZ764" s="371"/>
      <c r="BA764" s="499"/>
      <c r="BB764" s="500"/>
      <c r="BC764" s="491" t="str">
        <f t="shared" si="1718"/>
        <v/>
      </c>
      <c r="BD764" s="371"/>
      <c r="BE764" s="232" t="str">
        <f t="shared" si="1719"/>
        <v/>
      </c>
      <c r="BF764" s="232" t="str">
        <f t="shared" si="1720"/>
        <v/>
      </c>
      <c r="BG764" s="232" t="str">
        <f t="shared" si="1721"/>
        <v/>
      </c>
      <c r="BH764" s="232" t="str">
        <f t="shared" si="1745"/>
        <v/>
      </c>
      <c r="BI764" s="371"/>
      <c r="BJ764" s="499"/>
      <c r="BK764" s="500"/>
      <c r="BL764" s="491" t="str">
        <f t="shared" si="1722"/>
        <v/>
      </c>
      <c r="BM764" s="371"/>
      <c r="BN764" s="232" t="str">
        <f t="shared" si="1723"/>
        <v/>
      </c>
      <c r="BO764" s="232" t="str">
        <f t="shared" si="1724"/>
        <v/>
      </c>
      <c r="BP764" s="232" t="str">
        <f t="shared" si="1725"/>
        <v/>
      </c>
      <c r="BQ764" s="232" t="str">
        <f t="shared" si="1746"/>
        <v/>
      </c>
      <c r="BR764" s="371"/>
      <c r="BS764" s="499"/>
      <c r="BT764" s="500"/>
      <c r="BU764" s="491" t="str">
        <f t="shared" si="1726"/>
        <v/>
      </c>
      <c r="BV764" s="371"/>
      <c r="BW764" s="232" t="str">
        <f t="shared" si="1727"/>
        <v/>
      </c>
      <c r="BX764" s="232" t="str">
        <f t="shared" si="1728"/>
        <v/>
      </c>
      <c r="BY764" s="232" t="str">
        <f t="shared" si="1729"/>
        <v/>
      </c>
      <c r="BZ764" s="232" t="str">
        <f t="shared" si="1747"/>
        <v/>
      </c>
      <c r="CA764" s="371"/>
      <c r="CB764" s="507" t="str">
        <f t="shared" si="1730"/>
        <v/>
      </c>
      <c r="CC764" s="508" t="str">
        <f t="shared" si="1731"/>
        <v/>
      </c>
      <c r="CD764" s="509" t="str">
        <f t="shared" si="1732"/>
        <v/>
      </c>
      <c r="CE764" s="371"/>
      <c r="CF764" s="232" t="str">
        <f t="shared" si="1733"/>
        <v/>
      </c>
      <c r="CG764" s="232" t="str">
        <f t="shared" si="1734"/>
        <v/>
      </c>
      <c r="CH764" s="232" t="str">
        <f t="shared" si="1735"/>
        <v/>
      </c>
      <c r="CI764" s="232" t="str">
        <f t="shared" si="1748"/>
        <v/>
      </c>
      <c r="CJ764" s="232"/>
      <c r="CK764" s="499"/>
      <c r="CL764" s="500"/>
      <c r="CM764" s="491" t="str">
        <f t="shared" si="1736"/>
        <v/>
      </c>
      <c r="CN764" s="371"/>
      <c r="CO764" s="232" t="str">
        <f t="shared" si="1737"/>
        <v/>
      </c>
      <c r="CP764" s="232" t="str">
        <f t="shared" si="1738"/>
        <v/>
      </c>
      <c r="CQ764" s="232" t="str">
        <f t="shared" si="1739"/>
        <v/>
      </c>
      <c r="CR764" s="232" t="str">
        <f t="shared" si="1749"/>
        <v/>
      </c>
      <c r="CS764" s="232"/>
      <c r="CT764" s="371"/>
      <c r="CU764" s="300"/>
      <c r="CV764" s="246"/>
      <c r="CW764" s="264"/>
    </row>
    <row r="765" spans="1:101" x14ac:dyDescent="0.2">
      <c r="A765" s="264"/>
      <c r="B765" s="264"/>
      <c r="C765" s="202"/>
      <c r="D765" s="271">
        <v>10</v>
      </c>
      <c r="E765" s="169"/>
      <c r="F765" s="471"/>
      <c r="G765" s="478"/>
      <c r="H765" s="479"/>
      <c r="I765" s="170" t="str">
        <f t="shared" si="1700"/>
        <v/>
      </c>
      <c r="J765" s="387" t="str">
        <f t="shared" si="1701"/>
        <v/>
      </c>
      <c r="K765" s="388" t="str">
        <f t="shared" si="1702"/>
        <v/>
      </c>
      <c r="L765" s="900"/>
      <c r="M765" s="375"/>
      <c r="N765" s="379"/>
      <c r="O765" s="236"/>
      <c r="P765" s="236"/>
      <c r="Q765" s="492"/>
      <c r="R765" s="493"/>
      <c r="S765" s="494" t="str">
        <f t="shared" si="1740"/>
        <v/>
      </c>
      <c r="T765" s="371"/>
      <c r="U765" s="232" t="str">
        <f t="shared" si="1703"/>
        <v/>
      </c>
      <c r="V765" s="232" t="str">
        <f t="shared" si="1704"/>
        <v/>
      </c>
      <c r="W765" s="232" t="str">
        <f t="shared" si="1705"/>
        <v/>
      </c>
      <c r="X765" s="232" t="str">
        <f t="shared" si="1741"/>
        <v/>
      </c>
      <c r="Y765" s="371"/>
      <c r="Z765" s="495"/>
      <c r="AA765" s="496"/>
      <c r="AB765" s="494" t="str">
        <f t="shared" si="1706"/>
        <v/>
      </c>
      <c r="AC765" s="371"/>
      <c r="AD765" s="232" t="str">
        <f t="shared" si="1707"/>
        <v/>
      </c>
      <c r="AE765" s="232" t="str">
        <f t="shared" si="1708"/>
        <v/>
      </c>
      <c r="AF765" s="232" t="str">
        <f t="shared" si="1709"/>
        <v/>
      </c>
      <c r="AG765" s="232" t="str">
        <f t="shared" si="1742"/>
        <v/>
      </c>
      <c r="AH765" s="371"/>
      <c r="AI765" s="495"/>
      <c r="AJ765" s="496"/>
      <c r="AK765" s="494" t="str">
        <f t="shared" si="1710"/>
        <v/>
      </c>
      <c r="AL765" s="371"/>
      <c r="AM765" s="232" t="str">
        <f t="shared" si="1711"/>
        <v/>
      </c>
      <c r="AN765" s="232" t="str">
        <f t="shared" si="1712"/>
        <v/>
      </c>
      <c r="AO765" s="232" t="str">
        <f t="shared" si="1713"/>
        <v/>
      </c>
      <c r="AP765" s="232" t="str">
        <f t="shared" si="1743"/>
        <v/>
      </c>
      <c r="AQ765" s="371"/>
      <c r="AR765" s="495"/>
      <c r="AS765" s="496"/>
      <c r="AT765" s="494" t="str">
        <f t="shared" si="1714"/>
        <v/>
      </c>
      <c r="AU765" s="371"/>
      <c r="AV765" s="232" t="str">
        <f t="shared" si="1715"/>
        <v/>
      </c>
      <c r="AW765" s="232" t="str">
        <f t="shared" si="1716"/>
        <v/>
      </c>
      <c r="AX765" s="232" t="str">
        <f t="shared" si="1717"/>
        <v/>
      </c>
      <c r="AY765" s="232" t="str">
        <f t="shared" si="1744"/>
        <v/>
      </c>
      <c r="AZ765" s="371"/>
      <c r="BA765" s="495"/>
      <c r="BB765" s="496"/>
      <c r="BC765" s="494" t="str">
        <f t="shared" si="1718"/>
        <v/>
      </c>
      <c r="BD765" s="371"/>
      <c r="BE765" s="232" t="str">
        <f t="shared" si="1719"/>
        <v/>
      </c>
      <c r="BF765" s="232" t="str">
        <f t="shared" si="1720"/>
        <v/>
      </c>
      <c r="BG765" s="232" t="str">
        <f t="shared" si="1721"/>
        <v/>
      </c>
      <c r="BH765" s="232" t="str">
        <f t="shared" si="1745"/>
        <v/>
      </c>
      <c r="BI765" s="371"/>
      <c r="BJ765" s="495"/>
      <c r="BK765" s="496"/>
      <c r="BL765" s="494" t="str">
        <f t="shared" si="1722"/>
        <v/>
      </c>
      <c r="BM765" s="371"/>
      <c r="BN765" s="232" t="str">
        <f t="shared" si="1723"/>
        <v/>
      </c>
      <c r="BO765" s="232" t="str">
        <f t="shared" si="1724"/>
        <v/>
      </c>
      <c r="BP765" s="232" t="str">
        <f t="shared" si="1725"/>
        <v/>
      </c>
      <c r="BQ765" s="232" t="str">
        <f t="shared" si="1746"/>
        <v/>
      </c>
      <c r="BR765" s="371"/>
      <c r="BS765" s="495"/>
      <c r="BT765" s="496"/>
      <c r="BU765" s="494" t="str">
        <f t="shared" si="1726"/>
        <v/>
      </c>
      <c r="BV765" s="371"/>
      <c r="BW765" s="232" t="str">
        <f t="shared" si="1727"/>
        <v/>
      </c>
      <c r="BX765" s="232" t="str">
        <f t="shared" si="1728"/>
        <v/>
      </c>
      <c r="BY765" s="232" t="str">
        <f t="shared" si="1729"/>
        <v/>
      </c>
      <c r="BZ765" s="232" t="str">
        <f t="shared" si="1747"/>
        <v/>
      </c>
      <c r="CA765" s="371"/>
      <c r="CB765" s="501" t="str">
        <f t="shared" si="1730"/>
        <v/>
      </c>
      <c r="CC765" s="502" t="str">
        <f t="shared" si="1731"/>
        <v/>
      </c>
      <c r="CD765" s="503" t="str">
        <f t="shared" si="1732"/>
        <v/>
      </c>
      <c r="CE765" s="371"/>
      <c r="CF765" s="232" t="str">
        <f t="shared" si="1733"/>
        <v/>
      </c>
      <c r="CG765" s="232" t="str">
        <f t="shared" si="1734"/>
        <v/>
      </c>
      <c r="CH765" s="232" t="str">
        <f t="shared" si="1735"/>
        <v/>
      </c>
      <c r="CI765" s="232" t="str">
        <f t="shared" si="1748"/>
        <v/>
      </c>
      <c r="CJ765" s="232"/>
      <c r="CK765" s="495"/>
      <c r="CL765" s="496"/>
      <c r="CM765" s="494" t="str">
        <f t="shared" si="1736"/>
        <v/>
      </c>
      <c r="CN765" s="371"/>
      <c r="CO765" s="232" t="str">
        <f t="shared" si="1737"/>
        <v/>
      </c>
      <c r="CP765" s="232" t="str">
        <f t="shared" si="1738"/>
        <v/>
      </c>
      <c r="CQ765" s="232" t="str">
        <f t="shared" si="1739"/>
        <v/>
      </c>
      <c r="CR765" s="232" t="str">
        <f t="shared" si="1749"/>
        <v/>
      </c>
      <c r="CS765" s="232"/>
      <c r="CT765" s="371"/>
      <c r="CU765" s="300"/>
      <c r="CV765" s="246"/>
      <c r="CW765" s="264"/>
    </row>
    <row r="766" spans="1:101" x14ac:dyDescent="0.2">
      <c r="A766" s="264"/>
      <c r="B766" s="264"/>
      <c r="C766" s="202"/>
      <c r="D766" s="271">
        <v>11</v>
      </c>
      <c r="E766" s="167"/>
      <c r="F766" s="469"/>
      <c r="G766" s="474"/>
      <c r="H766" s="475"/>
      <c r="I766" s="389" t="str">
        <f t="shared" si="1700"/>
        <v/>
      </c>
      <c r="J766" s="390" t="str">
        <f t="shared" si="1701"/>
        <v/>
      </c>
      <c r="K766" s="391" t="str">
        <f t="shared" si="1702"/>
        <v/>
      </c>
      <c r="L766" s="900"/>
      <c r="M766" s="375"/>
      <c r="N766" s="379"/>
      <c r="O766" s="236"/>
      <c r="P766" s="236"/>
      <c r="Q766" s="483"/>
      <c r="R766" s="484"/>
      <c r="S766" s="485" t="str">
        <f t="shared" si="1740"/>
        <v/>
      </c>
      <c r="T766" s="371"/>
      <c r="U766" s="232" t="str">
        <f t="shared" si="1703"/>
        <v/>
      </c>
      <c r="V766" s="232" t="str">
        <f t="shared" si="1704"/>
        <v/>
      </c>
      <c r="W766" s="232" t="str">
        <f t="shared" si="1705"/>
        <v/>
      </c>
      <c r="X766" s="232" t="str">
        <f t="shared" si="1741"/>
        <v/>
      </c>
      <c r="Y766" s="371"/>
      <c r="Z766" s="497"/>
      <c r="AA766" s="498"/>
      <c r="AB766" s="485" t="str">
        <f t="shared" si="1706"/>
        <v/>
      </c>
      <c r="AC766" s="371"/>
      <c r="AD766" s="232" t="str">
        <f t="shared" si="1707"/>
        <v/>
      </c>
      <c r="AE766" s="232" t="str">
        <f t="shared" si="1708"/>
        <v/>
      </c>
      <c r="AF766" s="232" t="str">
        <f t="shared" si="1709"/>
        <v/>
      </c>
      <c r="AG766" s="232" t="str">
        <f t="shared" si="1742"/>
        <v/>
      </c>
      <c r="AH766" s="371"/>
      <c r="AI766" s="497"/>
      <c r="AJ766" s="498"/>
      <c r="AK766" s="485" t="str">
        <f t="shared" si="1710"/>
        <v/>
      </c>
      <c r="AL766" s="371"/>
      <c r="AM766" s="232" t="str">
        <f t="shared" si="1711"/>
        <v/>
      </c>
      <c r="AN766" s="232" t="str">
        <f t="shared" si="1712"/>
        <v/>
      </c>
      <c r="AO766" s="232" t="str">
        <f t="shared" si="1713"/>
        <v/>
      </c>
      <c r="AP766" s="232" t="str">
        <f t="shared" si="1743"/>
        <v/>
      </c>
      <c r="AQ766" s="371"/>
      <c r="AR766" s="497"/>
      <c r="AS766" s="498"/>
      <c r="AT766" s="485" t="str">
        <f t="shared" si="1714"/>
        <v/>
      </c>
      <c r="AU766" s="371"/>
      <c r="AV766" s="232" t="str">
        <f t="shared" si="1715"/>
        <v/>
      </c>
      <c r="AW766" s="232" t="str">
        <f t="shared" si="1716"/>
        <v/>
      </c>
      <c r="AX766" s="232" t="str">
        <f t="shared" si="1717"/>
        <v/>
      </c>
      <c r="AY766" s="232" t="str">
        <f t="shared" si="1744"/>
        <v/>
      </c>
      <c r="AZ766" s="371"/>
      <c r="BA766" s="497"/>
      <c r="BB766" s="498"/>
      <c r="BC766" s="485" t="str">
        <f t="shared" si="1718"/>
        <v/>
      </c>
      <c r="BD766" s="371"/>
      <c r="BE766" s="232" t="str">
        <f t="shared" si="1719"/>
        <v/>
      </c>
      <c r="BF766" s="232" t="str">
        <f t="shared" si="1720"/>
        <v/>
      </c>
      <c r="BG766" s="232" t="str">
        <f t="shared" si="1721"/>
        <v/>
      </c>
      <c r="BH766" s="232" t="str">
        <f t="shared" si="1745"/>
        <v/>
      </c>
      <c r="BI766" s="371"/>
      <c r="BJ766" s="497"/>
      <c r="BK766" s="498"/>
      <c r="BL766" s="485" t="str">
        <f t="shared" si="1722"/>
        <v/>
      </c>
      <c r="BM766" s="371"/>
      <c r="BN766" s="232" t="str">
        <f t="shared" si="1723"/>
        <v/>
      </c>
      <c r="BO766" s="232" t="str">
        <f t="shared" si="1724"/>
        <v/>
      </c>
      <c r="BP766" s="232" t="str">
        <f t="shared" si="1725"/>
        <v/>
      </c>
      <c r="BQ766" s="232" t="str">
        <f t="shared" si="1746"/>
        <v/>
      </c>
      <c r="BR766" s="371"/>
      <c r="BS766" s="497"/>
      <c r="BT766" s="498"/>
      <c r="BU766" s="485" t="str">
        <f t="shared" si="1726"/>
        <v/>
      </c>
      <c r="BV766" s="371"/>
      <c r="BW766" s="232" t="str">
        <f t="shared" si="1727"/>
        <v/>
      </c>
      <c r="BX766" s="232" t="str">
        <f t="shared" si="1728"/>
        <v/>
      </c>
      <c r="BY766" s="232" t="str">
        <f t="shared" si="1729"/>
        <v/>
      </c>
      <c r="BZ766" s="232" t="str">
        <f t="shared" si="1747"/>
        <v/>
      </c>
      <c r="CA766" s="371"/>
      <c r="CB766" s="504" t="str">
        <f t="shared" si="1730"/>
        <v/>
      </c>
      <c r="CC766" s="505" t="str">
        <f t="shared" si="1731"/>
        <v/>
      </c>
      <c r="CD766" s="506" t="str">
        <f t="shared" si="1732"/>
        <v/>
      </c>
      <c r="CE766" s="371"/>
      <c r="CF766" s="232" t="str">
        <f t="shared" si="1733"/>
        <v/>
      </c>
      <c r="CG766" s="232" t="str">
        <f t="shared" si="1734"/>
        <v/>
      </c>
      <c r="CH766" s="232" t="str">
        <f t="shared" si="1735"/>
        <v/>
      </c>
      <c r="CI766" s="232" t="str">
        <f t="shared" si="1748"/>
        <v/>
      </c>
      <c r="CJ766" s="232"/>
      <c r="CK766" s="497"/>
      <c r="CL766" s="498"/>
      <c r="CM766" s="485" t="str">
        <f t="shared" si="1736"/>
        <v/>
      </c>
      <c r="CN766" s="371"/>
      <c r="CO766" s="232" t="str">
        <f t="shared" si="1737"/>
        <v/>
      </c>
      <c r="CP766" s="232" t="str">
        <f t="shared" si="1738"/>
        <v/>
      </c>
      <c r="CQ766" s="232" t="str">
        <f t="shared" si="1739"/>
        <v/>
      </c>
      <c r="CR766" s="232" t="str">
        <f t="shared" si="1749"/>
        <v/>
      </c>
      <c r="CS766" s="232"/>
      <c r="CT766" s="371"/>
      <c r="CU766" s="300"/>
      <c r="CV766" s="246"/>
      <c r="CW766" s="264"/>
    </row>
    <row r="767" spans="1:101" ht="13.5" thickBot="1" x14ac:dyDescent="0.25">
      <c r="A767" s="264"/>
      <c r="B767" s="264"/>
      <c r="C767" s="202"/>
      <c r="D767" s="271">
        <v>12</v>
      </c>
      <c r="E767" s="168"/>
      <c r="F767" s="470"/>
      <c r="G767" s="476"/>
      <c r="H767" s="477"/>
      <c r="I767" s="392" t="str">
        <f t="shared" si="1700"/>
        <v/>
      </c>
      <c r="J767" s="393" t="str">
        <f t="shared" si="1701"/>
        <v/>
      </c>
      <c r="K767" s="394" t="str">
        <f t="shared" si="1702"/>
        <v/>
      </c>
      <c r="L767" s="900"/>
      <c r="M767" s="375"/>
      <c r="N767" s="379"/>
      <c r="O767" s="236"/>
      <c r="P767" s="236"/>
      <c r="Q767" s="489"/>
      <c r="R767" s="490"/>
      <c r="S767" s="491" t="str">
        <f t="shared" si="1740"/>
        <v/>
      </c>
      <c r="T767" s="371"/>
      <c r="U767" s="232" t="str">
        <f t="shared" si="1703"/>
        <v/>
      </c>
      <c r="V767" s="232" t="str">
        <f t="shared" si="1704"/>
        <v/>
      </c>
      <c r="W767" s="232" t="str">
        <f t="shared" si="1705"/>
        <v/>
      </c>
      <c r="X767" s="232" t="str">
        <f t="shared" si="1741"/>
        <v/>
      </c>
      <c r="Y767" s="371"/>
      <c r="Z767" s="499"/>
      <c r="AA767" s="500"/>
      <c r="AB767" s="491" t="str">
        <f t="shared" si="1706"/>
        <v/>
      </c>
      <c r="AC767" s="371"/>
      <c r="AD767" s="232" t="str">
        <f t="shared" si="1707"/>
        <v/>
      </c>
      <c r="AE767" s="232" t="str">
        <f t="shared" si="1708"/>
        <v/>
      </c>
      <c r="AF767" s="232" t="str">
        <f t="shared" si="1709"/>
        <v/>
      </c>
      <c r="AG767" s="232" t="str">
        <f t="shared" si="1742"/>
        <v/>
      </c>
      <c r="AH767" s="371"/>
      <c r="AI767" s="499"/>
      <c r="AJ767" s="500"/>
      <c r="AK767" s="491" t="str">
        <f t="shared" si="1710"/>
        <v/>
      </c>
      <c r="AL767" s="371"/>
      <c r="AM767" s="232" t="str">
        <f t="shared" si="1711"/>
        <v/>
      </c>
      <c r="AN767" s="232" t="str">
        <f t="shared" si="1712"/>
        <v/>
      </c>
      <c r="AO767" s="232" t="str">
        <f t="shared" si="1713"/>
        <v/>
      </c>
      <c r="AP767" s="232" t="str">
        <f t="shared" si="1743"/>
        <v/>
      </c>
      <c r="AQ767" s="371"/>
      <c r="AR767" s="499"/>
      <c r="AS767" s="500"/>
      <c r="AT767" s="491" t="str">
        <f t="shared" si="1714"/>
        <v/>
      </c>
      <c r="AU767" s="371"/>
      <c r="AV767" s="232" t="str">
        <f t="shared" si="1715"/>
        <v/>
      </c>
      <c r="AW767" s="232" t="str">
        <f t="shared" si="1716"/>
        <v/>
      </c>
      <c r="AX767" s="232" t="str">
        <f t="shared" si="1717"/>
        <v/>
      </c>
      <c r="AY767" s="232" t="str">
        <f t="shared" si="1744"/>
        <v/>
      </c>
      <c r="AZ767" s="371"/>
      <c r="BA767" s="499"/>
      <c r="BB767" s="500"/>
      <c r="BC767" s="491" t="str">
        <f t="shared" si="1718"/>
        <v/>
      </c>
      <c r="BD767" s="371"/>
      <c r="BE767" s="232" t="str">
        <f t="shared" si="1719"/>
        <v/>
      </c>
      <c r="BF767" s="232" t="str">
        <f t="shared" si="1720"/>
        <v/>
      </c>
      <c r="BG767" s="232" t="str">
        <f t="shared" si="1721"/>
        <v/>
      </c>
      <c r="BH767" s="232" t="str">
        <f t="shared" si="1745"/>
        <v/>
      </c>
      <c r="BI767" s="371"/>
      <c r="BJ767" s="499"/>
      <c r="BK767" s="500"/>
      <c r="BL767" s="491" t="str">
        <f t="shared" si="1722"/>
        <v/>
      </c>
      <c r="BM767" s="371"/>
      <c r="BN767" s="232" t="str">
        <f t="shared" si="1723"/>
        <v/>
      </c>
      <c r="BO767" s="232" t="str">
        <f t="shared" si="1724"/>
        <v/>
      </c>
      <c r="BP767" s="232" t="str">
        <f t="shared" si="1725"/>
        <v/>
      </c>
      <c r="BQ767" s="232" t="str">
        <f t="shared" si="1746"/>
        <v/>
      </c>
      <c r="BR767" s="371"/>
      <c r="BS767" s="499"/>
      <c r="BT767" s="500"/>
      <c r="BU767" s="491" t="str">
        <f t="shared" si="1726"/>
        <v/>
      </c>
      <c r="BV767" s="371"/>
      <c r="BW767" s="232" t="str">
        <f t="shared" si="1727"/>
        <v/>
      </c>
      <c r="BX767" s="232" t="str">
        <f t="shared" si="1728"/>
        <v/>
      </c>
      <c r="BY767" s="232" t="str">
        <f t="shared" si="1729"/>
        <v/>
      </c>
      <c r="BZ767" s="232" t="str">
        <f t="shared" si="1747"/>
        <v/>
      </c>
      <c r="CA767" s="371"/>
      <c r="CB767" s="507" t="str">
        <f t="shared" si="1730"/>
        <v/>
      </c>
      <c r="CC767" s="508" t="str">
        <f t="shared" si="1731"/>
        <v/>
      </c>
      <c r="CD767" s="509" t="str">
        <f t="shared" si="1732"/>
        <v/>
      </c>
      <c r="CE767" s="371"/>
      <c r="CF767" s="232" t="str">
        <f t="shared" si="1733"/>
        <v/>
      </c>
      <c r="CG767" s="232" t="str">
        <f t="shared" si="1734"/>
        <v/>
      </c>
      <c r="CH767" s="232" t="str">
        <f t="shared" si="1735"/>
        <v/>
      </c>
      <c r="CI767" s="232" t="str">
        <f t="shared" si="1748"/>
        <v/>
      </c>
      <c r="CJ767" s="232"/>
      <c r="CK767" s="499"/>
      <c r="CL767" s="500"/>
      <c r="CM767" s="491" t="str">
        <f t="shared" si="1736"/>
        <v/>
      </c>
      <c r="CN767" s="371"/>
      <c r="CO767" s="232" t="str">
        <f t="shared" si="1737"/>
        <v/>
      </c>
      <c r="CP767" s="232" t="str">
        <f t="shared" si="1738"/>
        <v/>
      </c>
      <c r="CQ767" s="232" t="str">
        <f t="shared" si="1739"/>
        <v/>
      </c>
      <c r="CR767" s="232" t="str">
        <f t="shared" si="1749"/>
        <v/>
      </c>
      <c r="CS767" s="232"/>
      <c r="CT767" s="371"/>
      <c r="CU767" s="300"/>
      <c r="CV767" s="246"/>
      <c r="CW767" s="264"/>
    </row>
    <row r="768" spans="1:101" x14ac:dyDescent="0.2">
      <c r="A768" s="264"/>
      <c r="B768" s="264"/>
      <c r="C768" s="202"/>
      <c r="D768" s="272"/>
      <c r="E768" s="235"/>
      <c r="F768" s="395" t="str">
        <f>IF(SUM(F756:F767)=0,"",SUM(F756:F767))</f>
        <v/>
      </c>
      <c r="G768" s="370" t="s">
        <v>49</v>
      </c>
      <c r="H768" s="396" t="str">
        <f>IF(SUM(H756:H767)=0,"",SUM(H756:H767))</f>
        <v/>
      </c>
      <c r="I768" s="397" t="str">
        <f>IF(COUNTIF(I756:I767,"=x")=0,"",COUNTIF(I756:I767,"=x"))</f>
        <v/>
      </c>
      <c r="J768" s="398" t="str">
        <f>IF(COUNTIF(J756:J767,"=x")=0,"",COUNTIF(J756:J767,"=x"))</f>
        <v/>
      </c>
      <c r="K768" s="399" t="str">
        <f>IF(COUNTIF(K756:K767,"=x")=0,"",COUNTIF(K756:K767,"=x"))</f>
        <v/>
      </c>
      <c r="L768" s="299"/>
      <c r="M768" s="375"/>
      <c r="N768" s="379"/>
      <c r="O768" s="236"/>
      <c r="P768" s="369"/>
      <c r="Q768" s="466">
        <f>SUM(U756:U767)</f>
        <v>0</v>
      </c>
      <c r="R768" s="466">
        <f>SUM(V756:V767)</f>
        <v>0</v>
      </c>
      <c r="S768" s="466">
        <f>SUM(W756:W767)</f>
        <v>0</v>
      </c>
      <c r="T768" s="368"/>
      <c r="U768" s="232"/>
      <c r="V768" s="232"/>
      <c r="W768" s="232"/>
      <c r="X768" s="232"/>
      <c r="Y768" s="367"/>
      <c r="Z768" s="466">
        <f>SUM(AD756:AD767)</f>
        <v>0</v>
      </c>
      <c r="AA768" s="466">
        <f>SUM(AE756:AE767)</f>
        <v>0</v>
      </c>
      <c r="AB768" s="466">
        <f>SUM(AF756:AF767)</f>
        <v>0</v>
      </c>
      <c r="AC768" s="368"/>
      <c r="AD768" s="232"/>
      <c r="AE768" s="232"/>
      <c r="AF768" s="232"/>
      <c r="AG768" s="232"/>
      <c r="AH768" s="367"/>
      <c r="AI768" s="466">
        <f>SUM(AM756:AM767)</f>
        <v>0</v>
      </c>
      <c r="AJ768" s="466">
        <f>SUM(AN756:AN767)</f>
        <v>0</v>
      </c>
      <c r="AK768" s="466">
        <f>SUM(AO756:AO767)</f>
        <v>0</v>
      </c>
      <c r="AL768" s="368"/>
      <c r="AM768" s="232"/>
      <c r="AN768" s="232"/>
      <c r="AO768" s="232"/>
      <c r="AP768" s="232"/>
      <c r="AQ768" s="367"/>
      <c r="AR768" s="466">
        <f>SUM(AV756:AV767)</f>
        <v>0</v>
      </c>
      <c r="AS768" s="466">
        <f>SUM(AW756:AW767)</f>
        <v>0</v>
      </c>
      <c r="AT768" s="466">
        <f>SUM(AX756:AX767)</f>
        <v>0</v>
      </c>
      <c r="AU768" s="368"/>
      <c r="AV768" s="232"/>
      <c r="AW768" s="232"/>
      <c r="AX768" s="232"/>
      <c r="AY768" s="232"/>
      <c r="AZ768" s="367"/>
      <c r="BA768" s="466">
        <f>SUM(BE756:BE767)</f>
        <v>0</v>
      </c>
      <c r="BB768" s="466">
        <f>SUM(BF756:BF767)</f>
        <v>0</v>
      </c>
      <c r="BC768" s="466">
        <f>SUM(BG756:BG767)</f>
        <v>0</v>
      </c>
      <c r="BD768" s="368"/>
      <c r="BE768" s="232"/>
      <c r="BF768" s="232"/>
      <c r="BG768" s="232"/>
      <c r="BH768" s="232"/>
      <c r="BI768" s="367"/>
      <c r="BJ768" s="466">
        <f>SUM(BN756:BN767)</f>
        <v>0</v>
      </c>
      <c r="BK768" s="466">
        <f>SUM(BO756:BO767)</f>
        <v>0</v>
      </c>
      <c r="BL768" s="466">
        <f>SUM(BP756:BP767)</f>
        <v>0</v>
      </c>
      <c r="BM768" s="368"/>
      <c r="BN768" s="232"/>
      <c r="BO768" s="232"/>
      <c r="BP768" s="232"/>
      <c r="BQ768" s="232"/>
      <c r="BR768" s="367"/>
      <c r="BS768" s="466">
        <f>SUM(BW756:BW767)</f>
        <v>0</v>
      </c>
      <c r="BT768" s="466">
        <f>SUM(BX756:BX767)</f>
        <v>0</v>
      </c>
      <c r="BU768" s="466">
        <f>SUM(BY756:BY767)</f>
        <v>0</v>
      </c>
      <c r="BV768" s="368"/>
      <c r="BW768" s="232"/>
      <c r="BX768" s="232"/>
      <c r="BY768" s="232"/>
      <c r="BZ768" s="232"/>
      <c r="CA768" s="369"/>
      <c r="CB768" s="466">
        <f>SUM(CF756:CF767)</f>
        <v>0</v>
      </c>
      <c r="CC768" s="466">
        <f>SUM(CG756:CG767)</f>
        <v>0</v>
      </c>
      <c r="CD768" s="466">
        <f>SUM(CH756:CH767)</f>
        <v>0</v>
      </c>
      <c r="CE768" s="368"/>
      <c r="CF768" s="232"/>
      <c r="CG768" s="232"/>
      <c r="CH768" s="232"/>
      <c r="CI768" s="232"/>
      <c r="CJ768" s="232"/>
      <c r="CK768" s="466">
        <f>SUM(CO756:CO767)</f>
        <v>0</v>
      </c>
      <c r="CL768" s="466">
        <f>SUM(CP756:CP767)</f>
        <v>0</v>
      </c>
      <c r="CM768" s="466">
        <f>SUM(CQ756:CQ767)</f>
        <v>0</v>
      </c>
      <c r="CN768" s="368"/>
      <c r="CO768" s="232"/>
      <c r="CP768" s="232"/>
      <c r="CQ768" s="232"/>
      <c r="CR768" s="232"/>
      <c r="CS768" s="232"/>
      <c r="CT768" s="232"/>
      <c r="CU768" s="300"/>
      <c r="CV768" s="246"/>
      <c r="CW768" s="265"/>
    </row>
    <row r="769" spans="1:101" ht="13.5" thickBot="1" x14ac:dyDescent="0.25">
      <c r="A769" s="264"/>
      <c r="B769" s="264"/>
      <c r="C769" s="202"/>
      <c r="D769" s="289"/>
      <c r="E769" s="282"/>
      <c r="F769" s="283"/>
      <c r="G769" s="282"/>
      <c r="H769" s="282"/>
      <c r="I769" s="282"/>
      <c r="J769" s="282"/>
      <c r="K769" s="282"/>
      <c r="L769" s="293"/>
      <c r="M769" s="301"/>
      <c r="N769" s="380"/>
      <c r="O769" s="376"/>
      <c r="P769" s="284"/>
      <c r="Q769" s="285"/>
      <c r="R769" s="285"/>
      <c r="S769" s="285"/>
      <c r="T769" s="286"/>
      <c r="U769" s="287"/>
      <c r="V769" s="287"/>
      <c r="W769" s="287"/>
      <c r="X769" s="287"/>
      <c r="Y769" s="284"/>
      <c r="Z769" s="285"/>
      <c r="AA769" s="285"/>
      <c r="AB769" s="285"/>
      <c r="AC769" s="286"/>
      <c r="AD769" s="287"/>
      <c r="AE769" s="287"/>
      <c r="AF769" s="287"/>
      <c r="AG769" s="288"/>
      <c r="AH769" s="284"/>
      <c r="AI769" s="285"/>
      <c r="AJ769" s="285"/>
      <c r="AK769" s="285"/>
      <c r="AL769" s="286"/>
      <c r="AM769" s="287"/>
      <c r="AN769" s="287"/>
      <c r="AO769" s="287"/>
      <c r="AP769" s="288"/>
      <c r="AQ769" s="284"/>
      <c r="AR769" s="285"/>
      <c r="AS769" s="285"/>
      <c r="AT769" s="285"/>
      <c r="AU769" s="286"/>
      <c r="AV769" s="287"/>
      <c r="AW769" s="287"/>
      <c r="AX769" s="287"/>
      <c r="AY769" s="288"/>
      <c r="AZ769" s="284"/>
      <c r="BA769" s="285"/>
      <c r="BB769" s="285"/>
      <c r="BC769" s="285"/>
      <c r="BD769" s="286"/>
      <c r="BE769" s="287"/>
      <c r="BF769" s="287"/>
      <c r="BG769" s="287"/>
      <c r="BH769" s="288"/>
      <c r="BI769" s="284"/>
      <c r="BJ769" s="284"/>
      <c r="BK769" s="284"/>
      <c r="BL769" s="284"/>
      <c r="BM769" s="284"/>
      <c r="BN769" s="284"/>
      <c r="BO769" s="284"/>
      <c r="BP769" s="284"/>
      <c r="BQ769" s="284"/>
      <c r="BR769" s="284"/>
      <c r="BS769" s="284"/>
      <c r="BT769" s="284"/>
      <c r="BU769" s="284"/>
      <c r="BV769" s="284"/>
      <c r="BW769" s="284"/>
      <c r="BX769" s="284"/>
      <c r="BY769" s="284"/>
      <c r="BZ769" s="284"/>
      <c r="CA769" s="284"/>
      <c r="CB769" s="284"/>
      <c r="CC769" s="284"/>
      <c r="CD769" s="284"/>
      <c r="CE769" s="284"/>
      <c r="CF769" s="284"/>
      <c r="CG769" s="284"/>
      <c r="CH769" s="284"/>
      <c r="CI769" s="284"/>
      <c r="CJ769" s="288"/>
      <c r="CK769" s="288"/>
      <c r="CL769" s="288"/>
      <c r="CM769" s="288"/>
      <c r="CN769" s="288"/>
      <c r="CO769" s="288"/>
      <c r="CP769" s="288"/>
      <c r="CQ769" s="288"/>
      <c r="CR769" s="288"/>
      <c r="CS769" s="288"/>
      <c r="CT769" s="282"/>
      <c r="CU769" s="294"/>
      <c r="CV769" s="246"/>
      <c r="CW769" s="265"/>
    </row>
    <row r="770" spans="1:101" ht="14.25" thickTop="1" thickBot="1" x14ac:dyDescent="0.25">
      <c r="A770" s="256"/>
      <c r="B770" s="256"/>
      <c r="C770" s="210"/>
      <c r="D770" s="211"/>
      <c r="E770" s="247"/>
      <c r="F770" s="248"/>
      <c r="G770" s="247"/>
      <c r="H770" s="247"/>
      <c r="I770" s="247"/>
      <c r="J770" s="247"/>
      <c r="K770" s="247"/>
      <c r="L770" s="249"/>
      <c r="M770" s="250"/>
      <c r="N770" s="250"/>
      <c r="O770" s="250"/>
      <c r="P770" s="250"/>
      <c r="Q770" s="247"/>
      <c r="R770" s="247"/>
      <c r="S770" s="247"/>
      <c r="T770" s="251"/>
      <c r="U770" s="252"/>
      <c r="V770" s="252"/>
      <c r="W770" s="252"/>
      <c r="X770" s="252"/>
      <c r="Y770" s="250"/>
      <c r="Z770" s="247"/>
      <c r="AA770" s="247"/>
      <c r="AB770" s="247"/>
      <c r="AC770" s="251"/>
      <c r="AD770" s="252"/>
      <c r="AE770" s="252"/>
      <c r="AF770" s="252"/>
      <c r="AG770" s="247"/>
      <c r="AH770" s="250"/>
      <c r="AI770" s="247"/>
      <c r="AJ770" s="247"/>
      <c r="AK770" s="247"/>
      <c r="AL770" s="251"/>
      <c r="AM770" s="252"/>
      <c r="AN770" s="252"/>
      <c r="AO770" s="252"/>
      <c r="AP770" s="253"/>
      <c r="AQ770" s="250"/>
      <c r="AR770" s="247"/>
      <c r="AS770" s="247"/>
      <c r="AT770" s="247"/>
      <c r="AU770" s="251"/>
      <c r="AV770" s="252"/>
      <c r="AW770" s="252"/>
      <c r="AX770" s="252"/>
      <c r="AY770" s="247"/>
      <c r="AZ770" s="250"/>
      <c r="BA770" s="247"/>
      <c r="BB770" s="247"/>
      <c r="BC770" s="247"/>
      <c r="BD770" s="251"/>
      <c r="BE770" s="252"/>
      <c r="BF770" s="252"/>
      <c r="BG770" s="252"/>
      <c r="BH770" s="247"/>
      <c r="BI770" s="250"/>
      <c r="BJ770" s="247"/>
      <c r="BK770" s="247"/>
      <c r="BL770" s="247"/>
      <c r="BM770" s="251"/>
      <c r="BN770" s="252"/>
      <c r="BO770" s="252"/>
      <c r="BP770" s="252"/>
      <c r="BQ770" s="247"/>
      <c r="BR770" s="212"/>
      <c r="BS770" s="247"/>
      <c r="BT770" s="247"/>
      <c r="BU770" s="247"/>
      <c r="BV770" s="250"/>
      <c r="BW770" s="252"/>
      <c r="BX770" s="252"/>
      <c r="BY770" s="252"/>
      <c r="BZ770" s="247"/>
      <c r="CA770" s="247"/>
      <c r="CB770" s="253"/>
      <c r="CC770" s="253"/>
      <c r="CD770" s="253"/>
      <c r="CE770" s="253"/>
      <c r="CF770" s="247"/>
      <c r="CG770" s="247"/>
      <c r="CH770" s="247"/>
      <c r="CI770" s="247"/>
      <c r="CJ770" s="247"/>
      <c r="CK770" s="247"/>
      <c r="CL770" s="247"/>
      <c r="CM770" s="247"/>
      <c r="CN770" s="247"/>
      <c r="CO770" s="247"/>
      <c r="CP770" s="247"/>
      <c r="CQ770" s="247"/>
      <c r="CR770" s="247"/>
      <c r="CS770" s="247"/>
      <c r="CT770" s="247"/>
      <c r="CU770" s="247"/>
      <c r="CV770" s="254"/>
      <c r="CW770" s="255"/>
    </row>
    <row r="771" spans="1:101" ht="14.25" thickTop="1" thickBot="1" x14ac:dyDescent="0.25">
      <c r="A771" s="255"/>
      <c r="B771" s="255"/>
      <c r="C771" s="255"/>
      <c r="D771" s="255"/>
      <c r="E771" s="255"/>
      <c r="F771" s="255"/>
      <c r="G771" s="255"/>
      <c r="H771" s="255"/>
      <c r="I771" s="255"/>
      <c r="J771" s="255"/>
      <c r="K771" s="255"/>
      <c r="L771" s="255"/>
      <c r="M771" s="255"/>
      <c r="N771" s="255"/>
      <c r="O771" s="255"/>
      <c r="P771" s="255"/>
      <c r="Q771" s="255"/>
      <c r="R771" s="255"/>
      <c r="S771" s="255"/>
      <c r="T771" s="255"/>
      <c r="U771" s="255"/>
      <c r="V771" s="255"/>
      <c r="W771" s="255"/>
      <c r="X771" s="255"/>
      <c r="Y771" s="255"/>
      <c r="Z771" s="255"/>
      <c r="AA771" s="255"/>
      <c r="AB771" s="255"/>
      <c r="AC771" s="255"/>
      <c r="AD771" s="255"/>
      <c r="AE771" s="255"/>
      <c r="AF771" s="255"/>
      <c r="AG771" s="255"/>
      <c r="AH771" s="255"/>
      <c r="AI771" s="255"/>
      <c r="AJ771" s="255"/>
      <c r="AK771" s="255"/>
      <c r="AL771" s="255"/>
      <c r="AM771" s="255"/>
      <c r="AN771" s="255"/>
      <c r="AO771" s="255"/>
      <c r="AP771" s="255"/>
      <c r="AQ771" s="255"/>
      <c r="AR771" s="255"/>
      <c r="AS771" s="255"/>
      <c r="AT771" s="255"/>
      <c r="AU771" s="255"/>
      <c r="AV771" s="255"/>
      <c r="AW771" s="255"/>
      <c r="AX771" s="255"/>
      <c r="AY771" s="255"/>
      <c r="AZ771" s="255"/>
      <c r="BA771" s="255"/>
      <c r="BB771" s="255"/>
      <c r="BC771" s="255"/>
      <c r="BD771" s="255"/>
      <c r="BE771" s="255"/>
      <c r="BF771" s="255"/>
      <c r="BG771" s="255"/>
      <c r="BH771" s="255"/>
      <c r="BI771" s="255"/>
      <c r="BJ771" s="255"/>
      <c r="BK771" s="255"/>
      <c r="BL771" s="255"/>
      <c r="BM771" s="255"/>
      <c r="BN771" s="255"/>
      <c r="BO771" s="255"/>
      <c r="BP771" s="255"/>
      <c r="BQ771" s="255"/>
      <c r="BR771" s="255"/>
      <c r="BS771" s="255"/>
      <c r="BT771" s="255"/>
      <c r="BU771" s="255"/>
      <c r="BV771" s="255"/>
      <c r="BW771" s="255"/>
      <c r="BX771" s="255"/>
      <c r="BY771" s="255"/>
      <c r="BZ771" s="255"/>
      <c r="CA771" s="255"/>
      <c r="CB771" s="436"/>
      <c r="CC771" s="436"/>
      <c r="CD771" s="436"/>
      <c r="CE771" s="436"/>
      <c r="CF771" s="255"/>
      <c r="CG771" s="255"/>
      <c r="CH771" s="255"/>
      <c r="CI771" s="255"/>
      <c r="CJ771" s="255"/>
      <c r="CK771" s="255"/>
      <c r="CL771" s="255"/>
      <c r="CM771" s="255"/>
      <c r="CN771" s="255"/>
      <c r="CO771" s="255"/>
      <c r="CP771" s="255"/>
      <c r="CQ771" s="255"/>
      <c r="CR771" s="255"/>
      <c r="CS771" s="255"/>
      <c r="CT771" s="255"/>
      <c r="CU771" s="255"/>
      <c r="CV771" s="255"/>
      <c r="CW771" s="255"/>
    </row>
    <row r="772" spans="1:101" ht="21" thickTop="1" x14ac:dyDescent="0.3">
      <c r="A772" s="256"/>
      <c r="B772" s="256"/>
      <c r="C772" s="190"/>
      <c r="D772" s="191"/>
      <c r="E772" s="866" t="str">
        <f>E2</f>
        <v>STPS 2026</v>
      </c>
      <c r="F772" s="267"/>
      <c r="G772" s="267"/>
      <c r="H772" s="267"/>
      <c r="I772" s="192"/>
      <c r="J772" s="192"/>
      <c r="K772" s="192"/>
      <c r="L772" s="193"/>
      <c r="M772" s="192"/>
      <c r="N772" s="192"/>
      <c r="O772" s="192"/>
      <c r="P772" s="194"/>
      <c r="Q772" s="192"/>
      <c r="R772" s="192"/>
      <c r="S772" s="192"/>
      <c r="T772" s="195"/>
      <c r="U772" s="196"/>
      <c r="V772" s="196"/>
      <c r="W772" s="196"/>
      <c r="X772" s="196"/>
      <c r="Y772" s="194"/>
      <c r="Z772" s="192"/>
      <c r="AA772" s="192"/>
      <c r="AB772" s="192"/>
      <c r="AC772" s="195"/>
      <c r="AD772" s="196"/>
      <c r="AE772" s="196"/>
      <c r="AF772" s="196"/>
      <c r="AG772" s="197"/>
      <c r="AH772" s="194"/>
      <c r="AI772" s="192"/>
      <c r="AJ772" s="237"/>
      <c r="AK772" s="237"/>
      <c r="AL772" s="198"/>
      <c r="AM772" s="238"/>
      <c r="AN772" s="238"/>
      <c r="AO772" s="238"/>
      <c r="AP772" s="197"/>
      <c r="AQ772" s="239"/>
      <c r="AR772" s="240"/>
      <c r="AS772" s="199"/>
      <c r="AT772" s="200"/>
      <c r="AU772" s="198"/>
      <c r="AV772" s="196"/>
      <c r="AW772" s="196"/>
      <c r="AX772" s="196"/>
      <c r="AY772" s="197"/>
      <c r="AZ772" s="239"/>
      <c r="BA772" s="240"/>
      <c r="BB772" s="200"/>
      <c r="BC772" s="237"/>
      <c r="BD772" s="241"/>
      <c r="BE772" s="196"/>
      <c r="BF772" s="196"/>
      <c r="BG772" s="196"/>
      <c r="BH772" s="197"/>
      <c r="BI772" s="242"/>
      <c r="BJ772" s="237"/>
      <c r="BK772" s="237"/>
      <c r="BL772" s="237"/>
      <c r="BM772" s="241"/>
      <c r="BN772" s="196"/>
      <c r="BO772" s="196"/>
      <c r="BP772" s="196"/>
      <c r="BQ772" s="197"/>
      <c r="BR772" s="201"/>
      <c r="BS772" s="237"/>
      <c r="BT772" s="237"/>
      <c r="BU772" s="237"/>
      <c r="BV772" s="242"/>
      <c r="BW772" s="237"/>
      <c r="BX772" s="237"/>
      <c r="BY772" s="237"/>
      <c r="BZ772" s="237"/>
      <c r="CA772" s="237"/>
      <c r="CB772" s="437"/>
      <c r="CC772" s="437"/>
      <c r="CD772" s="437"/>
      <c r="CE772" s="437"/>
      <c r="CF772" s="237"/>
      <c r="CG772" s="237"/>
      <c r="CH772" s="237"/>
      <c r="CI772" s="237"/>
      <c r="CJ772" s="197"/>
      <c r="CK772" s="197"/>
      <c r="CL772" s="197"/>
      <c r="CM772" s="197"/>
      <c r="CN772" s="197"/>
      <c r="CO772" s="197"/>
      <c r="CP772" s="197"/>
      <c r="CQ772" s="197"/>
      <c r="CR772" s="197"/>
      <c r="CS772" s="197"/>
      <c r="CT772" s="401"/>
      <c r="CU772" s="237"/>
      <c r="CV772" s="243"/>
      <c r="CW772" s="255"/>
    </row>
    <row r="773" spans="1:101" ht="13.5" thickBot="1" x14ac:dyDescent="0.25">
      <c r="A773" s="256"/>
      <c r="B773" s="256"/>
      <c r="C773" s="202"/>
      <c r="D773" s="188"/>
      <c r="E773" s="266" t="str">
        <f>E3</f>
        <v>Skorgen Tippelag</v>
      </c>
      <c r="F773" s="406"/>
      <c r="G773" s="406"/>
      <c r="H773" s="406"/>
      <c r="I773" s="406"/>
      <c r="J773" s="406"/>
      <c r="K773" s="406"/>
      <c r="L773" s="406"/>
      <c r="M773" s="406"/>
      <c r="N773" s="406"/>
      <c r="O773" s="406"/>
      <c r="P773" s="406"/>
      <c r="Q773" s="406"/>
      <c r="R773" s="406"/>
      <c r="S773" s="406"/>
      <c r="T773" s="406"/>
      <c r="U773" s="406"/>
      <c r="V773" s="406"/>
      <c r="W773" s="406"/>
      <c r="X773" s="406"/>
      <c r="Y773" s="406"/>
      <c r="Z773" s="406"/>
      <c r="AA773" s="406"/>
      <c r="AB773" s="406"/>
      <c r="AC773" s="406"/>
      <c r="AD773" s="406"/>
      <c r="AE773" s="406"/>
      <c r="AF773" s="406"/>
      <c r="AG773" s="406"/>
      <c r="AH773" s="406"/>
      <c r="AI773" s="406"/>
      <c r="AJ773" s="406"/>
      <c r="AK773" s="406"/>
      <c r="AL773" s="406"/>
      <c r="AM773" s="406"/>
      <c r="AN773" s="406"/>
      <c r="AO773" s="406"/>
      <c r="AP773" s="406"/>
      <c r="AQ773" s="406"/>
      <c r="AR773" s="406"/>
      <c r="AS773" s="406"/>
      <c r="AT773" s="406"/>
      <c r="AU773" s="406"/>
      <c r="AV773" s="406"/>
      <c r="AW773" s="406"/>
      <c r="AX773" s="406"/>
      <c r="AY773" s="406"/>
      <c r="AZ773" s="406"/>
      <c r="BA773" s="406"/>
      <c r="BB773" s="406"/>
      <c r="BC773" s="406"/>
      <c r="BD773" s="406"/>
      <c r="BE773" s="406"/>
      <c r="BF773" s="406"/>
      <c r="BG773" s="406"/>
      <c r="BH773" s="406"/>
      <c r="BI773" s="406"/>
      <c r="BJ773" s="406"/>
      <c r="BK773" s="406"/>
      <c r="BL773" s="406"/>
      <c r="BM773" s="406"/>
      <c r="BN773" s="406"/>
      <c r="BO773" s="406"/>
      <c r="BP773" s="406"/>
      <c r="BQ773" s="406"/>
      <c r="BR773" s="406"/>
      <c r="BS773" s="406"/>
      <c r="BT773" s="406"/>
      <c r="BU773" s="406"/>
      <c r="BV773" s="406"/>
      <c r="BW773" s="406"/>
      <c r="BX773" s="406"/>
      <c r="BY773" s="406"/>
      <c r="BZ773" s="406"/>
      <c r="CA773" s="406"/>
      <c r="CB773" s="438"/>
      <c r="CC773" s="438"/>
      <c r="CD773" s="438"/>
      <c r="CE773" s="438"/>
      <c r="CF773" s="406"/>
      <c r="CG773" s="406"/>
      <c r="CH773" s="406"/>
      <c r="CI773" s="406"/>
      <c r="CJ773" s="406"/>
      <c r="CK773" s="406"/>
      <c r="CL773" s="406"/>
      <c r="CM773" s="406"/>
      <c r="CN773" s="366"/>
      <c r="CO773" s="366"/>
      <c r="CP773" s="366"/>
      <c r="CQ773" s="366"/>
      <c r="CR773" s="366"/>
      <c r="CS773" s="366"/>
      <c r="CT773" s="187"/>
      <c r="CU773" s="310"/>
      <c r="CV773" s="246"/>
      <c r="CW773" s="255"/>
    </row>
    <row r="774" spans="1:101" ht="18.75" thickTop="1" x14ac:dyDescent="0.2">
      <c r="A774" s="256"/>
      <c r="B774" s="256"/>
      <c r="C774" s="209"/>
      <c r="D774" s="290"/>
      <c r="E774" s="273"/>
      <c r="F774" s="274"/>
      <c r="G774" s="273"/>
      <c r="H774" s="273"/>
      <c r="I774" s="803" t="s">
        <v>39</v>
      </c>
      <c r="J774" s="805"/>
      <c r="K774" s="805"/>
      <c r="L774" s="291"/>
      <c r="M774" s="302"/>
      <c r="N774" s="242"/>
      <c r="O774" s="275"/>
      <c r="P774" s="275"/>
      <c r="Q774" s="808" t="str">
        <f>IF($F778="","",SUM(Q790:S790)-S776)</f>
        <v/>
      </c>
      <c r="R774" s="808"/>
      <c r="S774" s="808"/>
      <c r="T774" s="276"/>
      <c r="U774" s="277"/>
      <c r="V774" s="277"/>
      <c r="W774" s="277"/>
      <c r="X774" s="277"/>
      <c r="Y774" s="275"/>
      <c r="Z774" s="808" t="str">
        <f>IF($F778="","",SUM(Z790:AB790)-AB776)</f>
        <v/>
      </c>
      <c r="AA774" s="808"/>
      <c r="AB774" s="808"/>
      <c r="AC774" s="276"/>
      <c r="AD774" s="277"/>
      <c r="AE774" s="277"/>
      <c r="AF774" s="277"/>
      <c r="AG774" s="273"/>
      <c r="AH774" s="275"/>
      <c r="AI774" s="808" t="str">
        <f>IF($F778="","",SUM(AI790:AK790)-AK776)</f>
        <v/>
      </c>
      <c r="AJ774" s="808"/>
      <c r="AK774" s="808"/>
      <c r="AL774" s="276"/>
      <c r="AM774" s="277"/>
      <c r="AN774" s="277"/>
      <c r="AO774" s="277"/>
      <c r="AP774" s="273"/>
      <c r="AQ774" s="275"/>
      <c r="AR774" s="808" t="str">
        <f>IF($F778="","",SUM(AR790:AT790)-AT776)</f>
        <v/>
      </c>
      <c r="AS774" s="808"/>
      <c r="AT774" s="808"/>
      <c r="AU774" s="278"/>
      <c r="AV774" s="277"/>
      <c r="AW774" s="277"/>
      <c r="AX774" s="277"/>
      <c r="AY774" s="279"/>
      <c r="AZ774" s="280"/>
      <c r="BA774" s="808" t="str">
        <f>IF($F778="","",SUM(BA790:BC790)-BC776)</f>
        <v/>
      </c>
      <c r="BB774" s="808"/>
      <c r="BC774" s="808"/>
      <c r="BD774" s="278"/>
      <c r="BE774" s="277"/>
      <c r="BF774" s="277"/>
      <c r="BG774" s="277"/>
      <c r="BH774" s="279"/>
      <c r="BI774" s="280"/>
      <c r="BJ774" s="808" t="str">
        <f>IF($F778="","",SUM(BJ790:BL790)-BL776)</f>
        <v/>
      </c>
      <c r="BK774" s="808"/>
      <c r="BL774" s="808"/>
      <c r="BM774" s="278"/>
      <c r="BN774" s="277"/>
      <c r="BO774" s="277"/>
      <c r="BP774" s="277"/>
      <c r="BQ774" s="279"/>
      <c r="BR774" s="281"/>
      <c r="BS774" s="808" t="str">
        <f>IF($F778="","",SUM(BS790:BU790)-BU776)</f>
        <v/>
      </c>
      <c r="BT774" s="808"/>
      <c r="BU774" s="808"/>
      <c r="BV774" s="280"/>
      <c r="BW774" s="279"/>
      <c r="BX774" s="279"/>
      <c r="BY774" s="279"/>
      <c r="BZ774" s="279"/>
      <c r="CA774" s="281"/>
      <c r="CB774" s="808" t="str">
        <f>IF($F778="","",SUM(CB790:CD790)-CD776)</f>
        <v/>
      </c>
      <c r="CC774" s="808"/>
      <c r="CD774" s="808"/>
      <c r="CE774" s="280"/>
      <c r="CF774" s="279"/>
      <c r="CG774" s="279"/>
      <c r="CH774" s="279"/>
      <c r="CI774" s="279"/>
      <c r="CJ774" s="273"/>
      <c r="CK774" s="808" t="str">
        <f>IF($F778="","",SUM(CK790:CM790))</f>
        <v/>
      </c>
      <c r="CL774" s="808"/>
      <c r="CM774" s="808"/>
      <c r="CN774" s="280"/>
      <c r="CO774" s="279"/>
      <c r="CP774" s="279"/>
      <c r="CQ774" s="279"/>
      <c r="CR774" s="273"/>
      <c r="CS774" s="273"/>
      <c r="CT774" s="273"/>
      <c r="CU774" s="292"/>
      <c r="CV774" s="246"/>
      <c r="CW774" s="255"/>
    </row>
    <row r="775" spans="1:101" x14ac:dyDescent="0.2">
      <c r="A775" s="256"/>
      <c r="B775" s="256"/>
      <c r="C775" s="209"/>
      <c r="D775" s="916"/>
      <c r="E775" s="588" t="str">
        <f>IF(D775="","",DATE($D$3,1,1)+(D775-1)*7+(6-WEEKDAY(DATE($D$3,1,1),2)))</f>
        <v/>
      </c>
      <c r="F775" s="213"/>
      <c r="G775" s="214"/>
      <c r="H775" s="214"/>
      <c r="I775" s="804" t="str">
        <f>IF(ISERROR(AVERAGE(Q774,Z774,AI774,AR774,BA774,BJ774,BS774,CB774,CK774)),"",AVERAGE(Q774,Z774,AI774,AR774,BA774,BJ774,BS774,CB774,CK774))</f>
        <v/>
      </c>
      <c r="J775" s="806"/>
      <c r="K775" s="806"/>
      <c r="L775" s="295"/>
      <c r="M775" s="372"/>
      <c r="N775" s="245"/>
      <c r="O775" s="215"/>
      <c r="P775" s="215"/>
      <c r="Q775" s="710" t="str">
        <f>IF(Q774="","",Q774/Data!$X$1)</f>
        <v/>
      </c>
      <c r="R775" s="710"/>
      <c r="S775" s="711" t="str">
        <f>IF(SUM(X778:X789)=0,"",SUM(X778:X789))</f>
        <v/>
      </c>
      <c r="T775" s="216"/>
      <c r="U775" s="217"/>
      <c r="V775" s="217"/>
      <c r="W775" s="217"/>
      <c r="X775" s="217"/>
      <c r="Y775" s="215"/>
      <c r="Z775" s="710" t="str">
        <f>IF(Z774="","",Z774/Data!$X$1)</f>
        <v/>
      </c>
      <c r="AA775" s="710"/>
      <c r="AB775" s="711" t="str">
        <f>IF(SUM(AG778:AG789)=0,"",SUM(AG778:AG789))</f>
        <v/>
      </c>
      <c r="AC775" s="216"/>
      <c r="AD775" s="217"/>
      <c r="AE775" s="217"/>
      <c r="AF775" s="217"/>
      <c r="AG775" s="217"/>
      <c r="AH775" s="215"/>
      <c r="AI775" s="710" t="str">
        <f>IF(AI774="","",AI774/Data!$X$1)</f>
        <v/>
      </c>
      <c r="AJ775" s="710"/>
      <c r="AK775" s="711" t="str">
        <f>IF(SUM(AP778:AP789)=0,"",SUM(AP778:AP789))</f>
        <v/>
      </c>
      <c r="AL775" s="216"/>
      <c r="AM775" s="217"/>
      <c r="AN775" s="217"/>
      <c r="AO775" s="217"/>
      <c r="AP775" s="217"/>
      <c r="AQ775" s="215"/>
      <c r="AR775" s="710" t="str">
        <f>IF(AR774="","",AR774/Data!$X$1)</f>
        <v/>
      </c>
      <c r="AS775" s="710"/>
      <c r="AT775" s="711" t="str">
        <f>IF(SUM(AY778:AY789)=0,"",SUM(AY778:AY789))</f>
        <v/>
      </c>
      <c r="AU775" s="218"/>
      <c r="AV775" s="217"/>
      <c r="AW775" s="217"/>
      <c r="AX775" s="217"/>
      <c r="AY775" s="217"/>
      <c r="AZ775" s="219"/>
      <c r="BA775" s="710" t="str">
        <f>IF(BA774="","",BA774/Data!$X$1)</f>
        <v/>
      </c>
      <c r="BB775" s="710"/>
      <c r="BC775" s="711" t="str">
        <f>IF(SUM(BH778:BH789)=0,"",SUM(BH778:BH789))</f>
        <v/>
      </c>
      <c r="BD775" s="218"/>
      <c r="BE775" s="217"/>
      <c r="BF775" s="217"/>
      <c r="BG775" s="217"/>
      <c r="BH775" s="217"/>
      <c r="BI775" s="219"/>
      <c r="BJ775" s="710" t="str">
        <f>IF(BJ774="","",BJ774/Data!$X$1)</f>
        <v/>
      </c>
      <c r="BK775" s="710"/>
      <c r="BL775" s="711" t="str">
        <f>IF(SUM(BQ778:BQ789)=0,"",SUM(BQ778:BQ789))</f>
        <v/>
      </c>
      <c r="BM775" s="218"/>
      <c r="BN775" s="217"/>
      <c r="BO775" s="217"/>
      <c r="BP775" s="217"/>
      <c r="BQ775" s="217"/>
      <c r="BR775" s="220"/>
      <c r="BS775" s="710" t="str">
        <f>IF(BS774="","",BS774/Data!$X$1)</f>
        <v/>
      </c>
      <c r="BT775" s="710"/>
      <c r="BU775" s="711" t="str">
        <f>IF(SUM(BZ778:BZ789)=0,"",SUM(BZ778:BZ789))</f>
        <v/>
      </c>
      <c r="BV775" s="219"/>
      <c r="BW775" s="217"/>
      <c r="BX775" s="217"/>
      <c r="BY775" s="217"/>
      <c r="BZ775" s="217"/>
      <c r="CA775" s="220"/>
      <c r="CB775" s="710" t="str">
        <f>IF(CB774="","",CB774/Data!$X$1)</f>
        <v/>
      </c>
      <c r="CC775" s="710"/>
      <c r="CD775" s="711" t="str">
        <f>IF(SUM(CI778:CI789)=0,"",SUM(CI778:CI789))</f>
        <v/>
      </c>
      <c r="CE775" s="219"/>
      <c r="CF775" s="217"/>
      <c r="CG775" s="217"/>
      <c r="CH775" s="217"/>
      <c r="CI775" s="217"/>
      <c r="CJ775" s="217"/>
      <c r="CK775" s="710" t="str">
        <f>IF(CK774="","",CK774/Data!$X$1)</f>
        <v/>
      </c>
      <c r="CL775" s="710"/>
      <c r="CM775" s="711" t="str">
        <f>IF(SUM(CR778:CR789)=0,"",SUM(CR778:CR789))</f>
        <v/>
      </c>
      <c r="CN775" s="219"/>
      <c r="CO775" s="217"/>
      <c r="CP775" s="217"/>
      <c r="CQ775" s="217"/>
      <c r="CR775" s="217"/>
      <c r="CS775" s="217"/>
      <c r="CT775" s="217"/>
      <c r="CU775" s="296"/>
      <c r="CV775" s="246"/>
      <c r="CW775" s="255"/>
    </row>
    <row r="776" spans="1:101" ht="13.5" thickBot="1" x14ac:dyDescent="0.25">
      <c r="A776" s="256"/>
      <c r="B776" s="256"/>
      <c r="C776" s="209"/>
      <c r="D776" s="269">
        <f>D754+1</f>
        <v>36</v>
      </c>
      <c r="E776" s="402" t="str">
        <f>IF(E775="","Sett inn dato over her",TEXT(E775,"dddd"))</f>
        <v>Sett inn dato over her</v>
      </c>
      <c r="F776" s="221"/>
      <c r="G776" s="222"/>
      <c r="H776" s="222"/>
      <c r="I776" s="802"/>
      <c r="J776" s="807"/>
      <c r="K776" s="807"/>
      <c r="L776" s="297"/>
      <c r="M776" s="373"/>
      <c r="N776" s="377"/>
      <c r="O776" s="222"/>
      <c r="P776" s="222"/>
      <c r="Q776" s="385" t="str">
        <f>Data!$E$11</f>
        <v>AHH</v>
      </c>
      <c r="R776" s="386" t="str">
        <f>IF($F789="","",RANK(Q774,$Q774:$CL774))</f>
        <v/>
      </c>
      <c r="S776" s="510"/>
      <c r="T776" s="216">
        <v>0</v>
      </c>
      <c r="U776" s="217"/>
      <c r="V776" s="217"/>
      <c r="W776" s="217"/>
      <c r="X776" s="217"/>
      <c r="Y776" s="215"/>
      <c r="Z776" s="385" t="str">
        <f>Data!$E$12</f>
        <v>RB</v>
      </c>
      <c r="AA776" s="386" t="str">
        <f>IF($F789="","",RANK(Z774,$Q774:$CL774))</f>
        <v/>
      </c>
      <c r="AB776" s="510"/>
      <c r="AC776" s="216"/>
      <c r="AD776" s="217"/>
      <c r="AE776" s="217"/>
      <c r="AF776" s="217"/>
      <c r="AG776" s="217"/>
      <c r="AH776" s="215"/>
      <c r="AI776" s="385" t="str">
        <f>Data!$E$13</f>
        <v>EB</v>
      </c>
      <c r="AJ776" s="386" t="str">
        <f>IF($F789="","",RANK(AI774,$Q774:$CL774))</f>
        <v/>
      </c>
      <c r="AK776" s="510"/>
      <c r="AL776" s="216"/>
      <c r="AM776" s="217"/>
      <c r="AN776" s="217"/>
      <c r="AO776" s="217"/>
      <c r="AP776" s="217"/>
      <c r="AQ776" s="215"/>
      <c r="AR776" s="346" t="str">
        <f>Data!$E$14</f>
        <v>KAF</v>
      </c>
      <c r="AS776" s="386" t="str">
        <f>IF($F789="","",RANK(AR774,$Q774:$CL774))</f>
        <v/>
      </c>
      <c r="AT776" s="510"/>
      <c r="AU776" s="216"/>
      <c r="AV776" s="217"/>
      <c r="AW776" s="217"/>
      <c r="AX776" s="217"/>
      <c r="AY776" s="217"/>
      <c r="AZ776" s="215"/>
      <c r="BA776" s="346" t="str">
        <f>Data!$E$15</f>
        <v>ØG</v>
      </c>
      <c r="BB776" s="386" t="str">
        <f>IF($F789="","",RANK(BA774,$Q774:$CL774))</f>
        <v/>
      </c>
      <c r="BC776" s="510"/>
      <c r="BD776" s="216"/>
      <c r="BE776" s="217"/>
      <c r="BF776" s="217"/>
      <c r="BG776" s="217"/>
      <c r="BH776" s="217"/>
      <c r="BI776" s="215"/>
      <c r="BJ776" s="346" t="str">
        <f>Data!$E$16</f>
        <v>JH</v>
      </c>
      <c r="BK776" s="386" t="str">
        <f>IF($F789="","",RANK(BJ774,$Q774:$CL774))</f>
        <v/>
      </c>
      <c r="BL776" s="510"/>
      <c r="BM776" s="216"/>
      <c r="BN776" s="217"/>
      <c r="BO776" s="217"/>
      <c r="BP776" s="217"/>
      <c r="BQ776" s="217"/>
      <c r="BR776" s="223"/>
      <c r="BS776" s="346" t="str">
        <f>Data!$E$17</f>
        <v>TOH</v>
      </c>
      <c r="BT776" s="386" t="str">
        <f>IF($F789="","",RANK(BS774,$Q774:$CL774))</f>
        <v/>
      </c>
      <c r="BU776" s="510"/>
      <c r="BV776" s="215"/>
      <c r="BW776" s="217"/>
      <c r="BX776" s="217"/>
      <c r="BY776" s="217"/>
      <c r="BZ776" s="217"/>
      <c r="CA776" s="223"/>
      <c r="CB776" s="346" t="s">
        <v>26</v>
      </c>
      <c r="CC776" s="386" t="str">
        <f>IF($F789="","",RANK(CB774,$Q774:$CM774))</f>
        <v/>
      </c>
      <c r="CD776" s="511"/>
      <c r="CE776" s="215"/>
      <c r="CF776" s="217"/>
      <c r="CG776" s="217"/>
      <c r="CH776" s="217"/>
      <c r="CI776" s="217"/>
      <c r="CJ776" s="217"/>
      <c r="CK776" s="346" t="s">
        <v>27</v>
      </c>
      <c r="CL776" s="386" t="str">
        <f>IF($F789="","",RANK(CK774,$Q774:$CM774))</f>
        <v/>
      </c>
      <c r="CM776" s="798"/>
      <c r="CN776" s="215"/>
      <c r="CO776" s="217"/>
      <c r="CP776" s="217"/>
      <c r="CQ776" s="217"/>
      <c r="CR776" s="217"/>
      <c r="CS776" s="217"/>
      <c r="CT776" s="217"/>
      <c r="CU776" s="296"/>
      <c r="CV776" s="246"/>
      <c r="CW776" s="255"/>
    </row>
    <row r="777" spans="1:101" ht="13.5" thickBot="1" x14ac:dyDescent="0.25">
      <c r="A777" s="264"/>
      <c r="B777" s="264"/>
      <c r="C777" s="202"/>
      <c r="D777" s="270"/>
      <c r="E777" s="224"/>
      <c r="F777" s="225"/>
      <c r="G777" s="226"/>
      <c r="H777" s="226"/>
      <c r="I777" s="227" t="s">
        <v>45</v>
      </c>
      <c r="J777" s="228" t="s">
        <v>46</v>
      </c>
      <c r="K777" s="229" t="s">
        <v>47</v>
      </c>
      <c r="L777" s="298"/>
      <c r="M777" s="374"/>
      <c r="N777" s="378"/>
      <c r="O777" s="230"/>
      <c r="P777" s="230"/>
      <c r="Q777" s="227" t="s">
        <v>45</v>
      </c>
      <c r="R777" s="228" t="s">
        <v>46</v>
      </c>
      <c r="S777" s="229" t="s">
        <v>47</v>
      </c>
      <c r="T777" s="231"/>
      <c r="U777" s="232"/>
      <c r="V777" s="232"/>
      <c r="W777" s="232"/>
      <c r="X777" s="232"/>
      <c r="Y777" s="230"/>
      <c r="Z777" s="227" t="s">
        <v>45</v>
      </c>
      <c r="AA777" s="228" t="s">
        <v>46</v>
      </c>
      <c r="AB777" s="229" t="s">
        <v>47</v>
      </c>
      <c r="AC777" s="231"/>
      <c r="AD777" s="232"/>
      <c r="AE777" s="232"/>
      <c r="AF777" s="232"/>
      <c r="AG777" s="232"/>
      <c r="AH777" s="230"/>
      <c r="AI777" s="227" t="s">
        <v>45</v>
      </c>
      <c r="AJ777" s="228" t="s">
        <v>46</v>
      </c>
      <c r="AK777" s="229" t="s">
        <v>47</v>
      </c>
      <c r="AL777" s="231"/>
      <c r="AM777" s="232"/>
      <c r="AN777" s="232"/>
      <c r="AO777" s="232"/>
      <c r="AP777" s="232"/>
      <c r="AQ777" s="230"/>
      <c r="AR777" s="227" t="s">
        <v>45</v>
      </c>
      <c r="AS777" s="228" t="s">
        <v>46</v>
      </c>
      <c r="AT777" s="229" t="s">
        <v>47</v>
      </c>
      <c r="AU777" s="231"/>
      <c r="AV777" s="232"/>
      <c r="AW777" s="232"/>
      <c r="AX777" s="232"/>
      <c r="AY777" s="232"/>
      <c r="AZ777" s="230"/>
      <c r="BA777" s="227" t="s">
        <v>45</v>
      </c>
      <c r="BB777" s="228" t="s">
        <v>46</v>
      </c>
      <c r="BC777" s="229" t="s">
        <v>47</v>
      </c>
      <c r="BD777" s="231"/>
      <c r="BE777" s="232"/>
      <c r="BF777" s="232"/>
      <c r="BG777" s="232"/>
      <c r="BH777" s="232"/>
      <c r="BI777" s="230"/>
      <c r="BJ777" s="227" t="s">
        <v>45</v>
      </c>
      <c r="BK777" s="228" t="s">
        <v>46</v>
      </c>
      <c r="BL777" s="229" t="s">
        <v>47</v>
      </c>
      <c r="BM777" s="231"/>
      <c r="BN777" s="232"/>
      <c r="BO777" s="232"/>
      <c r="BP777" s="232"/>
      <c r="BQ777" s="232"/>
      <c r="BR777" s="230"/>
      <c r="BS777" s="227" t="s">
        <v>45</v>
      </c>
      <c r="BT777" s="228" t="s">
        <v>46</v>
      </c>
      <c r="BU777" s="229" t="s">
        <v>47</v>
      </c>
      <c r="BV777" s="231"/>
      <c r="BW777" s="232"/>
      <c r="BX777" s="232"/>
      <c r="BY777" s="232"/>
      <c r="BZ777" s="233"/>
      <c r="CA777" s="230"/>
      <c r="CB777" s="227" t="s">
        <v>45</v>
      </c>
      <c r="CC777" s="228" t="s">
        <v>46</v>
      </c>
      <c r="CD777" s="229" t="s">
        <v>47</v>
      </c>
      <c r="CE777" s="231"/>
      <c r="CF777" s="232"/>
      <c r="CG777" s="232"/>
      <c r="CH777" s="232"/>
      <c r="CI777" s="232"/>
      <c r="CJ777" s="232"/>
      <c r="CK777" s="227" t="s">
        <v>45</v>
      </c>
      <c r="CL777" s="228" t="s">
        <v>46</v>
      </c>
      <c r="CM777" s="229" t="s">
        <v>47</v>
      </c>
      <c r="CN777" s="231"/>
      <c r="CO777" s="232"/>
      <c r="CP777" s="232"/>
      <c r="CQ777" s="232"/>
      <c r="CR777" s="232"/>
      <c r="CS777" s="232"/>
      <c r="CT777" s="234"/>
      <c r="CU777" s="296"/>
      <c r="CV777" s="246"/>
      <c r="CW777" s="265"/>
    </row>
    <row r="778" spans="1:101" x14ac:dyDescent="0.2">
      <c r="A778" s="264"/>
      <c r="B778" s="264"/>
      <c r="C778" s="202"/>
      <c r="D778" s="271">
        <v>1</v>
      </c>
      <c r="E778" s="166"/>
      <c r="F778" s="468"/>
      <c r="G778" s="472" t="s">
        <v>49</v>
      </c>
      <c r="H778" s="473"/>
      <c r="I778" s="170" t="str">
        <f t="shared" ref="I778:I789" si="1750">IF($F778&gt;$H778,"x","")</f>
        <v/>
      </c>
      <c r="J778" s="387" t="str">
        <f t="shared" ref="J778:J789" si="1751">IF(F778&lt;&gt;"",IF(H778&lt;&gt;"",IF(F778=H778,"x",""),""),"")</f>
        <v/>
      </c>
      <c r="K778" s="388" t="str">
        <f t="shared" ref="K778:K789" si="1752">IF($F778&lt;$H778,"x","")</f>
        <v/>
      </c>
      <c r="L778" s="299"/>
      <c r="M778" s="375"/>
      <c r="N778" s="379"/>
      <c r="O778" s="236"/>
      <c r="P778" s="236"/>
      <c r="Q778" s="480"/>
      <c r="R778" s="481"/>
      <c r="S778" s="482" t="str">
        <f>IF(Q778="","",100-SUM(Q778:R778))</f>
        <v/>
      </c>
      <c r="T778" s="371"/>
      <c r="U778" s="232" t="str">
        <f t="shared" ref="U778:U789" si="1753">IF($I778="x",Q778,"")</f>
        <v/>
      </c>
      <c r="V778" s="232" t="str">
        <f t="shared" ref="V778:V789" si="1754">IF($J778="x",R778,"")</f>
        <v/>
      </c>
      <c r="W778" s="232" t="str">
        <f t="shared" ref="W778:W789" si="1755">IF($K778="x",S778,"")</f>
        <v/>
      </c>
      <c r="X778" s="232" t="str">
        <f>IF((MAX(U778,V778,W778))=0,"",IF((MAX(U778,V778,W778))=(MAX(Q778,R778,S778)),1,""))</f>
        <v/>
      </c>
      <c r="Y778" s="371"/>
      <c r="Z778" s="495"/>
      <c r="AA778" s="496"/>
      <c r="AB778" s="482" t="str">
        <f t="shared" ref="AB778:AB789" si="1756">IF(Z778="","",100-SUM(Z778:AA778))</f>
        <v/>
      </c>
      <c r="AC778" s="371"/>
      <c r="AD778" s="232" t="str">
        <f t="shared" ref="AD778:AD789" si="1757">IF($I778="x",Z778,"")</f>
        <v/>
      </c>
      <c r="AE778" s="232" t="str">
        <f t="shared" ref="AE778:AE789" si="1758">IF($J778="x",AA778,"")</f>
        <v/>
      </c>
      <c r="AF778" s="232" t="str">
        <f t="shared" ref="AF778:AF789" si="1759">IF($K778="x",AB778,"")</f>
        <v/>
      </c>
      <c r="AG778" s="232" t="str">
        <f>IF((MAX(AD778,AE778,AF778))=0,"",IF((MAX(AD778,AE778,AF778))=(MAX(Z778,AA778,AB778)),1,""))</f>
        <v/>
      </c>
      <c r="AH778" s="371"/>
      <c r="AI778" s="495"/>
      <c r="AJ778" s="496"/>
      <c r="AK778" s="482" t="str">
        <f t="shared" ref="AK778:AK789" si="1760">IF(AI778="","",100-SUM(AI778:AJ778))</f>
        <v/>
      </c>
      <c r="AL778" s="371"/>
      <c r="AM778" s="232" t="str">
        <f t="shared" ref="AM778:AM789" si="1761">IF($I778="x",AI778,"")</f>
        <v/>
      </c>
      <c r="AN778" s="232" t="str">
        <f t="shared" ref="AN778:AN789" si="1762">IF($J778="x",AJ778,"")</f>
        <v/>
      </c>
      <c r="AO778" s="232" t="str">
        <f t="shared" ref="AO778:AO789" si="1763">IF($K778="x",AK778,"")</f>
        <v/>
      </c>
      <c r="AP778" s="232" t="str">
        <f>IF((MAX(AM778,AN778,AO778))=0,"",IF((MAX(AM778,AN778,AO778))=(MAX(AI778,AJ778,AK778)),1,""))</f>
        <v/>
      </c>
      <c r="AQ778" s="371"/>
      <c r="AR778" s="495"/>
      <c r="AS778" s="496"/>
      <c r="AT778" s="482" t="str">
        <f t="shared" ref="AT778:AT789" si="1764">IF(AR778="","",100-SUM(AR778:AS778))</f>
        <v/>
      </c>
      <c r="AU778" s="371"/>
      <c r="AV778" s="232" t="str">
        <f t="shared" ref="AV778:AV789" si="1765">IF($I778="x",AR778,"")</f>
        <v/>
      </c>
      <c r="AW778" s="232" t="str">
        <f t="shared" ref="AW778:AW789" si="1766">IF($J778="x",AS778,"")</f>
        <v/>
      </c>
      <c r="AX778" s="232" t="str">
        <f t="shared" ref="AX778:AX789" si="1767">IF($K778="x",AT778,"")</f>
        <v/>
      </c>
      <c r="AY778" s="232" t="str">
        <f>IF((MAX(AV778,AW778,AX778))=0,"",IF((MAX(AV778,AW778,AX778))=(MAX(AR778,AS778,AT778)),1,""))</f>
        <v/>
      </c>
      <c r="AZ778" s="371"/>
      <c r="BA778" s="495"/>
      <c r="BB778" s="496"/>
      <c r="BC778" s="482" t="str">
        <f t="shared" ref="BC778:BC789" si="1768">IF(BA778="","",100-SUM(BA778:BB778))</f>
        <v/>
      </c>
      <c r="BD778" s="371"/>
      <c r="BE778" s="232" t="str">
        <f t="shared" ref="BE778:BE789" si="1769">IF($I778="x",BA778,"")</f>
        <v/>
      </c>
      <c r="BF778" s="232" t="str">
        <f t="shared" ref="BF778:BF789" si="1770">IF($J778="x",BB778,"")</f>
        <v/>
      </c>
      <c r="BG778" s="232" t="str">
        <f t="shared" ref="BG778:BG789" si="1771">IF($K778="x",BC778,"")</f>
        <v/>
      </c>
      <c r="BH778" s="232" t="str">
        <f>IF((MAX(BE778,BF778,BG778))=0,"",IF((MAX(BE778,BF778,BG778))=(MAX(BA778,BB778,BC778)),1,""))</f>
        <v/>
      </c>
      <c r="BI778" s="371"/>
      <c r="BJ778" s="495"/>
      <c r="BK778" s="496"/>
      <c r="BL778" s="482" t="str">
        <f t="shared" ref="BL778:BL789" si="1772">IF(BJ778="","",100-SUM(BJ778:BK778))</f>
        <v/>
      </c>
      <c r="BM778" s="371"/>
      <c r="BN778" s="232" t="str">
        <f t="shared" ref="BN778:BN789" si="1773">IF($I778="x",BJ778,"")</f>
        <v/>
      </c>
      <c r="BO778" s="232" t="str">
        <f t="shared" ref="BO778:BO789" si="1774">IF($J778="x",BK778,"")</f>
        <v/>
      </c>
      <c r="BP778" s="232" t="str">
        <f t="shared" ref="BP778:BP789" si="1775">IF($K778="x",BL778,"")</f>
        <v/>
      </c>
      <c r="BQ778" s="232" t="str">
        <f>IF((MAX(BN778,BO778,BP778))=0,"",IF((MAX(BN778,BO778,BP778))=(MAX(BJ778,BK778,BL778)),1,""))</f>
        <v/>
      </c>
      <c r="BR778" s="371"/>
      <c r="BS778" s="495"/>
      <c r="BT778" s="496"/>
      <c r="BU778" s="482" t="str">
        <f t="shared" ref="BU778:BU789" si="1776">IF(BS778="","",100-SUM(BS778:BT778))</f>
        <v/>
      </c>
      <c r="BV778" s="371"/>
      <c r="BW778" s="232" t="str">
        <f t="shared" ref="BW778:BW789" si="1777">IF($I778="x",BS778,"")</f>
        <v/>
      </c>
      <c r="BX778" s="232" t="str">
        <f t="shared" ref="BX778:BX789" si="1778">IF($J778="x",BT778,"")</f>
        <v/>
      </c>
      <c r="BY778" s="232" t="str">
        <f t="shared" ref="BY778:BY789" si="1779">IF($K778="x",BU778,"")</f>
        <v/>
      </c>
      <c r="BZ778" s="232" t="str">
        <f>IF((MAX(BW778,BX778,BY778))=0,"",IF((MAX(BW778,BX778,BY778))=(MAX(BS778,BT778,BU778)),1,""))</f>
        <v/>
      </c>
      <c r="CA778" s="371"/>
      <c r="CB778" s="501" t="str">
        <f t="shared" ref="CB778:CB789" si="1780">IFERROR(ROUNDUP((SUM(Q778,Z778,AI778,AR778,BA778,BJ778,BS778)/SUM($Q778:$S778,$Z778:$AB778,$AI778:$AK778,$AR778:$AT778,$BA778:$BC778,$BJ778:$BL778,$BS778:$BU778))*100,-1),"")</f>
        <v/>
      </c>
      <c r="CC778" s="502" t="str">
        <f t="shared" ref="CC778:CC789" si="1781">IFERROR(ROUNDDOWN((SUM(R778,AA778,AJ778,AS778,BB778,BK778,BT778)/SUM($Q778:$S778,$Z778:$AB778,$AI778:$AK778,$AR778:$AT778,$BA778:$BC778,$BJ778:$BL778,$BS778:$BU778))*100,-1),"")</f>
        <v/>
      </c>
      <c r="CD778" s="503" t="str">
        <f t="shared" ref="CD778:CD789" si="1782">IF(CB778="","",100-SUM(CB778:CC778))</f>
        <v/>
      </c>
      <c r="CE778" s="371"/>
      <c r="CF778" s="232" t="str">
        <f t="shared" ref="CF778:CF789" si="1783">IF($I778="x",CB778,"")</f>
        <v/>
      </c>
      <c r="CG778" s="232" t="str">
        <f t="shared" ref="CG778:CG789" si="1784">IF($J778="x",CC778,"")</f>
        <v/>
      </c>
      <c r="CH778" s="232" t="str">
        <f t="shared" ref="CH778:CH789" si="1785">IF($K778="x",CD778,"")</f>
        <v/>
      </c>
      <c r="CI778" s="232" t="str">
        <f>IF((MAX(CF778,CG778,CH778))=0,"",IF((MAX(CF778,CG778,CH778))=(MAX(CB778,CC778,CD778)),1,""))</f>
        <v/>
      </c>
      <c r="CJ778" s="232"/>
      <c r="CK778" s="495"/>
      <c r="CL778" s="496"/>
      <c r="CM778" s="482" t="str">
        <f t="shared" ref="CM778:CM789" si="1786">IF(CK778="","",100-SUM(CK778:CL778))</f>
        <v/>
      </c>
      <c r="CN778" s="371"/>
      <c r="CO778" s="232" t="str">
        <f t="shared" ref="CO778:CO789" si="1787">IF($I778="x",CK778,"")</f>
        <v/>
      </c>
      <c r="CP778" s="232" t="str">
        <f t="shared" ref="CP778:CP789" si="1788">IF($J778="x",CL778,"")</f>
        <v/>
      </c>
      <c r="CQ778" s="232" t="str">
        <f t="shared" ref="CQ778:CQ789" si="1789">IF($K778="x",CM778,"")</f>
        <v/>
      </c>
      <c r="CR778" s="232" t="str">
        <f>IF((MAX(CO778,CP778,CQ778))=0,"",IF((MAX(CO778,CP778,CQ778))=(MAX(CK778,CL778,CM778)),1,""))</f>
        <v/>
      </c>
      <c r="CS778" s="232"/>
      <c r="CT778" s="371"/>
      <c r="CU778" s="296"/>
      <c r="CV778" s="246"/>
      <c r="CW778" s="264"/>
    </row>
    <row r="779" spans="1:101" x14ac:dyDescent="0.2">
      <c r="A779" s="264"/>
      <c r="B779" s="264"/>
      <c r="C779" s="202"/>
      <c r="D779" s="271">
        <v>2</v>
      </c>
      <c r="E779" s="167"/>
      <c r="F779" s="469"/>
      <c r="G779" s="474" t="s">
        <v>49</v>
      </c>
      <c r="H779" s="475"/>
      <c r="I779" s="389" t="str">
        <f t="shared" si="1750"/>
        <v/>
      </c>
      <c r="J779" s="390" t="str">
        <f t="shared" si="1751"/>
        <v/>
      </c>
      <c r="K779" s="391" t="str">
        <f t="shared" si="1752"/>
        <v/>
      </c>
      <c r="L779" s="299"/>
      <c r="M779" s="375"/>
      <c r="N779" s="379"/>
      <c r="O779" s="236"/>
      <c r="P779" s="236"/>
      <c r="Q779" s="483"/>
      <c r="R779" s="484"/>
      <c r="S779" s="485" t="str">
        <f t="shared" ref="S779:S789" si="1790">IF(Q779="","",100-SUM(Q779:R779))</f>
        <v/>
      </c>
      <c r="T779" s="371"/>
      <c r="U779" s="232" t="str">
        <f t="shared" si="1753"/>
        <v/>
      </c>
      <c r="V779" s="232" t="str">
        <f t="shared" si="1754"/>
        <v/>
      </c>
      <c r="W779" s="232" t="str">
        <f t="shared" si="1755"/>
        <v/>
      </c>
      <c r="X779" s="232" t="str">
        <f t="shared" ref="X779:X789" si="1791">IF((MAX(U779,V779,W779))=0,"",IF((MAX(U779,V779,W779))=(MAX(Q779,R779,S779)),1,""))</f>
        <v/>
      </c>
      <c r="Y779" s="371"/>
      <c r="Z779" s="497"/>
      <c r="AA779" s="498"/>
      <c r="AB779" s="485" t="str">
        <f t="shared" si="1756"/>
        <v/>
      </c>
      <c r="AC779" s="371"/>
      <c r="AD779" s="232" t="str">
        <f t="shared" si="1757"/>
        <v/>
      </c>
      <c r="AE779" s="232" t="str">
        <f t="shared" si="1758"/>
        <v/>
      </c>
      <c r="AF779" s="232" t="str">
        <f t="shared" si="1759"/>
        <v/>
      </c>
      <c r="AG779" s="232" t="str">
        <f t="shared" ref="AG779:AG789" si="1792">IF((MAX(AD779,AE779,AF779))=0,"",IF((MAX(AD779,AE779,AF779))=(MAX(Z779,AA779,AB779)),1,""))</f>
        <v/>
      </c>
      <c r="AH779" s="371"/>
      <c r="AI779" s="497"/>
      <c r="AJ779" s="498"/>
      <c r="AK779" s="485" t="str">
        <f t="shared" si="1760"/>
        <v/>
      </c>
      <c r="AL779" s="371"/>
      <c r="AM779" s="232" t="str">
        <f t="shared" si="1761"/>
        <v/>
      </c>
      <c r="AN779" s="232" t="str">
        <f t="shared" si="1762"/>
        <v/>
      </c>
      <c r="AO779" s="232" t="str">
        <f t="shared" si="1763"/>
        <v/>
      </c>
      <c r="AP779" s="232" t="str">
        <f t="shared" ref="AP779:AP789" si="1793">IF((MAX(AM779,AN779,AO779))=0,"",IF((MAX(AM779,AN779,AO779))=(MAX(AI779,AJ779,AK779)),1,""))</f>
        <v/>
      </c>
      <c r="AQ779" s="371"/>
      <c r="AR779" s="497"/>
      <c r="AS779" s="498"/>
      <c r="AT779" s="485" t="str">
        <f t="shared" si="1764"/>
        <v/>
      </c>
      <c r="AU779" s="371"/>
      <c r="AV779" s="232" t="str">
        <f t="shared" si="1765"/>
        <v/>
      </c>
      <c r="AW779" s="232" t="str">
        <f t="shared" si="1766"/>
        <v/>
      </c>
      <c r="AX779" s="232" t="str">
        <f t="shared" si="1767"/>
        <v/>
      </c>
      <c r="AY779" s="232" t="str">
        <f t="shared" ref="AY779:AY789" si="1794">IF((MAX(AV779,AW779,AX779))=0,"",IF((MAX(AV779,AW779,AX779))=(MAX(AR779,AS779,AT779)),1,""))</f>
        <v/>
      </c>
      <c r="AZ779" s="371"/>
      <c r="BA779" s="497"/>
      <c r="BB779" s="498"/>
      <c r="BC779" s="485" t="str">
        <f t="shared" si="1768"/>
        <v/>
      </c>
      <c r="BD779" s="371"/>
      <c r="BE779" s="232" t="str">
        <f t="shared" si="1769"/>
        <v/>
      </c>
      <c r="BF779" s="232" t="str">
        <f t="shared" si="1770"/>
        <v/>
      </c>
      <c r="BG779" s="232" t="str">
        <f t="shared" si="1771"/>
        <v/>
      </c>
      <c r="BH779" s="232" t="str">
        <f t="shared" ref="BH779:BH789" si="1795">IF((MAX(BE779,BF779,BG779))=0,"",IF((MAX(BE779,BF779,BG779))=(MAX(BA779,BB779,BC779)),1,""))</f>
        <v/>
      </c>
      <c r="BI779" s="371"/>
      <c r="BJ779" s="497"/>
      <c r="BK779" s="498"/>
      <c r="BL779" s="485" t="str">
        <f t="shared" si="1772"/>
        <v/>
      </c>
      <c r="BM779" s="371"/>
      <c r="BN779" s="232" t="str">
        <f t="shared" si="1773"/>
        <v/>
      </c>
      <c r="BO779" s="232" t="str">
        <f t="shared" si="1774"/>
        <v/>
      </c>
      <c r="BP779" s="232" t="str">
        <f t="shared" si="1775"/>
        <v/>
      </c>
      <c r="BQ779" s="232" t="str">
        <f t="shared" ref="BQ779:BQ789" si="1796">IF((MAX(BN779,BO779,BP779))=0,"",IF((MAX(BN779,BO779,BP779))=(MAX(BJ779,BK779,BL779)),1,""))</f>
        <v/>
      </c>
      <c r="BR779" s="371"/>
      <c r="BS779" s="497"/>
      <c r="BT779" s="498"/>
      <c r="BU779" s="485" t="str">
        <f t="shared" si="1776"/>
        <v/>
      </c>
      <c r="BV779" s="371"/>
      <c r="BW779" s="232" t="str">
        <f t="shared" si="1777"/>
        <v/>
      </c>
      <c r="BX779" s="232" t="str">
        <f t="shared" si="1778"/>
        <v/>
      </c>
      <c r="BY779" s="232" t="str">
        <f t="shared" si="1779"/>
        <v/>
      </c>
      <c r="BZ779" s="232" t="str">
        <f t="shared" ref="BZ779:BZ789" si="1797">IF((MAX(BW779,BX779,BY779))=0,"",IF((MAX(BW779,BX779,BY779))=(MAX(BS779,BT779,BU779)),1,""))</f>
        <v/>
      </c>
      <c r="CA779" s="371"/>
      <c r="CB779" s="504" t="str">
        <f t="shared" si="1780"/>
        <v/>
      </c>
      <c r="CC779" s="505" t="str">
        <f t="shared" si="1781"/>
        <v/>
      </c>
      <c r="CD779" s="506" t="str">
        <f t="shared" si="1782"/>
        <v/>
      </c>
      <c r="CE779" s="371"/>
      <c r="CF779" s="232" t="str">
        <f t="shared" si="1783"/>
        <v/>
      </c>
      <c r="CG779" s="232" t="str">
        <f t="shared" si="1784"/>
        <v/>
      </c>
      <c r="CH779" s="232" t="str">
        <f t="shared" si="1785"/>
        <v/>
      </c>
      <c r="CI779" s="232" t="str">
        <f t="shared" ref="CI779:CI789" si="1798">IF((MAX(CF779,CG779,CH779))=0,"",IF((MAX(CF779,CG779,CH779))=(MAX(CB779,CC779,CD779)),1,""))</f>
        <v/>
      </c>
      <c r="CJ779" s="232"/>
      <c r="CK779" s="497"/>
      <c r="CL779" s="498"/>
      <c r="CM779" s="485" t="str">
        <f t="shared" si="1786"/>
        <v/>
      </c>
      <c r="CN779" s="371"/>
      <c r="CO779" s="232" t="str">
        <f t="shared" si="1787"/>
        <v/>
      </c>
      <c r="CP779" s="232" t="str">
        <f t="shared" si="1788"/>
        <v/>
      </c>
      <c r="CQ779" s="232" t="str">
        <f t="shared" si="1789"/>
        <v/>
      </c>
      <c r="CR779" s="232" t="str">
        <f t="shared" ref="CR779:CR789" si="1799">IF((MAX(CO779,CP779,CQ779))=0,"",IF((MAX(CO779,CP779,CQ779))=(MAX(CK779,CL779,CM779)),1,""))</f>
        <v/>
      </c>
      <c r="CS779" s="232"/>
      <c r="CT779" s="371"/>
      <c r="CU779" s="296"/>
      <c r="CV779" s="246"/>
      <c r="CW779" s="264"/>
    </row>
    <row r="780" spans="1:101" ht="13.5" thickBot="1" x14ac:dyDescent="0.25">
      <c r="A780" s="264"/>
      <c r="B780" s="264"/>
      <c r="C780" s="202"/>
      <c r="D780" s="271">
        <v>3</v>
      </c>
      <c r="E780" s="168"/>
      <c r="F780" s="470"/>
      <c r="G780" s="476" t="s">
        <v>49</v>
      </c>
      <c r="H780" s="477"/>
      <c r="I780" s="392" t="str">
        <f t="shared" si="1750"/>
        <v/>
      </c>
      <c r="J780" s="393" t="str">
        <f t="shared" si="1751"/>
        <v/>
      </c>
      <c r="K780" s="394" t="str">
        <f t="shared" si="1752"/>
        <v/>
      </c>
      <c r="L780" s="299"/>
      <c r="M780" s="375"/>
      <c r="N780" s="379"/>
      <c r="O780" s="236"/>
      <c r="P780" s="236"/>
      <c r="Q780" s="486"/>
      <c r="R780" s="487"/>
      <c r="S780" s="488" t="str">
        <f t="shared" si="1790"/>
        <v/>
      </c>
      <c r="T780" s="371"/>
      <c r="U780" s="232" t="str">
        <f t="shared" si="1753"/>
        <v/>
      </c>
      <c r="V780" s="232" t="str">
        <f t="shared" si="1754"/>
        <v/>
      </c>
      <c r="W780" s="232" t="str">
        <f t="shared" si="1755"/>
        <v/>
      </c>
      <c r="X780" s="232" t="str">
        <f t="shared" si="1791"/>
        <v/>
      </c>
      <c r="Y780" s="371"/>
      <c r="Z780" s="499"/>
      <c r="AA780" s="500"/>
      <c r="AB780" s="488" t="str">
        <f t="shared" si="1756"/>
        <v/>
      </c>
      <c r="AC780" s="371"/>
      <c r="AD780" s="232" t="str">
        <f t="shared" si="1757"/>
        <v/>
      </c>
      <c r="AE780" s="232" t="str">
        <f t="shared" si="1758"/>
        <v/>
      </c>
      <c r="AF780" s="232" t="str">
        <f t="shared" si="1759"/>
        <v/>
      </c>
      <c r="AG780" s="232" t="str">
        <f t="shared" si="1792"/>
        <v/>
      </c>
      <c r="AH780" s="371"/>
      <c r="AI780" s="499"/>
      <c r="AJ780" s="500"/>
      <c r="AK780" s="488" t="str">
        <f t="shared" si="1760"/>
        <v/>
      </c>
      <c r="AL780" s="371"/>
      <c r="AM780" s="232" t="str">
        <f t="shared" si="1761"/>
        <v/>
      </c>
      <c r="AN780" s="232" t="str">
        <f t="shared" si="1762"/>
        <v/>
      </c>
      <c r="AO780" s="232" t="str">
        <f t="shared" si="1763"/>
        <v/>
      </c>
      <c r="AP780" s="232" t="str">
        <f t="shared" si="1793"/>
        <v/>
      </c>
      <c r="AQ780" s="371"/>
      <c r="AR780" s="499"/>
      <c r="AS780" s="500"/>
      <c r="AT780" s="488" t="str">
        <f t="shared" si="1764"/>
        <v/>
      </c>
      <c r="AU780" s="371"/>
      <c r="AV780" s="232" t="str">
        <f t="shared" si="1765"/>
        <v/>
      </c>
      <c r="AW780" s="232" t="str">
        <f t="shared" si="1766"/>
        <v/>
      </c>
      <c r="AX780" s="232" t="str">
        <f t="shared" si="1767"/>
        <v/>
      </c>
      <c r="AY780" s="232" t="str">
        <f t="shared" si="1794"/>
        <v/>
      </c>
      <c r="AZ780" s="371"/>
      <c r="BA780" s="499"/>
      <c r="BB780" s="500"/>
      <c r="BC780" s="488" t="str">
        <f t="shared" si="1768"/>
        <v/>
      </c>
      <c r="BD780" s="371"/>
      <c r="BE780" s="232" t="str">
        <f t="shared" si="1769"/>
        <v/>
      </c>
      <c r="BF780" s="232" t="str">
        <f t="shared" si="1770"/>
        <v/>
      </c>
      <c r="BG780" s="232" t="str">
        <f t="shared" si="1771"/>
        <v/>
      </c>
      <c r="BH780" s="232" t="str">
        <f t="shared" si="1795"/>
        <v/>
      </c>
      <c r="BI780" s="371"/>
      <c r="BJ780" s="499"/>
      <c r="BK780" s="500"/>
      <c r="BL780" s="488" t="str">
        <f t="shared" si="1772"/>
        <v/>
      </c>
      <c r="BM780" s="371"/>
      <c r="BN780" s="232" t="str">
        <f t="shared" si="1773"/>
        <v/>
      </c>
      <c r="BO780" s="232" t="str">
        <f t="shared" si="1774"/>
        <v/>
      </c>
      <c r="BP780" s="232" t="str">
        <f t="shared" si="1775"/>
        <v/>
      </c>
      <c r="BQ780" s="232" t="str">
        <f t="shared" si="1796"/>
        <v/>
      </c>
      <c r="BR780" s="371"/>
      <c r="BS780" s="499"/>
      <c r="BT780" s="500"/>
      <c r="BU780" s="488" t="str">
        <f t="shared" si="1776"/>
        <v/>
      </c>
      <c r="BV780" s="371"/>
      <c r="BW780" s="232" t="str">
        <f t="shared" si="1777"/>
        <v/>
      </c>
      <c r="BX780" s="232" t="str">
        <f t="shared" si="1778"/>
        <v/>
      </c>
      <c r="BY780" s="232" t="str">
        <f t="shared" si="1779"/>
        <v/>
      </c>
      <c r="BZ780" s="232" t="str">
        <f t="shared" si="1797"/>
        <v/>
      </c>
      <c r="CA780" s="371"/>
      <c r="CB780" s="507" t="str">
        <f t="shared" si="1780"/>
        <v/>
      </c>
      <c r="CC780" s="508" t="str">
        <f t="shared" si="1781"/>
        <v/>
      </c>
      <c r="CD780" s="509" t="str">
        <f t="shared" si="1782"/>
        <v/>
      </c>
      <c r="CE780" s="371"/>
      <c r="CF780" s="232" t="str">
        <f t="shared" si="1783"/>
        <v/>
      </c>
      <c r="CG780" s="232" t="str">
        <f t="shared" si="1784"/>
        <v/>
      </c>
      <c r="CH780" s="232" t="str">
        <f t="shared" si="1785"/>
        <v/>
      </c>
      <c r="CI780" s="232" t="str">
        <f t="shared" si="1798"/>
        <v/>
      </c>
      <c r="CJ780" s="232"/>
      <c r="CK780" s="499"/>
      <c r="CL780" s="500"/>
      <c r="CM780" s="488" t="str">
        <f t="shared" si="1786"/>
        <v/>
      </c>
      <c r="CN780" s="371"/>
      <c r="CO780" s="232" t="str">
        <f t="shared" si="1787"/>
        <v/>
      </c>
      <c r="CP780" s="232" t="str">
        <f t="shared" si="1788"/>
        <v/>
      </c>
      <c r="CQ780" s="232" t="str">
        <f t="shared" si="1789"/>
        <v/>
      </c>
      <c r="CR780" s="232" t="str">
        <f t="shared" si="1799"/>
        <v/>
      </c>
      <c r="CS780" s="232"/>
      <c r="CT780" s="371"/>
      <c r="CU780" s="296"/>
      <c r="CV780" s="246"/>
      <c r="CW780" s="264"/>
    </row>
    <row r="781" spans="1:101" x14ac:dyDescent="0.2">
      <c r="A781" s="264"/>
      <c r="B781" s="264"/>
      <c r="C781" s="202"/>
      <c r="D781" s="271">
        <v>4</v>
      </c>
      <c r="E781" s="166"/>
      <c r="F781" s="468"/>
      <c r="G781" s="472" t="s">
        <v>49</v>
      </c>
      <c r="H781" s="473"/>
      <c r="I781" s="170" t="str">
        <f t="shared" si="1750"/>
        <v/>
      </c>
      <c r="J781" s="387" t="str">
        <f t="shared" si="1751"/>
        <v/>
      </c>
      <c r="K781" s="388" t="str">
        <f t="shared" si="1752"/>
        <v/>
      </c>
      <c r="L781" s="299"/>
      <c r="M781" s="375"/>
      <c r="N781" s="379"/>
      <c r="O781" s="236"/>
      <c r="P781" s="236"/>
      <c r="Q781" s="480"/>
      <c r="R781" s="481"/>
      <c r="S781" s="482" t="str">
        <f t="shared" si="1790"/>
        <v/>
      </c>
      <c r="T781" s="371"/>
      <c r="U781" s="232" t="str">
        <f t="shared" si="1753"/>
        <v/>
      </c>
      <c r="V781" s="232" t="str">
        <f t="shared" si="1754"/>
        <v/>
      </c>
      <c r="W781" s="232" t="str">
        <f t="shared" si="1755"/>
        <v/>
      </c>
      <c r="X781" s="232" t="str">
        <f t="shared" si="1791"/>
        <v/>
      </c>
      <c r="Y781" s="371"/>
      <c r="Z781" s="495"/>
      <c r="AA781" s="496"/>
      <c r="AB781" s="482" t="str">
        <f t="shared" si="1756"/>
        <v/>
      </c>
      <c r="AC781" s="371"/>
      <c r="AD781" s="232" t="str">
        <f t="shared" si="1757"/>
        <v/>
      </c>
      <c r="AE781" s="232" t="str">
        <f t="shared" si="1758"/>
        <v/>
      </c>
      <c r="AF781" s="232" t="str">
        <f t="shared" si="1759"/>
        <v/>
      </c>
      <c r="AG781" s="232" t="str">
        <f t="shared" si="1792"/>
        <v/>
      </c>
      <c r="AH781" s="371"/>
      <c r="AI781" s="495"/>
      <c r="AJ781" s="496"/>
      <c r="AK781" s="482" t="str">
        <f t="shared" si="1760"/>
        <v/>
      </c>
      <c r="AL781" s="371"/>
      <c r="AM781" s="232" t="str">
        <f t="shared" si="1761"/>
        <v/>
      </c>
      <c r="AN781" s="232" t="str">
        <f t="shared" si="1762"/>
        <v/>
      </c>
      <c r="AO781" s="232" t="str">
        <f t="shared" si="1763"/>
        <v/>
      </c>
      <c r="AP781" s="232" t="str">
        <f t="shared" si="1793"/>
        <v/>
      </c>
      <c r="AQ781" s="371"/>
      <c r="AR781" s="495"/>
      <c r="AS781" s="496"/>
      <c r="AT781" s="482" t="str">
        <f t="shared" si="1764"/>
        <v/>
      </c>
      <c r="AU781" s="371"/>
      <c r="AV781" s="232" t="str">
        <f t="shared" si="1765"/>
        <v/>
      </c>
      <c r="AW781" s="232" t="str">
        <f t="shared" si="1766"/>
        <v/>
      </c>
      <c r="AX781" s="232" t="str">
        <f t="shared" si="1767"/>
        <v/>
      </c>
      <c r="AY781" s="232" t="str">
        <f t="shared" si="1794"/>
        <v/>
      </c>
      <c r="AZ781" s="371"/>
      <c r="BA781" s="495"/>
      <c r="BB781" s="496"/>
      <c r="BC781" s="482" t="str">
        <f t="shared" si="1768"/>
        <v/>
      </c>
      <c r="BD781" s="371"/>
      <c r="BE781" s="232" t="str">
        <f t="shared" si="1769"/>
        <v/>
      </c>
      <c r="BF781" s="232" t="str">
        <f t="shared" si="1770"/>
        <v/>
      </c>
      <c r="BG781" s="232" t="str">
        <f t="shared" si="1771"/>
        <v/>
      </c>
      <c r="BH781" s="232" t="str">
        <f t="shared" si="1795"/>
        <v/>
      </c>
      <c r="BI781" s="371"/>
      <c r="BJ781" s="495"/>
      <c r="BK781" s="496"/>
      <c r="BL781" s="482" t="str">
        <f t="shared" si="1772"/>
        <v/>
      </c>
      <c r="BM781" s="371"/>
      <c r="BN781" s="232" t="str">
        <f t="shared" si="1773"/>
        <v/>
      </c>
      <c r="BO781" s="232" t="str">
        <f t="shared" si="1774"/>
        <v/>
      </c>
      <c r="BP781" s="232" t="str">
        <f t="shared" si="1775"/>
        <v/>
      </c>
      <c r="BQ781" s="232" t="str">
        <f t="shared" si="1796"/>
        <v/>
      </c>
      <c r="BR781" s="371"/>
      <c r="BS781" s="495"/>
      <c r="BT781" s="496"/>
      <c r="BU781" s="482" t="str">
        <f t="shared" si="1776"/>
        <v/>
      </c>
      <c r="BV781" s="371"/>
      <c r="BW781" s="232" t="str">
        <f t="shared" si="1777"/>
        <v/>
      </c>
      <c r="BX781" s="232" t="str">
        <f t="shared" si="1778"/>
        <v/>
      </c>
      <c r="BY781" s="232" t="str">
        <f t="shared" si="1779"/>
        <v/>
      </c>
      <c r="BZ781" s="232" t="str">
        <f t="shared" si="1797"/>
        <v/>
      </c>
      <c r="CA781" s="371"/>
      <c r="CB781" s="501" t="str">
        <f t="shared" si="1780"/>
        <v/>
      </c>
      <c r="CC781" s="502" t="str">
        <f t="shared" si="1781"/>
        <v/>
      </c>
      <c r="CD781" s="503" t="str">
        <f t="shared" si="1782"/>
        <v/>
      </c>
      <c r="CE781" s="371"/>
      <c r="CF781" s="232" t="str">
        <f t="shared" si="1783"/>
        <v/>
      </c>
      <c r="CG781" s="232" t="str">
        <f t="shared" si="1784"/>
        <v/>
      </c>
      <c r="CH781" s="232" t="str">
        <f t="shared" si="1785"/>
        <v/>
      </c>
      <c r="CI781" s="232" t="str">
        <f t="shared" si="1798"/>
        <v/>
      </c>
      <c r="CJ781" s="232"/>
      <c r="CK781" s="495"/>
      <c r="CL781" s="496"/>
      <c r="CM781" s="482" t="str">
        <f t="shared" si="1786"/>
        <v/>
      </c>
      <c r="CN781" s="371"/>
      <c r="CO781" s="232" t="str">
        <f t="shared" si="1787"/>
        <v/>
      </c>
      <c r="CP781" s="232" t="str">
        <f t="shared" si="1788"/>
        <v/>
      </c>
      <c r="CQ781" s="232" t="str">
        <f t="shared" si="1789"/>
        <v/>
      </c>
      <c r="CR781" s="232" t="str">
        <f t="shared" si="1799"/>
        <v/>
      </c>
      <c r="CS781" s="232"/>
      <c r="CT781" s="371"/>
      <c r="CU781" s="296"/>
      <c r="CV781" s="246"/>
      <c r="CW781" s="264"/>
    </row>
    <row r="782" spans="1:101" x14ac:dyDescent="0.2">
      <c r="A782" s="264"/>
      <c r="B782" s="264"/>
      <c r="C782" s="202"/>
      <c r="D782" s="271">
        <v>5</v>
      </c>
      <c r="E782" s="167"/>
      <c r="F782" s="469"/>
      <c r="G782" s="474" t="s">
        <v>49</v>
      </c>
      <c r="H782" s="475"/>
      <c r="I782" s="389" t="str">
        <f t="shared" si="1750"/>
        <v/>
      </c>
      <c r="J782" s="390" t="str">
        <f t="shared" si="1751"/>
        <v/>
      </c>
      <c r="K782" s="391" t="str">
        <f t="shared" si="1752"/>
        <v/>
      </c>
      <c r="L782" s="299"/>
      <c r="M782" s="375"/>
      <c r="N782" s="379"/>
      <c r="O782" s="236"/>
      <c r="P782" s="236"/>
      <c r="Q782" s="483"/>
      <c r="R782" s="484"/>
      <c r="S782" s="485" t="str">
        <f t="shared" si="1790"/>
        <v/>
      </c>
      <c r="T782" s="371"/>
      <c r="U782" s="232" t="str">
        <f t="shared" si="1753"/>
        <v/>
      </c>
      <c r="V782" s="232" t="str">
        <f t="shared" si="1754"/>
        <v/>
      </c>
      <c r="W782" s="232" t="str">
        <f t="shared" si="1755"/>
        <v/>
      </c>
      <c r="X782" s="232" t="str">
        <f t="shared" si="1791"/>
        <v/>
      </c>
      <c r="Y782" s="371"/>
      <c r="Z782" s="497"/>
      <c r="AA782" s="498"/>
      <c r="AB782" s="485" t="str">
        <f t="shared" si="1756"/>
        <v/>
      </c>
      <c r="AC782" s="371"/>
      <c r="AD782" s="232" t="str">
        <f t="shared" si="1757"/>
        <v/>
      </c>
      <c r="AE782" s="232" t="str">
        <f t="shared" si="1758"/>
        <v/>
      </c>
      <c r="AF782" s="232" t="str">
        <f t="shared" si="1759"/>
        <v/>
      </c>
      <c r="AG782" s="232" t="str">
        <f t="shared" si="1792"/>
        <v/>
      </c>
      <c r="AH782" s="371"/>
      <c r="AI782" s="497"/>
      <c r="AJ782" s="498"/>
      <c r="AK782" s="485" t="str">
        <f t="shared" si="1760"/>
        <v/>
      </c>
      <c r="AL782" s="371"/>
      <c r="AM782" s="232" t="str">
        <f t="shared" si="1761"/>
        <v/>
      </c>
      <c r="AN782" s="232" t="str">
        <f t="shared" si="1762"/>
        <v/>
      </c>
      <c r="AO782" s="232" t="str">
        <f t="shared" si="1763"/>
        <v/>
      </c>
      <c r="AP782" s="232" t="str">
        <f t="shared" si="1793"/>
        <v/>
      </c>
      <c r="AQ782" s="371"/>
      <c r="AR782" s="497"/>
      <c r="AS782" s="498"/>
      <c r="AT782" s="485" t="str">
        <f t="shared" si="1764"/>
        <v/>
      </c>
      <c r="AU782" s="371"/>
      <c r="AV782" s="232" t="str">
        <f t="shared" si="1765"/>
        <v/>
      </c>
      <c r="AW782" s="232" t="str">
        <f t="shared" si="1766"/>
        <v/>
      </c>
      <c r="AX782" s="232" t="str">
        <f t="shared" si="1767"/>
        <v/>
      </c>
      <c r="AY782" s="232" t="str">
        <f t="shared" si="1794"/>
        <v/>
      </c>
      <c r="AZ782" s="371"/>
      <c r="BA782" s="497"/>
      <c r="BB782" s="498"/>
      <c r="BC782" s="485" t="str">
        <f t="shared" si="1768"/>
        <v/>
      </c>
      <c r="BD782" s="371"/>
      <c r="BE782" s="232" t="str">
        <f t="shared" si="1769"/>
        <v/>
      </c>
      <c r="BF782" s="232" t="str">
        <f t="shared" si="1770"/>
        <v/>
      </c>
      <c r="BG782" s="232" t="str">
        <f t="shared" si="1771"/>
        <v/>
      </c>
      <c r="BH782" s="232" t="str">
        <f t="shared" si="1795"/>
        <v/>
      </c>
      <c r="BI782" s="371"/>
      <c r="BJ782" s="497"/>
      <c r="BK782" s="498"/>
      <c r="BL782" s="485" t="str">
        <f t="shared" si="1772"/>
        <v/>
      </c>
      <c r="BM782" s="371"/>
      <c r="BN782" s="232" t="str">
        <f t="shared" si="1773"/>
        <v/>
      </c>
      <c r="BO782" s="232" t="str">
        <f t="shared" si="1774"/>
        <v/>
      </c>
      <c r="BP782" s="232" t="str">
        <f t="shared" si="1775"/>
        <v/>
      </c>
      <c r="BQ782" s="232" t="str">
        <f t="shared" si="1796"/>
        <v/>
      </c>
      <c r="BR782" s="371"/>
      <c r="BS782" s="497"/>
      <c r="BT782" s="498"/>
      <c r="BU782" s="485" t="str">
        <f t="shared" si="1776"/>
        <v/>
      </c>
      <c r="BV782" s="371"/>
      <c r="BW782" s="232" t="str">
        <f t="shared" si="1777"/>
        <v/>
      </c>
      <c r="BX782" s="232" t="str">
        <f t="shared" si="1778"/>
        <v/>
      </c>
      <c r="BY782" s="232" t="str">
        <f t="shared" si="1779"/>
        <v/>
      </c>
      <c r="BZ782" s="232" t="str">
        <f t="shared" si="1797"/>
        <v/>
      </c>
      <c r="CA782" s="371"/>
      <c r="CB782" s="504" t="str">
        <f t="shared" si="1780"/>
        <v/>
      </c>
      <c r="CC782" s="505" t="str">
        <f t="shared" si="1781"/>
        <v/>
      </c>
      <c r="CD782" s="506" t="str">
        <f t="shared" si="1782"/>
        <v/>
      </c>
      <c r="CE782" s="371"/>
      <c r="CF782" s="232" t="str">
        <f t="shared" si="1783"/>
        <v/>
      </c>
      <c r="CG782" s="232" t="str">
        <f t="shared" si="1784"/>
        <v/>
      </c>
      <c r="CH782" s="232" t="str">
        <f t="shared" si="1785"/>
        <v/>
      </c>
      <c r="CI782" s="232" t="str">
        <f t="shared" si="1798"/>
        <v/>
      </c>
      <c r="CJ782" s="232"/>
      <c r="CK782" s="497"/>
      <c r="CL782" s="498"/>
      <c r="CM782" s="485" t="str">
        <f t="shared" si="1786"/>
        <v/>
      </c>
      <c r="CN782" s="371"/>
      <c r="CO782" s="232" t="str">
        <f t="shared" si="1787"/>
        <v/>
      </c>
      <c r="CP782" s="232" t="str">
        <f t="shared" si="1788"/>
        <v/>
      </c>
      <c r="CQ782" s="232" t="str">
        <f t="shared" si="1789"/>
        <v/>
      </c>
      <c r="CR782" s="232" t="str">
        <f t="shared" si="1799"/>
        <v/>
      </c>
      <c r="CS782" s="232"/>
      <c r="CT782" s="371"/>
      <c r="CU782" s="296"/>
      <c r="CV782" s="246"/>
      <c r="CW782" s="264"/>
    </row>
    <row r="783" spans="1:101" ht="13.5" thickBot="1" x14ac:dyDescent="0.25">
      <c r="A783" s="264"/>
      <c r="B783" s="264"/>
      <c r="C783" s="202"/>
      <c r="D783" s="271">
        <v>6</v>
      </c>
      <c r="E783" s="168"/>
      <c r="F783" s="470"/>
      <c r="G783" s="476" t="s">
        <v>49</v>
      </c>
      <c r="H783" s="477"/>
      <c r="I783" s="392" t="str">
        <f t="shared" si="1750"/>
        <v/>
      </c>
      <c r="J783" s="393" t="str">
        <f t="shared" si="1751"/>
        <v/>
      </c>
      <c r="K783" s="394" t="str">
        <f t="shared" si="1752"/>
        <v/>
      </c>
      <c r="L783" s="299"/>
      <c r="M783" s="375"/>
      <c r="N783" s="379"/>
      <c r="O783" s="236"/>
      <c r="P783" s="236"/>
      <c r="Q783" s="489"/>
      <c r="R783" s="490"/>
      <c r="S783" s="491" t="str">
        <f t="shared" si="1790"/>
        <v/>
      </c>
      <c r="T783" s="371"/>
      <c r="U783" s="232" t="str">
        <f t="shared" si="1753"/>
        <v/>
      </c>
      <c r="V783" s="232" t="str">
        <f t="shared" si="1754"/>
        <v/>
      </c>
      <c r="W783" s="232" t="str">
        <f t="shared" si="1755"/>
        <v/>
      </c>
      <c r="X783" s="232" t="str">
        <f t="shared" si="1791"/>
        <v/>
      </c>
      <c r="Y783" s="371"/>
      <c r="Z783" s="499"/>
      <c r="AA783" s="500"/>
      <c r="AB783" s="491" t="str">
        <f t="shared" si="1756"/>
        <v/>
      </c>
      <c r="AC783" s="371"/>
      <c r="AD783" s="232" t="str">
        <f t="shared" si="1757"/>
        <v/>
      </c>
      <c r="AE783" s="232" t="str">
        <f t="shared" si="1758"/>
        <v/>
      </c>
      <c r="AF783" s="232" t="str">
        <f t="shared" si="1759"/>
        <v/>
      </c>
      <c r="AG783" s="232" t="str">
        <f t="shared" si="1792"/>
        <v/>
      </c>
      <c r="AH783" s="371"/>
      <c r="AI783" s="499"/>
      <c r="AJ783" s="500"/>
      <c r="AK783" s="491" t="str">
        <f t="shared" si="1760"/>
        <v/>
      </c>
      <c r="AL783" s="371"/>
      <c r="AM783" s="232" t="str">
        <f t="shared" si="1761"/>
        <v/>
      </c>
      <c r="AN783" s="232" t="str">
        <f t="shared" si="1762"/>
        <v/>
      </c>
      <c r="AO783" s="232" t="str">
        <f t="shared" si="1763"/>
        <v/>
      </c>
      <c r="AP783" s="232" t="str">
        <f t="shared" si="1793"/>
        <v/>
      </c>
      <c r="AQ783" s="371"/>
      <c r="AR783" s="499"/>
      <c r="AS783" s="500"/>
      <c r="AT783" s="491" t="str">
        <f t="shared" si="1764"/>
        <v/>
      </c>
      <c r="AU783" s="371"/>
      <c r="AV783" s="232" t="str">
        <f t="shared" si="1765"/>
        <v/>
      </c>
      <c r="AW783" s="232" t="str">
        <f t="shared" si="1766"/>
        <v/>
      </c>
      <c r="AX783" s="232" t="str">
        <f t="shared" si="1767"/>
        <v/>
      </c>
      <c r="AY783" s="232" t="str">
        <f t="shared" si="1794"/>
        <v/>
      </c>
      <c r="AZ783" s="371"/>
      <c r="BA783" s="499"/>
      <c r="BB783" s="500"/>
      <c r="BC783" s="491" t="str">
        <f t="shared" si="1768"/>
        <v/>
      </c>
      <c r="BD783" s="371"/>
      <c r="BE783" s="232" t="str">
        <f t="shared" si="1769"/>
        <v/>
      </c>
      <c r="BF783" s="232" t="str">
        <f t="shared" si="1770"/>
        <v/>
      </c>
      <c r="BG783" s="232" t="str">
        <f t="shared" si="1771"/>
        <v/>
      </c>
      <c r="BH783" s="232" t="str">
        <f t="shared" si="1795"/>
        <v/>
      </c>
      <c r="BI783" s="371"/>
      <c r="BJ783" s="499"/>
      <c r="BK783" s="500"/>
      <c r="BL783" s="491" t="str">
        <f t="shared" si="1772"/>
        <v/>
      </c>
      <c r="BM783" s="371"/>
      <c r="BN783" s="232" t="str">
        <f t="shared" si="1773"/>
        <v/>
      </c>
      <c r="BO783" s="232" t="str">
        <f t="shared" si="1774"/>
        <v/>
      </c>
      <c r="BP783" s="232" t="str">
        <f t="shared" si="1775"/>
        <v/>
      </c>
      <c r="BQ783" s="232" t="str">
        <f t="shared" si="1796"/>
        <v/>
      </c>
      <c r="BR783" s="371"/>
      <c r="BS783" s="499"/>
      <c r="BT783" s="500"/>
      <c r="BU783" s="491" t="str">
        <f t="shared" si="1776"/>
        <v/>
      </c>
      <c r="BV783" s="371"/>
      <c r="BW783" s="232" t="str">
        <f t="shared" si="1777"/>
        <v/>
      </c>
      <c r="BX783" s="232" t="str">
        <f t="shared" si="1778"/>
        <v/>
      </c>
      <c r="BY783" s="232" t="str">
        <f t="shared" si="1779"/>
        <v/>
      </c>
      <c r="BZ783" s="232" t="str">
        <f t="shared" si="1797"/>
        <v/>
      </c>
      <c r="CA783" s="371"/>
      <c r="CB783" s="507" t="str">
        <f t="shared" si="1780"/>
        <v/>
      </c>
      <c r="CC783" s="508" t="str">
        <f t="shared" si="1781"/>
        <v/>
      </c>
      <c r="CD783" s="509" t="str">
        <f t="shared" si="1782"/>
        <v/>
      </c>
      <c r="CE783" s="371"/>
      <c r="CF783" s="232" t="str">
        <f t="shared" si="1783"/>
        <v/>
      </c>
      <c r="CG783" s="232" t="str">
        <f t="shared" si="1784"/>
        <v/>
      </c>
      <c r="CH783" s="232" t="str">
        <f t="shared" si="1785"/>
        <v/>
      </c>
      <c r="CI783" s="232" t="str">
        <f t="shared" si="1798"/>
        <v/>
      </c>
      <c r="CJ783" s="232"/>
      <c r="CK783" s="499"/>
      <c r="CL783" s="500"/>
      <c r="CM783" s="491" t="str">
        <f t="shared" si="1786"/>
        <v/>
      </c>
      <c r="CN783" s="371"/>
      <c r="CO783" s="232" t="str">
        <f t="shared" si="1787"/>
        <v/>
      </c>
      <c r="CP783" s="232" t="str">
        <f t="shared" si="1788"/>
        <v/>
      </c>
      <c r="CQ783" s="232" t="str">
        <f t="shared" si="1789"/>
        <v/>
      </c>
      <c r="CR783" s="232" t="str">
        <f t="shared" si="1799"/>
        <v/>
      </c>
      <c r="CS783" s="232"/>
      <c r="CT783" s="371"/>
      <c r="CU783" s="296"/>
      <c r="CV783" s="246"/>
      <c r="CW783" s="264"/>
    </row>
    <row r="784" spans="1:101" x14ac:dyDescent="0.2">
      <c r="A784" s="264"/>
      <c r="B784" s="264"/>
      <c r="C784" s="202"/>
      <c r="D784" s="271">
        <v>7</v>
      </c>
      <c r="E784" s="166"/>
      <c r="F784" s="468"/>
      <c r="G784" s="472" t="s">
        <v>49</v>
      </c>
      <c r="H784" s="473"/>
      <c r="I784" s="170" t="str">
        <f t="shared" si="1750"/>
        <v/>
      </c>
      <c r="J784" s="387" t="str">
        <f t="shared" si="1751"/>
        <v/>
      </c>
      <c r="K784" s="388" t="str">
        <f t="shared" si="1752"/>
        <v/>
      </c>
      <c r="L784" s="299"/>
      <c r="M784" s="375"/>
      <c r="N784" s="379"/>
      <c r="O784" s="236"/>
      <c r="P784" s="236"/>
      <c r="Q784" s="480"/>
      <c r="R784" s="481"/>
      <c r="S784" s="482" t="str">
        <f t="shared" si="1790"/>
        <v/>
      </c>
      <c r="T784" s="371"/>
      <c r="U784" s="232" t="str">
        <f t="shared" si="1753"/>
        <v/>
      </c>
      <c r="V784" s="232" t="str">
        <f t="shared" si="1754"/>
        <v/>
      </c>
      <c r="W784" s="232" t="str">
        <f t="shared" si="1755"/>
        <v/>
      </c>
      <c r="X784" s="232" t="str">
        <f t="shared" si="1791"/>
        <v/>
      </c>
      <c r="Y784" s="371"/>
      <c r="Z784" s="495"/>
      <c r="AA784" s="496"/>
      <c r="AB784" s="482" t="str">
        <f t="shared" si="1756"/>
        <v/>
      </c>
      <c r="AC784" s="371"/>
      <c r="AD784" s="232" t="str">
        <f t="shared" si="1757"/>
        <v/>
      </c>
      <c r="AE784" s="232" t="str">
        <f t="shared" si="1758"/>
        <v/>
      </c>
      <c r="AF784" s="232" t="str">
        <f t="shared" si="1759"/>
        <v/>
      </c>
      <c r="AG784" s="232" t="str">
        <f t="shared" si="1792"/>
        <v/>
      </c>
      <c r="AH784" s="371"/>
      <c r="AI784" s="495"/>
      <c r="AJ784" s="496"/>
      <c r="AK784" s="482" t="str">
        <f t="shared" si="1760"/>
        <v/>
      </c>
      <c r="AL784" s="371"/>
      <c r="AM784" s="232" t="str">
        <f t="shared" si="1761"/>
        <v/>
      </c>
      <c r="AN784" s="232" t="str">
        <f t="shared" si="1762"/>
        <v/>
      </c>
      <c r="AO784" s="232" t="str">
        <f t="shared" si="1763"/>
        <v/>
      </c>
      <c r="AP784" s="232" t="str">
        <f t="shared" si="1793"/>
        <v/>
      </c>
      <c r="AQ784" s="371"/>
      <c r="AR784" s="495"/>
      <c r="AS784" s="496"/>
      <c r="AT784" s="482" t="str">
        <f t="shared" si="1764"/>
        <v/>
      </c>
      <c r="AU784" s="371"/>
      <c r="AV784" s="232" t="str">
        <f t="shared" si="1765"/>
        <v/>
      </c>
      <c r="AW784" s="232" t="str">
        <f t="shared" si="1766"/>
        <v/>
      </c>
      <c r="AX784" s="232" t="str">
        <f t="shared" si="1767"/>
        <v/>
      </c>
      <c r="AY784" s="232" t="str">
        <f t="shared" si="1794"/>
        <v/>
      </c>
      <c r="AZ784" s="371"/>
      <c r="BA784" s="495"/>
      <c r="BB784" s="496"/>
      <c r="BC784" s="482" t="str">
        <f t="shared" si="1768"/>
        <v/>
      </c>
      <c r="BD784" s="371"/>
      <c r="BE784" s="232" t="str">
        <f t="shared" si="1769"/>
        <v/>
      </c>
      <c r="BF784" s="232" t="str">
        <f t="shared" si="1770"/>
        <v/>
      </c>
      <c r="BG784" s="232" t="str">
        <f t="shared" si="1771"/>
        <v/>
      </c>
      <c r="BH784" s="232" t="str">
        <f t="shared" si="1795"/>
        <v/>
      </c>
      <c r="BI784" s="371"/>
      <c r="BJ784" s="495"/>
      <c r="BK784" s="496"/>
      <c r="BL784" s="482" t="str">
        <f t="shared" si="1772"/>
        <v/>
      </c>
      <c r="BM784" s="371"/>
      <c r="BN784" s="232" t="str">
        <f t="shared" si="1773"/>
        <v/>
      </c>
      <c r="BO784" s="232" t="str">
        <f t="shared" si="1774"/>
        <v/>
      </c>
      <c r="BP784" s="232" t="str">
        <f t="shared" si="1775"/>
        <v/>
      </c>
      <c r="BQ784" s="232" t="str">
        <f t="shared" si="1796"/>
        <v/>
      </c>
      <c r="BR784" s="371"/>
      <c r="BS784" s="495"/>
      <c r="BT784" s="496"/>
      <c r="BU784" s="482" t="str">
        <f t="shared" si="1776"/>
        <v/>
      </c>
      <c r="BV784" s="371"/>
      <c r="BW784" s="232" t="str">
        <f t="shared" si="1777"/>
        <v/>
      </c>
      <c r="BX784" s="232" t="str">
        <f t="shared" si="1778"/>
        <v/>
      </c>
      <c r="BY784" s="232" t="str">
        <f t="shared" si="1779"/>
        <v/>
      </c>
      <c r="BZ784" s="232" t="str">
        <f t="shared" si="1797"/>
        <v/>
      </c>
      <c r="CA784" s="371"/>
      <c r="CB784" s="501" t="str">
        <f t="shared" si="1780"/>
        <v/>
      </c>
      <c r="CC784" s="502" t="str">
        <f t="shared" si="1781"/>
        <v/>
      </c>
      <c r="CD784" s="503" t="str">
        <f t="shared" si="1782"/>
        <v/>
      </c>
      <c r="CE784" s="371"/>
      <c r="CF784" s="232" t="str">
        <f t="shared" si="1783"/>
        <v/>
      </c>
      <c r="CG784" s="232" t="str">
        <f t="shared" si="1784"/>
        <v/>
      </c>
      <c r="CH784" s="232" t="str">
        <f t="shared" si="1785"/>
        <v/>
      </c>
      <c r="CI784" s="232" t="str">
        <f t="shared" si="1798"/>
        <v/>
      </c>
      <c r="CJ784" s="232"/>
      <c r="CK784" s="495"/>
      <c r="CL784" s="496"/>
      <c r="CM784" s="482" t="str">
        <f t="shared" si="1786"/>
        <v/>
      </c>
      <c r="CN784" s="371"/>
      <c r="CO784" s="232" t="str">
        <f t="shared" si="1787"/>
        <v/>
      </c>
      <c r="CP784" s="232" t="str">
        <f t="shared" si="1788"/>
        <v/>
      </c>
      <c r="CQ784" s="232" t="str">
        <f t="shared" si="1789"/>
        <v/>
      </c>
      <c r="CR784" s="232" t="str">
        <f t="shared" si="1799"/>
        <v/>
      </c>
      <c r="CS784" s="232"/>
      <c r="CT784" s="371"/>
      <c r="CU784" s="300"/>
      <c r="CV784" s="246"/>
      <c r="CW784" s="264"/>
    </row>
    <row r="785" spans="1:101" x14ac:dyDescent="0.2">
      <c r="A785" s="264"/>
      <c r="B785" s="264"/>
      <c r="C785" s="202"/>
      <c r="D785" s="271">
        <v>8</v>
      </c>
      <c r="E785" s="167"/>
      <c r="F785" s="469"/>
      <c r="G785" s="474" t="s">
        <v>49</v>
      </c>
      <c r="H785" s="475"/>
      <c r="I785" s="389" t="str">
        <f t="shared" si="1750"/>
        <v/>
      </c>
      <c r="J785" s="390" t="str">
        <f t="shared" si="1751"/>
        <v/>
      </c>
      <c r="K785" s="391" t="str">
        <f t="shared" si="1752"/>
        <v/>
      </c>
      <c r="L785" s="299"/>
      <c r="M785" s="375"/>
      <c r="N785" s="379"/>
      <c r="O785" s="236"/>
      <c r="P785" s="236"/>
      <c r="Q785" s="483"/>
      <c r="R785" s="484"/>
      <c r="S785" s="485" t="str">
        <f t="shared" si="1790"/>
        <v/>
      </c>
      <c r="T785" s="371"/>
      <c r="U785" s="232" t="str">
        <f t="shared" si="1753"/>
        <v/>
      </c>
      <c r="V785" s="232" t="str">
        <f t="shared" si="1754"/>
        <v/>
      </c>
      <c r="W785" s="232" t="str">
        <f t="shared" si="1755"/>
        <v/>
      </c>
      <c r="X785" s="232" t="str">
        <f t="shared" si="1791"/>
        <v/>
      </c>
      <c r="Y785" s="371"/>
      <c r="Z785" s="497"/>
      <c r="AA785" s="498"/>
      <c r="AB785" s="485" t="str">
        <f t="shared" si="1756"/>
        <v/>
      </c>
      <c r="AC785" s="371"/>
      <c r="AD785" s="232" t="str">
        <f t="shared" si="1757"/>
        <v/>
      </c>
      <c r="AE785" s="232" t="str">
        <f t="shared" si="1758"/>
        <v/>
      </c>
      <c r="AF785" s="232" t="str">
        <f t="shared" si="1759"/>
        <v/>
      </c>
      <c r="AG785" s="232" t="str">
        <f t="shared" si="1792"/>
        <v/>
      </c>
      <c r="AH785" s="371"/>
      <c r="AI785" s="497"/>
      <c r="AJ785" s="498"/>
      <c r="AK785" s="485" t="str">
        <f t="shared" si="1760"/>
        <v/>
      </c>
      <c r="AL785" s="371"/>
      <c r="AM785" s="232" t="str">
        <f t="shared" si="1761"/>
        <v/>
      </c>
      <c r="AN785" s="232" t="str">
        <f t="shared" si="1762"/>
        <v/>
      </c>
      <c r="AO785" s="232" t="str">
        <f t="shared" si="1763"/>
        <v/>
      </c>
      <c r="AP785" s="232" t="str">
        <f t="shared" si="1793"/>
        <v/>
      </c>
      <c r="AQ785" s="371"/>
      <c r="AR785" s="497"/>
      <c r="AS785" s="498"/>
      <c r="AT785" s="485" t="str">
        <f t="shared" si="1764"/>
        <v/>
      </c>
      <c r="AU785" s="371"/>
      <c r="AV785" s="232" t="str">
        <f t="shared" si="1765"/>
        <v/>
      </c>
      <c r="AW785" s="232" t="str">
        <f t="shared" si="1766"/>
        <v/>
      </c>
      <c r="AX785" s="232" t="str">
        <f t="shared" si="1767"/>
        <v/>
      </c>
      <c r="AY785" s="232" t="str">
        <f t="shared" si="1794"/>
        <v/>
      </c>
      <c r="AZ785" s="371"/>
      <c r="BA785" s="497"/>
      <c r="BB785" s="498"/>
      <c r="BC785" s="485" t="str">
        <f t="shared" si="1768"/>
        <v/>
      </c>
      <c r="BD785" s="371"/>
      <c r="BE785" s="232" t="str">
        <f t="shared" si="1769"/>
        <v/>
      </c>
      <c r="BF785" s="232" t="str">
        <f t="shared" si="1770"/>
        <v/>
      </c>
      <c r="BG785" s="232" t="str">
        <f t="shared" si="1771"/>
        <v/>
      </c>
      <c r="BH785" s="232" t="str">
        <f t="shared" si="1795"/>
        <v/>
      </c>
      <c r="BI785" s="371"/>
      <c r="BJ785" s="497"/>
      <c r="BK785" s="498"/>
      <c r="BL785" s="485" t="str">
        <f t="shared" si="1772"/>
        <v/>
      </c>
      <c r="BM785" s="371"/>
      <c r="BN785" s="232" t="str">
        <f t="shared" si="1773"/>
        <v/>
      </c>
      <c r="BO785" s="232" t="str">
        <f t="shared" si="1774"/>
        <v/>
      </c>
      <c r="BP785" s="232" t="str">
        <f t="shared" si="1775"/>
        <v/>
      </c>
      <c r="BQ785" s="232" t="str">
        <f t="shared" si="1796"/>
        <v/>
      </c>
      <c r="BR785" s="371"/>
      <c r="BS785" s="497"/>
      <c r="BT785" s="498"/>
      <c r="BU785" s="485" t="str">
        <f t="shared" si="1776"/>
        <v/>
      </c>
      <c r="BV785" s="371"/>
      <c r="BW785" s="232" t="str">
        <f t="shared" si="1777"/>
        <v/>
      </c>
      <c r="BX785" s="232" t="str">
        <f t="shared" si="1778"/>
        <v/>
      </c>
      <c r="BY785" s="232" t="str">
        <f t="shared" si="1779"/>
        <v/>
      </c>
      <c r="BZ785" s="232" t="str">
        <f t="shared" si="1797"/>
        <v/>
      </c>
      <c r="CA785" s="371"/>
      <c r="CB785" s="504" t="str">
        <f t="shared" si="1780"/>
        <v/>
      </c>
      <c r="CC785" s="505" t="str">
        <f t="shared" si="1781"/>
        <v/>
      </c>
      <c r="CD785" s="506" t="str">
        <f t="shared" si="1782"/>
        <v/>
      </c>
      <c r="CE785" s="371"/>
      <c r="CF785" s="232" t="str">
        <f t="shared" si="1783"/>
        <v/>
      </c>
      <c r="CG785" s="232" t="str">
        <f t="shared" si="1784"/>
        <v/>
      </c>
      <c r="CH785" s="232" t="str">
        <f t="shared" si="1785"/>
        <v/>
      </c>
      <c r="CI785" s="232" t="str">
        <f t="shared" si="1798"/>
        <v/>
      </c>
      <c r="CJ785" s="232"/>
      <c r="CK785" s="497"/>
      <c r="CL785" s="498"/>
      <c r="CM785" s="485" t="str">
        <f t="shared" si="1786"/>
        <v/>
      </c>
      <c r="CN785" s="371"/>
      <c r="CO785" s="232" t="str">
        <f t="shared" si="1787"/>
        <v/>
      </c>
      <c r="CP785" s="232" t="str">
        <f t="shared" si="1788"/>
        <v/>
      </c>
      <c r="CQ785" s="232" t="str">
        <f t="shared" si="1789"/>
        <v/>
      </c>
      <c r="CR785" s="232" t="str">
        <f t="shared" si="1799"/>
        <v/>
      </c>
      <c r="CS785" s="232"/>
      <c r="CT785" s="371"/>
      <c r="CU785" s="300"/>
      <c r="CV785" s="246"/>
      <c r="CW785" s="264"/>
    </row>
    <row r="786" spans="1:101" ht="13.5" thickBot="1" x14ac:dyDescent="0.25">
      <c r="A786" s="264"/>
      <c r="B786" s="264"/>
      <c r="C786" s="202"/>
      <c r="D786" s="271">
        <v>9</v>
      </c>
      <c r="E786" s="168"/>
      <c r="F786" s="470"/>
      <c r="G786" s="476" t="s">
        <v>49</v>
      </c>
      <c r="H786" s="477"/>
      <c r="I786" s="392" t="str">
        <f t="shared" si="1750"/>
        <v/>
      </c>
      <c r="J786" s="393" t="str">
        <f t="shared" si="1751"/>
        <v/>
      </c>
      <c r="K786" s="394" t="str">
        <f t="shared" si="1752"/>
        <v/>
      </c>
      <c r="L786" s="299"/>
      <c r="M786" s="375"/>
      <c r="N786" s="379"/>
      <c r="O786" s="236"/>
      <c r="P786" s="236"/>
      <c r="Q786" s="489"/>
      <c r="R786" s="490"/>
      <c r="S786" s="491" t="str">
        <f t="shared" si="1790"/>
        <v/>
      </c>
      <c r="T786" s="371"/>
      <c r="U786" s="232" t="str">
        <f t="shared" si="1753"/>
        <v/>
      </c>
      <c r="V786" s="232" t="str">
        <f t="shared" si="1754"/>
        <v/>
      </c>
      <c r="W786" s="232" t="str">
        <f t="shared" si="1755"/>
        <v/>
      </c>
      <c r="X786" s="232" t="str">
        <f t="shared" si="1791"/>
        <v/>
      </c>
      <c r="Y786" s="371"/>
      <c r="Z786" s="499"/>
      <c r="AA786" s="500"/>
      <c r="AB786" s="491" t="str">
        <f t="shared" si="1756"/>
        <v/>
      </c>
      <c r="AC786" s="371"/>
      <c r="AD786" s="232" t="str">
        <f t="shared" si="1757"/>
        <v/>
      </c>
      <c r="AE786" s="232" t="str">
        <f t="shared" si="1758"/>
        <v/>
      </c>
      <c r="AF786" s="232" t="str">
        <f t="shared" si="1759"/>
        <v/>
      </c>
      <c r="AG786" s="232" t="str">
        <f t="shared" si="1792"/>
        <v/>
      </c>
      <c r="AH786" s="371"/>
      <c r="AI786" s="499"/>
      <c r="AJ786" s="500"/>
      <c r="AK786" s="491" t="str">
        <f t="shared" si="1760"/>
        <v/>
      </c>
      <c r="AL786" s="371"/>
      <c r="AM786" s="232" t="str">
        <f t="shared" si="1761"/>
        <v/>
      </c>
      <c r="AN786" s="232" t="str">
        <f t="shared" si="1762"/>
        <v/>
      </c>
      <c r="AO786" s="232" t="str">
        <f t="shared" si="1763"/>
        <v/>
      </c>
      <c r="AP786" s="232" t="str">
        <f t="shared" si="1793"/>
        <v/>
      </c>
      <c r="AQ786" s="371"/>
      <c r="AR786" s="499"/>
      <c r="AS786" s="500"/>
      <c r="AT786" s="491" t="str">
        <f t="shared" si="1764"/>
        <v/>
      </c>
      <c r="AU786" s="371"/>
      <c r="AV786" s="232" t="str">
        <f t="shared" si="1765"/>
        <v/>
      </c>
      <c r="AW786" s="232" t="str">
        <f t="shared" si="1766"/>
        <v/>
      </c>
      <c r="AX786" s="232" t="str">
        <f t="shared" si="1767"/>
        <v/>
      </c>
      <c r="AY786" s="232" t="str">
        <f t="shared" si="1794"/>
        <v/>
      </c>
      <c r="AZ786" s="371"/>
      <c r="BA786" s="499"/>
      <c r="BB786" s="500"/>
      <c r="BC786" s="491" t="str">
        <f t="shared" si="1768"/>
        <v/>
      </c>
      <c r="BD786" s="371"/>
      <c r="BE786" s="232" t="str">
        <f t="shared" si="1769"/>
        <v/>
      </c>
      <c r="BF786" s="232" t="str">
        <f t="shared" si="1770"/>
        <v/>
      </c>
      <c r="BG786" s="232" t="str">
        <f t="shared" si="1771"/>
        <v/>
      </c>
      <c r="BH786" s="232" t="str">
        <f t="shared" si="1795"/>
        <v/>
      </c>
      <c r="BI786" s="371"/>
      <c r="BJ786" s="499"/>
      <c r="BK786" s="500"/>
      <c r="BL786" s="491" t="str">
        <f t="shared" si="1772"/>
        <v/>
      </c>
      <c r="BM786" s="371"/>
      <c r="BN786" s="232" t="str">
        <f t="shared" si="1773"/>
        <v/>
      </c>
      <c r="BO786" s="232" t="str">
        <f t="shared" si="1774"/>
        <v/>
      </c>
      <c r="BP786" s="232" t="str">
        <f t="shared" si="1775"/>
        <v/>
      </c>
      <c r="BQ786" s="232" t="str">
        <f t="shared" si="1796"/>
        <v/>
      </c>
      <c r="BR786" s="371"/>
      <c r="BS786" s="499"/>
      <c r="BT786" s="500"/>
      <c r="BU786" s="491" t="str">
        <f t="shared" si="1776"/>
        <v/>
      </c>
      <c r="BV786" s="371"/>
      <c r="BW786" s="232" t="str">
        <f t="shared" si="1777"/>
        <v/>
      </c>
      <c r="BX786" s="232" t="str">
        <f t="shared" si="1778"/>
        <v/>
      </c>
      <c r="BY786" s="232" t="str">
        <f t="shared" si="1779"/>
        <v/>
      </c>
      <c r="BZ786" s="232" t="str">
        <f t="shared" si="1797"/>
        <v/>
      </c>
      <c r="CA786" s="371"/>
      <c r="CB786" s="507" t="str">
        <f t="shared" si="1780"/>
        <v/>
      </c>
      <c r="CC786" s="508" t="str">
        <f t="shared" si="1781"/>
        <v/>
      </c>
      <c r="CD786" s="509" t="str">
        <f t="shared" si="1782"/>
        <v/>
      </c>
      <c r="CE786" s="371"/>
      <c r="CF786" s="232" t="str">
        <f t="shared" si="1783"/>
        <v/>
      </c>
      <c r="CG786" s="232" t="str">
        <f t="shared" si="1784"/>
        <v/>
      </c>
      <c r="CH786" s="232" t="str">
        <f t="shared" si="1785"/>
        <v/>
      </c>
      <c r="CI786" s="232" t="str">
        <f t="shared" si="1798"/>
        <v/>
      </c>
      <c r="CJ786" s="232"/>
      <c r="CK786" s="499"/>
      <c r="CL786" s="500"/>
      <c r="CM786" s="491" t="str">
        <f t="shared" si="1786"/>
        <v/>
      </c>
      <c r="CN786" s="371"/>
      <c r="CO786" s="232" t="str">
        <f t="shared" si="1787"/>
        <v/>
      </c>
      <c r="CP786" s="232" t="str">
        <f t="shared" si="1788"/>
        <v/>
      </c>
      <c r="CQ786" s="232" t="str">
        <f t="shared" si="1789"/>
        <v/>
      </c>
      <c r="CR786" s="232" t="str">
        <f t="shared" si="1799"/>
        <v/>
      </c>
      <c r="CS786" s="232"/>
      <c r="CT786" s="371"/>
      <c r="CU786" s="300"/>
      <c r="CV786" s="246"/>
      <c r="CW786" s="264"/>
    </row>
    <row r="787" spans="1:101" x14ac:dyDescent="0.2">
      <c r="A787" s="264"/>
      <c r="B787" s="264"/>
      <c r="C787" s="202"/>
      <c r="D787" s="271">
        <v>10</v>
      </c>
      <c r="E787" s="169"/>
      <c r="F787" s="471"/>
      <c r="G787" s="478" t="s">
        <v>49</v>
      </c>
      <c r="H787" s="479"/>
      <c r="I787" s="170" t="str">
        <f t="shared" si="1750"/>
        <v/>
      </c>
      <c r="J787" s="387" t="str">
        <f t="shared" si="1751"/>
        <v/>
      </c>
      <c r="K787" s="388" t="str">
        <f t="shared" si="1752"/>
        <v/>
      </c>
      <c r="L787" s="299"/>
      <c r="M787" s="375"/>
      <c r="N787" s="379"/>
      <c r="O787" s="236"/>
      <c r="P787" s="236"/>
      <c r="Q787" s="492"/>
      <c r="R787" s="493"/>
      <c r="S787" s="494" t="str">
        <f t="shared" si="1790"/>
        <v/>
      </c>
      <c r="T787" s="371"/>
      <c r="U787" s="232" t="str">
        <f t="shared" si="1753"/>
        <v/>
      </c>
      <c r="V787" s="232" t="str">
        <f t="shared" si="1754"/>
        <v/>
      </c>
      <c r="W787" s="232" t="str">
        <f t="shared" si="1755"/>
        <v/>
      </c>
      <c r="X787" s="232" t="str">
        <f t="shared" si="1791"/>
        <v/>
      </c>
      <c r="Y787" s="371"/>
      <c r="Z787" s="495"/>
      <c r="AA787" s="496"/>
      <c r="AB787" s="494" t="str">
        <f t="shared" si="1756"/>
        <v/>
      </c>
      <c r="AC787" s="371"/>
      <c r="AD787" s="232" t="str">
        <f t="shared" si="1757"/>
        <v/>
      </c>
      <c r="AE787" s="232" t="str">
        <f t="shared" si="1758"/>
        <v/>
      </c>
      <c r="AF787" s="232" t="str">
        <f t="shared" si="1759"/>
        <v/>
      </c>
      <c r="AG787" s="232" t="str">
        <f t="shared" si="1792"/>
        <v/>
      </c>
      <c r="AH787" s="371"/>
      <c r="AI787" s="495"/>
      <c r="AJ787" s="496"/>
      <c r="AK787" s="494" t="str">
        <f t="shared" si="1760"/>
        <v/>
      </c>
      <c r="AL787" s="371"/>
      <c r="AM787" s="232" t="str">
        <f t="shared" si="1761"/>
        <v/>
      </c>
      <c r="AN787" s="232" t="str">
        <f t="shared" si="1762"/>
        <v/>
      </c>
      <c r="AO787" s="232" t="str">
        <f t="shared" si="1763"/>
        <v/>
      </c>
      <c r="AP787" s="232" t="str">
        <f t="shared" si="1793"/>
        <v/>
      </c>
      <c r="AQ787" s="371"/>
      <c r="AR787" s="495"/>
      <c r="AS787" s="496"/>
      <c r="AT787" s="494" t="str">
        <f t="shared" si="1764"/>
        <v/>
      </c>
      <c r="AU787" s="371"/>
      <c r="AV787" s="232" t="str">
        <f t="shared" si="1765"/>
        <v/>
      </c>
      <c r="AW787" s="232" t="str">
        <f t="shared" si="1766"/>
        <v/>
      </c>
      <c r="AX787" s="232" t="str">
        <f t="shared" si="1767"/>
        <v/>
      </c>
      <c r="AY787" s="232" t="str">
        <f t="shared" si="1794"/>
        <v/>
      </c>
      <c r="AZ787" s="371"/>
      <c r="BA787" s="495"/>
      <c r="BB787" s="496"/>
      <c r="BC787" s="494" t="str">
        <f t="shared" si="1768"/>
        <v/>
      </c>
      <c r="BD787" s="371"/>
      <c r="BE787" s="232" t="str">
        <f t="shared" si="1769"/>
        <v/>
      </c>
      <c r="BF787" s="232" t="str">
        <f t="shared" si="1770"/>
        <v/>
      </c>
      <c r="BG787" s="232" t="str">
        <f t="shared" si="1771"/>
        <v/>
      </c>
      <c r="BH787" s="232" t="str">
        <f t="shared" si="1795"/>
        <v/>
      </c>
      <c r="BI787" s="371"/>
      <c r="BJ787" s="495"/>
      <c r="BK787" s="496"/>
      <c r="BL787" s="494" t="str">
        <f t="shared" si="1772"/>
        <v/>
      </c>
      <c r="BM787" s="371"/>
      <c r="BN787" s="232" t="str">
        <f t="shared" si="1773"/>
        <v/>
      </c>
      <c r="BO787" s="232" t="str">
        <f t="shared" si="1774"/>
        <v/>
      </c>
      <c r="BP787" s="232" t="str">
        <f t="shared" si="1775"/>
        <v/>
      </c>
      <c r="BQ787" s="232" t="str">
        <f t="shared" si="1796"/>
        <v/>
      </c>
      <c r="BR787" s="371"/>
      <c r="BS787" s="495"/>
      <c r="BT787" s="496"/>
      <c r="BU787" s="494" t="str">
        <f t="shared" si="1776"/>
        <v/>
      </c>
      <c r="BV787" s="371"/>
      <c r="BW787" s="232" t="str">
        <f t="shared" si="1777"/>
        <v/>
      </c>
      <c r="BX787" s="232" t="str">
        <f t="shared" si="1778"/>
        <v/>
      </c>
      <c r="BY787" s="232" t="str">
        <f t="shared" si="1779"/>
        <v/>
      </c>
      <c r="BZ787" s="232" t="str">
        <f t="shared" si="1797"/>
        <v/>
      </c>
      <c r="CA787" s="371"/>
      <c r="CB787" s="501" t="str">
        <f t="shared" si="1780"/>
        <v/>
      </c>
      <c r="CC787" s="502" t="str">
        <f t="shared" si="1781"/>
        <v/>
      </c>
      <c r="CD787" s="503" t="str">
        <f t="shared" si="1782"/>
        <v/>
      </c>
      <c r="CE787" s="371"/>
      <c r="CF787" s="232" t="str">
        <f t="shared" si="1783"/>
        <v/>
      </c>
      <c r="CG787" s="232" t="str">
        <f t="shared" si="1784"/>
        <v/>
      </c>
      <c r="CH787" s="232" t="str">
        <f t="shared" si="1785"/>
        <v/>
      </c>
      <c r="CI787" s="232" t="str">
        <f t="shared" si="1798"/>
        <v/>
      </c>
      <c r="CJ787" s="232"/>
      <c r="CK787" s="495"/>
      <c r="CL787" s="496"/>
      <c r="CM787" s="494" t="str">
        <f t="shared" si="1786"/>
        <v/>
      </c>
      <c r="CN787" s="371"/>
      <c r="CO787" s="232" t="str">
        <f t="shared" si="1787"/>
        <v/>
      </c>
      <c r="CP787" s="232" t="str">
        <f t="shared" si="1788"/>
        <v/>
      </c>
      <c r="CQ787" s="232" t="str">
        <f t="shared" si="1789"/>
        <v/>
      </c>
      <c r="CR787" s="232" t="str">
        <f t="shared" si="1799"/>
        <v/>
      </c>
      <c r="CS787" s="232"/>
      <c r="CT787" s="371"/>
      <c r="CU787" s="300"/>
      <c r="CV787" s="246"/>
      <c r="CW787" s="264"/>
    </row>
    <row r="788" spans="1:101" x14ac:dyDescent="0.2">
      <c r="A788" s="264"/>
      <c r="B788" s="264"/>
      <c r="C788" s="202"/>
      <c r="D788" s="271">
        <v>11</v>
      </c>
      <c r="E788" s="167"/>
      <c r="F788" s="469"/>
      <c r="G788" s="474" t="s">
        <v>49</v>
      </c>
      <c r="H788" s="475"/>
      <c r="I788" s="389" t="str">
        <f t="shared" si="1750"/>
        <v/>
      </c>
      <c r="J788" s="390" t="str">
        <f t="shared" si="1751"/>
        <v/>
      </c>
      <c r="K788" s="391" t="str">
        <f t="shared" si="1752"/>
        <v/>
      </c>
      <c r="L788" s="299"/>
      <c r="M788" s="375"/>
      <c r="N788" s="379"/>
      <c r="O788" s="236"/>
      <c r="P788" s="236"/>
      <c r="Q788" s="483"/>
      <c r="R788" s="484"/>
      <c r="S788" s="485" t="str">
        <f t="shared" si="1790"/>
        <v/>
      </c>
      <c r="T788" s="371"/>
      <c r="U788" s="232" t="str">
        <f t="shared" si="1753"/>
        <v/>
      </c>
      <c r="V788" s="232" t="str">
        <f t="shared" si="1754"/>
        <v/>
      </c>
      <c r="W788" s="232" t="str">
        <f t="shared" si="1755"/>
        <v/>
      </c>
      <c r="X788" s="232" t="str">
        <f t="shared" si="1791"/>
        <v/>
      </c>
      <c r="Y788" s="371"/>
      <c r="Z788" s="497"/>
      <c r="AA788" s="498"/>
      <c r="AB788" s="485" t="str">
        <f t="shared" si="1756"/>
        <v/>
      </c>
      <c r="AC788" s="371"/>
      <c r="AD788" s="232" t="str">
        <f t="shared" si="1757"/>
        <v/>
      </c>
      <c r="AE788" s="232" t="str">
        <f t="shared" si="1758"/>
        <v/>
      </c>
      <c r="AF788" s="232" t="str">
        <f t="shared" si="1759"/>
        <v/>
      </c>
      <c r="AG788" s="232" t="str">
        <f t="shared" si="1792"/>
        <v/>
      </c>
      <c r="AH788" s="371"/>
      <c r="AI788" s="497"/>
      <c r="AJ788" s="498"/>
      <c r="AK788" s="485" t="str">
        <f t="shared" si="1760"/>
        <v/>
      </c>
      <c r="AL788" s="371"/>
      <c r="AM788" s="232" t="str">
        <f t="shared" si="1761"/>
        <v/>
      </c>
      <c r="AN788" s="232" t="str">
        <f t="shared" si="1762"/>
        <v/>
      </c>
      <c r="AO788" s="232" t="str">
        <f t="shared" si="1763"/>
        <v/>
      </c>
      <c r="AP788" s="232" t="str">
        <f t="shared" si="1793"/>
        <v/>
      </c>
      <c r="AQ788" s="371"/>
      <c r="AR788" s="497"/>
      <c r="AS788" s="498"/>
      <c r="AT788" s="485" t="str">
        <f t="shared" si="1764"/>
        <v/>
      </c>
      <c r="AU788" s="371"/>
      <c r="AV788" s="232" t="str">
        <f t="shared" si="1765"/>
        <v/>
      </c>
      <c r="AW788" s="232" t="str">
        <f t="shared" si="1766"/>
        <v/>
      </c>
      <c r="AX788" s="232" t="str">
        <f t="shared" si="1767"/>
        <v/>
      </c>
      <c r="AY788" s="232" t="str">
        <f t="shared" si="1794"/>
        <v/>
      </c>
      <c r="AZ788" s="371"/>
      <c r="BA788" s="497"/>
      <c r="BB788" s="498"/>
      <c r="BC788" s="485" t="str">
        <f t="shared" si="1768"/>
        <v/>
      </c>
      <c r="BD788" s="371"/>
      <c r="BE788" s="232" t="str">
        <f t="shared" si="1769"/>
        <v/>
      </c>
      <c r="BF788" s="232" t="str">
        <f t="shared" si="1770"/>
        <v/>
      </c>
      <c r="BG788" s="232" t="str">
        <f t="shared" si="1771"/>
        <v/>
      </c>
      <c r="BH788" s="232" t="str">
        <f t="shared" si="1795"/>
        <v/>
      </c>
      <c r="BI788" s="371"/>
      <c r="BJ788" s="497"/>
      <c r="BK788" s="498"/>
      <c r="BL788" s="485" t="str">
        <f t="shared" si="1772"/>
        <v/>
      </c>
      <c r="BM788" s="371"/>
      <c r="BN788" s="232" t="str">
        <f t="shared" si="1773"/>
        <v/>
      </c>
      <c r="BO788" s="232" t="str">
        <f t="shared" si="1774"/>
        <v/>
      </c>
      <c r="BP788" s="232" t="str">
        <f t="shared" si="1775"/>
        <v/>
      </c>
      <c r="BQ788" s="232" t="str">
        <f t="shared" si="1796"/>
        <v/>
      </c>
      <c r="BR788" s="371"/>
      <c r="BS788" s="497"/>
      <c r="BT788" s="498"/>
      <c r="BU788" s="485" t="str">
        <f t="shared" si="1776"/>
        <v/>
      </c>
      <c r="BV788" s="371"/>
      <c r="BW788" s="232" t="str">
        <f t="shared" si="1777"/>
        <v/>
      </c>
      <c r="BX788" s="232" t="str">
        <f t="shared" si="1778"/>
        <v/>
      </c>
      <c r="BY788" s="232" t="str">
        <f t="shared" si="1779"/>
        <v/>
      </c>
      <c r="BZ788" s="232" t="str">
        <f t="shared" si="1797"/>
        <v/>
      </c>
      <c r="CA788" s="371"/>
      <c r="CB788" s="504" t="str">
        <f t="shared" si="1780"/>
        <v/>
      </c>
      <c r="CC788" s="505" t="str">
        <f t="shared" si="1781"/>
        <v/>
      </c>
      <c r="CD788" s="506" t="str">
        <f t="shared" si="1782"/>
        <v/>
      </c>
      <c r="CE788" s="371"/>
      <c r="CF788" s="232" t="str">
        <f t="shared" si="1783"/>
        <v/>
      </c>
      <c r="CG788" s="232" t="str">
        <f t="shared" si="1784"/>
        <v/>
      </c>
      <c r="CH788" s="232" t="str">
        <f t="shared" si="1785"/>
        <v/>
      </c>
      <c r="CI788" s="232" t="str">
        <f t="shared" si="1798"/>
        <v/>
      </c>
      <c r="CJ788" s="232"/>
      <c r="CK788" s="497"/>
      <c r="CL788" s="498"/>
      <c r="CM788" s="485" t="str">
        <f t="shared" si="1786"/>
        <v/>
      </c>
      <c r="CN788" s="371"/>
      <c r="CO788" s="232" t="str">
        <f t="shared" si="1787"/>
        <v/>
      </c>
      <c r="CP788" s="232" t="str">
        <f t="shared" si="1788"/>
        <v/>
      </c>
      <c r="CQ788" s="232" t="str">
        <f t="shared" si="1789"/>
        <v/>
      </c>
      <c r="CR788" s="232" t="str">
        <f t="shared" si="1799"/>
        <v/>
      </c>
      <c r="CS788" s="232"/>
      <c r="CT788" s="371"/>
      <c r="CU788" s="300"/>
      <c r="CV788" s="246"/>
      <c r="CW788" s="264"/>
    </row>
    <row r="789" spans="1:101" ht="13.5" thickBot="1" x14ac:dyDescent="0.25">
      <c r="A789" s="264"/>
      <c r="B789" s="264"/>
      <c r="C789" s="202"/>
      <c r="D789" s="271">
        <v>12</v>
      </c>
      <c r="E789" s="168"/>
      <c r="F789" s="470"/>
      <c r="G789" s="476" t="s">
        <v>49</v>
      </c>
      <c r="H789" s="477"/>
      <c r="I789" s="392" t="str">
        <f t="shared" si="1750"/>
        <v/>
      </c>
      <c r="J789" s="393" t="str">
        <f t="shared" si="1751"/>
        <v/>
      </c>
      <c r="K789" s="394" t="str">
        <f t="shared" si="1752"/>
        <v/>
      </c>
      <c r="L789" s="299"/>
      <c r="M789" s="375"/>
      <c r="N789" s="379"/>
      <c r="O789" s="236"/>
      <c r="P789" s="236"/>
      <c r="Q789" s="489"/>
      <c r="R789" s="490"/>
      <c r="S789" s="491" t="str">
        <f t="shared" si="1790"/>
        <v/>
      </c>
      <c r="T789" s="371"/>
      <c r="U789" s="232" t="str">
        <f t="shared" si="1753"/>
        <v/>
      </c>
      <c r="V789" s="232" t="str">
        <f t="shared" si="1754"/>
        <v/>
      </c>
      <c r="W789" s="232" t="str">
        <f t="shared" si="1755"/>
        <v/>
      </c>
      <c r="X789" s="232" t="str">
        <f t="shared" si="1791"/>
        <v/>
      </c>
      <c r="Y789" s="371"/>
      <c r="Z789" s="499"/>
      <c r="AA789" s="500"/>
      <c r="AB789" s="491" t="str">
        <f t="shared" si="1756"/>
        <v/>
      </c>
      <c r="AC789" s="371"/>
      <c r="AD789" s="232" t="str">
        <f t="shared" si="1757"/>
        <v/>
      </c>
      <c r="AE789" s="232" t="str">
        <f t="shared" si="1758"/>
        <v/>
      </c>
      <c r="AF789" s="232" t="str">
        <f t="shared" si="1759"/>
        <v/>
      </c>
      <c r="AG789" s="232" t="str">
        <f t="shared" si="1792"/>
        <v/>
      </c>
      <c r="AH789" s="371"/>
      <c r="AI789" s="499"/>
      <c r="AJ789" s="500"/>
      <c r="AK789" s="491" t="str">
        <f t="shared" si="1760"/>
        <v/>
      </c>
      <c r="AL789" s="371"/>
      <c r="AM789" s="232" t="str">
        <f t="shared" si="1761"/>
        <v/>
      </c>
      <c r="AN789" s="232" t="str">
        <f t="shared" si="1762"/>
        <v/>
      </c>
      <c r="AO789" s="232" t="str">
        <f t="shared" si="1763"/>
        <v/>
      </c>
      <c r="AP789" s="232" t="str">
        <f t="shared" si="1793"/>
        <v/>
      </c>
      <c r="AQ789" s="371"/>
      <c r="AR789" s="499"/>
      <c r="AS789" s="500"/>
      <c r="AT789" s="491" t="str">
        <f t="shared" si="1764"/>
        <v/>
      </c>
      <c r="AU789" s="371"/>
      <c r="AV789" s="232" t="str">
        <f t="shared" si="1765"/>
        <v/>
      </c>
      <c r="AW789" s="232" t="str">
        <f t="shared" si="1766"/>
        <v/>
      </c>
      <c r="AX789" s="232" t="str">
        <f t="shared" si="1767"/>
        <v/>
      </c>
      <c r="AY789" s="232" t="str">
        <f t="shared" si="1794"/>
        <v/>
      </c>
      <c r="AZ789" s="371"/>
      <c r="BA789" s="499"/>
      <c r="BB789" s="500"/>
      <c r="BC789" s="491" t="str">
        <f t="shared" si="1768"/>
        <v/>
      </c>
      <c r="BD789" s="371"/>
      <c r="BE789" s="232" t="str">
        <f t="shared" si="1769"/>
        <v/>
      </c>
      <c r="BF789" s="232" t="str">
        <f t="shared" si="1770"/>
        <v/>
      </c>
      <c r="BG789" s="232" t="str">
        <f t="shared" si="1771"/>
        <v/>
      </c>
      <c r="BH789" s="232" t="str">
        <f t="shared" si="1795"/>
        <v/>
      </c>
      <c r="BI789" s="371"/>
      <c r="BJ789" s="499"/>
      <c r="BK789" s="500"/>
      <c r="BL789" s="491" t="str">
        <f t="shared" si="1772"/>
        <v/>
      </c>
      <c r="BM789" s="371"/>
      <c r="BN789" s="232" t="str">
        <f t="shared" si="1773"/>
        <v/>
      </c>
      <c r="BO789" s="232" t="str">
        <f t="shared" si="1774"/>
        <v/>
      </c>
      <c r="BP789" s="232" t="str">
        <f t="shared" si="1775"/>
        <v/>
      </c>
      <c r="BQ789" s="232" t="str">
        <f t="shared" si="1796"/>
        <v/>
      </c>
      <c r="BR789" s="371"/>
      <c r="BS789" s="499"/>
      <c r="BT789" s="500"/>
      <c r="BU789" s="491" t="str">
        <f t="shared" si="1776"/>
        <v/>
      </c>
      <c r="BV789" s="371"/>
      <c r="BW789" s="232" t="str">
        <f t="shared" si="1777"/>
        <v/>
      </c>
      <c r="BX789" s="232" t="str">
        <f t="shared" si="1778"/>
        <v/>
      </c>
      <c r="BY789" s="232" t="str">
        <f t="shared" si="1779"/>
        <v/>
      </c>
      <c r="BZ789" s="232" t="str">
        <f t="shared" si="1797"/>
        <v/>
      </c>
      <c r="CA789" s="371"/>
      <c r="CB789" s="507" t="str">
        <f t="shared" si="1780"/>
        <v/>
      </c>
      <c r="CC789" s="508" t="str">
        <f t="shared" si="1781"/>
        <v/>
      </c>
      <c r="CD789" s="509" t="str">
        <f t="shared" si="1782"/>
        <v/>
      </c>
      <c r="CE789" s="371"/>
      <c r="CF789" s="232" t="str">
        <f t="shared" si="1783"/>
        <v/>
      </c>
      <c r="CG789" s="232" t="str">
        <f t="shared" si="1784"/>
        <v/>
      </c>
      <c r="CH789" s="232" t="str">
        <f t="shared" si="1785"/>
        <v/>
      </c>
      <c r="CI789" s="232" t="str">
        <f t="shared" si="1798"/>
        <v/>
      </c>
      <c r="CJ789" s="232"/>
      <c r="CK789" s="499"/>
      <c r="CL789" s="500"/>
      <c r="CM789" s="491" t="str">
        <f t="shared" si="1786"/>
        <v/>
      </c>
      <c r="CN789" s="371"/>
      <c r="CO789" s="232" t="str">
        <f t="shared" si="1787"/>
        <v/>
      </c>
      <c r="CP789" s="232" t="str">
        <f t="shared" si="1788"/>
        <v/>
      </c>
      <c r="CQ789" s="232" t="str">
        <f t="shared" si="1789"/>
        <v/>
      </c>
      <c r="CR789" s="232" t="str">
        <f t="shared" si="1799"/>
        <v/>
      </c>
      <c r="CS789" s="232"/>
      <c r="CT789" s="371"/>
      <c r="CU789" s="300"/>
      <c r="CV789" s="246"/>
      <c r="CW789" s="264"/>
    </row>
    <row r="790" spans="1:101" x14ac:dyDescent="0.2">
      <c r="A790" s="264"/>
      <c r="B790" s="264"/>
      <c r="C790" s="202"/>
      <c r="D790" s="272"/>
      <c r="E790" s="235"/>
      <c r="F790" s="395" t="str">
        <f>IF(SUM(F778:F789)=0,"",SUM(F778:F789))</f>
        <v/>
      </c>
      <c r="G790" s="370" t="s">
        <v>49</v>
      </c>
      <c r="H790" s="396" t="str">
        <f>IF(SUM(H778:H789)=0,"",SUM(H778:H789))</f>
        <v/>
      </c>
      <c r="I790" s="397" t="str">
        <f>IF(COUNTIF(I778:I789,"=x")=0,"",COUNTIF(I778:I789,"=x"))</f>
        <v/>
      </c>
      <c r="J790" s="398" t="str">
        <f>IF(COUNTIF(J778:J789,"=x")=0,"",COUNTIF(J778:J789,"=x"))</f>
        <v/>
      </c>
      <c r="K790" s="399" t="str">
        <f>IF(COUNTIF(K778:K789,"=x")=0,"",COUNTIF(K778:K789,"=x"))</f>
        <v/>
      </c>
      <c r="L790" s="299"/>
      <c r="M790" s="375"/>
      <c r="N790" s="379"/>
      <c r="O790" s="236"/>
      <c r="P790" s="369"/>
      <c r="Q790" s="466">
        <f>SUM(U778:U789)</f>
        <v>0</v>
      </c>
      <c r="R790" s="466">
        <f>SUM(V778:V789)</f>
        <v>0</v>
      </c>
      <c r="S790" s="466">
        <f>SUM(W778:W789)</f>
        <v>0</v>
      </c>
      <c r="T790" s="368"/>
      <c r="U790" s="232"/>
      <c r="V790" s="232"/>
      <c r="W790" s="232"/>
      <c r="X790" s="232"/>
      <c r="Y790" s="367"/>
      <c r="Z790" s="466">
        <f>SUM(AD778:AD789)</f>
        <v>0</v>
      </c>
      <c r="AA790" s="466">
        <f>SUM(AE778:AE789)</f>
        <v>0</v>
      </c>
      <c r="AB790" s="466">
        <f>SUM(AF778:AF789)</f>
        <v>0</v>
      </c>
      <c r="AC790" s="368"/>
      <c r="AD790" s="232"/>
      <c r="AE790" s="232"/>
      <c r="AF790" s="232"/>
      <c r="AG790" s="232"/>
      <c r="AH790" s="367"/>
      <c r="AI790" s="466">
        <f>SUM(AM778:AM789)</f>
        <v>0</v>
      </c>
      <c r="AJ790" s="466">
        <f>SUM(AN778:AN789)</f>
        <v>0</v>
      </c>
      <c r="AK790" s="466">
        <f>SUM(AO778:AO789)</f>
        <v>0</v>
      </c>
      <c r="AL790" s="368"/>
      <c r="AM790" s="232"/>
      <c r="AN790" s="232"/>
      <c r="AO790" s="232"/>
      <c r="AP790" s="232"/>
      <c r="AQ790" s="367"/>
      <c r="AR790" s="466">
        <f>SUM(AV778:AV789)</f>
        <v>0</v>
      </c>
      <c r="AS790" s="466">
        <f>SUM(AW778:AW789)</f>
        <v>0</v>
      </c>
      <c r="AT790" s="466">
        <f>SUM(AX778:AX789)</f>
        <v>0</v>
      </c>
      <c r="AU790" s="368"/>
      <c r="AV790" s="232"/>
      <c r="AW790" s="232"/>
      <c r="AX790" s="232"/>
      <c r="AY790" s="232"/>
      <c r="AZ790" s="367"/>
      <c r="BA790" s="466">
        <f>SUM(BE778:BE789)</f>
        <v>0</v>
      </c>
      <c r="BB790" s="466">
        <f>SUM(BF778:BF789)</f>
        <v>0</v>
      </c>
      <c r="BC790" s="466">
        <f>SUM(BG778:BG789)</f>
        <v>0</v>
      </c>
      <c r="BD790" s="368"/>
      <c r="BE790" s="232"/>
      <c r="BF790" s="232"/>
      <c r="BG790" s="232"/>
      <c r="BH790" s="232"/>
      <c r="BI790" s="367"/>
      <c r="BJ790" s="466">
        <f>SUM(BN778:BN789)</f>
        <v>0</v>
      </c>
      <c r="BK790" s="466">
        <f>SUM(BO778:BO789)</f>
        <v>0</v>
      </c>
      <c r="BL790" s="466">
        <f>SUM(BP778:BP789)</f>
        <v>0</v>
      </c>
      <c r="BM790" s="368"/>
      <c r="BN790" s="232"/>
      <c r="BO790" s="232"/>
      <c r="BP790" s="232"/>
      <c r="BQ790" s="232"/>
      <c r="BR790" s="367"/>
      <c r="BS790" s="466">
        <f>SUM(BW778:BW789)</f>
        <v>0</v>
      </c>
      <c r="BT790" s="466">
        <f>SUM(BX778:BX789)</f>
        <v>0</v>
      </c>
      <c r="BU790" s="466">
        <f>SUM(BY778:BY789)</f>
        <v>0</v>
      </c>
      <c r="BV790" s="368"/>
      <c r="BW790" s="232"/>
      <c r="BX790" s="232"/>
      <c r="BY790" s="232"/>
      <c r="BZ790" s="232"/>
      <c r="CA790" s="369"/>
      <c r="CB790" s="466">
        <f>SUM(CF778:CF789)</f>
        <v>0</v>
      </c>
      <c r="CC790" s="466">
        <f>SUM(CG778:CG789)</f>
        <v>0</v>
      </c>
      <c r="CD790" s="466">
        <f>SUM(CH778:CH789)</f>
        <v>0</v>
      </c>
      <c r="CE790" s="368"/>
      <c r="CF790" s="232"/>
      <c r="CG790" s="232"/>
      <c r="CH790" s="232"/>
      <c r="CI790" s="232"/>
      <c r="CJ790" s="232"/>
      <c r="CK790" s="466">
        <f>SUM(CO778:CO789)</f>
        <v>0</v>
      </c>
      <c r="CL790" s="466">
        <f>SUM(CP778:CP789)</f>
        <v>0</v>
      </c>
      <c r="CM790" s="466">
        <f>SUM(CQ778:CQ789)</f>
        <v>0</v>
      </c>
      <c r="CN790" s="368"/>
      <c r="CO790" s="232"/>
      <c r="CP790" s="232"/>
      <c r="CQ790" s="232"/>
      <c r="CR790" s="232"/>
      <c r="CS790" s="232"/>
      <c r="CT790" s="232"/>
      <c r="CU790" s="300"/>
      <c r="CV790" s="246"/>
      <c r="CW790" s="265"/>
    </row>
    <row r="791" spans="1:101" ht="13.5" thickBot="1" x14ac:dyDescent="0.25">
      <c r="A791" s="264"/>
      <c r="B791" s="264"/>
      <c r="C791" s="202"/>
      <c r="D791" s="289"/>
      <c r="E791" s="282"/>
      <c r="F791" s="283"/>
      <c r="G791" s="282"/>
      <c r="H791" s="282"/>
      <c r="I791" s="282"/>
      <c r="J791" s="282"/>
      <c r="K791" s="282"/>
      <c r="L791" s="293"/>
      <c r="M791" s="301"/>
      <c r="N791" s="380"/>
      <c r="O791" s="376"/>
      <c r="P791" s="284"/>
      <c r="Q791" s="285"/>
      <c r="R791" s="285"/>
      <c r="S791" s="285"/>
      <c r="T791" s="286"/>
      <c r="U791" s="287"/>
      <c r="V791" s="287"/>
      <c r="W791" s="287"/>
      <c r="X791" s="287"/>
      <c r="Y791" s="284"/>
      <c r="Z791" s="285"/>
      <c r="AA791" s="285"/>
      <c r="AB791" s="285"/>
      <c r="AC791" s="286"/>
      <c r="AD791" s="287"/>
      <c r="AE791" s="287"/>
      <c r="AF791" s="287"/>
      <c r="AG791" s="288"/>
      <c r="AH791" s="284"/>
      <c r="AI791" s="285"/>
      <c r="AJ791" s="285"/>
      <c r="AK791" s="285"/>
      <c r="AL791" s="286"/>
      <c r="AM791" s="287"/>
      <c r="AN791" s="287"/>
      <c r="AO791" s="287"/>
      <c r="AP791" s="288"/>
      <c r="AQ791" s="284"/>
      <c r="AR791" s="285"/>
      <c r="AS791" s="285"/>
      <c r="AT791" s="285"/>
      <c r="AU791" s="286"/>
      <c r="AV791" s="287"/>
      <c r="AW791" s="287"/>
      <c r="AX791" s="287"/>
      <c r="AY791" s="288"/>
      <c r="AZ791" s="284"/>
      <c r="BA791" s="285"/>
      <c r="BB791" s="285"/>
      <c r="BC791" s="285"/>
      <c r="BD791" s="286"/>
      <c r="BE791" s="287"/>
      <c r="BF791" s="287"/>
      <c r="BG791" s="287"/>
      <c r="BH791" s="288"/>
      <c r="BI791" s="284"/>
      <c r="BJ791" s="284"/>
      <c r="BK791" s="284"/>
      <c r="BL791" s="284"/>
      <c r="BM791" s="284"/>
      <c r="BN791" s="284"/>
      <c r="BO791" s="284"/>
      <c r="BP791" s="284"/>
      <c r="BQ791" s="284"/>
      <c r="BR791" s="284"/>
      <c r="BS791" s="284"/>
      <c r="BT791" s="284"/>
      <c r="BU791" s="284"/>
      <c r="BV791" s="284"/>
      <c r="BW791" s="284"/>
      <c r="BX791" s="284"/>
      <c r="BY791" s="284"/>
      <c r="BZ791" s="284"/>
      <c r="CA791" s="284"/>
      <c r="CB791" s="284"/>
      <c r="CC791" s="284"/>
      <c r="CD791" s="284"/>
      <c r="CE791" s="284"/>
      <c r="CF791" s="284"/>
      <c r="CG791" s="284"/>
      <c r="CH791" s="284"/>
      <c r="CI791" s="284"/>
      <c r="CJ791" s="288"/>
      <c r="CK791" s="288"/>
      <c r="CL791" s="288"/>
      <c r="CM791" s="288"/>
      <c r="CN791" s="288"/>
      <c r="CO791" s="288"/>
      <c r="CP791" s="288"/>
      <c r="CQ791" s="288"/>
      <c r="CR791" s="288"/>
      <c r="CS791" s="288"/>
      <c r="CT791" s="282"/>
      <c r="CU791" s="294"/>
      <c r="CV791" s="246"/>
      <c r="CW791" s="265"/>
    </row>
    <row r="792" spans="1:101" ht="14.25" thickTop="1" thickBot="1" x14ac:dyDescent="0.25">
      <c r="A792" s="256"/>
      <c r="B792" s="256"/>
      <c r="C792" s="210"/>
      <c r="D792" s="211"/>
      <c r="E792" s="247"/>
      <c r="F792" s="248"/>
      <c r="G792" s="247"/>
      <c r="H792" s="247"/>
      <c r="I792" s="247"/>
      <c r="J792" s="247"/>
      <c r="K792" s="247"/>
      <c r="L792" s="249"/>
      <c r="M792" s="250"/>
      <c r="N792" s="250"/>
      <c r="O792" s="250"/>
      <c r="P792" s="250"/>
      <c r="Q792" s="247"/>
      <c r="R792" s="247"/>
      <c r="S792" s="247"/>
      <c r="T792" s="251"/>
      <c r="U792" s="252"/>
      <c r="V792" s="252"/>
      <c r="W792" s="252"/>
      <c r="X792" s="252"/>
      <c r="Y792" s="250"/>
      <c r="Z792" s="247"/>
      <c r="AA792" s="247"/>
      <c r="AB792" s="247"/>
      <c r="AC792" s="251"/>
      <c r="AD792" s="252"/>
      <c r="AE792" s="252"/>
      <c r="AF792" s="252"/>
      <c r="AG792" s="247"/>
      <c r="AH792" s="250"/>
      <c r="AI792" s="247"/>
      <c r="AJ792" s="247"/>
      <c r="AK792" s="247"/>
      <c r="AL792" s="251"/>
      <c r="AM792" s="252"/>
      <c r="AN792" s="252"/>
      <c r="AO792" s="252"/>
      <c r="AP792" s="253"/>
      <c r="AQ792" s="250"/>
      <c r="AR792" s="247"/>
      <c r="AS792" s="247"/>
      <c r="AT792" s="247"/>
      <c r="AU792" s="251"/>
      <c r="AV792" s="252"/>
      <c r="AW792" s="252"/>
      <c r="AX792" s="252"/>
      <c r="AY792" s="247"/>
      <c r="AZ792" s="250"/>
      <c r="BA792" s="247"/>
      <c r="BB792" s="247"/>
      <c r="BC792" s="247"/>
      <c r="BD792" s="251"/>
      <c r="BE792" s="252"/>
      <c r="BF792" s="252"/>
      <c r="BG792" s="252"/>
      <c r="BH792" s="247"/>
      <c r="BI792" s="250"/>
      <c r="BJ792" s="247"/>
      <c r="BK792" s="247"/>
      <c r="BL792" s="247"/>
      <c r="BM792" s="251"/>
      <c r="BN792" s="252"/>
      <c r="BO792" s="252"/>
      <c r="BP792" s="252"/>
      <c r="BQ792" s="247"/>
      <c r="BR792" s="212"/>
      <c r="BS792" s="247"/>
      <c r="BT792" s="247"/>
      <c r="BU792" s="247"/>
      <c r="BV792" s="250"/>
      <c r="BW792" s="252"/>
      <c r="BX792" s="252"/>
      <c r="BY792" s="252"/>
      <c r="BZ792" s="247"/>
      <c r="CA792" s="247"/>
      <c r="CB792" s="253"/>
      <c r="CC792" s="253"/>
      <c r="CD792" s="253"/>
      <c r="CE792" s="253"/>
      <c r="CF792" s="247"/>
      <c r="CG792" s="247"/>
      <c r="CH792" s="247"/>
      <c r="CI792" s="247"/>
      <c r="CJ792" s="247"/>
      <c r="CK792" s="247"/>
      <c r="CL792" s="247"/>
      <c r="CM792" s="247"/>
      <c r="CN792" s="247"/>
      <c r="CO792" s="247"/>
      <c r="CP792" s="247"/>
      <c r="CQ792" s="247"/>
      <c r="CR792" s="247"/>
      <c r="CS792" s="247"/>
      <c r="CT792" s="247"/>
      <c r="CU792" s="247"/>
      <c r="CV792" s="254"/>
      <c r="CW792" s="255"/>
    </row>
    <row r="793" spans="1:101" ht="14.25" thickTop="1" thickBot="1" x14ac:dyDescent="0.25">
      <c r="A793" s="255"/>
      <c r="B793" s="255"/>
      <c r="C793" s="255"/>
      <c r="D793" s="255"/>
      <c r="E793" s="255"/>
      <c r="F793" s="255"/>
      <c r="G793" s="255"/>
      <c r="H793" s="255"/>
      <c r="I793" s="255"/>
      <c r="J793" s="255"/>
      <c r="K793" s="255"/>
      <c r="L793" s="255"/>
      <c r="M793" s="255"/>
      <c r="N793" s="255"/>
      <c r="O793" s="255"/>
      <c r="P793" s="255"/>
      <c r="Q793" s="255"/>
      <c r="R793" s="255"/>
      <c r="S793" s="255"/>
      <c r="T793" s="255"/>
      <c r="U793" s="255"/>
      <c r="V793" s="255"/>
      <c r="W793" s="255"/>
      <c r="X793" s="255"/>
      <c r="Y793" s="255"/>
      <c r="Z793" s="255"/>
      <c r="AA793" s="255"/>
      <c r="AB793" s="255"/>
      <c r="AC793" s="255"/>
      <c r="AD793" s="255"/>
      <c r="AE793" s="255"/>
      <c r="AF793" s="255"/>
      <c r="AG793" s="255"/>
      <c r="AH793" s="255"/>
      <c r="AI793" s="255"/>
      <c r="AJ793" s="255"/>
      <c r="AK793" s="255"/>
      <c r="AL793" s="255"/>
      <c r="AM793" s="255"/>
      <c r="AN793" s="255"/>
      <c r="AO793" s="255"/>
      <c r="AP793" s="255"/>
      <c r="AQ793" s="255"/>
      <c r="AR793" s="255"/>
      <c r="AS793" s="255"/>
      <c r="AT793" s="255"/>
      <c r="AU793" s="255"/>
      <c r="AV793" s="255"/>
      <c r="AW793" s="255"/>
      <c r="AX793" s="255"/>
      <c r="AY793" s="255"/>
      <c r="AZ793" s="255"/>
      <c r="BA793" s="255"/>
      <c r="BB793" s="255"/>
      <c r="BC793" s="255"/>
      <c r="BD793" s="255"/>
      <c r="BE793" s="255"/>
      <c r="BF793" s="255"/>
      <c r="BG793" s="255"/>
      <c r="BH793" s="255"/>
      <c r="BI793" s="255"/>
      <c r="BJ793" s="255"/>
      <c r="BK793" s="255"/>
      <c r="BL793" s="255"/>
      <c r="BM793" s="255"/>
      <c r="BN793" s="255"/>
      <c r="BO793" s="255"/>
      <c r="BP793" s="255"/>
      <c r="BQ793" s="255"/>
      <c r="BR793" s="255"/>
      <c r="BS793" s="255"/>
      <c r="BT793" s="255"/>
      <c r="BU793" s="255"/>
      <c r="BV793" s="255"/>
      <c r="BW793" s="255"/>
      <c r="BX793" s="255"/>
      <c r="BY793" s="255"/>
      <c r="BZ793" s="255"/>
      <c r="CA793" s="255"/>
      <c r="CB793" s="436"/>
      <c r="CC793" s="436"/>
      <c r="CD793" s="436"/>
      <c r="CE793" s="436"/>
      <c r="CF793" s="255"/>
      <c r="CG793" s="255"/>
      <c r="CH793" s="255"/>
      <c r="CI793" s="255"/>
      <c r="CJ793" s="255"/>
      <c r="CK793" s="255"/>
      <c r="CL793" s="255"/>
      <c r="CM793" s="255"/>
      <c r="CN793" s="255"/>
      <c r="CO793" s="255"/>
      <c r="CP793" s="255"/>
      <c r="CQ793" s="255"/>
      <c r="CR793" s="255"/>
      <c r="CS793" s="255"/>
      <c r="CT793" s="255"/>
      <c r="CU793" s="255"/>
      <c r="CV793" s="255"/>
      <c r="CW793" s="255"/>
    </row>
    <row r="794" spans="1:101" ht="21" thickTop="1" x14ac:dyDescent="0.3">
      <c r="A794" s="256"/>
      <c r="B794" s="256"/>
      <c r="C794" s="190"/>
      <c r="D794" s="191"/>
      <c r="E794" s="866" t="str">
        <f>E2</f>
        <v>STPS 2026</v>
      </c>
      <c r="F794" s="267"/>
      <c r="G794" s="267"/>
      <c r="H794" s="267"/>
      <c r="I794" s="192"/>
      <c r="J794" s="192"/>
      <c r="K794" s="192"/>
      <c r="L794" s="193"/>
      <c r="M794" s="192"/>
      <c r="N794" s="192"/>
      <c r="O794" s="192"/>
      <c r="P794" s="194"/>
      <c r="Q794" s="192"/>
      <c r="R794" s="192"/>
      <c r="S794" s="192"/>
      <c r="T794" s="195"/>
      <c r="U794" s="196"/>
      <c r="V794" s="196"/>
      <c r="W794" s="196"/>
      <c r="X794" s="196"/>
      <c r="Y794" s="194"/>
      <c r="Z794" s="192"/>
      <c r="AA794" s="192"/>
      <c r="AB794" s="192"/>
      <c r="AC794" s="195"/>
      <c r="AD794" s="196"/>
      <c r="AE794" s="196"/>
      <c r="AF794" s="196"/>
      <c r="AG794" s="197"/>
      <c r="AH794" s="194"/>
      <c r="AI794" s="192"/>
      <c r="AJ794" s="237"/>
      <c r="AK794" s="237"/>
      <c r="AL794" s="198"/>
      <c r="AM794" s="238"/>
      <c r="AN794" s="238"/>
      <c r="AO794" s="238"/>
      <c r="AP794" s="197"/>
      <c r="AQ794" s="239"/>
      <c r="AR794" s="240"/>
      <c r="AS794" s="199"/>
      <c r="AT794" s="200"/>
      <c r="AU794" s="198"/>
      <c r="AV794" s="196"/>
      <c r="AW794" s="196"/>
      <c r="AX794" s="196"/>
      <c r="AY794" s="197"/>
      <c r="AZ794" s="239"/>
      <c r="BA794" s="240"/>
      <c r="BB794" s="200"/>
      <c r="BC794" s="237"/>
      <c r="BD794" s="241"/>
      <c r="BE794" s="196"/>
      <c r="BF794" s="196"/>
      <c r="BG794" s="196"/>
      <c r="BH794" s="197"/>
      <c r="BI794" s="242"/>
      <c r="BJ794" s="237"/>
      <c r="BK794" s="237"/>
      <c r="BL794" s="237"/>
      <c r="BM794" s="241"/>
      <c r="BN794" s="196"/>
      <c r="BO794" s="196"/>
      <c r="BP794" s="196"/>
      <c r="BQ794" s="197"/>
      <c r="BR794" s="201"/>
      <c r="BS794" s="237"/>
      <c r="BT794" s="237"/>
      <c r="BU794" s="237"/>
      <c r="BV794" s="242"/>
      <c r="BW794" s="237"/>
      <c r="BX794" s="237"/>
      <c r="BY794" s="237"/>
      <c r="BZ794" s="237"/>
      <c r="CA794" s="237"/>
      <c r="CB794" s="437"/>
      <c r="CC794" s="437"/>
      <c r="CD794" s="437"/>
      <c r="CE794" s="437"/>
      <c r="CF794" s="237"/>
      <c r="CG794" s="237"/>
      <c r="CH794" s="237"/>
      <c r="CI794" s="237"/>
      <c r="CJ794" s="197"/>
      <c r="CK794" s="197"/>
      <c r="CL794" s="197"/>
      <c r="CM794" s="197"/>
      <c r="CN794" s="197"/>
      <c r="CO794" s="197"/>
      <c r="CP794" s="197"/>
      <c r="CQ794" s="197"/>
      <c r="CR794" s="197"/>
      <c r="CS794" s="197"/>
      <c r="CT794" s="401"/>
      <c r="CU794" s="237"/>
      <c r="CV794" s="243"/>
      <c r="CW794" s="255"/>
    </row>
    <row r="795" spans="1:101" ht="13.5" thickBot="1" x14ac:dyDescent="0.25">
      <c r="A795" s="256"/>
      <c r="B795" s="256"/>
      <c r="C795" s="202"/>
      <c r="D795" s="188"/>
      <c r="E795" s="266" t="str">
        <f>E3</f>
        <v>Skorgen Tippelag</v>
      </c>
      <c r="F795" s="406"/>
      <c r="G795" s="406"/>
      <c r="H795" s="406"/>
      <c r="I795" s="406"/>
      <c r="J795" s="406"/>
      <c r="K795" s="406"/>
      <c r="L795" s="406"/>
      <c r="M795" s="406"/>
      <c r="N795" s="406"/>
      <c r="O795" s="406"/>
      <c r="P795" s="406"/>
      <c r="Q795" s="406"/>
      <c r="R795" s="406"/>
      <c r="S795" s="406"/>
      <c r="T795" s="406"/>
      <c r="U795" s="406"/>
      <c r="V795" s="406"/>
      <c r="W795" s="406"/>
      <c r="X795" s="406"/>
      <c r="Y795" s="406"/>
      <c r="Z795" s="406"/>
      <c r="AA795" s="406"/>
      <c r="AB795" s="406"/>
      <c r="AC795" s="406"/>
      <c r="AD795" s="406"/>
      <c r="AE795" s="406"/>
      <c r="AF795" s="406"/>
      <c r="AG795" s="406"/>
      <c r="AH795" s="406"/>
      <c r="AI795" s="406"/>
      <c r="AJ795" s="406"/>
      <c r="AK795" s="406"/>
      <c r="AL795" s="406"/>
      <c r="AM795" s="406"/>
      <c r="AN795" s="406"/>
      <c r="AO795" s="406"/>
      <c r="AP795" s="406"/>
      <c r="AQ795" s="406"/>
      <c r="AR795" s="406"/>
      <c r="AS795" s="406"/>
      <c r="AT795" s="406"/>
      <c r="AU795" s="406"/>
      <c r="AV795" s="406"/>
      <c r="AW795" s="406"/>
      <c r="AX795" s="406"/>
      <c r="AY795" s="406"/>
      <c r="AZ795" s="406"/>
      <c r="BA795" s="406"/>
      <c r="BB795" s="406"/>
      <c r="BC795" s="406"/>
      <c r="BD795" s="406"/>
      <c r="BE795" s="406"/>
      <c r="BF795" s="406"/>
      <c r="BG795" s="406"/>
      <c r="BH795" s="406"/>
      <c r="BI795" s="406"/>
      <c r="BJ795" s="406"/>
      <c r="BK795" s="406"/>
      <c r="BL795" s="406"/>
      <c r="BM795" s="406"/>
      <c r="BN795" s="406"/>
      <c r="BO795" s="406"/>
      <c r="BP795" s="406"/>
      <c r="BQ795" s="406"/>
      <c r="BR795" s="406"/>
      <c r="BS795" s="406"/>
      <c r="BT795" s="406"/>
      <c r="BU795" s="406"/>
      <c r="BV795" s="406"/>
      <c r="BW795" s="406"/>
      <c r="BX795" s="406"/>
      <c r="BY795" s="406"/>
      <c r="BZ795" s="406"/>
      <c r="CA795" s="406"/>
      <c r="CB795" s="438"/>
      <c r="CC795" s="438"/>
      <c r="CD795" s="438"/>
      <c r="CE795" s="438"/>
      <c r="CF795" s="406"/>
      <c r="CG795" s="406"/>
      <c r="CH795" s="406"/>
      <c r="CI795" s="406"/>
      <c r="CJ795" s="406"/>
      <c r="CK795" s="406"/>
      <c r="CL795" s="406"/>
      <c r="CM795" s="406"/>
      <c r="CN795" s="366"/>
      <c r="CO795" s="366"/>
      <c r="CP795" s="366"/>
      <c r="CQ795" s="366"/>
      <c r="CR795" s="366"/>
      <c r="CS795" s="366"/>
      <c r="CT795" s="187"/>
      <c r="CU795" s="310"/>
      <c r="CV795" s="246"/>
      <c r="CW795" s="255"/>
    </row>
    <row r="796" spans="1:101" ht="18.75" thickTop="1" x14ac:dyDescent="0.2">
      <c r="A796" s="256"/>
      <c r="B796" s="256"/>
      <c r="C796" s="209"/>
      <c r="D796" s="290"/>
      <c r="E796" s="273"/>
      <c r="F796" s="274"/>
      <c r="G796" s="273"/>
      <c r="H796" s="273"/>
      <c r="I796" s="803" t="s">
        <v>39</v>
      </c>
      <c r="J796" s="805"/>
      <c r="K796" s="805"/>
      <c r="L796" s="291"/>
      <c r="M796" s="302"/>
      <c r="N796" s="242"/>
      <c r="O796" s="275"/>
      <c r="P796" s="275"/>
      <c r="Q796" s="808" t="str">
        <f>IF($F800="","",SUM(Q812:S812)-S798)</f>
        <v/>
      </c>
      <c r="R796" s="808"/>
      <c r="S796" s="808"/>
      <c r="T796" s="276"/>
      <c r="U796" s="277"/>
      <c r="V796" s="277"/>
      <c r="W796" s="277"/>
      <c r="X796" s="277"/>
      <c r="Y796" s="275"/>
      <c r="Z796" s="808" t="str">
        <f>IF($F800="","",SUM(Z812:AB812)-AB798)</f>
        <v/>
      </c>
      <c r="AA796" s="808"/>
      <c r="AB796" s="808"/>
      <c r="AC796" s="276"/>
      <c r="AD796" s="277"/>
      <c r="AE796" s="277"/>
      <c r="AF796" s="277"/>
      <c r="AG796" s="273"/>
      <c r="AH796" s="275"/>
      <c r="AI796" s="808" t="str">
        <f>IF($F800="","",SUM(AI812:AK812)-AK798)</f>
        <v/>
      </c>
      <c r="AJ796" s="808"/>
      <c r="AK796" s="808"/>
      <c r="AL796" s="276"/>
      <c r="AM796" s="277"/>
      <c r="AN796" s="277"/>
      <c r="AO796" s="277"/>
      <c r="AP796" s="273"/>
      <c r="AQ796" s="275"/>
      <c r="AR796" s="808" t="str">
        <f>IF($F800="","",SUM(AR812:AT812)-AT798)</f>
        <v/>
      </c>
      <c r="AS796" s="808"/>
      <c r="AT796" s="808"/>
      <c r="AU796" s="278"/>
      <c r="AV796" s="277"/>
      <c r="AW796" s="277"/>
      <c r="AX796" s="277"/>
      <c r="AY796" s="279"/>
      <c r="AZ796" s="280"/>
      <c r="BA796" s="808" t="str">
        <f>IF($F800="","",SUM(BA812:BC812)-BC798)</f>
        <v/>
      </c>
      <c r="BB796" s="808"/>
      <c r="BC796" s="808"/>
      <c r="BD796" s="278"/>
      <c r="BE796" s="277"/>
      <c r="BF796" s="277"/>
      <c r="BG796" s="277"/>
      <c r="BH796" s="279"/>
      <c r="BI796" s="280"/>
      <c r="BJ796" s="808" t="str">
        <f>IF($F800="","",SUM(BJ812:BL812)-BL798)</f>
        <v/>
      </c>
      <c r="BK796" s="808"/>
      <c r="BL796" s="808"/>
      <c r="BM796" s="278"/>
      <c r="BN796" s="277"/>
      <c r="BO796" s="277"/>
      <c r="BP796" s="277"/>
      <c r="BQ796" s="279"/>
      <c r="BR796" s="281"/>
      <c r="BS796" s="808" t="str">
        <f>IF($F800="","",SUM(BS812:BU812)-BU798)</f>
        <v/>
      </c>
      <c r="BT796" s="808"/>
      <c r="BU796" s="808"/>
      <c r="BV796" s="280"/>
      <c r="BW796" s="279"/>
      <c r="BX796" s="279"/>
      <c r="BY796" s="279"/>
      <c r="BZ796" s="279"/>
      <c r="CA796" s="281"/>
      <c r="CB796" s="808" t="str">
        <f>IF($F800="","",SUM(CB812:CD812)-CD798)</f>
        <v/>
      </c>
      <c r="CC796" s="808"/>
      <c r="CD796" s="808"/>
      <c r="CE796" s="280"/>
      <c r="CF796" s="279"/>
      <c r="CG796" s="279"/>
      <c r="CH796" s="279"/>
      <c r="CI796" s="279"/>
      <c r="CJ796" s="273"/>
      <c r="CK796" s="808" t="str">
        <f>IF($F800="","",SUM(CK812:CM812))</f>
        <v/>
      </c>
      <c r="CL796" s="808"/>
      <c r="CM796" s="808"/>
      <c r="CN796" s="280"/>
      <c r="CO796" s="279"/>
      <c r="CP796" s="279"/>
      <c r="CQ796" s="279"/>
      <c r="CR796" s="273"/>
      <c r="CS796" s="273"/>
      <c r="CT796" s="273"/>
      <c r="CU796" s="292"/>
      <c r="CV796" s="246"/>
      <c r="CW796" s="255"/>
    </row>
    <row r="797" spans="1:101" x14ac:dyDescent="0.2">
      <c r="A797" s="256"/>
      <c r="B797" s="256"/>
      <c r="C797" s="209"/>
      <c r="D797" s="916"/>
      <c r="E797" s="588" t="str">
        <f>IF(D797="","",DATE($D$3,1,1)+(D797-1)*7+(6-WEEKDAY(DATE($D$3,1,1),2)))</f>
        <v/>
      </c>
      <c r="F797" s="213"/>
      <c r="G797" s="214"/>
      <c r="H797" s="214"/>
      <c r="I797" s="804" t="str">
        <f>IF(ISERROR(AVERAGE(Q796,Z796,AI796,AR796,BA796,BJ796,BS796,CB796,CK796)),"",AVERAGE(Q796,Z796,AI796,AR796,BA796,BJ796,BS796,CB796,CK796))</f>
        <v/>
      </c>
      <c r="J797" s="806"/>
      <c r="K797" s="806"/>
      <c r="L797" s="295"/>
      <c r="M797" s="372"/>
      <c r="N797" s="245"/>
      <c r="O797" s="215"/>
      <c r="P797" s="215"/>
      <c r="Q797" s="710" t="str">
        <f>IF(Q796="","",Q796/Data!$X$1)</f>
        <v/>
      </c>
      <c r="R797" s="710"/>
      <c r="S797" s="711" t="str">
        <f>IF(SUM(X800:X811)=0,"",SUM(X800:X811))</f>
        <v/>
      </c>
      <c r="T797" s="216"/>
      <c r="U797" s="217"/>
      <c r="V797" s="217"/>
      <c r="W797" s="217"/>
      <c r="X797" s="217"/>
      <c r="Y797" s="215"/>
      <c r="Z797" s="710" t="str">
        <f>IF(Z796="","",Z796/Data!$X$1)</f>
        <v/>
      </c>
      <c r="AA797" s="710"/>
      <c r="AB797" s="711" t="str">
        <f>IF(SUM(AG800:AG811)=0,"",SUM(AG800:AG811))</f>
        <v/>
      </c>
      <c r="AC797" s="216"/>
      <c r="AD797" s="217"/>
      <c r="AE797" s="217"/>
      <c r="AF797" s="217"/>
      <c r="AG797" s="217"/>
      <c r="AH797" s="215"/>
      <c r="AI797" s="710" t="str">
        <f>IF(AI796="","",AI796/Data!$X$1)</f>
        <v/>
      </c>
      <c r="AJ797" s="710"/>
      <c r="AK797" s="711" t="str">
        <f>IF(SUM(AP800:AP811)=0,"",SUM(AP800:AP811))</f>
        <v/>
      </c>
      <c r="AL797" s="216"/>
      <c r="AM797" s="217"/>
      <c r="AN797" s="217"/>
      <c r="AO797" s="217"/>
      <c r="AP797" s="217"/>
      <c r="AQ797" s="215"/>
      <c r="AR797" s="710" t="str">
        <f>IF(AR796="","",AR796/Data!$X$1)</f>
        <v/>
      </c>
      <c r="AS797" s="710"/>
      <c r="AT797" s="711" t="str">
        <f>IF(SUM(AY800:AY811)=0,"",SUM(AY800:AY811))</f>
        <v/>
      </c>
      <c r="AU797" s="218"/>
      <c r="AV797" s="217"/>
      <c r="AW797" s="217"/>
      <c r="AX797" s="217"/>
      <c r="AY797" s="217"/>
      <c r="AZ797" s="219"/>
      <c r="BA797" s="710" t="str">
        <f>IF(BA796="","",BA796/Data!$X$1)</f>
        <v/>
      </c>
      <c r="BB797" s="710"/>
      <c r="BC797" s="711" t="str">
        <f>IF(SUM(BH800:BH811)=0,"",SUM(BH800:BH811))</f>
        <v/>
      </c>
      <c r="BD797" s="218"/>
      <c r="BE797" s="217"/>
      <c r="BF797" s="217"/>
      <c r="BG797" s="217"/>
      <c r="BH797" s="217"/>
      <c r="BI797" s="219"/>
      <c r="BJ797" s="710" t="str">
        <f>IF(BJ796="","",BJ796/Data!$X$1)</f>
        <v/>
      </c>
      <c r="BK797" s="710"/>
      <c r="BL797" s="711" t="str">
        <f>IF(SUM(BQ800:BQ811)=0,"",SUM(BQ800:BQ811))</f>
        <v/>
      </c>
      <c r="BM797" s="218"/>
      <c r="BN797" s="217"/>
      <c r="BO797" s="217"/>
      <c r="BP797" s="217"/>
      <c r="BQ797" s="217"/>
      <c r="BR797" s="220"/>
      <c r="BS797" s="710" t="str">
        <f>IF(BS796="","",BS796/Data!$X$1)</f>
        <v/>
      </c>
      <c r="BT797" s="710"/>
      <c r="BU797" s="711" t="str">
        <f>IF(SUM(BZ800:BZ811)=0,"",SUM(BZ800:BZ811))</f>
        <v/>
      </c>
      <c r="BV797" s="219"/>
      <c r="BW797" s="217"/>
      <c r="BX797" s="217"/>
      <c r="BY797" s="217"/>
      <c r="BZ797" s="217"/>
      <c r="CA797" s="220"/>
      <c r="CB797" s="710" t="str">
        <f>IF(CB796="","",CB796/Data!$X$1)</f>
        <v/>
      </c>
      <c r="CC797" s="710"/>
      <c r="CD797" s="711" t="str">
        <f>IF(SUM(CI800:CI811)=0,"",SUM(CI800:CI811))</f>
        <v/>
      </c>
      <c r="CE797" s="219"/>
      <c r="CF797" s="217"/>
      <c r="CG797" s="217"/>
      <c r="CH797" s="217"/>
      <c r="CI797" s="217"/>
      <c r="CJ797" s="217"/>
      <c r="CK797" s="710" t="str">
        <f>IF(CK796="","",CK796/Data!$X$1)</f>
        <v/>
      </c>
      <c r="CL797" s="710"/>
      <c r="CM797" s="711" t="str">
        <f>IF(SUM(CR800:CR811)=0,"",SUM(CR800:CR811))</f>
        <v/>
      </c>
      <c r="CN797" s="219"/>
      <c r="CO797" s="217"/>
      <c r="CP797" s="217"/>
      <c r="CQ797" s="217"/>
      <c r="CR797" s="217"/>
      <c r="CS797" s="217"/>
      <c r="CT797" s="217"/>
      <c r="CU797" s="296"/>
      <c r="CV797" s="246"/>
      <c r="CW797" s="255"/>
    </row>
    <row r="798" spans="1:101" ht="13.5" thickBot="1" x14ac:dyDescent="0.25">
      <c r="A798" s="256"/>
      <c r="B798" s="256"/>
      <c r="C798" s="209"/>
      <c r="D798" s="269">
        <f>D776+1</f>
        <v>37</v>
      </c>
      <c r="E798" s="402" t="str">
        <f>IF(E797="","Sett inn dato over her",TEXT(E797,"dddd"))</f>
        <v>Sett inn dato over her</v>
      </c>
      <c r="F798" s="221"/>
      <c r="G798" s="222"/>
      <c r="H798" s="222"/>
      <c r="I798" s="802"/>
      <c r="J798" s="807"/>
      <c r="K798" s="807"/>
      <c r="L798" s="297"/>
      <c r="M798" s="373"/>
      <c r="N798" s="377"/>
      <c r="O798" s="222"/>
      <c r="P798" s="222"/>
      <c r="Q798" s="385" t="str">
        <f>Data!$E$11</f>
        <v>AHH</v>
      </c>
      <c r="R798" s="386" t="str">
        <f>IF($F811="","",RANK(Q796,$Q796:$CL796))</f>
        <v/>
      </c>
      <c r="S798" s="510"/>
      <c r="T798" s="216">
        <v>0</v>
      </c>
      <c r="U798" s="217"/>
      <c r="V798" s="217"/>
      <c r="W798" s="217"/>
      <c r="X798" s="217"/>
      <c r="Y798" s="215"/>
      <c r="Z798" s="385" t="str">
        <f>Data!$E$12</f>
        <v>RB</v>
      </c>
      <c r="AA798" s="386" t="str">
        <f>IF($F811="","",RANK(Z796,$Q796:$CL796))</f>
        <v/>
      </c>
      <c r="AB798" s="510"/>
      <c r="AC798" s="216"/>
      <c r="AD798" s="217"/>
      <c r="AE798" s="217"/>
      <c r="AF798" s="217"/>
      <c r="AG798" s="217"/>
      <c r="AH798" s="215"/>
      <c r="AI798" s="385" t="str">
        <f>Data!$E$13</f>
        <v>EB</v>
      </c>
      <c r="AJ798" s="386" t="str">
        <f>IF($F811="","",RANK(AI796,$Q796:$CL796))</f>
        <v/>
      </c>
      <c r="AK798" s="510"/>
      <c r="AL798" s="216"/>
      <c r="AM798" s="217"/>
      <c r="AN798" s="217"/>
      <c r="AO798" s="217"/>
      <c r="AP798" s="217"/>
      <c r="AQ798" s="215"/>
      <c r="AR798" s="346" t="str">
        <f>Data!$E$14</f>
        <v>KAF</v>
      </c>
      <c r="AS798" s="386" t="str">
        <f>IF($F811="","",RANK(AR796,$Q796:$CL796))</f>
        <v/>
      </c>
      <c r="AT798" s="510"/>
      <c r="AU798" s="216"/>
      <c r="AV798" s="217"/>
      <c r="AW798" s="217"/>
      <c r="AX798" s="217"/>
      <c r="AY798" s="217"/>
      <c r="AZ798" s="215"/>
      <c r="BA798" s="346" t="str">
        <f>Data!$E$15</f>
        <v>ØG</v>
      </c>
      <c r="BB798" s="386" t="str">
        <f>IF($F811="","",RANK(BA796,$Q796:$CL796))</f>
        <v/>
      </c>
      <c r="BC798" s="510"/>
      <c r="BD798" s="216"/>
      <c r="BE798" s="217"/>
      <c r="BF798" s="217"/>
      <c r="BG798" s="217"/>
      <c r="BH798" s="217"/>
      <c r="BI798" s="215"/>
      <c r="BJ798" s="346" t="str">
        <f>Data!$E$16</f>
        <v>JH</v>
      </c>
      <c r="BK798" s="386" t="str">
        <f>IF($F811="","",RANK(BJ796,$Q796:$CL796))</f>
        <v/>
      </c>
      <c r="BL798" s="510"/>
      <c r="BM798" s="216"/>
      <c r="BN798" s="217"/>
      <c r="BO798" s="217"/>
      <c r="BP798" s="217"/>
      <c r="BQ798" s="217"/>
      <c r="BR798" s="223"/>
      <c r="BS798" s="346" t="str">
        <f>Data!$E$17</f>
        <v>TOH</v>
      </c>
      <c r="BT798" s="386" t="str">
        <f>IF($F811="","",RANK(BS796,$Q796:$CL796))</f>
        <v/>
      </c>
      <c r="BU798" s="510"/>
      <c r="BV798" s="215"/>
      <c r="BW798" s="217"/>
      <c r="BX798" s="217"/>
      <c r="BY798" s="217"/>
      <c r="BZ798" s="217"/>
      <c r="CA798" s="223"/>
      <c r="CB798" s="346" t="s">
        <v>26</v>
      </c>
      <c r="CC798" s="386" t="str">
        <f>IF($F811="","",RANK(CB796,$Q796:$CM796))</f>
        <v/>
      </c>
      <c r="CD798" s="511"/>
      <c r="CE798" s="215"/>
      <c r="CF798" s="217"/>
      <c r="CG798" s="217"/>
      <c r="CH798" s="217"/>
      <c r="CI798" s="217"/>
      <c r="CJ798" s="217"/>
      <c r="CK798" s="346" t="s">
        <v>27</v>
      </c>
      <c r="CL798" s="386" t="str">
        <f>IF($F811="","",RANK(CK796,$Q796:$CM796))</f>
        <v/>
      </c>
      <c r="CM798" s="798"/>
      <c r="CN798" s="215"/>
      <c r="CO798" s="217"/>
      <c r="CP798" s="217"/>
      <c r="CQ798" s="217"/>
      <c r="CR798" s="217"/>
      <c r="CS798" s="217"/>
      <c r="CT798" s="217"/>
      <c r="CU798" s="296"/>
      <c r="CV798" s="246"/>
      <c r="CW798" s="255"/>
    </row>
    <row r="799" spans="1:101" ht="13.5" thickBot="1" x14ac:dyDescent="0.25">
      <c r="A799" s="264"/>
      <c r="B799" s="264"/>
      <c r="C799" s="202"/>
      <c r="D799" s="270"/>
      <c r="E799" s="224"/>
      <c r="F799" s="225"/>
      <c r="G799" s="226"/>
      <c r="H799" s="226"/>
      <c r="I799" s="227" t="s">
        <v>45</v>
      </c>
      <c r="J799" s="228" t="s">
        <v>46</v>
      </c>
      <c r="K799" s="229" t="s">
        <v>47</v>
      </c>
      <c r="L799" s="298"/>
      <c r="M799" s="374"/>
      <c r="N799" s="378"/>
      <c r="O799" s="230"/>
      <c r="P799" s="230"/>
      <c r="Q799" s="227" t="s">
        <v>45</v>
      </c>
      <c r="R799" s="228" t="s">
        <v>46</v>
      </c>
      <c r="S799" s="229" t="s">
        <v>47</v>
      </c>
      <c r="T799" s="231"/>
      <c r="U799" s="232"/>
      <c r="V799" s="232"/>
      <c r="W799" s="232"/>
      <c r="X799" s="232"/>
      <c r="Y799" s="230"/>
      <c r="Z799" s="227" t="s">
        <v>45</v>
      </c>
      <c r="AA799" s="228" t="s">
        <v>46</v>
      </c>
      <c r="AB799" s="229" t="s">
        <v>47</v>
      </c>
      <c r="AC799" s="231"/>
      <c r="AD799" s="232"/>
      <c r="AE799" s="232"/>
      <c r="AF799" s="232"/>
      <c r="AG799" s="232"/>
      <c r="AH799" s="230"/>
      <c r="AI799" s="227" t="s">
        <v>45</v>
      </c>
      <c r="AJ799" s="228" t="s">
        <v>46</v>
      </c>
      <c r="AK799" s="229" t="s">
        <v>47</v>
      </c>
      <c r="AL799" s="231"/>
      <c r="AM799" s="232"/>
      <c r="AN799" s="232"/>
      <c r="AO799" s="232"/>
      <c r="AP799" s="232"/>
      <c r="AQ799" s="230"/>
      <c r="AR799" s="227" t="s">
        <v>45</v>
      </c>
      <c r="AS799" s="228" t="s">
        <v>46</v>
      </c>
      <c r="AT799" s="229" t="s">
        <v>47</v>
      </c>
      <c r="AU799" s="231"/>
      <c r="AV799" s="232"/>
      <c r="AW799" s="232"/>
      <c r="AX799" s="232"/>
      <c r="AY799" s="232"/>
      <c r="AZ799" s="230"/>
      <c r="BA799" s="227" t="s">
        <v>45</v>
      </c>
      <c r="BB799" s="228" t="s">
        <v>46</v>
      </c>
      <c r="BC799" s="229" t="s">
        <v>47</v>
      </c>
      <c r="BD799" s="231"/>
      <c r="BE799" s="232"/>
      <c r="BF799" s="232"/>
      <c r="BG799" s="232"/>
      <c r="BH799" s="232"/>
      <c r="BI799" s="230"/>
      <c r="BJ799" s="227" t="s">
        <v>45</v>
      </c>
      <c r="BK799" s="228" t="s">
        <v>46</v>
      </c>
      <c r="BL799" s="229" t="s">
        <v>47</v>
      </c>
      <c r="BM799" s="231"/>
      <c r="BN799" s="232"/>
      <c r="BO799" s="232"/>
      <c r="BP799" s="232"/>
      <c r="BQ799" s="232"/>
      <c r="BR799" s="230"/>
      <c r="BS799" s="227" t="s">
        <v>45</v>
      </c>
      <c r="BT799" s="228" t="s">
        <v>46</v>
      </c>
      <c r="BU799" s="229" t="s">
        <v>47</v>
      </c>
      <c r="BV799" s="231"/>
      <c r="BW799" s="232"/>
      <c r="BX799" s="232"/>
      <c r="BY799" s="232"/>
      <c r="BZ799" s="233"/>
      <c r="CA799" s="230"/>
      <c r="CB799" s="227" t="s">
        <v>45</v>
      </c>
      <c r="CC799" s="228" t="s">
        <v>46</v>
      </c>
      <c r="CD799" s="229" t="s">
        <v>47</v>
      </c>
      <c r="CE799" s="231"/>
      <c r="CF799" s="232"/>
      <c r="CG799" s="232"/>
      <c r="CH799" s="232"/>
      <c r="CI799" s="232"/>
      <c r="CJ799" s="232"/>
      <c r="CK799" s="227" t="s">
        <v>45</v>
      </c>
      <c r="CL799" s="228" t="s">
        <v>46</v>
      </c>
      <c r="CM799" s="229" t="s">
        <v>47</v>
      </c>
      <c r="CN799" s="231"/>
      <c r="CO799" s="232"/>
      <c r="CP799" s="232"/>
      <c r="CQ799" s="232"/>
      <c r="CR799" s="232"/>
      <c r="CS799" s="232"/>
      <c r="CT799" s="234"/>
      <c r="CU799" s="296"/>
      <c r="CV799" s="246"/>
      <c r="CW799" s="265"/>
    </row>
    <row r="800" spans="1:101" x14ac:dyDescent="0.2">
      <c r="A800" s="264"/>
      <c r="B800" s="264"/>
      <c r="C800" s="202"/>
      <c r="D800" s="271">
        <v>1</v>
      </c>
      <c r="E800" s="166"/>
      <c r="F800" s="468"/>
      <c r="G800" s="472" t="s">
        <v>49</v>
      </c>
      <c r="H800" s="473"/>
      <c r="I800" s="170" t="str">
        <f t="shared" ref="I800:I811" si="1800">IF($F800&gt;$H800,"x","")</f>
        <v/>
      </c>
      <c r="J800" s="387" t="str">
        <f t="shared" ref="J800:J811" si="1801">IF(F800&lt;&gt;"",IF(H800&lt;&gt;"",IF(F800=H800,"x",""),""),"")</f>
        <v/>
      </c>
      <c r="K800" s="388" t="str">
        <f t="shared" ref="K800:K811" si="1802">IF($F800&lt;$H800,"x","")</f>
        <v/>
      </c>
      <c r="L800" s="299"/>
      <c r="M800" s="375"/>
      <c r="N800" s="379"/>
      <c r="O800" s="236"/>
      <c r="P800" s="236"/>
      <c r="Q800" s="480"/>
      <c r="R800" s="481"/>
      <c r="S800" s="482" t="str">
        <f>IF(Q800="","",100-SUM(Q800:R800))</f>
        <v/>
      </c>
      <c r="T800" s="371"/>
      <c r="U800" s="232" t="str">
        <f t="shared" ref="U800:U811" si="1803">IF($I800="x",Q800,"")</f>
        <v/>
      </c>
      <c r="V800" s="232" t="str">
        <f t="shared" ref="V800:V811" si="1804">IF($J800="x",R800,"")</f>
        <v/>
      </c>
      <c r="W800" s="232" t="str">
        <f t="shared" ref="W800:W811" si="1805">IF($K800="x",S800,"")</f>
        <v/>
      </c>
      <c r="X800" s="232" t="str">
        <f>IF((MAX(U800,V800,W800))=0,"",IF((MAX(U800,V800,W800))=(MAX(Q800,R800,S800)),1,""))</f>
        <v/>
      </c>
      <c r="Y800" s="371"/>
      <c r="Z800" s="495"/>
      <c r="AA800" s="496"/>
      <c r="AB800" s="482" t="str">
        <f t="shared" ref="AB800:AB811" si="1806">IF(Z800="","",100-SUM(Z800:AA800))</f>
        <v/>
      </c>
      <c r="AC800" s="371"/>
      <c r="AD800" s="232" t="str">
        <f t="shared" ref="AD800:AD811" si="1807">IF($I800="x",Z800,"")</f>
        <v/>
      </c>
      <c r="AE800" s="232" t="str">
        <f t="shared" ref="AE800:AE811" si="1808">IF($J800="x",AA800,"")</f>
        <v/>
      </c>
      <c r="AF800" s="232" t="str">
        <f t="shared" ref="AF800:AF811" si="1809">IF($K800="x",AB800,"")</f>
        <v/>
      </c>
      <c r="AG800" s="232" t="str">
        <f>IF((MAX(AD800,AE800,AF800))=0,"",IF((MAX(AD800,AE800,AF800))=(MAX(Z800,AA800,AB800)),1,""))</f>
        <v/>
      </c>
      <c r="AH800" s="371"/>
      <c r="AI800" s="495"/>
      <c r="AJ800" s="496"/>
      <c r="AK800" s="482" t="str">
        <f t="shared" ref="AK800:AK811" si="1810">IF(AI800="","",100-SUM(AI800:AJ800))</f>
        <v/>
      </c>
      <c r="AL800" s="371"/>
      <c r="AM800" s="232" t="str">
        <f t="shared" ref="AM800:AM811" si="1811">IF($I800="x",AI800,"")</f>
        <v/>
      </c>
      <c r="AN800" s="232" t="str">
        <f t="shared" ref="AN800:AN811" si="1812">IF($J800="x",AJ800,"")</f>
        <v/>
      </c>
      <c r="AO800" s="232" t="str">
        <f t="shared" ref="AO800:AO811" si="1813">IF($K800="x",AK800,"")</f>
        <v/>
      </c>
      <c r="AP800" s="232" t="str">
        <f>IF((MAX(AM800,AN800,AO800))=0,"",IF((MAX(AM800,AN800,AO800))=(MAX(AI800,AJ800,AK800)),1,""))</f>
        <v/>
      </c>
      <c r="AQ800" s="371"/>
      <c r="AR800" s="495"/>
      <c r="AS800" s="496"/>
      <c r="AT800" s="482" t="str">
        <f t="shared" ref="AT800:AT811" si="1814">IF(AR800="","",100-SUM(AR800:AS800))</f>
        <v/>
      </c>
      <c r="AU800" s="371"/>
      <c r="AV800" s="232" t="str">
        <f t="shared" ref="AV800:AV811" si="1815">IF($I800="x",AR800,"")</f>
        <v/>
      </c>
      <c r="AW800" s="232" t="str">
        <f t="shared" ref="AW800:AW811" si="1816">IF($J800="x",AS800,"")</f>
        <v/>
      </c>
      <c r="AX800" s="232" t="str">
        <f t="shared" ref="AX800:AX811" si="1817">IF($K800="x",AT800,"")</f>
        <v/>
      </c>
      <c r="AY800" s="232" t="str">
        <f>IF((MAX(AV800,AW800,AX800))=0,"",IF((MAX(AV800,AW800,AX800))=(MAX(AR800,AS800,AT800)),1,""))</f>
        <v/>
      </c>
      <c r="AZ800" s="371"/>
      <c r="BA800" s="495"/>
      <c r="BB800" s="496"/>
      <c r="BC800" s="482" t="str">
        <f t="shared" ref="BC800:BC811" si="1818">IF(BA800="","",100-SUM(BA800:BB800))</f>
        <v/>
      </c>
      <c r="BD800" s="371"/>
      <c r="BE800" s="232" t="str">
        <f t="shared" ref="BE800:BE811" si="1819">IF($I800="x",BA800,"")</f>
        <v/>
      </c>
      <c r="BF800" s="232" t="str">
        <f t="shared" ref="BF800:BF811" si="1820">IF($J800="x",BB800,"")</f>
        <v/>
      </c>
      <c r="BG800" s="232" t="str">
        <f t="shared" ref="BG800:BG811" si="1821">IF($K800="x",BC800,"")</f>
        <v/>
      </c>
      <c r="BH800" s="232" t="str">
        <f>IF((MAX(BE800,BF800,BG800))=0,"",IF((MAX(BE800,BF800,BG800))=(MAX(BA800,BB800,BC800)),1,""))</f>
        <v/>
      </c>
      <c r="BI800" s="371"/>
      <c r="BJ800" s="495"/>
      <c r="BK800" s="496"/>
      <c r="BL800" s="482" t="str">
        <f t="shared" ref="BL800:BL811" si="1822">IF(BJ800="","",100-SUM(BJ800:BK800))</f>
        <v/>
      </c>
      <c r="BM800" s="371"/>
      <c r="BN800" s="232" t="str">
        <f t="shared" ref="BN800:BN811" si="1823">IF($I800="x",BJ800,"")</f>
        <v/>
      </c>
      <c r="BO800" s="232" t="str">
        <f t="shared" ref="BO800:BO811" si="1824">IF($J800="x",BK800,"")</f>
        <v/>
      </c>
      <c r="BP800" s="232" t="str">
        <f t="shared" ref="BP800:BP811" si="1825">IF($K800="x",BL800,"")</f>
        <v/>
      </c>
      <c r="BQ800" s="232" t="str">
        <f>IF((MAX(BN800,BO800,BP800))=0,"",IF((MAX(BN800,BO800,BP800))=(MAX(BJ800,BK800,BL800)),1,""))</f>
        <v/>
      </c>
      <c r="BR800" s="371"/>
      <c r="BS800" s="495"/>
      <c r="BT800" s="496"/>
      <c r="BU800" s="482" t="str">
        <f t="shared" ref="BU800:BU811" si="1826">IF(BS800="","",100-SUM(BS800:BT800))</f>
        <v/>
      </c>
      <c r="BV800" s="371"/>
      <c r="BW800" s="232" t="str">
        <f t="shared" ref="BW800:BW811" si="1827">IF($I800="x",BS800,"")</f>
        <v/>
      </c>
      <c r="BX800" s="232" t="str">
        <f t="shared" ref="BX800:BX811" si="1828">IF($J800="x",BT800,"")</f>
        <v/>
      </c>
      <c r="BY800" s="232" t="str">
        <f t="shared" ref="BY800:BY811" si="1829">IF($K800="x",BU800,"")</f>
        <v/>
      </c>
      <c r="BZ800" s="232" t="str">
        <f>IF((MAX(BW800,BX800,BY800))=0,"",IF((MAX(BW800,BX800,BY800))=(MAX(BS800,BT800,BU800)),1,""))</f>
        <v/>
      </c>
      <c r="CA800" s="371"/>
      <c r="CB800" s="501" t="str">
        <f t="shared" ref="CB800:CB811" si="1830">IFERROR(ROUNDUP((SUM(Q800,Z800,AI800,AR800,BA800,BJ800,BS800)/SUM($Q800:$S800,$Z800:$AB800,$AI800:$AK800,$AR800:$AT800,$BA800:$BC800,$BJ800:$BL800,$BS800:$BU800))*100,-1),"")</f>
        <v/>
      </c>
      <c r="CC800" s="502" t="str">
        <f t="shared" ref="CC800:CC811" si="1831">IFERROR(ROUNDDOWN((SUM(R800,AA800,AJ800,AS800,BB800,BK800,BT800)/SUM($Q800:$S800,$Z800:$AB800,$AI800:$AK800,$AR800:$AT800,$BA800:$BC800,$BJ800:$BL800,$BS800:$BU800))*100,-1),"")</f>
        <v/>
      </c>
      <c r="CD800" s="503" t="str">
        <f t="shared" ref="CD800:CD811" si="1832">IF(CB800="","",100-SUM(CB800:CC800))</f>
        <v/>
      </c>
      <c r="CE800" s="371"/>
      <c r="CF800" s="232" t="str">
        <f t="shared" ref="CF800:CF811" si="1833">IF($I800="x",CB800,"")</f>
        <v/>
      </c>
      <c r="CG800" s="232" t="str">
        <f t="shared" ref="CG800:CG811" si="1834">IF($J800="x",CC800,"")</f>
        <v/>
      </c>
      <c r="CH800" s="232" t="str">
        <f t="shared" ref="CH800:CH811" si="1835">IF($K800="x",CD800,"")</f>
        <v/>
      </c>
      <c r="CI800" s="232" t="str">
        <f>IF((MAX(CF800,CG800,CH800))=0,"",IF((MAX(CF800,CG800,CH800))=(MAX(CB800,CC800,CD800)),1,""))</f>
        <v/>
      </c>
      <c r="CJ800" s="232"/>
      <c r="CK800" s="495"/>
      <c r="CL800" s="496"/>
      <c r="CM800" s="482" t="str">
        <f t="shared" ref="CM800:CM811" si="1836">IF(CK800="","",100-SUM(CK800:CL800))</f>
        <v/>
      </c>
      <c r="CN800" s="371"/>
      <c r="CO800" s="232" t="str">
        <f t="shared" ref="CO800:CO811" si="1837">IF($I800="x",CK800,"")</f>
        <v/>
      </c>
      <c r="CP800" s="232" t="str">
        <f t="shared" ref="CP800:CP811" si="1838">IF($J800="x",CL800,"")</f>
        <v/>
      </c>
      <c r="CQ800" s="232" t="str">
        <f t="shared" ref="CQ800:CQ811" si="1839">IF($K800="x",CM800,"")</f>
        <v/>
      </c>
      <c r="CR800" s="232" t="str">
        <f>IF((MAX(CO800,CP800,CQ800))=0,"",IF((MAX(CO800,CP800,CQ800))=(MAX(CK800,CL800,CM800)),1,""))</f>
        <v/>
      </c>
      <c r="CS800" s="232"/>
      <c r="CT800" s="371"/>
      <c r="CU800" s="296"/>
      <c r="CV800" s="246"/>
      <c r="CW800" s="264"/>
    </row>
    <row r="801" spans="1:101" x14ac:dyDescent="0.2">
      <c r="A801" s="264"/>
      <c r="B801" s="264"/>
      <c r="C801" s="202"/>
      <c r="D801" s="271">
        <v>2</v>
      </c>
      <c r="E801" s="167"/>
      <c r="F801" s="469"/>
      <c r="G801" s="474" t="s">
        <v>49</v>
      </c>
      <c r="H801" s="475"/>
      <c r="I801" s="389" t="str">
        <f t="shared" si="1800"/>
        <v/>
      </c>
      <c r="J801" s="390" t="str">
        <f t="shared" si="1801"/>
        <v/>
      </c>
      <c r="K801" s="391" t="str">
        <f t="shared" si="1802"/>
        <v/>
      </c>
      <c r="L801" s="299"/>
      <c r="M801" s="375"/>
      <c r="N801" s="379"/>
      <c r="O801" s="236"/>
      <c r="P801" s="236"/>
      <c r="Q801" s="483"/>
      <c r="R801" s="484"/>
      <c r="S801" s="485" t="str">
        <f t="shared" ref="S801:S811" si="1840">IF(Q801="","",100-SUM(Q801:R801))</f>
        <v/>
      </c>
      <c r="T801" s="371"/>
      <c r="U801" s="232" t="str">
        <f t="shared" si="1803"/>
        <v/>
      </c>
      <c r="V801" s="232" t="str">
        <f t="shared" si="1804"/>
        <v/>
      </c>
      <c r="W801" s="232" t="str">
        <f t="shared" si="1805"/>
        <v/>
      </c>
      <c r="X801" s="232" t="str">
        <f t="shared" ref="X801:X811" si="1841">IF((MAX(U801,V801,W801))=0,"",IF((MAX(U801,V801,W801))=(MAX(Q801,R801,S801)),1,""))</f>
        <v/>
      </c>
      <c r="Y801" s="371"/>
      <c r="Z801" s="497"/>
      <c r="AA801" s="498"/>
      <c r="AB801" s="485" t="str">
        <f t="shared" si="1806"/>
        <v/>
      </c>
      <c r="AC801" s="371"/>
      <c r="AD801" s="232" t="str">
        <f t="shared" si="1807"/>
        <v/>
      </c>
      <c r="AE801" s="232" t="str">
        <f t="shared" si="1808"/>
        <v/>
      </c>
      <c r="AF801" s="232" t="str">
        <f t="shared" si="1809"/>
        <v/>
      </c>
      <c r="AG801" s="232" t="str">
        <f t="shared" ref="AG801:AG811" si="1842">IF((MAX(AD801,AE801,AF801))=0,"",IF((MAX(AD801,AE801,AF801))=(MAX(Z801,AA801,AB801)),1,""))</f>
        <v/>
      </c>
      <c r="AH801" s="371"/>
      <c r="AI801" s="497"/>
      <c r="AJ801" s="498"/>
      <c r="AK801" s="485" t="str">
        <f t="shared" si="1810"/>
        <v/>
      </c>
      <c r="AL801" s="371"/>
      <c r="AM801" s="232" t="str">
        <f t="shared" si="1811"/>
        <v/>
      </c>
      <c r="AN801" s="232" t="str">
        <f t="shared" si="1812"/>
        <v/>
      </c>
      <c r="AO801" s="232" t="str">
        <f t="shared" si="1813"/>
        <v/>
      </c>
      <c r="AP801" s="232" t="str">
        <f t="shared" ref="AP801:AP811" si="1843">IF((MAX(AM801,AN801,AO801))=0,"",IF((MAX(AM801,AN801,AO801))=(MAX(AI801,AJ801,AK801)),1,""))</f>
        <v/>
      </c>
      <c r="AQ801" s="371"/>
      <c r="AR801" s="497"/>
      <c r="AS801" s="498"/>
      <c r="AT801" s="485" t="str">
        <f t="shared" si="1814"/>
        <v/>
      </c>
      <c r="AU801" s="371"/>
      <c r="AV801" s="232" t="str">
        <f t="shared" si="1815"/>
        <v/>
      </c>
      <c r="AW801" s="232" t="str">
        <f t="shared" si="1816"/>
        <v/>
      </c>
      <c r="AX801" s="232" t="str">
        <f t="shared" si="1817"/>
        <v/>
      </c>
      <c r="AY801" s="232" t="str">
        <f t="shared" ref="AY801:AY811" si="1844">IF((MAX(AV801,AW801,AX801))=0,"",IF((MAX(AV801,AW801,AX801))=(MAX(AR801,AS801,AT801)),1,""))</f>
        <v/>
      </c>
      <c r="AZ801" s="371"/>
      <c r="BA801" s="497"/>
      <c r="BB801" s="498"/>
      <c r="BC801" s="485" t="str">
        <f t="shared" si="1818"/>
        <v/>
      </c>
      <c r="BD801" s="371"/>
      <c r="BE801" s="232" t="str">
        <f t="shared" si="1819"/>
        <v/>
      </c>
      <c r="BF801" s="232" t="str">
        <f t="shared" si="1820"/>
        <v/>
      </c>
      <c r="BG801" s="232" t="str">
        <f t="shared" si="1821"/>
        <v/>
      </c>
      <c r="BH801" s="232" t="str">
        <f t="shared" ref="BH801:BH811" si="1845">IF((MAX(BE801,BF801,BG801))=0,"",IF((MAX(BE801,BF801,BG801))=(MAX(BA801,BB801,BC801)),1,""))</f>
        <v/>
      </c>
      <c r="BI801" s="371"/>
      <c r="BJ801" s="497"/>
      <c r="BK801" s="498"/>
      <c r="BL801" s="485" t="str">
        <f t="shared" si="1822"/>
        <v/>
      </c>
      <c r="BM801" s="371"/>
      <c r="BN801" s="232" t="str">
        <f t="shared" si="1823"/>
        <v/>
      </c>
      <c r="BO801" s="232" t="str">
        <f t="shared" si="1824"/>
        <v/>
      </c>
      <c r="BP801" s="232" t="str">
        <f t="shared" si="1825"/>
        <v/>
      </c>
      <c r="BQ801" s="232" t="str">
        <f t="shared" ref="BQ801:BQ811" si="1846">IF((MAX(BN801,BO801,BP801))=0,"",IF((MAX(BN801,BO801,BP801))=(MAX(BJ801,BK801,BL801)),1,""))</f>
        <v/>
      </c>
      <c r="BR801" s="371"/>
      <c r="BS801" s="497"/>
      <c r="BT801" s="498"/>
      <c r="BU801" s="485" t="str">
        <f t="shared" si="1826"/>
        <v/>
      </c>
      <c r="BV801" s="371"/>
      <c r="BW801" s="232" t="str">
        <f t="shared" si="1827"/>
        <v/>
      </c>
      <c r="BX801" s="232" t="str">
        <f t="shared" si="1828"/>
        <v/>
      </c>
      <c r="BY801" s="232" t="str">
        <f t="shared" si="1829"/>
        <v/>
      </c>
      <c r="BZ801" s="232" t="str">
        <f t="shared" ref="BZ801:BZ811" si="1847">IF((MAX(BW801,BX801,BY801))=0,"",IF((MAX(BW801,BX801,BY801))=(MAX(BS801,BT801,BU801)),1,""))</f>
        <v/>
      </c>
      <c r="CA801" s="371"/>
      <c r="CB801" s="504" t="str">
        <f t="shared" si="1830"/>
        <v/>
      </c>
      <c r="CC801" s="505" t="str">
        <f t="shared" si="1831"/>
        <v/>
      </c>
      <c r="CD801" s="506" t="str">
        <f t="shared" si="1832"/>
        <v/>
      </c>
      <c r="CE801" s="371"/>
      <c r="CF801" s="232" t="str">
        <f t="shared" si="1833"/>
        <v/>
      </c>
      <c r="CG801" s="232" t="str">
        <f t="shared" si="1834"/>
        <v/>
      </c>
      <c r="CH801" s="232" t="str">
        <f t="shared" si="1835"/>
        <v/>
      </c>
      <c r="CI801" s="232" t="str">
        <f t="shared" ref="CI801:CI811" si="1848">IF((MAX(CF801,CG801,CH801))=0,"",IF((MAX(CF801,CG801,CH801))=(MAX(CB801,CC801,CD801)),1,""))</f>
        <v/>
      </c>
      <c r="CJ801" s="232"/>
      <c r="CK801" s="497"/>
      <c r="CL801" s="498"/>
      <c r="CM801" s="485" t="str">
        <f t="shared" si="1836"/>
        <v/>
      </c>
      <c r="CN801" s="371"/>
      <c r="CO801" s="232" t="str">
        <f t="shared" si="1837"/>
        <v/>
      </c>
      <c r="CP801" s="232" t="str">
        <f t="shared" si="1838"/>
        <v/>
      </c>
      <c r="CQ801" s="232" t="str">
        <f t="shared" si="1839"/>
        <v/>
      </c>
      <c r="CR801" s="232" t="str">
        <f t="shared" ref="CR801:CR811" si="1849">IF((MAX(CO801,CP801,CQ801))=0,"",IF((MAX(CO801,CP801,CQ801))=(MAX(CK801,CL801,CM801)),1,""))</f>
        <v/>
      </c>
      <c r="CS801" s="232"/>
      <c r="CT801" s="371"/>
      <c r="CU801" s="296"/>
      <c r="CV801" s="246"/>
      <c r="CW801" s="264"/>
    </row>
    <row r="802" spans="1:101" ht="13.5" thickBot="1" x14ac:dyDescent="0.25">
      <c r="A802" s="264"/>
      <c r="B802" s="264"/>
      <c r="C802" s="202"/>
      <c r="D802" s="271">
        <v>3</v>
      </c>
      <c r="E802" s="168"/>
      <c r="F802" s="470"/>
      <c r="G802" s="476" t="s">
        <v>49</v>
      </c>
      <c r="H802" s="477"/>
      <c r="I802" s="392" t="str">
        <f t="shared" si="1800"/>
        <v/>
      </c>
      <c r="J802" s="393" t="str">
        <f t="shared" si="1801"/>
        <v/>
      </c>
      <c r="K802" s="394" t="str">
        <f t="shared" si="1802"/>
        <v/>
      </c>
      <c r="L802" s="299"/>
      <c r="M802" s="375"/>
      <c r="N802" s="379"/>
      <c r="O802" s="236"/>
      <c r="P802" s="236"/>
      <c r="Q802" s="486"/>
      <c r="R802" s="487"/>
      <c r="S802" s="488" t="str">
        <f t="shared" si="1840"/>
        <v/>
      </c>
      <c r="T802" s="371"/>
      <c r="U802" s="232" t="str">
        <f t="shared" si="1803"/>
        <v/>
      </c>
      <c r="V802" s="232" t="str">
        <f t="shared" si="1804"/>
        <v/>
      </c>
      <c r="W802" s="232" t="str">
        <f t="shared" si="1805"/>
        <v/>
      </c>
      <c r="X802" s="232" t="str">
        <f t="shared" si="1841"/>
        <v/>
      </c>
      <c r="Y802" s="371"/>
      <c r="Z802" s="499"/>
      <c r="AA802" s="500"/>
      <c r="AB802" s="488" t="str">
        <f t="shared" si="1806"/>
        <v/>
      </c>
      <c r="AC802" s="371"/>
      <c r="AD802" s="232" t="str">
        <f t="shared" si="1807"/>
        <v/>
      </c>
      <c r="AE802" s="232" t="str">
        <f t="shared" si="1808"/>
        <v/>
      </c>
      <c r="AF802" s="232" t="str">
        <f t="shared" si="1809"/>
        <v/>
      </c>
      <c r="AG802" s="232" t="str">
        <f t="shared" si="1842"/>
        <v/>
      </c>
      <c r="AH802" s="371"/>
      <c r="AI802" s="499"/>
      <c r="AJ802" s="500"/>
      <c r="AK802" s="488" t="str">
        <f t="shared" si="1810"/>
        <v/>
      </c>
      <c r="AL802" s="371"/>
      <c r="AM802" s="232" t="str">
        <f t="shared" si="1811"/>
        <v/>
      </c>
      <c r="AN802" s="232" t="str">
        <f t="shared" si="1812"/>
        <v/>
      </c>
      <c r="AO802" s="232" t="str">
        <f t="shared" si="1813"/>
        <v/>
      </c>
      <c r="AP802" s="232" t="str">
        <f t="shared" si="1843"/>
        <v/>
      </c>
      <c r="AQ802" s="371"/>
      <c r="AR802" s="499"/>
      <c r="AS802" s="500"/>
      <c r="AT802" s="488" t="str">
        <f t="shared" si="1814"/>
        <v/>
      </c>
      <c r="AU802" s="371"/>
      <c r="AV802" s="232" t="str">
        <f t="shared" si="1815"/>
        <v/>
      </c>
      <c r="AW802" s="232" t="str">
        <f t="shared" si="1816"/>
        <v/>
      </c>
      <c r="AX802" s="232" t="str">
        <f t="shared" si="1817"/>
        <v/>
      </c>
      <c r="AY802" s="232" t="str">
        <f t="shared" si="1844"/>
        <v/>
      </c>
      <c r="AZ802" s="371"/>
      <c r="BA802" s="499"/>
      <c r="BB802" s="500"/>
      <c r="BC802" s="488" t="str">
        <f t="shared" si="1818"/>
        <v/>
      </c>
      <c r="BD802" s="371"/>
      <c r="BE802" s="232" t="str">
        <f t="shared" si="1819"/>
        <v/>
      </c>
      <c r="BF802" s="232" t="str">
        <f t="shared" si="1820"/>
        <v/>
      </c>
      <c r="BG802" s="232" t="str">
        <f t="shared" si="1821"/>
        <v/>
      </c>
      <c r="BH802" s="232" t="str">
        <f t="shared" si="1845"/>
        <v/>
      </c>
      <c r="BI802" s="371"/>
      <c r="BJ802" s="499"/>
      <c r="BK802" s="500"/>
      <c r="BL802" s="488" t="str">
        <f t="shared" si="1822"/>
        <v/>
      </c>
      <c r="BM802" s="371"/>
      <c r="BN802" s="232" t="str">
        <f t="shared" si="1823"/>
        <v/>
      </c>
      <c r="BO802" s="232" t="str">
        <f t="shared" si="1824"/>
        <v/>
      </c>
      <c r="BP802" s="232" t="str">
        <f t="shared" si="1825"/>
        <v/>
      </c>
      <c r="BQ802" s="232" t="str">
        <f t="shared" si="1846"/>
        <v/>
      </c>
      <c r="BR802" s="371"/>
      <c r="BS802" s="499"/>
      <c r="BT802" s="500"/>
      <c r="BU802" s="488" t="str">
        <f t="shared" si="1826"/>
        <v/>
      </c>
      <c r="BV802" s="371"/>
      <c r="BW802" s="232" t="str">
        <f t="shared" si="1827"/>
        <v/>
      </c>
      <c r="BX802" s="232" t="str">
        <f t="shared" si="1828"/>
        <v/>
      </c>
      <c r="BY802" s="232" t="str">
        <f t="shared" si="1829"/>
        <v/>
      </c>
      <c r="BZ802" s="232" t="str">
        <f t="shared" si="1847"/>
        <v/>
      </c>
      <c r="CA802" s="371"/>
      <c r="CB802" s="507" t="str">
        <f t="shared" si="1830"/>
        <v/>
      </c>
      <c r="CC802" s="508" t="str">
        <f t="shared" si="1831"/>
        <v/>
      </c>
      <c r="CD802" s="509" t="str">
        <f t="shared" si="1832"/>
        <v/>
      </c>
      <c r="CE802" s="371"/>
      <c r="CF802" s="232" t="str">
        <f t="shared" si="1833"/>
        <v/>
      </c>
      <c r="CG802" s="232" t="str">
        <f t="shared" si="1834"/>
        <v/>
      </c>
      <c r="CH802" s="232" t="str">
        <f t="shared" si="1835"/>
        <v/>
      </c>
      <c r="CI802" s="232" t="str">
        <f t="shared" si="1848"/>
        <v/>
      </c>
      <c r="CJ802" s="232"/>
      <c r="CK802" s="499"/>
      <c r="CL802" s="500"/>
      <c r="CM802" s="488" t="str">
        <f t="shared" si="1836"/>
        <v/>
      </c>
      <c r="CN802" s="371"/>
      <c r="CO802" s="232" t="str">
        <f t="shared" si="1837"/>
        <v/>
      </c>
      <c r="CP802" s="232" t="str">
        <f t="shared" si="1838"/>
        <v/>
      </c>
      <c r="CQ802" s="232" t="str">
        <f t="shared" si="1839"/>
        <v/>
      </c>
      <c r="CR802" s="232" t="str">
        <f t="shared" si="1849"/>
        <v/>
      </c>
      <c r="CS802" s="232"/>
      <c r="CT802" s="371"/>
      <c r="CU802" s="296"/>
      <c r="CV802" s="246"/>
      <c r="CW802" s="264"/>
    </row>
    <row r="803" spans="1:101" x14ac:dyDescent="0.2">
      <c r="A803" s="264"/>
      <c r="B803" s="264"/>
      <c r="C803" s="202"/>
      <c r="D803" s="271">
        <v>4</v>
      </c>
      <c r="E803" s="166"/>
      <c r="F803" s="468"/>
      <c r="G803" s="472" t="s">
        <v>49</v>
      </c>
      <c r="H803" s="473"/>
      <c r="I803" s="170" t="str">
        <f t="shared" si="1800"/>
        <v/>
      </c>
      <c r="J803" s="387" t="str">
        <f t="shared" si="1801"/>
        <v/>
      </c>
      <c r="K803" s="388" t="str">
        <f t="shared" si="1802"/>
        <v/>
      </c>
      <c r="L803" s="299"/>
      <c r="M803" s="375"/>
      <c r="N803" s="379"/>
      <c r="O803" s="236"/>
      <c r="P803" s="236"/>
      <c r="Q803" s="480"/>
      <c r="R803" s="481"/>
      <c r="S803" s="482" t="str">
        <f t="shared" si="1840"/>
        <v/>
      </c>
      <c r="T803" s="371"/>
      <c r="U803" s="232" t="str">
        <f t="shared" si="1803"/>
        <v/>
      </c>
      <c r="V803" s="232" t="str">
        <f t="shared" si="1804"/>
        <v/>
      </c>
      <c r="W803" s="232" t="str">
        <f t="shared" si="1805"/>
        <v/>
      </c>
      <c r="X803" s="232" t="str">
        <f t="shared" si="1841"/>
        <v/>
      </c>
      <c r="Y803" s="371"/>
      <c r="Z803" s="495"/>
      <c r="AA803" s="496"/>
      <c r="AB803" s="482" t="str">
        <f t="shared" si="1806"/>
        <v/>
      </c>
      <c r="AC803" s="371"/>
      <c r="AD803" s="232" t="str">
        <f t="shared" si="1807"/>
        <v/>
      </c>
      <c r="AE803" s="232" t="str">
        <f t="shared" si="1808"/>
        <v/>
      </c>
      <c r="AF803" s="232" t="str">
        <f t="shared" si="1809"/>
        <v/>
      </c>
      <c r="AG803" s="232" t="str">
        <f t="shared" si="1842"/>
        <v/>
      </c>
      <c r="AH803" s="371"/>
      <c r="AI803" s="495"/>
      <c r="AJ803" s="496"/>
      <c r="AK803" s="482" t="str">
        <f t="shared" si="1810"/>
        <v/>
      </c>
      <c r="AL803" s="371"/>
      <c r="AM803" s="232" t="str">
        <f t="shared" si="1811"/>
        <v/>
      </c>
      <c r="AN803" s="232" t="str">
        <f t="shared" si="1812"/>
        <v/>
      </c>
      <c r="AO803" s="232" t="str">
        <f t="shared" si="1813"/>
        <v/>
      </c>
      <c r="AP803" s="232" t="str">
        <f t="shared" si="1843"/>
        <v/>
      </c>
      <c r="AQ803" s="371"/>
      <c r="AR803" s="495"/>
      <c r="AS803" s="496"/>
      <c r="AT803" s="482" t="str">
        <f t="shared" si="1814"/>
        <v/>
      </c>
      <c r="AU803" s="371"/>
      <c r="AV803" s="232" t="str">
        <f t="shared" si="1815"/>
        <v/>
      </c>
      <c r="AW803" s="232" t="str">
        <f t="shared" si="1816"/>
        <v/>
      </c>
      <c r="AX803" s="232" t="str">
        <f t="shared" si="1817"/>
        <v/>
      </c>
      <c r="AY803" s="232" t="str">
        <f t="shared" si="1844"/>
        <v/>
      </c>
      <c r="AZ803" s="371"/>
      <c r="BA803" s="495"/>
      <c r="BB803" s="496"/>
      <c r="BC803" s="482" t="str">
        <f t="shared" si="1818"/>
        <v/>
      </c>
      <c r="BD803" s="371"/>
      <c r="BE803" s="232" t="str">
        <f t="shared" si="1819"/>
        <v/>
      </c>
      <c r="BF803" s="232" t="str">
        <f t="shared" si="1820"/>
        <v/>
      </c>
      <c r="BG803" s="232" t="str">
        <f t="shared" si="1821"/>
        <v/>
      </c>
      <c r="BH803" s="232" t="str">
        <f t="shared" si="1845"/>
        <v/>
      </c>
      <c r="BI803" s="371"/>
      <c r="BJ803" s="495"/>
      <c r="BK803" s="496"/>
      <c r="BL803" s="482" t="str">
        <f t="shared" si="1822"/>
        <v/>
      </c>
      <c r="BM803" s="371"/>
      <c r="BN803" s="232" t="str">
        <f t="shared" si="1823"/>
        <v/>
      </c>
      <c r="BO803" s="232" t="str">
        <f t="shared" si="1824"/>
        <v/>
      </c>
      <c r="BP803" s="232" t="str">
        <f t="shared" si="1825"/>
        <v/>
      </c>
      <c r="BQ803" s="232" t="str">
        <f t="shared" si="1846"/>
        <v/>
      </c>
      <c r="BR803" s="371"/>
      <c r="BS803" s="495"/>
      <c r="BT803" s="496"/>
      <c r="BU803" s="482" t="str">
        <f t="shared" si="1826"/>
        <v/>
      </c>
      <c r="BV803" s="371"/>
      <c r="BW803" s="232" t="str">
        <f t="shared" si="1827"/>
        <v/>
      </c>
      <c r="BX803" s="232" t="str">
        <f t="shared" si="1828"/>
        <v/>
      </c>
      <c r="BY803" s="232" t="str">
        <f t="shared" si="1829"/>
        <v/>
      </c>
      <c r="BZ803" s="232" t="str">
        <f t="shared" si="1847"/>
        <v/>
      </c>
      <c r="CA803" s="371"/>
      <c r="CB803" s="501" t="str">
        <f t="shared" si="1830"/>
        <v/>
      </c>
      <c r="CC803" s="502" t="str">
        <f t="shared" si="1831"/>
        <v/>
      </c>
      <c r="CD803" s="503" t="str">
        <f t="shared" si="1832"/>
        <v/>
      </c>
      <c r="CE803" s="371"/>
      <c r="CF803" s="232" t="str">
        <f t="shared" si="1833"/>
        <v/>
      </c>
      <c r="CG803" s="232" t="str">
        <f t="shared" si="1834"/>
        <v/>
      </c>
      <c r="CH803" s="232" t="str">
        <f t="shared" si="1835"/>
        <v/>
      </c>
      <c r="CI803" s="232" t="str">
        <f t="shared" si="1848"/>
        <v/>
      </c>
      <c r="CJ803" s="232"/>
      <c r="CK803" s="495"/>
      <c r="CL803" s="496"/>
      <c r="CM803" s="482" t="str">
        <f t="shared" si="1836"/>
        <v/>
      </c>
      <c r="CN803" s="371"/>
      <c r="CO803" s="232" t="str">
        <f t="shared" si="1837"/>
        <v/>
      </c>
      <c r="CP803" s="232" t="str">
        <f t="shared" si="1838"/>
        <v/>
      </c>
      <c r="CQ803" s="232" t="str">
        <f t="shared" si="1839"/>
        <v/>
      </c>
      <c r="CR803" s="232" t="str">
        <f t="shared" si="1849"/>
        <v/>
      </c>
      <c r="CS803" s="232"/>
      <c r="CT803" s="371"/>
      <c r="CU803" s="296"/>
      <c r="CV803" s="246"/>
      <c r="CW803" s="264"/>
    </row>
    <row r="804" spans="1:101" x14ac:dyDescent="0.2">
      <c r="A804" s="264"/>
      <c r="B804" s="264"/>
      <c r="C804" s="202"/>
      <c r="D804" s="271">
        <v>5</v>
      </c>
      <c r="E804" s="167"/>
      <c r="F804" s="469"/>
      <c r="G804" s="474" t="s">
        <v>49</v>
      </c>
      <c r="H804" s="475"/>
      <c r="I804" s="389" t="str">
        <f t="shared" si="1800"/>
        <v/>
      </c>
      <c r="J804" s="390" t="str">
        <f t="shared" si="1801"/>
        <v/>
      </c>
      <c r="K804" s="391" t="str">
        <f t="shared" si="1802"/>
        <v/>
      </c>
      <c r="L804" s="299"/>
      <c r="M804" s="375"/>
      <c r="N804" s="379"/>
      <c r="O804" s="236"/>
      <c r="P804" s="236"/>
      <c r="Q804" s="483"/>
      <c r="R804" s="484"/>
      <c r="S804" s="485" t="str">
        <f t="shared" si="1840"/>
        <v/>
      </c>
      <c r="T804" s="371"/>
      <c r="U804" s="232" t="str">
        <f t="shared" si="1803"/>
        <v/>
      </c>
      <c r="V804" s="232" t="str">
        <f t="shared" si="1804"/>
        <v/>
      </c>
      <c r="W804" s="232" t="str">
        <f t="shared" si="1805"/>
        <v/>
      </c>
      <c r="X804" s="232" t="str">
        <f t="shared" si="1841"/>
        <v/>
      </c>
      <c r="Y804" s="371"/>
      <c r="Z804" s="497"/>
      <c r="AA804" s="498"/>
      <c r="AB804" s="485" t="str">
        <f t="shared" si="1806"/>
        <v/>
      </c>
      <c r="AC804" s="371"/>
      <c r="AD804" s="232" t="str">
        <f t="shared" si="1807"/>
        <v/>
      </c>
      <c r="AE804" s="232" t="str">
        <f t="shared" si="1808"/>
        <v/>
      </c>
      <c r="AF804" s="232" t="str">
        <f t="shared" si="1809"/>
        <v/>
      </c>
      <c r="AG804" s="232" t="str">
        <f t="shared" si="1842"/>
        <v/>
      </c>
      <c r="AH804" s="371"/>
      <c r="AI804" s="497"/>
      <c r="AJ804" s="498"/>
      <c r="AK804" s="485" t="str">
        <f t="shared" si="1810"/>
        <v/>
      </c>
      <c r="AL804" s="371"/>
      <c r="AM804" s="232" t="str">
        <f t="shared" si="1811"/>
        <v/>
      </c>
      <c r="AN804" s="232" t="str">
        <f t="shared" si="1812"/>
        <v/>
      </c>
      <c r="AO804" s="232" t="str">
        <f t="shared" si="1813"/>
        <v/>
      </c>
      <c r="AP804" s="232" t="str">
        <f t="shared" si="1843"/>
        <v/>
      </c>
      <c r="AQ804" s="371"/>
      <c r="AR804" s="497"/>
      <c r="AS804" s="498"/>
      <c r="AT804" s="485" t="str">
        <f t="shared" si="1814"/>
        <v/>
      </c>
      <c r="AU804" s="371"/>
      <c r="AV804" s="232" t="str">
        <f t="shared" si="1815"/>
        <v/>
      </c>
      <c r="AW804" s="232" t="str">
        <f t="shared" si="1816"/>
        <v/>
      </c>
      <c r="AX804" s="232" t="str">
        <f t="shared" si="1817"/>
        <v/>
      </c>
      <c r="AY804" s="232" t="str">
        <f t="shared" si="1844"/>
        <v/>
      </c>
      <c r="AZ804" s="371"/>
      <c r="BA804" s="497"/>
      <c r="BB804" s="498"/>
      <c r="BC804" s="485" t="str">
        <f t="shared" si="1818"/>
        <v/>
      </c>
      <c r="BD804" s="371"/>
      <c r="BE804" s="232" t="str">
        <f t="shared" si="1819"/>
        <v/>
      </c>
      <c r="BF804" s="232" t="str">
        <f t="shared" si="1820"/>
        <v/>
      </c>
      <c r="BG804" s="232" t="str">
        <f t="shared" si="1821"/>
        <v/>
      </c>
      <c r="BH804" s="232" t="str">
        <f t="shared" si="1845"/>
        <v/>
      </c>
      <c r="BI804" s="371"/>
      <c r="BJ804" s="497"/>
      <c r="BK804" s="498"/>
      <c r="BL804" s="485" t="str">
        <f t="shared" si="1822"/>
        <v/>
      </c>
      <c r="BM804" s="371"/>
      <c r="BN804" s="232" t="str">
        <f t="shared" si="1823"/>
        <v/>
      </c>
      <c r="BO804" s="232" t="str">
        <f t="shared" si="1824"/>
        <v/>
      </c>
      <c r="BP804" s="232" t="str">
        <f t="shared" si="1825"/>
        <v/>
      </c>
      <c r="BQ804" s="232" t="str">
        <f t="shared" si="1846"/>
        <v/>
      </c>
      <c r="BR804" s="371"/>
      <c r="BS804" s="497"/>
      <c r="BT804" s="498"/>
      <c r="BU804" s="485" t="str">
        <f t="shared" si="1826"/>
        <v/>
      </c>
      <c r="BV804" s="371"/>
      <c r="BW804" s="232" t="str">
        <f t="shared" si="1827"/>
        <v/>
      </c>
      <c r="BX804" s="232" t="str">
        <f t="shared" si="1828"/>
        <v/>
      </c>
      <c r="BY804" s="232" t="str">
        <f t="shared" si="1829"/>
        <v/>
      </c>
      <c r="BZ804" s="232" t="str">
        <f t="shared" si="1847"/>
        <v/>
      </c>
      <c r="CA804" s="371"/>
      <c r="CB804" s="504" t="str">
        <f t="shared" si="1830"/>
        <v/>
      </c>
      <c r="CC804" s="505" t="str">
        <f t="shared" si="1831"/>
        <v/>
      </c>
      <c r="CD804" s="506" t="str">
        <f t="shared" si="1832"/>
        <v/>
      </c>
      <c r="CE804" s="371"/>
      <c r="CF804" s="232" t="str">
        <f t="shared" si="1833"/>
        <v/>
      </c>
      <c r="CG804" s="232" t="str">
        <f t="shared" si="1834"/>
        <v/>
      </c>
      <c r="CH804" s="232" t="str">
        <f t="shared" si="1835"/>
        <v/>
      </c>
      <c r="CI804" s="232" t="str">
        <f t="shared" si="1848"/>
        <v/>
      </c>
      <c r="CJ804" s="232"/>
      <c r="CK804" s="497"/>
      <c r="CL804" s="498"/>
      <c r="CM804" s="485" t="str">
        <f t="shared" si="1836"/>
        <v/>
      </c>
      <c r="CN804" s="371"/>
      <c r="CO804" s="232" t="str">
        <f t="shared" si="1837"/>
        <v/>
      </c>
      <c r="CP804" s="232" t="str">
        <f t="shared" si="1838"/>
        <v/>
      </c>
      <c r="CQ804" s="232" t="str">
        <f t="shared" si="1839"/>
        <v/>
      </c>
      <c r="CR804" s="232" t="str">
        <f t="shared" si="1849"/>
        <v/>
      </c>
      <c r="CS804" s="232"/>
      <c r="CT804" s="371"/>
      <c r="CU804" s="296"/>
      <c r="CV804" s="246"/>
      <c r="CW804" s="264"/>
    </row>
    <row r="805" spans="1:101" ht="13.5" thickBot="1" x14ac:dyDescent="0.25">
      <c r="A805" s="264"/>
      <c r="B805" s="264"/>
      <c r="C805" s="202"/>
      <c r="D805" s="271">
        <v>6</v>
      </c>
      <c r="E805" s="168"/>
      <c r="F805" s="470"/>
      <c r="G805" s="476" t="s">
        <v>49</v>
      </c>
      <c r="H805" s="477"/>
      <c r="I805" s="392" t="str">
        <f t="shared" si="1800"/>
        <v/>
      </c>
      <c r="J805" s="393" t="str">
        <f t="shared" si="1801"/>
        <v/>
      </c>
      <c r="K805" s="394" t="str">
        <f t="shared" si="1802"/>
        <v/>
      </c>
      <c r="L805" s="299"/>
      <c r="M805" s="375"/>
      <c r="N805" s="379"/>
      <c r="O805" s="236"/>
      <c r="P805" s="236"/>
      <c r="Q805" s="489"/>
      <c r="R805" s="490"/>
      <c r="S805" s="491" t="str">
        <f t="shared" si="1840"/>
        <v/>
      </c>
      <c r="T805" s="371"/>
      <c r="U805" s="232" t="str">
        <f t="shared" si="1803"/>
        <v/>
      </c>
      <c r="V805" s="232" t="str">
        <f t="shared" si="1804"/>
        <v/>
      </c>
      <c r="W805" s="232" t="str">
        <f t="shared" si="1805"/>
        <v/>
      </c>
      <c r="X805" s="232" t="str">
        <f t="shared" si="1841"/>
        <v/>
      </c>
      <c r="Y805" s="371"/>
      <c r="Z805" s="499"/>
      <c r="AA805" s="500"/>
      <c r="AB805" s="491" t="str">
        <f t="shared" si="1806"/>
        <v/>
      </c>
      <c r="AC805" s="371"/>
      <c r="AD805" s="232" t="str">
        <f t="shared" si="1807"/>
        <v/>
      </c>
      <c r="AE805" s="232" t="str">
        <f t="shared" si="1808"/>
        <v/>
      </c>
      <c r="AF805" s="232" t="str">
        <f t="shared" si="1809"/>
        <v/>
      </c>
      <c r="AG805" s="232" t="str">
        <f t="shared" si="1842"/>
        <v/>
      </c>
      <c r="AH805" s="371"/>
      <c r="AI805" s="499"/>
      <c r="AJ805" s="500"/>
      <c r="AK805" s="491" t="str">
        <f t="shared" si="1810"/>
        <v/>
      </c>
      <c r="AL805" s="371"/>
      <c r="AM805" s="232" t="str">
        <f t="shared" si="1811"/>
        <v/>
      </c>
      <c r="AN805" s="232" t="str">
        <f t="shared" si="1812"/>
        <v/>
      </c>
      <c r="AO805" s="232" t="str">
        <f t="shared" si="1813"/>
        <v/>
      </c>
      <c r="AP805" s="232" t="str">
        <f t="shared" si="1843"/>
        <v/>
      </c>
      <c r="AQ805" s="371"/>
      <c r="AR805" s="499"/>
      <c r="AS805" s="500"/>
      <c r="AT805" s="491" t="str">
        <f t="shared" si="1814"/>
        <v/>
      </c>
      <c r="AU805" s="371"/>
      <c r="AV805" s="232" t="str">
        <f t="shared" si="1815"/>
        <v/>
      </c>
      <c r="AW805" s="232" t="str">
        <f t="shared" si="1816"/>
        <v/>
      </c>
      <c r="AX805" s="232" t="str">
        <f t="shared" si="1817"/>
        <v/>
      </c>
      <c r="AY805" s="232" t="str">
        <f t="shared" si="1844"/>
        <v/>
      </c>
      <c r="AZ805" s="371"/>
      <c r="BA805" s="499"/>
      <c r="BB805" s="500"/>
      <c r="BC805" s="491" t="str">
        <f t="shared" si="1818"/>
        <v/>
      </c>
      <c r="BD805" s="371"/>
      <c r="BE805" s="232" t="str">
        <f t="shared" si="1819"/>
        <v/>
      </c>
      <c r="BF805" s="232" t="str">
        <f t="shared" si="1820"/>
        <v/>
      </c>
      <c r="BG805" s="232" t="str">
        <f t="shared" si="1821"/>
        <v/>
      </c>
      <c r="BH805" s="232" t="str">
        <f t="shared" si="1845"/>
        <v/>
      </c>
      <c r="BI805" s="371"/>
      <c r="BJ805" s="499"/>
      <c r="BK805" s="500"/>
      <c r="BL805" s="491" t="str">
        <f t="shared" si="1822"/>
        <v/>
      </c>
      <c r="BM805" s="371"/>
      <c r="BN805" s="232" t="str">
        <f t="shared" si="1823"/>
        <v/>
      </c>
      <c r="BO805" s="232" t="str">
        <f t="shared" si="1824"/>
        <v/>
      </c>
      <c r="BP805" s="232" t="str">
        <f t="shared" si="1825"/>
        <v/>
      </c>
      <c r="BQ805" s="232" t="str">
        <f t="shared" si="1846"/>
        <v/>
      </c>
      <c r="BR805" s="371"/>
      <c r="BS805" s="499"/>
      <c r="BT805" s="500"/>
      <c r="BU805" s="491" t="str">
        <f t="shared" si="1826"/>
        <v/>
      </c>
      <c r="BV805" s="371"/>
      <c r="BW805" s="232" t="str">
        <f t="shared" si="1827"/>
        <v/>
      </c>
      <c r="BX805" s="232" t="str">
        <f t="shared" si="1828"/>
        <v/>
      </c>
      <c r="BY805" s="232" t="str">
        <f t="shared" si="1829"/>
        <v/>
      </c>
      <c r="BZ805" s="232" t="str">
        <f t="shared" si="1847"/>
        <v/>
      </c>
      <c r="CA805" s="371"/>
      <c r="CB805" s="507" t="str">
        <f t="shared" si="1830"/>
        <v/>
      </c>
      <c r="CC805" s="508" t="str">
        <f t="shared" si="1831"/>
        <v/>
      </c>
      <c r="CD805" s="509" t="str">
        <f t="shared" si="1832"/>
        <v/>
      </c>
      <c r="CE805" s="371"/>
      <c r="CF805" s="232" t="str">
        <f t="shared" si="1833"/>
        <v/>
      </c>
      <c r="CG805" s="232" t="str">
        <f t="shared" si="1834"/>
        <v/>
      </c>
      <c r="CH805" s="232" t="str">
        <f t="shared" si="1835"/>
        <v/>
      </c>
      <c r="CI805" s="232" t="str">
        <f t="shared" si="1848"/>
        <v/>
      </c>
      <c r="CJ805" s="232"/>
      <c r="CK805" s="499"/>
      <c r="CL805" s="500"/>
      <c r="CM805" s="491" t="str">
        <f t="shared" si="1836"/>
        <v/>
      </c>
      <c r="CN805" s="371"/>
      <c r="CO805" s="232" t="str">
        <f t="shared" si="1837"/>
        <v/>
      </c>
      <c r="CP805" s="232" t="str">
        <f t="shared" si="1838"/>
        <v/>
      </c>
      <c r="CQ805" s="232" t="str">
        <f t="shared" si="1839"/>
        <v/>
      </c>
      <c r="CR805" s="232" t="str">
        <f t="shared" si="1849"/>
        <v/>
      </c>
      <c r="CS805" s="232"/>
      <c r="CT805" s="371"/>
      <c r="CU805" s="296"/>
      <c r="CV805" s="246"/>
      <c r="CW805" s="264"/>
    </row>
    <row r="806" spans="1:101" x14ac:dyDescent="0.2">
      <c r="A806" s="264"/>
      <c r="B806" s="264"/>
      <c r="C806" s="202"/>
      <c r="D806" s="271">
        <v>7</v>
      </c>
      <c r="E806" s="166"/>
      <c r="F806" s="468"/>
      <c r="G806" s="472" t="s">
        <v>49</v>
      </c>
      <c r="H806" s="473"/>
      <c r="I806" s="170" t="str">
        <f t="shared" si="1800"/>
        <v/>
      </c>
      <c r="J806" s="387" t="str">
        <f t="shared" si="1801"/>
        <v/>
      </c>
      <c r="K806" s="388" t="str">
        <f t="shared" si="1802"/>
        <v/>
      </c>
      <c r="L806" s="299"/>
      <c r="M806" s="375"/>
      <c r="N806" s="379"/>
      <c r="O806" s="236"/>
      <c r="P806" s="236"/>
      <c r="Q806" s="480"/>
      <c r="R806" s="481"/>
      <c r="S806" s="482" t="str">
        <f t="shared" si="1840"/>
        <v/>
      </c>
      <c r="T806" s="371"/>
      <c r="U806" s="232" t="str">
        <f t="shared" si="1803"/>
        <v/>
      </c>
      <c r="V806" s="232" t="str">
        <f t="shared" si="1804"/>
        <v/>
      </c>
      <c r="W806" s="232" t="str">
        <f t="shared" si="1805"/>
        <v/>
      </c>
      <c r="X806" s="232" t="str">
        <f t="shared" si="1841"/>
        <v/>
      </c>
      <c r="Y806" s="371"/>
      <c r="Z806" s="495"/>
      <c r="AA806" s="496"/>
      <c r="AB806" s="482" t="str">
        <f t="shared" si="1806"/>
        <v/>
      </c>
      <c r="AC806" s="371"/>
      <c r="AD806" s="232" t="str">
        <f t="shared" si="1807"/>
        <v/>
      </c>
      <c r="AE806" s="232" t="str">
        <f t="shared" si="1808"/>
        <v/>
      </c>
      <c r="AF806" s="232" t="str">
        <f t="shared" si="1809"/>
        <v/>
      </c>
      <c r="AG806" s="232" t="str">
        <f t="shared" si="1842"/>
        <v/>
      </c>
      <c r="AH806" s="371"/>
      <c r="AI806" s="495"/>
      <c r="AJ806" s="496"/>
      <c r="AK806" s="482" t="str">
        <f t="shared" si="1810"/>
        <v/>
      </c>
      <c r="AL806" s="371"/>
      <c r="AM806" s="232" t="str">
        <f t="shared" si="1811"/>
        <v/>
      </c>
      <c r="AN806" s="232" t="str">
        <f t="shared" si="1812"/>
        <v/>
      </c>
      <c r="AO806" s="232" t="str">
        <f t="shared" si="1813"/>
        <v/>
      </c>
      <c r="AP806" s="232" t="str">
        <f t="shared" si="1843"/>
        <v/>
      </c>
      <c r="AQ806" s="371"/>
      <c r="AR806" s="495"/>
      <c r="AS806" s="496"/>
      <c r="AT806" s="482" t="str">
        <f t="shared" si="1814"/>
        <v/>
      </c>
      <c r="AU806" s="371"/>
      <c r="AV806" s="232" t="str">
        <f t="shared" si="1815"/>
        <v/>
      </c>
      <c r="AW806" s="232" t="str">
        <f t="shared" si="1816"/>
        <v/>
      </c>
      <c r="AX806" s="232" t="str">
        <f t="shared" si="1817"/>
        <v/>
      </c>
      <c r="AY806" s="232" t="str">
        <f t="shared" si="1844"/>
        <v/>
      </c>
      <c r="AZ806" s="371"/>
      <c r="BA806" s="495"/>
      <c r="BB806" s="496"/>
      <c r="BC806" s="482" t="str">
        <f t="shared" si="1818"/>
        <v/>
      </c>
      <c r="BD806" s="371"/>
      <c r="BE806" s="232" t="str">
        <f t="shared" si="1819"/>
        <v/>
      </c>
      <c r="BF806" s="232" t="str">
        <f t="shared" si="1820"/>
        <v/>
      </c>
      <c r="BG806" s="232" t="str">
        <f t="shared" si="1821"/>
        <v/>
      </c>
      <c r="BH806" s="232" t="str">
        <f t="shared" si="1845"/>
        <v/>
      </c>
      <c r="BI806" s="371"/>
      <c r="BJ806" s="495"/>
      <c r="BK806" s="496"/>
      <c r="BL806" s="482" t="str">
        <f t="shared" si="1822"/>
        <v/>
      </c>
      <c r="BM806" s="371"/>
      <c r="BN806" s="232" t="str">
        <f t="shared" si="1823"/>
        <v/>
      </c>
      <c r="BO806" s="232" t="str">
        <f t="shared" si="1824"/>
        <v/>
      </c>
      <c r="BP806" s="232" t="str">
        <f t="shared" si="1825"/>
        <v/>
      </c>
      <c r="BQ806" s="232" t="str">
        <f t="shared" si="1846"/>
        <v/>
      </c>
      <c r="BR806" s="371"/>
      <c r="BS806" s="495"/>
      <c r="BT806" s="496"/>
      <c r="BU806" s="482" t="str">
        <f t="shared" si="1826"/>
        <v/>
      </c>
      <c r="BV806" s="371"/>
      <c r="BW806" s="232" t="str">
        <f t="shared" si="1827"/>
        <v/>
      </c>
      <c r="BX806" s="232" t="str">
        <f t="shared" si="1828"/>
        <v/>
      </c>
      <c r="BY806" s="232" t="str">
        <f t="shared" si="1829"/>
        <v/>
      </c>
      <c r="BZ806" s="232" t="str">
        <f t="shared" si="1847"/>
        <v/>
      </c>
      <c r="CA806" s="371"/>
      <c r="CB806" s="501" t="str">
        <f t="shared" si="1830"/>
        <v/>
      </c>
      <c r="CC806" s="502" t="str">
        <f t="shared" si="1831"/>
        <v/>
      </c>
      <c r="CD806" s="503" t="str">
        <f t="shared" si="1832"/>
        <v/>
      </c>
      <c r="CE806" s="371"/>
      <c r="CF806" s="232" t="str">
        <f t="shared" si="1833"/>
        <v/>
      </c>
      <c r="CG806" s="232" t="str">
        <f t="shared" si="1834"/>
        <v/>
      </c>
      <c r="CH806" s="232" t="str">
        <f t="shared" si="1835"/>
        <v/>
      </c>
      <c r="CI806" s="232" t="str">
        <f t="shared" si="1848"/>
        <v/>
      </c>
      <c r="CJ806" s="232"/>
      <c r="CK806" s="495"/>
      <c r="CL806" s="496"/>
      <c r="CM806" s="482" t="str">
        <f t="shared" si="1836"/>
        <v/>
      </c>
      <c r="CN806" s="371"/>
      <c r="CO806" s="232" t="str">
        <f t="shared" si="1837"/>
        <v/>
      </c>
      <c r="CP806" s="232" t="str">
        <f t="shared" si="1838"/>
        <v/>
      </c>
      <c r="CQ806" s="232" t="str">
        <f t="shared" si="1839"/>
        <v/>
      </c>
      <c r="CR806" s="232" t="str">
        <f t="shared" si="1849"/>
        <v/>
      </c>
      <c r="CS806" s="232"/>
      <c r="CT806" s="371"/>
      <c r="CU806" s="300"/>
      <c r="CV806" s="246"/>
      <c r="CW806" s="264"/>
    </row>
    <row r="807" spans="1:101" x14ac:dyDescent="0.2">
      <c r="A807" s="264"/>
      <c r="B807" s="264"/>
      <c r="C807" s="202"/>
      <c r="D807" s="271">
        <v>8</v>
      </c>
      <c r="E807" s="167"/>
      <c r="F807" s="469"/>
      <c r="G807" s="474" t="s">
        <v>49</v>
      </c>
      <c r="H807" s="475"/>
      <c r="I807" s="389" t="str">
        <f t="shared" si="1800"/>
        <v/>
      </c>
      <c r="J807" s="390" t="str">
        <f t="shared" si="1801"/>
        <v/>
      </c>
      <c r="K807" s="391" t="str">
        <f t="shared" si="1802"/>
        <v/>
      </c>
      <c r="L807" s="299"/>
      <c r="M807" s="375"/>
      <c r="N807" s="379"/>
      <c r="O807" s="236"/>
      <c r="P807" s="236"/>
      <c r="Q807" s="483"/>
      <c r="R807" s="484"/>
      <c r="S807" s="485" t="str">
        <f t="shared" si="1840"/>
        <v/>
      </c>
      <c r="T807" s="371"/>
      <c r="U807" s="232" t="str">
        <f t="shared" si="1803"/>
        <v/>
      </c>
      <c r="V807" s="232" t="str">
        <f t="shared" si="1804"/>
        <v/>
      </c>
      <c r="W807" s="232" t="str">
        <f t="shared" si="1805"/>
        <v/>
      </c>
      <c r="X807" s="232" t="str">
        <f t="shared" si="1841"/>
        <v/>
      </c>
      <c r="Y807" s="371"/>
      <c r="Z807" s="497"/>
      <c r="AA807" s="498"/>
      <c r="AB807" s="485" t="str">
        <f t="shared" si="1806"/>
        <v/>
      </c>
      <c r="AC807" s="371"/>
      <c r="AD807" s="232" t="str">
        <f t="shared" si="1807"/>
        <v/>
      </c>
      <c r="AE807" s="232" t="str">
        <f t="shared" si="1808"/>
        <v/>
      </c>
      <c r="AF807" s="232" t="str">
        <f t="shared" si="1809"/>
        <v/>
      </c>
      <c r="AG807" s="232" t="str">
        <f t="shared" si="1842"/>
        <v/>
      </c>
      <c r="AH807" s="371"/>
      <c r="AI807" s="497"/>
      <c r="AJ807" s="498"/>
      <c r="AK807" s="485" t="str">
        <f t="shared" si="1810"/>
        <v/>
      </c>
      <c r="AL807" s="371"/>
      <c r="AM807" s="232" t="str">
        <f t="shared" si="1811"/>
        <v/>
      </c>
      <c r="AN807" s="232" t="str">
        <f t="shared" si="1812"/>
        <v/>
      </c>
      <c r="AO807" s="232" t="str">
        <f t="shared" si="1813"/>
        <v/>
      </c>
      <c r="AP807" s="232" t="str">
        <f t="shared" si="1843"/>
        <v/>
      </c>
      <c r="AQ807" s="371"/>
      <c r="AR807" s="497"/>
      <c r="AS807" s="498"/>
      <c r="AT807" s="485" t="str">
        <f t="shared" si="1814"/>
        <v/>
      </c>
      <c r="AU807" s="371"/>
      <c r="AV807" s="232" t="str">
        <f t="shared" si="1815"/>
        <v/>
      </c>
      <c r="AW807" s="232" t="str">
        <f t="shared" si="1816"/>
        <v/>
      </c>
      <c r="AX807" s="232" t="str">
        <f t="shared" si="1817"/>
        <v/>
      </c>
      <c r="AY807" s="232" t="str">
        <f t="shared" si="1844"/>
        <v/>
      </c>
      <c r="AZ807" s="371"/>
      <c r="BA807" s="497"/>
      <c r="BB807" s="498"/>
      <c r="BC807" s="485" t="str">
        <f t="shared" si="1818"/>
        <v/>
      </c>
      <c r="BD807" s="371"/>
      <c r="BE807" s="232" t="str">
        <f t="shared" si="1819"/>
        <v/>
      </c>
      <c r="BF807" s="232" t="str">
        <f t="shared" si="1820"/>
        <v/>
      </c>
      <c r="BG807" s="232" t="str">
        <f t="shared" si="1821"/>
        <v/>
      </c>
      <c r="BH807" s="232" t="str">
        <f t="shared" si="1845"/>
        <v/>
      </c>
      <c r="BI807" s="371"/>
      <c r="BJ807" s="497"/>
      <c r="BK807" s="498"/>
      <c r="BL807" s="485" t="str">
        <f t="shared" si="1822"/>
        <v/>
      </c>
      <c r="BM807" s="371"/>
      <c r="BN807" s="232" t="str">
        <f t="shared" si="1823"/>
        <v/>
      </c>
      <c r="BO807" s="232" t="str">
        <f t="shared" si="1824"/>
        <v/>
      </c>
      <c r="BP807" s="232" t="str">
        <f t="shared" si="1825"/>
        <v/>
      </c>
      <c r="BQ807" s="232" t="str">
        <f t="shared" si="1846"/>
        <v/>
      </c>
      <c r="BR807" s="371"/>
      <c r="BS807" s="497"/>
      <c r="BT807" s="498"/>
      <c r="BU807" s="485" t="str">
        <f t="shared" si="1826"/>
        <v/>
      </c>
      <c r="BV807" s="371"/>
      <c r="BW807" s="232" t="str">
        <f t="shared" si="1827"/>
        <v/>
      </c>
      <c r="BX807" s="232" t="str">
        <f t="shared" si="1828"/>
        <v/>
      </c>
      <c r="BY807" s="232" t="str">
        <f t="shared" si="1829"/>
        <v/>
      </c>
      <c r="BZ807" s="232" t="str">
        <f t="shared" si="1847"/>
        <v/>
      </c>
      <c r="CA807" s="371"/>
      <c r="CB807" s="504" t="str">
        <f t="shared" si="1830"/>
        <v/>
      </c>
      <c r="CC807" s="505" t="str">
        <f t="shared" si="1831"/>
        <v/>
      </c>
      <c r="CD807" s="506" t="str">
        <f t="shared" si="1832"/>
        <v/>
      </c>
      <c r="CE807" s="371"/>
      <c r="CF807" s="232" t="str">
        <f t="shared" si="1833"/>
        <v/>
      </c>
      <c r="CG807" s="232" t="str">
        <f t="shared" si="1834"/>
        <v/>
      </c>
      <c r="CH807" s="232" t="str">
        <f t="shared" si="1835"/>
        <v/>
      </c>
      <c r="CI807" s="232" t="str">
        <f t="shared" si="1848"/>
        <v/>
      </c>
      <c r="CJ807" s="232"/>
      <c r="CK807" s="497"/>
      <c r="CL807" s="498"/>
      <c r="CM807" s="485" t="str">
        <f t="shared" si="1836"/>
        <v/>
      </c>
      <c r="CN807" s="371"/>
      <c r="CO807" s="232" t="str">
        <f t="shared" si="1837"/>
        <v/>
      </c>
      <c r="CP807" s="232" t="str">
        <f t="shared" si="1838"/>
        <v/>
      </c>
      <c r="CQ807" s="232" t="str">
        <f t="shared" si="1839"/>
        <v/>
      </c>
      <c r="CR807" s="232" t="str">
        <f t="shared" si="1849"/>
        <v/>
      </c>
      <c r="CS807" s="232"/>
      <c r="CT807" s="371"/>
      <c r="CU807" s="300"/>
      <c r="CV807" s="246"/>
      <c r="CW807" s="264"/>
    </row>
    <row r="808" spans="1:101" ht="13.5" thickBot="1" x14ac:dyDescent="0.25">
      <c r="A808" s="264"/>
      <c r="B808" s="264"/>
      <c r="C808" s="202"/>
      <c r="D808" s="271">
        <v>9</v>
      </c>
      <c r="E808" s="168"/>
      <c r="F808" s="470"/>
      <c r="G808" s="476" t="s">
        <v>49</v>
      </c>
      <c r="H808" s="477"/>
      <c r="I808" s="392" t="str">
        <f t="shared" si="1800"/>
        <v/>
      </c>
      <c r="J808" s="393" t="str">
        <f t="shared" si="1801"/>
        <v/>
      </c>
      <c r="K808" s="394" t="str">
        <f t="shared" si="1802"/>
        <v/>
      </c>
      <c r="L808" s="299"/>
      <c r="M808" s="375"/>
      <c r="N808" s="379"/>
      <c r="O808" s="236"/>
      <c r="P808" s="236"/>
      <c r="Q808" s="489"/>
      <c r="R808" s="490"/>
      <c r="S808" s="491" t="str">
        <f t="shared" si="1840"/>
        <v/>
      </c>
      <c r="T808" s="371"/>
      <c r="U808" s="232" t="str">
        <f t="shared" si="1803"/>
        <v/>
      </c>
      <c r="V808" s="232" t="str">
        <f t="shared" si="1804"/>
        <v/>
      </c>
      <c r="W808" s="232" t="str">
        <f t="shared" si="1805"/>
        <v/>
      </c>
      <c r="X808" s="232" t="str">
        <f t="shared" si="1841"/>
        <v/>
      </c>
      <c r="Y808" s="371"/>
      <c r="Z808" s="499"/>
      <c r="AA808" s="500"/>
      <c r="AB808" s="491" t="str">
        <f t="shared" si="1806"/>
        <v/>
      </c>
      <c r="AC808" s="371"/>
      <c r="AD808" s="232" t="str">
        <f t="shared" si="1807"/>
        <v/>
      </c>
      <c r="AE808" s="232" t="str">
        <f t="shared" si="1808"/>
        <v/>
      </c>
      <c r="AF808" s="232" t="str">
        <f t="shared" si="1809"/>
        <v/>
      </c>
      <c r="AG808" s="232" t="str">
        <f t="shared" si="1842"/>
        <v/>
      </c>
      <c r="AH808" s="371"/>
      <c r="AI808" s="499"/>
      <c r="AJ808" s="500"/>
      <c r="AK808" s="491" t="str">
        <f t="shared" si="1810"/>
        <v/>
      </c>
      <c r="AL808" s="371"/>
      <c r="AM808" s="232" t="str">
        <f t="shared" si="1811"/>
        <v/>
      </c>
      <c r="AN808" s="232" t="str">
        <f t="shared" si="1812"/>
        <v/>
      </c>
      <c r="AO808" s="232" t="str">
        <f t="shared" si="1813"/>
        <v/>
      </c>
      <c r="AP808" s="232" t="str">
        <f t="shared" si="1843"/>
        <v/>
      </c>
      <c r="AQ808" s="371"/>
      <c r="AR808" s="499"/>
      <c r="AS808" s="500"/>
      <c r="AT808" s="491" t="str">
        <f t="shared" si="1814"/>
        <v/>
      </c>
      <c r="AU808" s="371"/>
      <c r="AV808" s="232" t="str">
        <f t="shared" si="1815"/>
        <v/>
      </c>
      <c r="AW808" s="232" t="str">
        <f t="shared" si="1816"/>
        <v/>
      </c>
      <c r="AX808" s="232" t="str">
        <f t="shared" si="1817"/>
        <v/>
      </c>
      <c r="AY808" s="232" t="str">
        <f t="shared" si="1844"/>
        <v/>
      </c>
      <c r="AZ808" s="371"/>
      <c r="BA808" s="499"/>
      <c r="BB808" s="500"/>
      <c r="BC808" s="491" t="str">
        <f t="shared" si="1818"/>
        <v/>
      </c>
      <c r="BD808" s="371"/>
      <c r="BE808" s="232" t="str">
        <f t="shared" si="1819"/>
        <v/>
      </c>
      <c r="BF808" s="232" t="str">
        <f t="shared" si="1820"/>
        <v/>
      </c>
      <c r="BG808" s="232" t="str">
        <f t="shared" si="1821"/>
        <v/>
      </c>
      <c r="BH808" s="232" t="str">
        <f t="shared" si="1845"/>
        <v/>
      </c>
      <c r="BI808" s="371"/>
      <c r="BJ808" s="499"/>
      <c r="BK808" s="500"/>
      <c r="BL808" s="491" t="str">
        <f t="shared" si="1822"/>
        <v/>
      </c>
      <c r="BM808" s="371"/>
      <c r="BN808" s="232" t="str">
        <f t="shared" si="1823"/>
        <v/>
      </c>
      <c r="BO808" s="232" t="str">
        <f t="shared" si="1824"/>
        <v/>
      </c>
      <c r="BP808" s="232" t="str">
        <f t="shared" si="1825"/>
        <v/>
      </c>
      <c r="BQ808" s="232" t="str">
        <f t="shared" si="1846"/>
        <v/>
      </c>
      <c r="BR808" s="371"/>
      <c r="BS808" s="499"/>
      <c r="BT808" s="500"/>
      <c r="BU808" s="491" t="str">
        <f t="shared" si="1826"/>
        <v/>
      </c>
      <c r="BV808" s="371"/>
      <c r="BW808" s="232" t="str">
        <f t="shared" si="1827"/>
        <v/>
      </c>
      <c r="BX808" s="232" t="str">
        <f t="shared" si="1828"/>
        <v/>
      </c>
      <c r="BY808" s="232" t="str">
        <f t="shared" si="1829"/>
        <v/>
      </c>
      <c r="BZ808" s="232" t="str">
        <f t="shared" si="1847"/>
        <v/>
      </c>
      <c r="CA808" s="371"/>
      <c r="CB808" s="507" t="str">
        <f t="shared" si="1830"/>
        <v/>
      </c>
      <c r="CC808" s="508" t="str">
        <f t="shared" si="1831"/>
        <v/>
      </c>
      <c r="CD808" s="509" t="str">
        <f t="shared" si="1832"/>
        <v/>
      </c>
      <c r="CE808" s="371"/>
      <c r="CF808" s="232" t="str">
        <f t="shared" si="1833"/>
        <v/>
      </c>
      <c r="CG808" s="232" t="str">
        <f t="shared" si="1834"/>
        <v/>
      </c>
      <c r="CH808" s="232" t="str">
        <f t="shared" si="1835"/>
        <v/>
      </c>
      <c r="CI808" s="232" t="str">
        <f t="shared" si="1848"/>
        <v/>
      </c>
      <c r="CJ808" s="232"/>
      <c r="CK808" s="499"/>
      <c r="CL808" s="500"/>
      <c r="CM808" s="491" t="str">
        <f t="shared" si="1836"/>
        <v/>
      </c>
      <c r="CN808" s="371"/>
      <c r="CO808" s="232" t="str">
        <f t="shared" si="1837"/>
        <v/>
      </c>
      <c r="CP808" s="232" t="str">
        <f t="shared" si="1838"/>
        <v/>
      </c>
      <c r="CQ808" s="232" t="str">
        <f t="shared" si="1839"/>
        <v/>
      </c>
      <c r="CR808" s="232" t="str">
        <f t="shared" si="1849"/>
        <v/>
      </c>
      <c r="CS808" s="232"/>
      <c r="CT808" s="371"/>
      <c r="CU808" s="300"/>
      <c r="CV808" s="246"/>
      <c r="CW808" s="264"/>
    </row>
    <row r="809" spans="1:101" x14ac:dyDescent="0.2">
      <c r="A809" s="264"/>
      <c r="B809" s="264"/>
      <c r="C809" s="202"/>
      <c r="D809" s="271">
        <v>10</v>
      </c>
      <c r="E809" s="169"/>
      <c r="F809" s="471"/>
      <c r="G809" s="478" t="s">
        <v>49</v>
      </c>
      <c r="H809" s="479"/>
      <c r="I809" s="170" t="str">
        <f t="shared" si="1800"/>
        <v/>
      </c>
      <c r="J809" s="387" t="str">
        <f t="shared" si="1801"/>
        <v/>
      </c>
      <c r="K809" s="388" t="str">
        <f t="shared" si="1802"/>
        <v/>
      </c>
      <c r="L809" s="299"/>
      <c r="M809" s="375"/>
      <c r="N809" s="379"/>
      <c r="O809" s="236"/>
      <c r="P809" s="236"/>
      <c r="Q809" s="492"/>
      <c r="R809" s="493"/>
      <c r="S809" s="494" t="str">
        <f t="shared" si="1840"/>
        <v/>
      </c>
      <c r="T809" s="371"/>
      <c r="U809" s="232" t="str">
        <f t="shared" si="1803"/>
        <v/>
      </c>
      <c r="V809" s="232" t="str">
        <f t="shared" si="1804"/>
        <v/>
      </c>
      <c r="W809" s="232" t="str">
        <f t="shared" si="1805"/>
        <v/>
      </c>
      <c r="X809" s="232" t="str">
        <f t="shared" si="1841"/>
        <v/>
      </c>
      <c r="Y809" s="371"/>
      <c r="Z809" s="495"/>
      <c r="AA809" s="496"/>
      <c r="AB809" s="494" t="str">
        <f t="shared" si="1806"/>
        <v/>
      </c>
      <c r="AC809" s="371"/>
      <c r="AD809" s="232" t="str">
        <f t="shared" si="1807"/>
        <v/>
      </c>
      <c r="AE809" s="232" t="str">
        <f t="shared" si="1808"/>
        <v/>
      </c>
      <c r="AF809" s="232" t="str">
        <f t="shared" si="1809"/>
        <v/>
      </c>
      <c r="AG809" s="232" t="str">
        <f t="shared" si="1842"/>
        <v/>
      </c>
      <c r="AH809" s="371"/>
      <c r="AI809" s="495"/>
      <c r="AJ809" s="496"/>
      <c r="AK809" s="494" t="str">
        <f t="shared" si="1810"/>
        <v/>
      </c>
      <c r="AL809" s="371"/>
      <c r="AM809" s="232" t="str">
        <f t="shared" si="1811"/>
        <v/>
      </c>
      <c r="AN809" s="232" t="str">
        <f t="shared" si="1812"/>
        <v/>
      </c>
      <c r="AO809" s="232" t="str">
        <f t="shared" si="1813"/>
        <v/>
      </c>
      <c r="AP809" s="232" t="str">
        <f t="shared" si="1843"/>
        <v/>
      </c>
      <c r="AQ809" s="371"/>
      <c r="AR809" s="495"/>
      <c r="AS809" s="496"/>
      <c r="AT809" s="494" t="str">
        <f t="shared" si="1814"/>
        <v/>
      </c>
      <c r="AU809" s="371"/>
      <c r="AV809" s="232" t="str">
        <f t="shared" si="1815"/>
        <v/>
      </c>
      <c r="AW809" s="232" t="str">
        <f t="shared" si="1816"/>
        <v/>
      </c>
      <c r="AX809" s="232" t="str">
        <f t="shared" si="1817"/>
        <v/>
      </c>
      <c r="AY809" s="232" t="str">
        <f t="shared" si="1844"/>
        <v/>
      </c>
      <c r="AZ809" s="371"/>
      <c r="BA809" s="495"/>
      <c r="BB809" s="496"/>
      <c r="BC809" s="494" t="str">
        <f t="shared" si="1818"/>
        <v/>
      </c>
      <c r="BD809" s="371"/>
      <c r="BE809" s="232" t="str">
        <f t="shared" si="1819"/>
        <v/>
      </c>
      <c r="BF809" s="232" t="str">
        <f t="shared" si="1820"/>
        <v/>
      </c>
      <c r="BG809" s="232" t="str">
        <f t="shared" si="1821"/>
        <v/>
      </c>
      <c r="BH809" s="232" t="str">
        <f t="shared" si="1845"/>
        <v/>
      </c>
      <c r="BI809" s="371"/>
      <c r="BJ809" s="495"/>
      <c r="BK809" s="496"/>
      <c r="BL809" s="494" t="str">
        <f t="shared" si="1822"/>
        <v/>
      </c>
      <c r="BM809" s="371"/>
      <c r="BN809" s="232" t="str">
        <f t="shared" si="1823"/>
        <v/>
      </c>
      <c r="BO809" s="232" t="str">
        <f t="shared" si="1824"/>
        <v/>
      </c>
      <c r="BP809" s="232" t="str">
        <f t="shared" si="1825"/>
        <v/>
      </c>
      <c r="BQ809" s="232" t="str">
        <f t="shared" si="1846"/>
        <v/>
      </c>
      <c r="BR809" s="371"/>
      <c r="BS809" s="495"/>
      <c r="BT809" s="496"/>
      <c r="BU809" s="494" t="str">
        <f t="shared" si="1826"/>
        <v/>
      </c>
      <c r="BV809" s="371"/>
      <c r="BW809" s="232" t="str">
        <f t="shared" si="1827"/>
        <v/>
      </c>
      <c r="BX809" s="232" t="str">
        <f t="shared" si="1828"/>
        <v/>
      </c>
      <c r="BY809" s="232" t="str">
        <f t="shared" si="1829"/>
        <v/>
      </c>
      <c r="BZ809" s="232" t="str">
        <f t="shared" si="1847"/>
        <v/>
      </c>
      <c r="CA809" s="371"/>
      <c r="CB809" s="501" t="str">
        <f t="shared" si="1830"/>
        <v/>
      </c>
      <c r="CC809" s="502" t="str">
        <f t="shared" si="1831"/>
        <v/>
      </c>
      <c r="CD809" s="503" t="str">
        <f t="shared" si="1832"/>
        <v/>
      </c>
      <c r="CE809" s="371"/>
      <c r="CF809" s="232" t="str">
        <f t="shared" si="1833"/>
        <v/>
      </c>
      <c r="CG809" s="232" t="str">
        <f t="shared" si="1834"/>
        <v/>
      </c>
      <c r="CH809" s="232" t="str">
        <f t="shared" si="1835"/>
        <v/>
      </c>
      <c r="CI809" s="232" t="str">
        <f t="shared" si="1848"/>
        <v/>
      </c>
      <c r="CJ809" s="232"/>
      <c r="CK809" s="495"/>
      <c r="CL809" s="496"/>
      <c r="CM809" s="494" t="str">
        <f t="shared" si="1836"/>
        <v/>
      </c>
      <c r="CN809" s="371"/>
      <c r="CO809" s="232" t="str">
        <f t="shared" si="1837"/>
        <v/>
      </c>
      <c r="CP809" s="232" t="str">
        <f t="shared" si="1838"/>
        <v/>
      </c>
      <c r="CQ809" s="232" t="str">
        <f t="shared" si="1839"/>
        <v/>
      </c>
      <c r="CR809" s="232" t="str">
        <f t="shared" si="1849"/>
        <v/>
      </c>
      <c r="CS809" s="232"/>
      <c r="CT809" s="371"/>
      <c r="CU809" s="300"/>
      <c r="CV809" s="246"/>
      <c r="CW809" s="264"/>
    </row>
    <row r="810" spans="1:101" x14ac:dyDescent="0.2">
      <c r="A810" s="264"/>
      <c r="B810" s="264"/>
      <c r="C810" s="202"/>
      <c r="D810" s="271">
        <v>11</v>
      </c>
      <c r="E810" s="167"/>
      <c r="F810" s="469"/>
      <c r="G810" s="474" t="s">
        <v>49</v>
      </c>
      <c r="H810" s="475"/>
      <c r="I810" s="389" t="str">
        <f t="shared" si="1800"/>
        <v/>
      </c>
      <c r="J810" s="390" t="str">
        <f t="shared" si="1801"/>
        <v/>
      </c>
      <c r="K810" s="391" t="str">
        <f t="shared" si="1802"/>
        <v/>
      </c>
      <c r="L810" s="299"/>
      <c r="M810" s="375"/>
      <c r="N810" s="379"/>
      <c r="O810" s="236"/>
      <c r="P810" s="236"/>
      <c r="Q810" s="483"/>
      <c r="R810" s="484"/>
      <c r="S810" s="485" t="str">
        <f t="shared" si="1840"/>
        <v/>
      </c>
      <c r="T810" s="371"/>
      <c r="U810" s="232" t="str">
        <f t="shared" si="1803"/>
        <v/>
      </c>
      <c r="V810" s="232" t="str">
        <f t="shared" si="1804"/>
        <v/>
      </c>
      <c r="W810" s="232" t="str">
        <f t="shared" si="1805"/>
        <v/>
      </c>
      <c r="X810" s="232" t="str">
        <f t="shared" si="1841"/>
        <v/>
      </c>
      <c r="Y810" s="371"/>
      <c r="Z810" s="497"/>
      <c r="AA810" s="498"/>
      <c r="AB810" s="485" t="str">
        <f t="shared" si="1806"/>
        <v/>
      </c>
      <c r="AC810" s="371"/>
      <c r="AD810" s="232" t="str">
        <f t="shared" si="1807"/>
        <v/>
      </c>
      <c r="AE810" s="232" t="str">
        <f t="shared" si="1808"/>
        <v/>
      </c>
      <c r="AF810" s="232" t="str">
        <f t="shared" si="1809"/>
        <v/>
      </c>
      <c r="AG810" s="232" t="str">
        <f t="shared" si="1842"/>
        <v/>
      </c>
      <c r="AH810" s="371"/>
      <c r="AI810" s="497"/>
      <c r="AJ810" s="498"/>
      <c r="AK810" s="485" t="str">
        <f t="shared" si="1810"/>
        <v/>
      </c>
      <c r="AL810" s="371"/>
      <c r="AM810" s="232" t="str">
        <f t="shared" si="1811"/>
        <v/>
      </c>
      <c r="AN810" s="232" t="str">
        <f t="shared" si="1812"/>
        <v/>
      </c>
      <c r="AO810" s="232" t="str">
        <f t="shared" si="1813"/>
        <v/>
      </c>
      <c r="AP810" s="232" t="str">
        <f t="shared" si="1843"/>
        <v/>
      </c>
      <c r="AQ810" s="371"/>
      <c r="AR810" s="497"/>
      <c r="AS810" s="498"/>
      <c r="AT810" s="485" t="str">
        <f t="shared" si="1814"/>
        <v/>
      </c>
      <c r="AU810" s="371"/>
      <c r="AV810" s="232" t="str">
        <f t="shared" si="1815"/>
        <v/>
      </c>
      <c r="AW810" s="232" t="str">
        <f t="shared" si="1816"/>
        <v/>
      </c>
      <c r="AX810" s="232" t="str">
        <f t="shared" si="1817"/>
        <v/>
      </c>
      <c r="AY810" s="232" t="str">
        <f t="shared" si="1844"/>
        <v/>
      </c>
      <c r="AZ810" s="371"/>
      <c r="BA810" s="497"/>
      <c r="BB810" s="498"/>
      <c r="BC810" s="485" t="str">
        <f t="shared" si="1818"/>
        <v/>
      </c>
      <c r="BD810" s="371"/>
      <c r="BE810" s="232" t="str">
        <f t="shared" si="1819"/>
        <v/>
      </c>
      <c r="BF810" s="232" t="str">
        <f t="shared" si="1820"/>
        <v/>
      </c>
      <c r="BG810" s="232" t="str">
        <f t="shared" si="1821"/>
        <v/>
      </c>
      <c r="BH810" s="232" t="str">
        <f t="shared" si="1845"/>
        <v/>
      </c>
      <c r="BI810" s="371"/>
      <c r="BJ810" s="497"/>
      <c r="BK810" s="498"/>
      <c r="BL810" s="485" t="str">
        <f t="shared" si="1822"/>
        <v/>
      </c>
      <c r="BM810" s="371"/>
      <c r="BN810" s="232" t="str">
        <f t="shared" si="1823"/>
        <v/>
      </c>
      <c r="BO810" s="232" t="str">
        <f t="shared" si="1824"/>
        <v/>
      </c>
      <c r="BP810" s="232" t="str">
        <f t="shared" si="1825"/>
        <v/>
      </c>
      <c r="BQ810" s="232" t="str">
        <f t="shared" si="1846"/>
        <v/>
      </c>
      <c r="BR810" s="371"/>
      <c r="BS810" s="497"/>
      <c r="BT810" s="498"/>
      <c r="BU810" s="485" t="str">
        <f t="shared" si="1826"/>
        <v/>
      </c>
      <c r="BV810" s="371"/>
      <c r="BW810" s="232" t="str">
        <f t="shared" si="1827"/>
        <v/>
      </c>
      <c r="BX810" s="232" t="str">
        <f t="shared" si="1828"/>
        <v/>
      </c>
      <c r="BY810" s="232" t="str">
        <f t="shared" si="1829"/>
        <v/>
      </c>
      <c r="BZ810" s="232" t="str">
        <f t="shared" si="1847"/>
        <v/>
      </c>
      <c r="CA810" s="371"/>
      <c r="CB810" s="504" t="str">
        <f t="shared" si="1830"/>
        <v/>
      </c>
      <c r="CC810" s="505" t="str">
        <f t="shared" si="1831"/>
        <v/>
      </c>
      <c r="CD810" s="506" t="str">
        <f t="shared" si="1832"/>
        <v/>
      </c>
      <c r="CE810" s="371"/>
      <c r="CF810" s="232" t="str">
        <f t="shared" si="1833"/>
        <v/>
      </c>
      <c r="CG810" s="232" t="str">
        <f t="shared" si="1834"/>
        <v/>
      </c>
      <c r="CH810" s="232" t="str">
        <f t="shared" si="1835"/>
        <v/>
      </c>
      <c r="CI810" s="232" t="str">
        <f t="shared" si="1848"/>
        <v/>
      </c>
      <c r="CJ810" s="232"/>
      <c r="CK810" s="497"/>
      <c r="CL810" s="498"/>
      <c r="CM810" s="485" t="str">
        <f t="shared" si="1836"/>
        <v/>
      </c>
      <c r="CN810" s="371"/>
      <c r="CO810" s="232" t="str">
        <f t="shared" si="1837"/>
        <v/>
      </c>
      <c r="CP810" s="232" t="str">
        <f t="shared" si="1838"/>
        <v/>
      </c>
      <c r="CQ810" s="232" t="str">
        <f t="shared" si="1839"/>
        <v/>
      </c>
      <c r="CR810" s="232" t="str">
        <f t="shared" si="1849"/>
        <v/>
      </c>
      <c r="CS810" s="232"/>
      <c r="CT810" s="371"/>
      <c r="CU810" s="300"/>
      <c r="CV810" s="246"/>
      <c r="CW810" s="264"/>
    </row>
    <row r="811" spans="1:101" ht="13.5" thickBot="1" x14ac:dyDescent="0.25">
      <c r="A811" s="264"/>
      <c r="B811" s="264"/>
      <c r="C811" s="202"/>
      <c r="D811" s="271">
        <v>12</v>
      </c>
      <c r="E811" s="168"/>
      <c r="F811" s="470"/>
      <c r="G811" s="476" t="s">
        <v>49</v>
      </c>
      <c r="H811" s="477"/>
      <c r="I811" s="392" t="str">
        <f t="shared" si="1800"/>
        <v/>
      </c>
      <c r="J811" s="393" t="str">
        <f t="shared" si="1801"/>
        <v/>
      </c>
      <c r="K811" s="394" t="str">
        <f t="shared" si="1802"/>
        <v/>
      </c>
      <c r="L811" s="299"/>
      <c r="M811" s="375"/>
      <c r="N811" s="379"/>
      <c r="O811" s="236"/>
      <c r="P811" s="236"/>
      <c r="Q811" s="489"/>
      <c r="R811" s="490"/>
      <c r="S811" s="491" t="str">
        <f t="shared" si="1840"/>
        <v/>
      </c>
      <c r="T811" s="371"/>
      <c r="U811" s="232" t="str">
        <f t="shared" si="1803"/>
        <v/>
      </c>
      <c r="V811" s="232" t="str">
        <f t="shared" si="1804"/>
        <v/>
      </c>
      <c r="W811" s="232" t="str">
        <f t="shared" si="1805"/>
        <v/>
      </c>
      <c r="X811" s="232" t="str">
        <f t="shared" si="1841"/>
        <v/>
      </c>
      <c r="Y811" s="371"/>
      <c r="Z811" s="499"/>
      <c r="AA811" s="500"/>
      <c r="AB811" s="491" t="str">
        <f t="shared" si="1806"/>
        <v/>
      </c>
      <c r="AC811" s="371"/>
      <c r="AD811" s="232" t="str">
        <f t="shared" si="1807"/>
        <v/>
      </c>
      <c r="AE811" s="232" t="str">
        <f t="shared" si="1808"/>
        <v/>
      </c>
      <c r="AF811" s="232" t="str">
        <f t="shared" si="1809"/>
        <v/>
      </c>
      <c r="AG811" s="232" t="str">
        <f t="shared" si="1842"/>
        <v/>
      </c>
      <c r="AH811" s="371"/>
      <c r="AI811" s="499"/>
      <c r="AJ811" s="500"/>
      <c r="AK811" s="491" t="str">
        <f t="shared" si="1810"/>
        <v/>
      </c>
      <c r="AL811" s="371"/>
      <c r="AM811" s="232" t="str">
        <f t="shared" si="1811"/>
        <v/>
      </c>
      <c r="AN811" s="232" t="str">
        <f t="shared" si="1812"/>
        <v/>
      </c>
      <c r="AO811" s="232" t="str">
        <f t="shared" si="1813"/>
        <v/>
      </c>
      <c r="AP811" s="232" t="str">
        <f t="shared" si="1843"/>
        <v/>
      </c>
      <c r="AQ811" s="371"/>
      <c r="AR811" s="499"/>
      <c r="AS811" s="500"/>
      <c r="AT811" s="491" t="str">
        <f t="shared" si="1814"/>
        <v/>
      </c>
      <c r="AU811" s="371"/>
      <c r="AV811" s="232" t="str">
        <f t="shared" si="1815"/>
        <v/>
      </c>
      <c r="AW811" s="232" t="str">
        <f t="shared" si="1816"/>
        <v/>
      </c>
      <c r="AX811" s="232" t="str">
        <f t="shared" si="1817"/>
        <v/>
      </c>
      <c r="AY811" s="232" t="str">
        <f t="shared" si="1844"/>
        <v/>
      </c>
      <c r="AZ811" s="371"/>
      <c r="BA811" s="499"/>
      <c r="BB811" s="500"/>
      <c r="BC811" s="491" t="str">
        <f t="shared" si="1818"/>
        <v/>
      </c>
      <c r="BD811" s="371"/>
      <c r="BE811" s="232" t="str">
        <f t="shared" si="1819"/>
        <v/>
      </c>
      <c r="BF811" s="232" t="str">
        <f t="shared" si="1820"/>
        <v/>
      </c>
      <c r="BG811" s="232" t="str">
        <f t="shared" si="1821"/>
        <v/>
      </c>
      <c r="BH811" s="232" t="str">
        <f t="shared" si="1845"/>
        <v/>
      </c>
      <c r="BI811" s="371"/>
      <c r="BJ811" s="499"/>
      <c r="BK811" s="500"/>
      <c r="BL811" s="491" t="str">
        <f t="shared" si="1822"/>
        <v/>
      </c>
      <c r="BM811" s="371"/>
      <c r="BN811" s="232" t="str">
        <f t="shared" si="1823"/>
        <v/>
      </c>
      <c r="BO811" s="232" t="str">
        <f t="shared" si="1824"/>
        <v/>
      </c>
      <c r="BP811" s="232" t="str">
        <f t="shared" si="1825"/>
        <v/>
      </c>
      <c r="BQ811" s="232" t="str">
        <f t="shared" si="1846"/>
        <v/>
      </c>
      <c r="BR811" s="371"/>
      <c r="BS811" s="499"/>
      <c r="BT811" s="500"/>
      <c r="BU811" s="491" t="str">
        <f t="shared" si="1826"/>
        <v/>
      </c>
      <c r="BV811" s="371"/>
      <c r="BW811" s="232" t="str">
        <f t="shared" si="1827"/>
        <v/>
      </c>
      <c r="BX811" s="232" t="str">
        <f t="shared" si="1828"/>
        <v/>
      </c>
      <c r="BY811" s="232" t="str">
        <f t="shared" si="1829"/>
        <v/>
      </c>
      <c r="BZ811" s="232" t="str">
        <f t="shared" si="1847"/>
        <v/>
      </c>
      <c r="CA811" s="371"/>
      <c r="CB811" s="507" t="str">
        <f t="shared" si="1830"/>
        <v/>
      </c>
      <c r="CC811" s="508" t="str">
        <f t="shared" si="1831"/>
        <v/>
      </c>
      <c r="CD811" s="509" t="str">
        <f t="shared" si="1832"/>
        <v/>
      </c>
      <c r="CE811" s="371"/>
      <c r="CF811" s="232" t="str">
        <f t="shared" si="1833"/>
        <v/>
      </c>
      <c r="CG811" s="232" t="str">
        <f t="shared" si="1834"/>
        <v/>
      </c>
      <c r="CH811" s="232" t="str">
        <f t="shared" si="1835"/>
        <v/>
      </c>
      <c r="CI811" s="232" t="str">
        <f t="shared" si="1848"/>
        <v/>
      </c>
      <c r="CJ811" s="232"/>
      <c r="CK811" s="499"/>
      <c r="CL811" s="500"/>
      <c r="CM811" s="491" t="str">
        <f t="shared" si="1836"/>
        <v/>
      </c>
      <c r="CN811" s="371"/>
      <c r="CO811" s="232" t="str">
        <f t="shared" si="1837"/>
        <v/>
      </c>
      <c r="CP811" s="232" t="str">
        <f t="shared" si="1838"/>
        <v/>
      </c>
      <c r="CQ811" s="232" t="str">
        <f t="shared" si="1839"/>
        <v/>
      </c>
      <c r="CR811" s="232" t="str">
        <f t="shared" si="1849"/>
        <v/>
      </c>
      <c r="CS811" s="232"/>
      <c r="CT811" s="371"/>
      <c r="CU811" s="300"/>
      <c r="CV811" s="246"/>
      <c r="CW811" s="264"/>
    </row>
    <row r="812" spans="1:101" x14ac:dyDescent="0.2">
      <c r="A812" s="264"/>
      <c r="B812" s="264"/>
      <c r="C812" s="202"/>
      <c r="D812" s="272"/>
      <c r="E812" s="235"/>
      <c r="F812" s="395" t="str">
        <f>IF(SUM(F800:F811)=0,"",SUM(F800:F811))</f>
        <v/>
      </c>
      <c r="G812" s="370" t="s">
        <v>49</v>
      </c>
      <c r="H812" s="396" t="str">
        <f>IF(SUM(H800:H811)=0,"",SUM(H800:H811))</f>
        <v/>
      </c>
      <c r="I812" s="397" t="str">
        <f>IF(COUNTIF(I800:I811,"=x")=0,"",COUNTIF(I800:I811,"=x"))</f>
        <v/>
      </c>
      <c r="J812" s="398" t="str">
        <f>IF(COUNTIF(J800:J811,"=x")=0,"",COUNTIF(J800:J811,"=x"))</f>
        <v/>
      </c>
      <c r="K812" s="399" t="str">
        <f>IF(COUNTIF(K800:K811,"=x")=0,"",COUNTIF(K800:K811,"=x"))</f>
        <v/>
      </c>
      <c r="L812" s="299"/>
      <c r="M812" s="375"/>
      <c r="N812" s="379"/>
      <c r="O812" s="236"/>
      <c r="P812" s="369"/>
      <c r="Q812" s="466">
        <f>SUM(U800:U811)</f>
        <v>0</v>
      </c>
      <c r="R812" s="466">
        <f>SUM(V800:V811)</f>
        <v>0</v>
      </c>
      <c r="S812" s="466">
        <f>SUM(W800:W811)</f>
        <v>0</v>
      </c>
      <c r="T812" s="368"/>
      <c r="U812" s="232"/>
      <c r="V812" s="232"/>
      <c r="W812" s="232"/>
      <c r="X812" s="232"/>
      <c r="Y812" s="367"/>
      <c r="Z812" s="466">
        <f>SUM(AD800:AD811)</f>
        <v>0</v>
      </c>
      <c r="AA812" s="466">
        <f>SUM(AE800:AE811)</f>
        <v>0</v>
      </c>
      <c r="AB812" s="466">
        <f>SUM(AF800:AF811)</f>
        <v>0</v>
      </c>
      <c r="AC812" s="368"/>
      <c r="AD812" s="232"/>
      <c r="AE812" s="232"/>
      <c r="AF812" s="232"/>
      <c r="AG812" s="232"/>
      <c r="AH812" s="367"/>
      <c r="AI812" s="466">
        <f>SUM(AM800:AM811)</f>
        <v>0</v>
      </c>
      <c r="AJ812" s="466">
        <f>SUM(AN800:AN811)</f>
        <v>0</v>
      </c>
      <c r="AK812" s="466">
        <f>SUM(AO800:AO811)</f>
        <v>0</v>
      </c>
      <c r="AL812" s="368"/>
      <c r="AM812" s="232"/>
      <c r="AN812" s="232"/>
      <c r="AO812" s="232"/>
      <c r="AP812" s="232"/>
      <c r="AQ812" s="367"/>
      <c r="AR812" s="466">
        <f>SUM(AV800:AV811)</f>
        <v>0</v>
      </c>
      <c r="AS812" s="466">
        <f>SUM(AW800:AW811)</f>
        <v>0</v>
      </c>
      <c r="AT812" s="466">
        <f>SUM(AX800:AX811)</f>
        <v>0</v>
      </c>
      <c r="AU812" s="368"/>
      <c r="AV812" s="232"/>
      <c r="AW812" s="232"/>
      <c r="AX812" s="232"/>
      <c r="AY812" s="232"/>
      <c r="AZ812" s="367"/>
      <c r="BA812" s="466">
        <f>SUM(BE800:BE811)</f>
        <v>0</v>
      </c>
      <c r="BB812" s="466">
        <f>SUM(BF800:BF811)</f>
        <v>0</v>
      </c>
      <c r="BC812" s="466">
        <f>SUM(BG800:BG811)</f>
        <v>0</v>
      </c>
      <c r="BD812" s="368"/>
      <c r="BE812" s="232"/>
      <c r="BF812" s="232"/>
      <c r="BG812" s="232"/>
      <c r="BH812" s="232"/>
      <c r="BI812" s="367"/>
      <c r="BJ812" s="466">
        <f>SUM(BN800:BN811)</f>
        <v>0</v>
      </c>
      <c r="BK812" s="466">
        <f>SUM(BO800:BO811)</f>
        <v>0</v>
      </c>
      <c r="BL812" s="466">
        <f>SUM(BP800:BP811)</f>
        <v>0</v>
      </c>
      <c r="BM812" s="368"/>
      <c r="BN812" s="232"/>
      <c r="BO812" s="232"/>
      <c r="BP812" s="232"/>
      <c r="BQ812" s="232"/>
      <c r="BR812" s="367"/>
      <c r="BS812" s="466">
        <f>SUM(BW800:BW811)</f>
        <v>0</v>
      </c>
      <c r="BT812" s="466">
        <f>SUM(BX800:BX811)</f>
        <v>0</v>
      </c>
      <c r="BU812" s="466">
        <f>SUM(BY800:BY811)</f>
        <v>0</v>
      </c>
      <c r="BV812" s="368"/>
      <c r="BW812" s="232"/>
      <c r="BX812" s="232"/>
      <c r="BY812" s="232"/>
      <c r="BZ812" s="232"/>
      <c r="CA812" s="369"/>
      <c r="CB812" s="466">
        <f>SUM(CF800:CF811)</f>
        <v>0</v>
      </c>
      <c r="CC812" s="466">
        <f>SUM(CG800:CG811)</f>
        <v>0</v>
      </c>
      <c r="CD812" s="466">
        <f>SUM(CH800:CH811)</f>
        <v>0</v>
      </c>
      <c r="CE812" s="368"/>
      <c r="CF812" s="232"/>
      <c r="CG812" s="232"/>
      <c r="CH812" s="232"/>
      <c r="CI812" s="232"/>
      <c r="CJ812" s="232"/>
      <c r="CK812" s="466">
        <f>SUM(CO800:CO811)</f>
        <v>0</v>
      </c>
      <c r="CL812" s="466">
        <f>SUM(CP800:CP811)</f>
        <v>0</v>
      </c>
      <c r="CM812" s="466">
        <f>SUM(CQ800:CQ811)</f>
        <v>0</v>
      </c>
      <c r="CN812" s="368"/>
      <c r="CO812" s="232"/>
      <c r="CP812" s="232"/>
      <c r="CQ812" s="232"/>
      <c r="CR812" s="232"/>
      <c r="CS812" s="232"/>
      <c r="CT812" s="232"/>
      <c r="CU812" s="300"/>
      <c r="CV812" s="246"/>
      <c r="CW812" s="265"/>
    </row>
    <row r="813" spans="1:101" ht="13.5" thickBot="1" x14ac:dyDescent="0.25">
      <c r="A813" s="264"/>
      <c r="B813" s="264"/>
      <c r="C813" s="202"/>
      <c r="D813" s="289"/>
      <c r="E813" s="282"/>
      <c r="F813" s="283"/>
      <c r="G813" s="282"/>
      <c r="H813" s="282"/>
      <c r="I813" s="282"/>
      <c r="J813" s="282"/>
      <c r="K813" s="282"/>
      <c r="L813" s="293"/>
      <c r="M813" s="301"/>
      <c r="N813" s="380"/>
      <c r="O813" s="376"/>
      <c r="P813" s="284"/>
      <c r="Q813" s="285"/>
      <c r="R813" s="285"/>
      <c r="S813" s="285"/>
      <c r="T813" s="286"/>
      <c r="U813" s="287"/>
      <c r="V813" s="287"/>
      <c r="W813" s="287"/>
      <c r="X813" s="287"/>
      <c r="Y813" s="284"/>
      <c r="Z813" s="285"/>
      <c r="AA813" s="285"/>
      <c r="AB813" s="285"/>
      <c r="AC813" s="286"/>
      <c r="AD813" s="287"/>
      <c r="AE813" s="287"/>
      <c r="AF813" s="287"/>
      <c r="AG813" s="288"/>
      <c r="AH813" s="284"/>
      <c r="AI813" s="285"/>
      <c r="AJ813" s="285"/>
      <c r="AK813" s="285"/>
      <c r="AL813" s="286"/>
      <c r="AM813" s="287"/>
      <c r="AN813" s="287"/>
      <c r="AO813" s="287"/>
      <c r="AP813" s="288"/>
      <c r="AQ813" s="284"/>
      <c r="AR813" s="285"/>
      <c r="AS813" s="285"/>
      <c r="AT813" s="285"/>
      <c r="AU813" s="286"/>
      <c r="AV813" s="287"/>
      <c r="AW813" s="287"/>
      <c r="AX813" s="287"/>
      <c r="AY813" s="288"/>
      <c r="AZ813" s="284"/>
      <c r="BA813" s="285"/>
      <c r="BB813" s="285"/>
      <c r="BC813" s="285"/>
      <c r="BD813" s="286"/>
      <c r="BE813" s="287"/>
      <c r="BF813" s="287"/>
      <c r="BG813" s="287"/>
      <c r="BH813" s="288"/>
      <c r="BI813" s="284"/>
      <c r="BJ813" s="284"/>
      <c r="BK813" s="284"/>
      <c r="BL813" s="284"/>
      <c r="BM813" s="284"/>
      <c r="BN813" s="284"/>
      <c r="BO813" s="284"/>
      <c r="BP813" s="284"/>
      <c r="BQ813" s="284"/>
      <c r="BR813" s="284"/>
      <c r="BS813" s="284"/>
      <c r="BT813" s="284"/>
      <c r="BU813" s="284"/>
      <c r="BV813" s="284"/>
      <c r="BW813" s="284"/>
      <c r="BX813" s="284"/>
      <c r="BY813" s="284"/>
      <c r="BZ813" s="284"/>
      <c r="CA813" s="284"/>
      <c r="CB813" s="284"/>
      <c r="CC813" s="284"/>
      <c r="CD813" s="284"/>
      <c r="CE813" s="284"/>
      <c r="CF813" s="284"/>
      <c r="CG813" s="284"/>
      <c r="CH813" s="284"/>
      <c r="CI813" s="284"/>
      <c r="CJ813" s="288"/>
      <c r="CK813" s="288"/>
      <c r="CL813" s="288"/>
      <c r="CM813" s="288"/>
      <c r="CN813" s="288"/>
      <c r="CO813" s="288"/>
      <c r="CP813" s="288"/>
      <c r="CQ813" s="288"/>
      <c r="CR813" s="288"/>
      <c r="CS813" s="288"/>
      <c r="CT813" s="282"/>
      <c r="CU813" s="294"/>
      <c r="CV813" s="246"/>
      <c r="CW813" s="265"/>
    </row>
    <row r="814" spans="1:101" ht="14.25" thickTop="1" thickBot="1" x14ac:dyDescent="0.25">
      <c r="A814" s="256"/>
      <c r="B814" s="256"/>
      <c r="C814" s="210"/>
      <c r="D814" s="211"/>
      <c r="E814" s="247"/>
      <c r="F814" s="248"/>
      <c r="G814" s="247"/>
      <c r="H814" s="247"/>
      <c r="I814" s="247"/>
      <c r="J814" s="247"/>
      <c r="K814" s="247"/>
      <c r="L814" s="249"/>
      <c r="M814" s="250"/>
      <c r="N814" s="250"/>
      <c r="O814" s="250"/>
      <c r="P814" s="250"/>
      <c r="Q814" s="247"/>
      <c r="R814" s="247"/>
      <c r="S814" s="247"/>
      <c r="T814" s="251"/>
      <c r="U814" s="252"/>
      <c r="V814" s="252"/>
      <c r="W814" s="252"/>
      <c r="X814" s="252"/>
      <c r="Y814" s="250"/>
      <c r="Z814" s="247"/>
      <c r="AA814" s="247"/>
      <c r="AB814" s="247"/>
      <c r="AC814" s="251"/>
      <c r="AD814" s="252"/>
      <c r="AE814" s="252"/>
      <c r="AF814" s="252"/>
      <c r="AG814" s="247"/>
      <c r="AH814" s="250"/>
      <c r="AI814" s="247"/>
      <c r="AJ814" s="247"/>
      <c r="AK814" s="247"/>
      <c r="AL814" s="251"/>
      <c r="AM814" s="252"/>
      <c r="AN814" s="252"/>
      <c r="AO814" s="252"/>
      <c r="AP814" s="253"/>
      <c r="AQ814" s="250"/>
      <c r="AR814" s="247"/>
      <c r="AS814" s="247"/>
      <c r="AT814" s="247"/>
      <c r="AU814" s="251"/>
      <c r="AV814" s="252"/>
      <c r="AW814" s="252"/>
      <c r="AX814" s="252"/>
      <c r="AY814" s="247"/>
      <c r="AZ814" s="250"/>
      <c r="BA814" s="247"/>
      <c r="BB814" s="247"/>
      <c r="BC814" s="247"/>
      <c r="BD814" s="251"/>
      <c r="BE814" s="252"/>
      <c r="BF814" s="252"/>
      <c r="BG814" s="252"/>
      <c r="BH814" s="247"/>
      <c r="BI814" s="250"/>
      <c r="BJ814" s="247"/>
      <c r="BK814" s="247"/>
      <c r="BL814" s="247"/>
      <c r="BM814" s="251"/>
      <c r="BN814" s="252"/>
      <c r="BO814" s="252"/>
      <c r="BP814" s="252"/>
      <c r="BQ814" s="247"/>
      <c r="BR814" s="212"/>
      <c r="BS814" s="247"/>
      <c r="BT814" s="247"/>
      <c r="BU814" s="247"/>
      <c r="BV814" s="250"/>
      <c r="BW814" s="252"/>
      <c r="BX814" s="252"/>
      <c r="BY814" s="252"/>
      <c r="BZ814" s="247"/>
      <c r="CA814" s="247"/>
      <c r="CB814" s="253"/>
      <c r="CC814" s="253"/>
      <c r="CD814" s="253"/>
      <c r="CE814" s="253"/>
      <c r="CF814" s="247"/>
      <c r="CG814" s="247"/>
      <c r="CH814" s="247"/>
      <c r="CI814" s="247"/>
      <c r="CJ814" s="247"/>
      <c r="CK814" s="247"/>
      <c r="CL814" s="247"/>
      <c r="CM814" s="247"/>
      <c r="CN814" s="247"/>
      <c r="CO814" s="247"/>
      <c r="CP814" s="247"/>
      <c r="CQ814" s="247"/>
      <c r="CR814" s="247"/>
      <c r="CS814" s="247"/>
      <c r="CT814" s="247"/>
      <c r="CU814" s="247"/>
      <c r="CV814" s="254"/>
      <c r="CW814" s="255"/>
    </row>
    <row r="815" spans="1:101" ht="14.25" thickTop="1" thickBot="1" x14ac:dyDescent="0.25">
      <c r="A815" s="255"/>
      <c r="B815" s="255"/>
      <c r="C815" s="255"/>
      <c r="D815" s="255"/>
      <c r="E815" s="255"/>
      <c r="F815" s="255"/>
      <c r="G815" s="255"/>
      <c r="H815" s="255"/>
      <c r="I815" s="255"/>
      <c r="J815" s="255"/>
      <c r="K815" s="255"/>
      <c r="L815" s="255"/>
      <c r="M815" s="255"/>
      <c r="N815" s="255"/>
      <c r="O815" s="255"/>
      <c r="P815" s="255"/>
      <c r="Q815" s="255"/>
      <c r="R815" s="255"/>
      <c r="S815" s="255"/>
      <c r="T815" s="255"/>
      <c r="U815" s="255"/>
      <c r="V815" s="255"/>
      <c r="W815" s="255"/>
      <c r="X815" s="255"/>
      <c r="Y815" s="255"/>
      <c r="Z815" s="255"/>
      <c r="AA815" s="255"/>
      <c r="AB815" s="255"/>
      <c r="AC815" s="255"/>
      <c r="AD815" s="255"/>
      <c r="AE815" s="255"/>
      <c r="AF815" s="255"/>
      <c r="AG815" s="255"/>
      <c r="AH815" s="255"/>
      <c r="AI815" s="255"/>
      <c r="AJ815" s="255"/>
      <c r="AK815" s="255"/>
      <c r="AL815" s="255"/>
      <c r="AM815" s="255"/>
      <c r="AN815" s="255"/>
      <c r="AO815" s="255"/>
      <c r="AP815" s="255"/>
      <c r="AQ815" s="255"/>
      <c r="AR815" s="255"/>
      <c r="AS815" s="255"/>
      <c r="AT815" s="255"/>
      <c r="AU815" s="255"/>
      <c r="AV815" s="255"/>
      <c r="AW815" s="255"/>
      <c r="AX815" s="255"/>
      <c r="AY815" s="255"/>
      <c r="AZ815" s="255"/>
      <c r="BA815" s="255"/>
      <c r="BB815" s="255"/>
      <c r="BC815" s="255"/>
      <c r="BD815" s="255"/>
      <c r="BE815" s="255"/>
      <c r="BF815" s="255"/>
      <c r="BG815" s="255"/>
      <c r="BH815" s="255"/>
      <c r="BI815" s="255"/>
      <c r="BJ815" s="255"/>
      <c r="BK815" s="255"/>
      <c r="BL815" s="255"/>
      <c r="BM815" s="255"/>
      <c r="BN815" s="255"/>
      <c r="BO815" s="255"/>
      <c r="BP815" s="255"/>
      <c r="BQ815" s="255"/>
      <c r="BR815" s="255"/>
      <c r="BS815" s="255"/>
      <c r="BT815" s="255"/>
      <c r="BU815" s="255"/>
      <c r="BV815" s="255"/>
      <c r="BW815" s="255"/>
      <c r="BX815" s="255"/>
      <c r="BY815" s="255"/>
      <c r="BZ815" s="255"/>
      <c r="CA815" s="255"/>
      <c r="CB815" s="436"/>
      <c r="CC815" s="436"/>
      <c r="CD815" s="436"/>
      <c r="CE815" s="436"/>
      <c r="CF815" s="255"/>
      <c r="CG815" s="255"/>
      <c r="CH815" s="255"/>
      <c r="CI815" s="255"/>
      <c r="CJ815" s="255"/>
      <c r="CK815" s="255"/>
      <c r="CL815" s="255"/>
      <c r="CM815" s="255"/>
      <c r="CN815" s="255"/>
      <c r="CO815" s="255"/>
      <c r="CP815" s="255"/>
      <c r="CQ815" s="255"/>
      <c r="CR815" s="255"/>
      <c r="CS815" s="255"/>
      <c r="CT815" s="255"/>
      <c r="CU815" s="255"/>
      <c r="CV815" s="255"/>
      <c r="CW815" s="255"/>
    </row>
    <row r="816" spans="1:101" ht="21" thickTop="1" x14ac:dyDescent="0.3">
      <c r="A816" s="256"/>
      <c r="B816" s="256"/>
      <c r="C816" s="190"/>
      <c r="D816" s="191"/>
      <c r="E816" s="903" t="str">
        <f>E2</f>
        <v>STPS 2026</v>
      </c>
      <c r="F816" s="267"/>
      <c r="G816" s="267"/>
      <c r="H816" s="267"/>
      <c r="I816" s="192"/>
      <c r="J816" s="192"/>
      <c r="K816" s="192"/>
      <c r="L816" s="193"/>
      <c r="M816" s="192"/>
      <c r="N816" s="192"/>
      <c r="O816" s="192"/>
      <c r="P816" s="194"/>
      <c r="Q816" s="192"/>
      <c r="R816" s="192"/>
      <c r="S816" s="192"/>
      <c r="T816" s="195"/>
      <c r="U816" s="196"/>
      <c r="V816" s="196"/>
      <c r="W816" s="196"/>
      <c r="X816" s="196"/>
      <c r="Y816" s="194"/>
      <c r="Z816" s="192"/>
      <c r="AA816" s="192"/>
      <c r="AB816" s="192"/>
      <c r="AC816" s="195"/>
      <c r="AD816" s="196"/>
      <c r="AE816" s="196"/>
      <c r="AF816" s="196"/>
      <c r="AG816" s="197"/>
      <c r="AH816" s="194"/>
      <c r="AI816" s="192"/>
      <c r="AJ816" s="237"/>
      <c r="AK816" s="237"/>
      <c r="AL816" s="198"/>
      <c r="AM816" s="238"/>
      <c r="AN816" s="238"/>
      <c r="AO816" s="238"/>
      <c r="AP816" s="197"/>
      <c r="AQ816" s="239"/>
      <c r="AR816" s="240"/>
      <c r="AS816" s="199"/>
      <c r="AT816" s="200"/>
      <c r="AU816" s="198"/>
      <c r="AV816" s="196"/>
      <c r="AW816" s="196"/>
      <c r="AX816" s="196"/>
      <c r="AY816" s="197"/>
      <c r="AZ816" s="239"/>
      <c r="BA816" s="240"/>
      <c r="BB816" s="200"/>
      <c r="BC816" s="237"/>
      <c r="BD816" s="241"/>
      <c r="BE816" s="196"/>
      <c r="BF816" s="196"/>
      <c r="BG816" s="196"/>
      <c r="BH816" s="197"/>
      <c r="BI816" s="242"/>
      <c r="BJ816" s="237"/>
      <c r="BK816" s="237"/>
      <c r="BL816" s="237"/>
      <c r="BM816" s="241"/>
      <c r="BN816" s="196"/>
      <c r="BO816" s="196"/>
      <c r="BP816" s="196"/>
      <c r="BQ816" s="197"/>
      <c r="BR816" s="201"/>
      <c r="BS816" s="237"/>
      <c r="BT816" s="237"/>
      <c r="BU816" s="237"/>
      <c r="BV816" s="242"/>
      <c r="BW816" s="237"/>
      <c r="BX816" s="237"/>
      <c r="BY816" s="237"/>
      <c r="BZ816" s="237"/>
      <c r="CA816" s="237"/>
      <c r="CB816" s="437"/>
      <c r="CC816" s="437"/>
      <c r="CD816" s="437"/>
      <c r="CE816" s="437"/>
      <c r="CF816" s="237"/>
      <c r="CG816" s="237"/>
      <c r="CH816" s="237"/>
      <c r="CI816" s="237"/>
      <c r="CJ816" s="197"/>
      <c r="CK816" s="197"/>
      <c r="CL816" s="197"/>
      <c r="CM816" s="197"/>
      <c r="CN816" s="197"/>
      <c r="CO816" s="197"/>
      <c r="CP816" s="197"/>
      <c r="CQ816" s="197"/>
      <c r="CR816" s="197"/>
      <c r="CS816" s="197"/>
      <c r="CT816" s="401"/>
      <c r="CU816" s="237"/>
      <c r="CV816" s="243"/>
      <c r="CW816" s="255"/>
    </row>
    <row r="817" spans="1:101" ht="13.5" thickBot="1" x14ac:dyDescent="0.25">
      <c r="A817" s="256"/>
      <c r="B817" s="256"/>
      <c r="C817" s="202"/>
      <c r="D817" s="188"/>
      <c r="E817" s="266" t="str">
        <f>E3</f>
        <v>Skorgen Tippelag</v>
      </c>
      <c r="F817" s="406"/>
      <c r="G817" s="406"/>
      <c r="H817" s="406"/>
      <c r="I817" s="406"/>
      <c r="J817" s="406"/>
      <c r="K817" s="406"/>
      <c r="L817" s="406"/>
      <c r="M817" s="406"/>
      <c r="N817" s="406"/>
      <c r="O817" s="406"/>
      <c r="P817" s="406"/>
      <c r="Q817" s="406"/>
      <c r="R817" s="406"/>
      <c r="S817" s="406"/>
      <c r="T817" s="406"/>
      <c r="U817" s="406"/>
      <c r="V817" s="406"/>
      <c r="W817" s="406"/>
      <c r="X817" s="406"/>
      <c r="Y817" s="406"/>
      <c r="Z817" s="406"/>
      <c r="AA817" s="406"/>
      <c r="AB817" s="406"/>
      <c r="AC817" s="406"/>
      <c r="AD817" s="406"/>
      <c r="AE817" s="406"/>
      <c r="AF817" s="406"/>
      <c r="AG817" s="406"/>
      <c r="AH817" s="406"/>
      <c r="AI817" s="406"/>
      <c r="AJ817" s="406"/>
      <c r="AK817" s="406"/>
      <c r="AL817" s="406"/>
      <c r="AM817" s="406"/>
      <c r="AN817" s="406"/>
      <c r="AO817" s="406"/>
      <c r="AP817" s="406"/>
      <c r="AQ817" s="406"/>
      <c r="AR817" s="406"/>
      <c r="AS817" s="406"/>
      <c r="AT817" s="406"/>
      <c r="AU817" s="406"/>
      <c r="AV817" s="406"/>
      <c r="AW817" s="406"/>
      <c r="AX817" s="406"/>
      <c r="AY817" s="406"/>
      <c r="AZ817" s="406"/>
      <c r="BA817" s="406"/>
      <c r="BB817" s="406"/>
      <c r="BC817" s="406"/>
      <c r="BD817" s="406"/>
      <c r="BE817" s="406"/>
      <c r="BF817" s="406"/>
      <c r="BG817" s="406"/>
      <c r="BH817" s="406"/>
      <c r="BI817" s="406"/>
      <c r="BJ817" s="406"/>
      <c r="BK817" s="406"/>
      <c r="BL817" s="406"/>
      <c r="BM817" s="406"/>
      <c r="BN817" s="406"/>
      <c r="BO817" s="406"/>
      <c r="BP817" s="406"/>
      <c r="BQ817" s="406"/>
      <c r="BR817" s="406"/>
      <c r="BS817" s="406"/>
      <c r="BT817" s="406"/>
      <c r="BU817" s="406"/>
      <c r="BV817" s="406"/>
      <c r="BW817" s="406"/>
      <c r="BX817" s="406"/>
      <c r="BY817" s="406"/>
      <c r="BZ817" s="406"/>
      <c r="CA817" s="406"/>
      <c r="CB817" s="438"/>
      <c r="CC817" s="438"/>
      <c r="CD817" s="438"/>
      <c r="CE817" s="438"/>
      <c r="CF817" s="406"/>
      <c r="CG817" s="406"/>
      <c r="CH817" s="406"/>
      <c r="CI817" s="406"/>
      <c r="CJ817" s="406"/>
      <c r="CK817" s="406"/>
      <c r="CL817" s="406"/>
      <c r="CM817" s="406"/>
      <c r="CN817" s="366"/>
      <c r="CO817" s="366"/>
      <c r="CP817" s="366"/>
      <c r="CQ817" s="366"/>
      <c r="CR817" s="366"/>
      <c r="CS817" s="366"/>
      <c r="CT817" s="187"/>
      <c r="CU817" s="310"/>
      <c r="CV817" s="246"/>
      <c r="CW817" s="255"/>
    </row>
    <row r="818" spans="1:101" ht="18.75" thickTop="1" x14ac:dyDescent="0.2">
      <c r="A818" s="256"/>
      <c r="B818" s="256"/>
      <c r="C818" s="209"/>
      <c r="D818" s="290"/>
      <c r="E818" s="273"/>
      <c r="F818" s="274"/>
      <c r="G818" s="273"/>
      <c r="H818" s="273"/>
      <c r="I818" s="803" t="s">
        <v>39</v>
      </c>
      <c r="J818" s="805"/>
      <c r="K818" s="805"/>
      <c r="L818" s="291"/>
      <c r="M818" s="302"/>
      <c r="N818" s="242"/>
      <c r="O818" s="275"/>
      <c r="P818" s="275"/>
      <c r="Q818" s="808" t="str">
        <f>IF($F822="","",SUM(Q834:S834)-S820)</f>
        <v/>
      </c>
      <c r="R818" s="808"/>
      <c r="S818" s="808"/>
      <c r="T818" s="276"/>
      <c r="U818" s="277"/>
      <c r="V818" s="277"/>
      <c r="W818" s="277"/>
      <c r="X818" s="277"/>
      <c r="Y818" s="275"/>
      <c r="Z818" s="808" t="str">
        <f>IF($F822="","",SUM(Z834:AB834)-AB820)</f>
        <v/>
      </c>
      <c r="AA818" s="808"/>
      <c r="AB818" s="808"/>
      <c r="AC818" s="276"/>
      <c r="AD818" s="277"/>
      <c r="AE818" s="277"/>
      <c r="AF818" s="277"/>
      <c r="AG818" s="273"/>
      <c r="AH818" s="275"/>
      <c r="AI818" s="808" t="str">
        <f>IF($F822="","",SUM(AI834:AK834)-AK820)</f>
        <v/>
      </c>
      <c r="AJ818" s="808"/>
      <c r="AK818" s="808"/>
      <c r="AL818" s="276"/>
      <c r="AM818" s="277"/>
      <c r="AN818" s="277"/>
      <c r="AO818" s="277"/>
      <c r="AP818" s="273"/>
      <c r="AQ818" s="275"/>
      <c r="AR818" s="808" t="str">
        <f>IF($F822="","",SUM(AR834:AT834)-AT820)</f>
        <v/>
      </c>
      <c r="AS818" s="808"/>
      <c r="AT818" s="808"/>
      <c r="AU818" s="278"/>
      <c r="AV818" s="277"/>
      <c r="AW818" s="277"/>
      <c r="AX818" s="277"/>
      <c r="AY818" s="279"/>
      <c r="AZ818" s="280"/>
      <c r="BA818" s="808" t="str">
        <f>IF($F822="","",SUM(BA834:BC834)-BC820)</f>
        <v/>
      </c>
      <c r="BB818" s="808"/>
      <c r="BC818" s="808"/>
      <c r="BD818" s="278"/>
      <c r="BE818" s="277"/>
      <c r="BF818" s="277"/>
      <c r="BG818" s="277"/>
      <c r="BH818" s="279"/>
      <c r="BI818" s="280"/>
      <c r="BJ818" s="808" t="str">
        <f>IF($F822="","",SUM(BJ834:BL834)-BL820)</f>
        <v/>
      </c>
      <c r="BK818" s="808"/>
      <c r="BL818" s="808"/>
      <c r="BM818" s="278"/>
      <c r="BN818" s="277"/>
      <c r="BO818" s="277"/>
      <c r="BP818" s="277"/>
      <c r="BQ818" s="279"/>
      <c r="BR818" s="281"/>
      <c r="BS818" s="808" t="str">
        <f>IF($F822="","",SUM(BS834:BU834)-BU820)</f>
        <v/>
      </c>
      <c r="BT818" s="808"/>
      <c r="BU818" s="808"/>
      <c r="BV818" s="280"/>
      <c r="BW818" s="279"/>
      <c r="BX818" s="279"/>
      <c r="BY818" s="279"/>
      <c r="BZ818" s="279"/>
      <c r="CA818" s="281"/>
      <c r="CB818" s="808" t="str">
        <f>IF($F822="","",SUM(CB834:CD834)-CD820)</f>
        <v/>
      </c>
      <c r="CC818" s="808"/>
      <c r="CD818" s="808"/>
      <c r="CE818" s="280"/>
      <c r="CF818" s="279"/>
      <c r="CG818" s="279"/>
      <c r="CH818" s="279"/>
      <c r="CI818" s="279"/>
      <c r="CJ818" s="273"/>
      <c r="CK818" s="808" t="str">
        <f>IF($F822="","",SUM(CK834:CM834))</f>
        <v/>
      </c>
      <c r="CL818" s="808"/>
      <c r="CM818" s="808"/>
      <c r="CN818" s="280"/>
      <c r="CO818" s="279"/>
      <c r="CP818" s="279"/>
      <c r="CQ818" s="279"/>
      <c r="CR818" s="273"/>
      <c r="CS818" s="273"/>
      <c r="CT818" s="273"/>
      <c r="CU818" s="292"/>
      <c r="CV818" s="246"/>
      <c r="CW818" s="255"/>
    </row>
    <row r="819" spans="1:101" x14ac:dyDescent="0.2">
      <c r="A819" s="256"/>
      <c r="B819" s="256"/>
      <c r="C819" s="209"/>
      <c r="D819" s="916"/>
      <c r="E819" s="588" t="str">
        <f>IF(D819="","",DATE($D$3,1,1)+(D819-1)*7+(6-WEEKDAY(DATE($D$3,1,1),2)))</f>
        <v/>
      </c>
      <c r="F819" s="213"/>
      <c r="G819" s="214"/>
      <c r="H819" s="214"/>
      <c r="I819" s="804" t="str">
        <f>IF(ISERROR(AVERAGE(Q818,Z818,AI818,AR818,BA818,BJ818,BS818,CB818,CK818)),"",AVERAGE(Q818,Z818,AI818,AR818,BA818,BJ818,BS818,CB818,CK818))</f>
        <v/>
      </c>
      <c r="J819" s="806"/>
      <c r="K819" s="806"/>
      <c r="L819" s="295"/>
      <c r="M819" s="372"/>
      <c r="N819" s="245"/>
      <c r="O819" s="215"/>
      <c r="P819" s="215"/>
      <c r="Q819" s="710" t="str">
        <f>IF(Q818="","",Q818/Data!$X$1)</f>
        <v/>
      </c>
      <c r="R819" s="710"/>
      <c r="S819" s="711" t="str">
        <f>IF(SUM(X822:X833)=0,"",SUM(X822:X833))</f>
        <v/>
      </c>
      <c r="T819" s="216"/>
      <c r="U819" s="217"/>
      <c r="V819" s="217"/>
      <c r="W819" s="217"/>
      <c r="X819" s="217"/>
      <c r="Y819" s="215"/>
      <c r="Z819" s="710" t="str">
        <f>IF(Z818="","",Z818/Data!$X$1)</f>
        <v/>
      </c>
      <c r="AA819" s="710"/>
      <c r="AB819" s="711" t="str">
        <f>IF(SUM(AG822:AG833)=0,"",SUM(AG822:AG833))</f>
        <v/>
      </c>
      <c r="AC819" s="216"/>
      <c r="AD819" s="217"/>
      <c r="AE819" s="217"/>
      <c r="AF819" s="217"/>
      <c r="AG819" s="217"/>
      <c r="AH819" s="215"/>
      <c r="AI819" s="710" t="str">
        <f>IF(AI818="","",AI818/Data!$X$1)</f>
        <v/>
      </c>
      <c r="AJ819" s="710"/>
      <c r="AK819" s="711" t="str">
        <f>IF(SUM(AP822:AP833)=0,"",SUM(AP822:AP833))</f>
        <v/>
      </c>
      <c r="AL819" s="216"/>
      <c r="AM819" s="217"/>
      <c r="AN819" s="217"/>
      <c r="AO819" s="217"/>
      <c r="AP819" s="217"/>
      <c r="AQ819" s="215"/>
      <c r="AR819" s="710" t="str">
        <f>IF(AR818="","",AR818/Data!$X$1)</f>
        <v/>
      </c>
      <c r="AS819" s="710"/>
      <c r="AT819" s="711" t="str">
        <f>IF(SUM(AY822:AY833)=0,"",SUM(AY822:AY833))</f>
        <v/>
      </c>
      <c r="AU819" s="218"/>
      <c r="AV819" s="217"/>
      <c r="AW819" s="217"/>
      <c r="AX819" s="217"/>
      <c r="AY819" s="217"/>
      <c r="AZ819" s="219"/>
      <c r="BA819" s="710" t="str">
        <f>IF(BA818="","",BA818/Data!$X$1)</f>
        <v/>
      </c>
      <c r="BB819" s="710"/>
      <c r="BC819" s="711" t="str">
        <f>IF(SUM(BH822:BH833)=0,"",SUM(BH822:BH833))</f>
        <v/>
      </c>
      <c r="BD819" s="218"/>
      <c r="BE819" s="217"/>
      <c r="BF819" s="217"/>
      <c r="BG819" s="217"/>
      <c r="BH819" s="217"/>
      <c r="BI819" s="219"/>
      <c r="BJ819" s="710" t="str">
        <f>IF(BJ818="","",BJ818/Data!$X$1)</f>
        <v/>
      </c>
      <c r="BK819" s="710"/>
      <c r="BL819" s="711" t="str">
        <f>IF(SUM(BQ822:BQ833)=0,"",SUM(BQ822:BQ833))</f>
        <v/>
      </c>
      <c r="BM819" s="218"/>
      <c r="BN819" s="217"/>
      <c r="BO819" s="217"/>
      <c r="BP819" s="217"/>
      <c r="BQ819" s="217"/>
      <c r="BR819" s="220"/>
      <c r="BS819" s="710" t="str">
        <f>IF(BS818="","",BS818/Data!$X$1)</f>
        <v/>
      </c>
      <c r="BT819" s="710"/>
      <c r="BU819" s="711" t="str">
        <f>IF(SUM(BZ822:BZ833)=0,"",SUM(BZ822:BZ833))</f>
        <v/>
      </c>
      <c r="BV819" s="219"/>
      <c r="BW819" s="217"/>
      <c r="BX819" s="217"/>
      <c r="BY819" s="217"/>
      <c r="BZ819" s="217"/>
      <c r="CA819" s="220"/>
      <c r="CB819" s="710" t="str">
        <f>IF(CB818="","",CB818/Data!$X$1)</f>
        <v/>
      </c>
      <c r="CC819" s="710"/>
      <c r="CD819" s="711" t="str">
        <f>IF(SUM(CI822:CI833)=0,"",SUM(CI822:CI833))</f>
        <v/>
      </c>
      <c r="CE819" s="219"/>
      <c r="CF819" s="217"/>
      <c r="CG819" s="217"/>
      <c r="CH819" s="217"/>
      <c r="CI819" s="217"/>
      <c r="CJ819" s="217"/>
      <c r="CK819" s="710" t="str">
        <f>IF(CK818="","",CK818/Data!$X$1)</f>
        <v/>
      </c>
      <c r="CL819" s="710"/>
      <c r="CM819" s="711" t="str">
        <f>IF(SUM(CR822:CR833)=0,"",SUM(CR822:CR833))</f>
        <v/>
      </c>
      <c r="CN819" s="219"/>
      <c r="CO819" s="217"/>
      <c r="CP819" s="217"/>
      <c r="CQ819" s="217"/>
      <c r="CR819" s="217"/>
      <c r="CS819" s="217"/>
      <c r="CT819" s="217"/>
      <c r="CU819" s="296"/>
      <c r="CV819" s="246"/>
      <c r="CW819" s="255"/>
    </row>
    <row r="820" spans="1:101" ht="13.5" thickBot="1" x14ac:dyDescent="0.25">
      <c r="A820" s="256"/>
      <c r="B820" s="256"/>
      <c r="C820" s="209"/>
      <c r="D820" s="269">
        <f>D798+1</f>
        <v>38</v>
      </c>
      <c r="E820" s="402" t="str">
        <f>IF(E819="","Sett inn dato over her",TEXT(E819,"dddd"))</f>
        <v>Sett inn dato over her</v>
      </c>
      <c r="F820" s="221"/>
      <c r="G820" s="222"/>
      <c r="H820" s="222"/>
      <c r="I820" s="802"/>
      <c r="J820" s="807"/>
      <c r="K820" s="807"/>
      <c r="L820" s="297"/>
      <c r="M820" s="373"/>
      <c r="N820" s="377"/>
      <c r="O820" s="222"/>
      <c r="P820" s="222"/>
      <c r="Q820" s="385" t="str">
        <f>Data!$E$11</f>
        <v>AHH</v>
      </c>
      <c r="R820" s="386" t="str">
        <f>IF($F833="","",RANK(Q818,$Q818:$CL818))</f>
        <v/>
      </c>
      <c r="S820" s="510"/>
      <c r="T820" s="216">
        <v>0</v>
      </c>
      <c r="U820" s="217"/>
      <c r="V820" s="217"/>
      <c r="W820" s="217"/>
      <c r="X820" s="217"/>
      <c r="Y820" s="215"/>
      <c r="Z820" s="385" t="str">
        <f>Data!$E$12</f>
        <v>RB</v>
      </c>
      <c r="AA820" s="386" t="str">
        <f>IF($F833="","",RANK(Z818,$Q818:$CL818))</f>
        <v/>
      </c>
      <c r="AB820" s="510"/>
      <c r="AC820" s="216"/>
      <c r="AD820" s="217"/>
      <c r="AE820" s="217"/>
      <c r="AF820" s="217"/>
      <c r="AG820" s="217"/>
      <c r="AH820" s="215"/>
      <c r="AI820" s="385" t="str">
        <f>Data!$E$13</f>
        <v>EB</v>
      </c>
      <c r="AJ820" s="386" t="str">
        <f>IF($F833="","",RANK(AI818,$Q818:$CL818))</f>
        <v/>
      </c>
      <c r="AK820" s="510"/>
      <c r="AL820" s="216"/>
      <c r="AM820" s="217"/>
      <c r="AN820" s="217"/>
      <c r="AO820" s="217"/>
      <c r="AP820" s="217"/>
      <c r="AQ820" s="215"/>
      <c r="AR820" s="346" t="str">
        <f>Data!$E$14</f>
        <v>KAF</v>
      </c>
      <c r="AS820" s="386" t="str">
        <f>IF($F833="","",RANK(AR818,$Q818:$CL818))</f>
        <v/>
      </c>
      <c r="AT820" s="510"/>
      <c r="AU820" s="216"/>
      <c r="AV820" s="217"/>
      <c r="AW820" s="217"/>
      <c r="AX820" s="217"/>
      <c r="AY820" s="217"/>
      <c r="AZ820" s="215"/>
      <c r="BA820" s="346" t="str">
        <f>Data!$E$15</f>
        <v>ØG</v>
      </c>
      <c r="BB820" s="386" t="str">
        <f>IF($F833="","",RANK(BA818,$Q818:$CL818))</f>
        <v/>
      </c>
      <c r="BC820" s="510"/>
      <c r="BD820" s="216"/>
      <c r="BE820" s="217"/>
      <c r="BF820" s="217"/>
      <c r="BG820" s="217"/>
      <c r="BH820" s="217"/>
      <c r="BI820" s="215"/>
      <c r="BJ820" s="346" t="str">
        <f>Data!$E$16</f>
        <v>JH</v>
      </c>
      <c r="BK820" s="386" t="str">
        <f>IF($F833="","",RANK(BJ818,$Q818:$CL818))</f>
        <v/>
      </c>
      <c r="BL820" s="510"/>
      <c r="BM820" s="216"/>
      <c r="BN820" s="217"/>
      <c r="BO820" s="217"/>
      <c r="BP820" s="217"/>
      <c r="BQ820" s="217"/>
      <c r="BR820" s="223"/>
      <c r="BS820" s="346" t="str">
        <f>Data!$E$17</f>
        <v>TOH</v>
      </c>
      <c r="BT820" s="386" t="str">
        <f>IF($F833="","",RANK(BS818,$Q818:$CL818))</f>
        <v/>
      </c>
      <c r="BU820" s="510"/>
      <c r="BV820" s="215"/>
      <c r="BW820" s="217"/>
      <c r="BX820" s="217"/>
      <c r="BY820" s="217"/>
      <c r="BZ820" s="217"/>
      <c r="CA820" s="223"/>
      <c r="CB820" s="346" t="s">
        <v>26</v>
      </c>
      <c r="CC820" s="386" t="str">
        <f>IF($F833="","",RANK(CB818,$Q818:$CM818))</f>
        <v/>
      </c>
      <c r="CD820" s="511"/>
      <c r="CE820" s="215"/>
      <c r="CF820" s="217"/>
      <c r="CG820" s="217"/>
      <c r="CH820" s="217"/>
      <c r="CI820" s="217"/>
      <c r="CJ820" s="217"/>
      <c r="CK820" s="346" t="s">
        <v>27</v>
      </c>
      <c r="CL820" s="386" t="str">
        <f>IF($F833="","",RANK(CK818,$Q818:$CM818))</f>
        <v/>
      </c>
      <c r="CM820" s="798"/>
      <c r="CN820" s="215"/>
      <c r="CO820" s="217"/>
      <c r="CP820" s="217"/>
      <c r="CQ820" s="217"/>
      <c r="CR820" s="217"/>
      <c r="CS820" s="217"/>
      <c r="CT820" s="217"/>
      <c r="CU820" s="296"/>
      <c r="CV820" s="246"/>
      <c r="CW820" s="255"/>
    </row>
    <row r="821" spans="1:101" ht="13.5" thickBot="1" x14ac:dyDescent="0.25">
      <c r="A821" s="264"/>
      <c r="B821" s="264"/>
      <c r="C821" s="202"/>
      <c r="D821" s="270"/>
      <c r="E821" s="224"/>
      <c r="F821" s="225"/>
      <c r="G821" s="226"/>
      <c r="H821" s="226"/>
      <c r="I821" s="227" t="s">
        <v>45</v>
      </c>
      <c r="J821" s="228" t="s">
        <v>46</v>
      </c>
      <c r="K821" s="229" t="s">
        <v>47</v>
      </c>
      <c r="L821" s="298"/>
      <c r="M821" s="374"/>
      <c r="N821" s="378"/>
      <c r="O821" s="230"/>
      <c r="P821" s="230"/>
      <c r="Q821" s="227" t="s">
        <v>45</v>
      </c>
      <c r="R821" s="228" t="s">
        <v>46</v>
      </c>
      <c r="S821" s="229" t="s">
        <v>47</v>
      </c>
      <c r="T821" s="231"/>
      <c r="U821" s="232"/>
      <c r="V821" s="232"/>
      <c r="W821" s="232"/>
      <c r="X821" s="232"/>
      <c r="Y821" s="230"/>
      <c r="Z821" s="227" t="s">
        <v>45</v>
      </c>
      <c r="AA821" s="228" t="s">
        <v>46</v>
      </c>
      <c r="AB821" s="229" t="s">
        <v>47</v>
      </c>
      <c r="AC821" s="231"/>
      <c r="AD821" s="232"/>
      <c r="AE821" s="232"/>
      <c r="AF821" s="232"/>
      <c r="AG821" s="232"/>
      <c r="AH821" s="230"/>
      <c r="AI821" s="227" t="s">
        <v>45</v>
      </c>
      <c r="AJ821" s="228" t="s">
        <v>46</v>
      </c>
      <c r="AK821" s="229" t="s">
        <v>47</v>
      </c>
      <c r="AL821" s="231"/>
      <c r="AM821" s="232"/>
      <c r="AN821" s="232"/>
      <c r="AO821" s="232"/>
      <c r="AP821" s="232"/>
      <c r="AQ821" s="230"/>
      <c r="AR821" s="227" t="s">
        <v>45</v>
      </c>
      <c r="AS821" s="228" t="s">
        <v>46</v>
      </c>
      <c r="AT821" s="229" t="s">
        <v>47</v>
      </c>
      <c r="AU821" s="231"/>
      <c r="AV821" s="232"/>
      <c r="AW821" s="232"/>
      <c r="AX821" s="232"/>
      <c r="AY821" s="232"/>
      <c r="AZ821" s="230"/>
      <c r="BA821" s="227" t="s">
        <v>45</v>
      </c>
      <c r="BB821" s="228" t="s">
        <v>46</v>
      </c>
      <c r="BC821" s="229" t="s">
        <v>47</v>
      </c>
      <c r="BD821" s="231"/>
      <c r="BE821" s="232"/>
      <c r="BF821" s="232"/>
      <c r="BG821" s="232"/>
      <c r="BH821" s="232"/>
      <c r="BI821" s="230"/>
      <c r="BJ821" s="227" t="s">
        <v>45</v>
      </c>
      <c r="BK821" s="228" t="s">
        <v>46</v>
      </c>
      <c r="BL821" s="229" t="s">
        <v>47</v>
      </c>
      <c r="BM821" s="231"/>
      <c r="BN821" s="232"/>
      <c r="BO821" s="232"/>
      <c r="BP821" s="232"/>
      <c r="BQ821" s="232"/>
      <c r="BR821" s="230"/>
      <c r="BS821" s="227" t="s">
        <v>45</v>
      </c>
      <c r="BT821" s="228" t="s">
        <v>46</v>
      </c>
      <c r="BU821" s="229" t="s">
        <v>47</v>
      </c>
      <c r="BV821" s="231"/>
      <c r="BW821" s="232"/>
      <c r="BX821" s="232"/>
      <c r="BY821" s="232"/>
      <c r="BZ821" s="233"/>
      <c r="CA821" s="230"/>
      <c r="CB821" s="227" t="s">
        <v>45</v>
      </c>
      <c r="CC821" s="228" t="s">
        <v>46</v>
      </c>
      <c r="CD821" s="229" t="s">
        <v>47</v>
      </c>
      <c r="CE821" s="231"/>
      <c r="CF821" s="232"/>
      <c r="CG821" s="232"/>
      <c r="CH821" s="232"/>
      <c r="CI821" s="232"/>
      <c r="CJ821" s="232"/>
      <c r="CK821" s="227" t="s">
        <v>45</v>
      </c>
      <c r="CL821" s="228" t="s">
        <v>46</v>
      </c>
      <c r="CM821" s="229" t="s">
        <v>47</v>
      </c>
      <c r="CN821" s="231"/>
      <c r="CO821" s="232"/>
      <c r="CP821" s="232"/>
      <c r="CQ821" s="232"/>
      <c r="CR821" s="232"/>
      <c r="CS821" s="232"/>
      <c r="CT821" s="234"/>
      <c r="CU821" s="296"/>
      <c r="CV821" s="246"/>
      <c r="CW821" s="265"/>
    </row>
    <row r="822" spans="1:101" x14ac:dyDescent="0.2">
      <c r="A822" s="264"/>
      <c r="B822" s="264"/>
      <c r="C822" s="202"/>
      <c r="D822" s="271">
        <v>1</v>
      </c>
      <c r="E822" s="166"/>
      <c r="F822" s="468"/>
      <c r="G822" s="472" t="s">
        <v>49</v>
      </c>
      <c r="H822" s="473"/>
      <c r="I822" s="170" t="str">
        <f t="shared" ref="I822:I833" si="1850">IF($F822&gt;$H822,"x","")</f>
        <v/>
      </c>
      <c r="J822" s="387" t="str">
        <f t="shared" ref="J822:J833" si="1851">IF(F822&lt;&gt;"",IF(H822&lt;&gt;"",IF(F822=H822,"x",""),""),"")</f>
        <v/>
      </c>
      <c r="K822" s="388" t="str">
        <f t="shared" ref="K822:K833" si="1852">IF($F822&lt;$H822,"x","")</f>
        <v/>
      </c>
      <c r="L822" s="299"/>
      <c r="M822" s="375"/>
      <c r="N822" s="379"/>
      <c r="O822" s="236"/>
      <c r="P822" s="236"/>
      <c r="Q822" s="480"/>
      <c r="R822" s="481"/>
      <c r="S822" s="482" t="str">
        <f>IF(Q822="","",100-SUM(Q822:R822))</f>
        <v/>
      </c>
      <c r="T822" s="371"/>
      <c r="U822" s="232" t="str">
        <f t="shared" ref="U822:U833" si="1853">IF($I822="x",Q822,"")</f>
        <v/>
      </c>
      <c r="V822" s="232" t="str">
        <f t="shared" ref="V822:V833" si="1854">IF($J822="x",R822,"")</f>
        <v/>
      </c>
      <c r="W822" s="232" t="str">
        <f t="shared" ref="W822:W833" si="1855">IF($K822="x",S822,"")</f>
        <v/>
      </c>
      <c r="X822" s="232" t="str">
        <f>IF((MAX(U822,V822,W822))=0,"",IF((MAX(U822,V822,W822))=(MAX(Q822,R822,S822)),1,""))</f>
        <v/>
      </c>
      <c r="Y822" s="371"/>
      <c r="Z822" s="495"/>
      <c r="AA822" s="496"/>
      <c r="AB822" s="482" t="str">
        <f t="shared" ref="AB822:AB833" si="1856">IF(Z822="","",100-SUM(Z822:AA822))</f>
        <v/>
      </c>
      <c r="AC822" s="371"/>
      <c r="AD822" s="232" t="str">
        <f t="shared" ref="AD822:AD833" si="1857">IF($I822="x",Z822,"")</f>
        <v/>
      </c>
      <c r="AE822" s="232" t="str">
        <f t="shared" ref="AE822:AE833" si="1858">IF($J822="x",AA822,"")</f>
        <v/>
      </c>
      <c r="AF822" s="232" t="str">
        <f t="shared" ref="AF822:AF833" si="1859">IF($K822="x",AB822,"")</f>
        <v/>
      </c>
      <c r="AG822" s="232" t="str">
        <f>IF((MAX(AD822,AE822,AF822))=0,"",IF((MAX(AD822,AE822,AF822))=(MAX(Z822,AA822,AB822)),1,""))</f>
        <v/>
      </c>
      <c r="AH822" s="371"/>
      <c r="AI822" s="495"/>
      <c r="AJ822" s="496"/>
      <c r="AK822" s="482" t="str">
        <f t="shared" ref="AK822:AK833" si="1860">IF(AI822="","",100-SUM(AI822:AJ822))</f>
        <v/>
      </c>
      <c r="AL822" s="371"/>
      <c r="AM822" s="232" t="str">
        <f t="shared" ref="AM822:AM833" si="1861">IF($I822="x",AI822,"")</f>
        <v/>
      </c>
      <c r="AN822" s="232" t="str">
        <f t="shared" ref="AN822:AN833" si="1862">IF($J822="x",AJ822,"")</f>
        <v/>
      </c>
      <c r="AO822" s="232" t="str">
        <f t="shared" ref="AO822:AO833" si="1863">IF($K822="x",AK822,"")</f>
        <v/>
      </c>
      <c r="AP822" s="232" t="str">
        <f>IF((MAX(AM822,AN822,AO822))=0,"",IF((MAX(AM822,AN822,AO822))=(MAX(AI822,AJ822,AK822)),1,""))</f>
        <v/>
      </c>
      <c r="AQ822" s="371"/>
      <c r="AR822" s="495"/>
      <c r="AS822" s="496"/>
      <c r="AT822" s="482" t="str">
        <f t="shared" ref="AT822:AT833" si="1864">IF(AR822="","",100-SUM(AR822:AS822))</f>
        <v/>
      </c>
      <c r="AU822" s="371"/>
      <c r="AV822" s="232" t="str">
        <f t="shared" ref="AV822:AV833" si="1865">IF($I822="x",AR822,"")</f>
        <v/>
      </c>
      <c r="AW822" s="232" t="str">
        <f t="shared" ref="AW822:AW833" si="1866">IF($J822="x",AS822,"")</f>
        <v/>
      </c>
      <c r="AX822" s="232" t="str">
        <f t="shared" ref="AX822:AX833" si="1867">IF($K822="x",AT822,"")</f>
        <v/>
      </c>
      <c r="AY822" s="232" t="str">
        <f>IF((MAX(AV822,AW822,AX822))=0,"",IF((MAX(AV822,AW822,AX822))=(MAX(AR822,AS822,AT822)),1,""))</f>
        <v/>
      </c>
      <c r="AZ822" s="371"/>
      <c r="BA822" s="495"/>
      <c r="BB822" s="496"/>
      <c r="BC822" s="482" t="str">
        <f t="shared" ref="BC822:BC833" si="1868">IF(BA822="","",100-SUM(BA822:BB822))</f>
        <v/>
      </c>
      <c r="BD822" s="371"/>
      <c r="BE822" s="232" t="str">
        <f t="shared" ref="BE822:BE833" si="1869">IF($I822="x",BA822,"")</f>
        <v/>
      </c>
      <c r="BF822" s="232" t="str">
        <f t="shared" ref="BF822:BF833" si="1870">IF($J822="x",BB822,"")</f>
        <v/>
      </c>
      <c r="BG822" s="232" t="str">
        <f t="shared" ref="BG822:BG833" si="1871">IF($K822="x",BC822,"")</f>
        <v/>
      </c>
      <c r="BH822" s="232" t="str">
        <f>IF((MAX(BE822,BF822,BG822))=0,"",IF((MAX(BE822,BF822,BG822))=(MAX(BA822,BB822,BC822)),1,""))</f>
        <v/>
      </c>
      <c r="BI822" s="371"/>
      <c r="BJ822" s="495"/>
      <c r="BK822" s="496"/>
      <c r="BL822" s="482" t="str">
        <f t="shared" ref="BL822:BL833" si="1872">IF(BJ822="","",100-SUM(BJ822:BK822))</f>
        <v/>
      </c>
      <c r="BM822" s="371"/>
      <c r="BN822" s="232" t="str">
        <f t="shared" ref="BN822:BN833" si="1873">IF($I822="x",BJ822,"")</f>
        <v/>
      </c>
      <c r="BO822" s="232" t="str">
        <f t="shared" ref="BO822:BO833" si="1874">IF($J822="x",BK822,"")</f>
        <v/>
      </c>
      <c r="BP822" s="232" t="str">
        <f t="shared" ref="BP822:BP833" si="1875">IF($K822="x",BL822,"")</f>
        <v/>
      </c>
      <c r="BQ822" s="232" t="str">
        <f>IF((MAX(BN822,BO822,BP822))=0,"",IF((MAX(BN822,BO822,BP822))=(MAX(BJ822,BK822,BL822)),1,""))</f>
        <v/>
      </c>
      <c r="BR822" s="371"/>
      <c r="BS822" s="495"/>
      <c r="BT822" s="496"/>
      <c r="BU822" s="482" t="str">
        <f t="shared" ref="BU822:BU833" si="1876">IF(BS822="","",100-SUM(BS822:BT822))</f>
        <v/>
      </c>
      <c r="BV822" s="371"/>
      <c r="BW822" s="232" t="str">
        <f t="shared" ref="BW822:BW833" si="1877">IF($I822="x",BS822,"")</f>
        <v/>
      </c>
      <c r="BX822" s="232" t="str">
        <f t="shared" ref="BX822:BX833" si="1878">IF($J822="x",BT822,"")</f>
        <v/>
      </c>
      <c r="BY822" s="232" t="str">
        <f t="shared" ref="BY822:BY833" si="1879">IF($K822="x",BU822,"")</f>
        <v/>
      </c>
      <c r="BZ822" s="232" t="str">
        <f>IF((MAX(BW822,BX822,BY822))=0,"",IF((MAX(BW822,BX822,BY822))=(MAX(BS822,BT822,BU822)),1,""))</f>
        <v/>
      </c>
      <c r="CA822" s="371"/>
      <c r="CB822" s="501" t="str">
        <f t="shared" ref="CB822:CB833" si="1880">IFERROR(ROUNDUP((SUM(Q822,Z822,AI822,AR822,BA822,BJ822,BS822)/SUM($Q822:$S822,$Z822:$AB822,$AI822:$AK822,$AR822:$AT822,$BA822:$BC822,$BJ822:$BL822,$BS822:$BU822))*100,-1),"")</f>
        <v/>
      </c>
      <c r="CC822" s="502" t="str">
        <f t="shared" ref="CC822:CC833" si="1881">IFERROR(ROUNDDOWN((SUM(R822,AA822,AJ822,AS822,BB822,BK822,BT822)/SUM($Q822:$S822,$Z822:$AB822,$AI822:$AK822,$AR822:$AT822,$BA822:$BC822,$BJ822:$BL822,$BS822:$BU822))*100,-1),"")</f>
        <v/>
      </c>
      <c r="CD822" s="503" t="str">
        <f t="shared" ref="CD822:CD833" si="1882">IF(CB822="","",100-SUM(CB822:CC822))</f>
        <v/>
      </c>
      <c r="CE822" s="371"/>
      <c r="CF822" s="232" t="str">
        <f t="shared" ref="CF822:CF833" si="1883">IF($I822="x",CB822,"")</f>
        <v/>
      </c>
      <c r="CG822" s="232" t="str">
        <f t="shared" ref="CG822:CG833" si="1884">IF($J822="x",CC822,"")</f>
        <v/>
      </c>
      <c r="CH822" s="232" t="str">
        <f t="shared" ref="CH822:CH833" si="1885">IF($K822="x",CD822,"")</f>
        <v/>
      </c>
      <c r="CI822" s="232" t="str">
        <f>IF((MAX(CF822,CG822,CH822))=0,"",IF((MAX(CF822,CG822,CH822))=(MAX(CB822,CC822,CD822)),1,""))</f>
        <v/>
      </c>
      <c r="CJ822" s="232"/>
      <c r="CK822" s="495"/>
      <c r="CL822" s="496"/>
      <c r="CM822" s="482" t="str">
        <f t="shared" ref="CM822:CM833" si="1886">IF(CK822="","",100-SUM(CK822:CL822))</f>
        <v/>
      </c>
      <c r="CN822" s="371"/>
      <c r="CO822" s="232" t="str">
        <f t="shared" ref="CO822:CO833" si="1887">IF($I822="x",CK822,"")</f>
        <v/>
      </c>
      <c r="CP822" s="232" t="str">
        <f t="shared" ref="CP822:CP833" si="1888">IF($J822="x",CL822,"")</f>
        <v/>
      </c>
      <c r="CQ822" s="232" t="str">
        <f t="shared" ref="CQ822:CQ833" si="1889">IF($K822="x",CM822,"")</f>
        <v/>
      </c>
      <c r="CR822" s="232" t="str">
        <f>IF((MAX(CO822,CP822,CQ822))=0,"",IF((MAX(CO822,CP822,CQ822))=(MAX(CK822,CL822,CM822)),1,""))</f>
        <v/>
      </c>
      <c r="CS822" s="232"/>
      <c r="CT822" s="371"/>
      <c r="CU822" s="296"/>
      <c r="CV822" s="246"/>
      <c r="CW822" s="264"/>
    </row>
    <row r="823" spans="1:101" x14ac:dyDescent="0.2">
      <c r="A823" s="264"/>
      <c r="B823" s="264"/>
      <c r="C823" s="202"/>
      <c r="D823" s="271">
        <v>2</v>
      </c>
      <c r="E823" s="167"/>
      <c r="F823" s="469"/>
      <c r="G823" s="474" t="s">
        <v>49</v>
      </c>
      <c r="H823" s="475"/>
      <c r="I823" s="389" t="str">
        <f t="shared" si="1850"/>
        <v/>
      </c>
      <c r="J823" s="390" t="str">
        <f t="shared" si="1851"/>
        <v/>
      </c>
      <c r="K823" s="391" t="str">
        <f t="shared" si="1852"/>
        <v/>
      </c>
      <c r="L823" s="299"/>
      <c r="M823" s="375"/>
      <c r="N823" s="379"/>
      <c r="O823" s="236"/>
      <c r="P823" s="236"/>
      <c r="Q823" s="483"/>
      <c r="R823" s="484"/>
      <c r="S823" s="485" t="str">
        <f t="shared" ref="S823:S833" si="1890">IF(Q823="","",100-SUM(Q823:R823))</f>
        <v/>
      </c>
      <c r="T823" s="371"/>
      <c r="U823" s="232" t="str">
        <f t="shared" si="1853"/>
        <v/>
      </c>
      <c r="V823" s="232" t="str">
        <f t="shared" si="1854"/>
        <v/>
      </c>
      <c r="W823" s="232" t="str">
        <f t="shared" si="1855"/>
        <v/>
      </c>
      <c r="X823" s="232" t="str">
        <f t="shared" ref="X823:X833" si="1891">IF((MAX(U823,V823,W823))=0,"",IF((MAX(U823,V823,W823))=(MAX(Q823,R823,S823)),1,""))</f>
        <v/>
      </c>
      <c r="Y823" s="371"/>
      <c r="Z823" s="497"/>
      <c r="AA823" s="498"/>
      <c r="AB823" s="485" t="str">
        <f t="shared" si="1856"/>
        <v/>
      </c>
      <c r="AC823" s="371"/>
      <c r="AD823" s="232" t="str">
        <f t="shared" si="1857"/>
        <v/>
      </c>
      <c r="AE823" s="232" t="str">
        <f t="shared" si="1858"/>
        <v/>
      </c>
      <c r="AF823" s="232" t="str">
        <f t="shared" si="1859"/>
        <v/>
      </c>
      <c r="AG823" s="232" t="str">
        <f t="shared" ref="AG823:AG833" si="1892">IF((MAX(AD823,AE823,AF823))=0,"",IF((MAX(AD823,AE823,AF823))=(MAX(Z823,AA823,AB823)),1,""))</f>
        <v/>
      </c>
      <c r="AH823" s="371"/>
      <c r="AI823" s="497"/>
      <c r="AJ823" s="498"/>
      <c r="AK823" s="485" t="str">
        <f t="shared" si="1860"/>
        <v/>
      </c>
      <c r="AL823" s="371"/>
      <c r="AM823" s="232" t="str">
        <f t="shared" si="1861"/>
        <v/>
      </c>
      <c r="AN823" s="232" t="str">
        <f t="shared" si="1862"/>
        <v/>
      </c>
      <c r="AO823" s="232" t="str">
        <f t="shared" si="1863"/>
        <v/>
      </c>
      <c r="AP823" s="232" t="str">
        <f t="shared" ref="AP823:AP833" si="1893">IF((MAX(AM823,AN823,AO823))=0,"",IF((MAX(AM823,AN823,AO823))=(MAX(AI823,AJ823,AK823)),1,""))</f>
        <v/>
      </c>
      <c r="AQ823" s="371"/>
      <c r="AR823" s="497"/>
      <c r="AS823" s="498"/>
      <c r="AT823" s="485" t="str">
        <f t="shared" si="1864"/>
        <v/>
      </c>
      <c r="AU823" s="371"/>
      <c r="AV823" s="232" t="str">
        <f t="shared" si="1865"/>
        <v/>
      </c>
      <c r="AW823" s="232" t="str">
        <f t="shared" si="1866"/>
        <v/>
      </c>
      <c r="AX823" s="232" t="str">
        <f t="shared" si="1867"/>
        <v/>
      </c>
      <c r="AY823" s="232" t="str">
        <f t="shared" ref="AY823:AY833" si="1894">IF((MAX(AV823,AW823,AX823))=0,"",IF((MAX(AV823,AW823,AX823))=(MAX(AR823,AS823,AT823)),1,""))</f>
        <v/>
      </c>
      <c r="AZ823" s="371"/>
      <c r="BA823" s="497"/>
      <c r="BB823" s="498"/>
      <c r="BC823" s="485" t="str">
        <f t="shared" si="1868"/>
        <v/>
      </c>
      <c r="BD823" s="371"/>
      <c r="BE823" s="232" t="str">
        <f t="shared" si="1869"/>
        <v/>
      </c>
      <c r="BF823" s="232" t="str">
        <f t="shared" si="1870"/>
        <v/>
      </c>
      <c r="BG823" s="232" t="str">
        <f t="shared" si="1871"/>
        <v/>
      </c>
      <c r="BH823" s="232" t="str">
        <f t="shared" ref="BH823:BH833" si="1895">IF((MAX(BE823,BF823,BG823))=0,"",IF((MAX(BE823,BF823,BG823))=(MAX(BA823,BB823,BC823)),1,""))</f>
        <v/>
      </c>
      <c r="BI823" s="371"/>
      <c r="BJ823" s="497"/>
      <c r="BK823" s="498"/>
      <c r="BL823" s="485" t="str">
        <f t="shared" si="1872"/>
        <v/>
      </c>
      <c r="BM823" s="371"/>
      <c r="BN823" s="232" t="str">
        <f t="shared" si="1873"/>
        <v/>
      </c>
      <c r="BO823" s="232" t="str">
        <f t="shared" si="1874"/>
        <v/>
      </c>
      <c r="BP823" s="232" t="str">
        <f t="shared" si="1875"/>
        <v/>
      </c>
      <c r="BQ823" s="232" t="str">
        <f t="shared" ref="BQ823:BQ833" si="1896">IF((MAX(BN823,BO823,BP823))=0,"",IF((MAX(BN823,BO823,BP823))=(MAX(BJ823,BK823,BL823)),1,""))</f>
        <v/>
      </c>
      <c r="BR823" s="371"/>
      <c r="BS823" s="497"/>
      <c r="BT823" s="498"/>
      <c r="BU823" s="485" t="str">
        <f t="shared" si="1876"/>
        <v/>
      </c>
      <c r="BV823" s="371"/>
      <c r="BW823" s="232" t="str">
        <f t="shared" si="1877"/>
        <v/>
      </c>
      <c r="BX823" s="232" t="str">
        <f t="shared" si="1878"/>
        <v/>
      </c>
      <c r="BY823" s="232" t="str">
        <f t="shared" si="1879"/>
        <v/>
      </c>
      <c r="BZ823" s="232" t="str">
        <f t="shared" ref="BZ823:BZ833" si="1897">IF((MAX(BW823,BX823,BY823))=0,"",IF((MAX(BW823,BX823,BY823))=(MAX(BS823,BT823,BU823)),1,""))</f>
        <v/>
      </c>
      <c r="CA823" s="371"/>
      <c r="CB823" s="504" t="str">
        <f t="shared" si="1880"/>
        <v/>
      </c>
      <c r="CC823" s="505" t="str">
        <f t="shared" si="1881"/>
        <v/>
      </c>
      <c r="CD823" s="506" t="str">
        <f t="shared" si="1882"/>
        <v/>
      </c>
      <c r="CE823" s="371"/>
      <c r="CF823" s="232" t="str">
        <f t="shared" si="1883"/>
        <v/>
      </c>
      <c r="CG823" s="232" t="str">
        <f t="shared" si="1884"/>
        <v/>
      </c>
      <c r="CH823" s="232" t="str">
        <f t="shared" si="1885"/>
        <v/>
      </c>
      <c r="CI823" s="232" t="str">
        <f t="shared" ref="CI823:CI833" si="1898">IF((MAX(CF823,CG823,CH823))=0,"",IF((MAX(CF823,CG823,CH823))=(MAX(CB823,CC823,CD823)),1,""))</f>
        <v/>
      </c>
      <c r="CJ823" s="232"/>
      <c r="CK823" s="497"/>
      <c r="CL823" s="498"/>
      <c r="CM823" s="485" t="str">
        <f t="shared" si="1886"/>
        <v/>
      </c>
      <c r="CN823" s="371"/>
      <c r="CO823" s="232" t="str">
        <f t="shared" si="1887"/>
        <v/>
      </c>
      <c r="CP823" s="232" t="str">
        <f t="shared" si="1888"/>
        <v/>
      </c>
      <c r="CQ823" s="232" t="str">
        <f t="shared" si="1889"/>
        <v/>
      </c>
      <c r="CR823" s="232" t="str">
        <f t="shared" ref="CR823:CR833" si="1899">IF((MAX(CO823,CP823,CQ823))=0,"",IF((MAX(CO823,CP823,CQ823))=(MAX(CK823,CL823,CM823)),1,""))</f>
        <v/>
      </c>
      <c r="CS823" s="232"/>
      <c r="CT823" s="371"/>
      <c r="CU823" s="296"/>
      <c r="CV823" s="246"/>
      <c r="CW823" s="264"/>
    </row>
    <row r="824" spans="1:101" ht="13.5" thickBot="1" x14ac:dyDescent="0.25">
      <c r="A824" s="264"/>
      <c r="B824" s="264"/>
      <c r="C824" s="202"/>
      <c r="D824" s="271">
        <v>3</v>
      </c>
      <c r="E824" s="168"/>
      <c r="F824" s="470"/>
      <c r="G824" s="476" t="s">
        <v>49</v>
      </c>
      <c r="H824" s="477"/>
      <c r="I824" s="392" t="str">
        <f t="shared" si="1850"/>
        <v/>
      </c>
      <c r="J824" s="393" t="str">
        <f t="shared" si="1851"/>
        <v/>
      </c>
      <c r="K824" s="394" t="str">
        <f t="shared" si="1852"/>
        <v/>
      </c>
      <c r="L824" s="299"/>
      <c r="M824" s="375"/>
      <c r="N824" s="379"/>
      <c r="O824" s="236"/>
      <c r="P824" s="236"/>
      <c r="Q824" s="486"/>
      <c r="R824" s="487"/>
      <c r="S824" s="488" t="str">
        <f t="shared" si="1890"/>
        <v/>
      </c>
      <c r="T824" s="371"/>
      <c r="U824" s="232" t="str">
        <f t="shared" si="1853"/>
        <v/>
      </c>
      <c r="V824" s="232" t="str">
        <f t="shared" si="1854"/>
        <v/>
      </c>
      <c r="W824" s="232" t="str">
        <f t="shared" si="1855"/>
        <v/>
      </c>
      <c r="X824" s="232" t="str">
        <f t="shared" si="1891"/>
        <v/>
      </c>
      <c r="Y824" s="371"/>
      <c r="Z824" s="499"/>
      <c r="AA824" s="500"/>
      <c r="AB824" s="488" t="str">
        <f t="shared" si="1856"/>
        <v/>
      </c>
      <c r="AC824" s="371"/>
      <c r="AD824" s="232" t="str">
        <f t="shared" si="1857"/>
        <v/>
      </c>
      <c r="AE824" s="232" t="str">
        <f t="shared" si="1858"/>
        <v/>
      </c>
      <c r="AF824" s="232" t="str">
        <f t="shared" si="1859"/>
        <v/>
      </c>
      <c r="AG824" s="232" t="str">
        <f t="shared" si="1892"/>
        <v/>
      </c>
      <c r="AH824" s="371"/>
      <c r="AI824" s="499"/>
      <c r="AJ824" s="500"/>
      <c r="AK824" s="488" t="str">
        <f t="shared" si="1860"/>
        <v/>
      </c>
      <c r="AL824" s="371"/>
      <c r="AM824" s="232" t="str">
        <f t="shared" si="1861"/>
        <v/>
      </c>
      <c r="AN824" s="232" t="str">
        <f t="shared" si="1862"/>
        <v/>
      </c>
      <c r="AO824" s="232" t="str">
        <f t="shared" si="1863"/>
        <v/>
      </c>
      <c r="AP824" s="232" t="str">
        <f t="shared" si="1893"/>
        <v/>
      </c>
      <c r="AQ824" s="371"/>
      <c r="AR824" s="499"/>
      <c r="AS824" s="500"/>
      <c r="AT824" s="488" t="str">
        <f t="shared" si="1864"/>
        <v/>
      </c>
      <c r="AU824" s="371"/>
      <c r="AV824" s="232" t="str">
        <f t="shared" si="1865"/>
        <v/>
      </c>
      <c r="AW824" s="232" t="str">
        <f t="shared" si="1866"/>
        <v/>
      </c>
      <c r="AX824" s="232" t="str">
        <f t="shared" si="1867"/>
        <v/>
      </c>
      <c r="AY824" s="232" t="str">
        <f t="shared" si="1894"/>
        <v/>
      </c>
      <c r="AZ824" s="371"/>
      <c r="BA824" s="499"/>
      <c r="BB824" s="500"/>
      <c r="BC824" s="488" t="str">
        <f t="shared" si="1868"/>
        <v/>
      </c>
      <c r="BD824" s="371"/>
      <c r="BE824" s="232" t="str">
        <f t="shared" si="1869"/>
        <v/>
      </c>
      <c r="BF824" s="232" t="str">
        <f t="shared" si="1870"/>
        <v/>
      </c>
      <c r="BG824" s="232" t="str">
        <f t="shared" si="1871"/>
        <v/>
      </c>
      <c r="BH824" s="232" t="str">
        <f t="shared" si="1895"/>
        <v/>
      </c>
      <c r="BI824" s="371"/>
      <c r="BJ824" s="499"/>
      <c r="BK824" s="500"/>
      <c r="BL824" s="488" t="str">
        <f t="shared" si="1872"/>
        <v/>
      </c>
      <c r="BM824" s="371"/>
      <c r="BN824" s="232" t="str">
        <f t="shared" si="1873"/>
        <v/>
      </c>
      <c r="BO824" s="232" t="str">
        <f t="shared" si="1874"/>
        <v/>
      </c>
      <c r="BP824" s="232" t="str">
        <f t="shared" si="1875"/>
        <v/>
      </c>
      <c r="BQ824" s="232" t="str">
        <f t="shared" si="1896"/>
        <v/>
      </c>
      <c r="BR824" s="371"/>
      <c r="BS824" s="499"/>
      <c r="BT824" s="500"/>
      <c r="BU824" s="488" t="str">
        <f t="shared" si="1876"/>
        <v/>
      </c>
      <c r="BV824" s="371"/>
      <c r="BW824" s="232" t="str">
        <f t="shared" si="1877"/>
        <v/>
      </c>
      <c r="BX824" s="232" t="str">
        <f t="shared" si="1878"/>
        <v/>
      </c>
      <c r="BY824" s="232" t="str">
        <f t="shared" si="1879"/>
        <v/>
      </c>
      <c r="BZ824" s="232" t="str">
        <f t="shared" si="1897"/>
        <v/>
      </c>
      <c r="CA824" s="371"/>
      <c r="CB824" s="507" t="str">
        <f t="shared" si="1880"/>
        <v/>
      </c>
      <c r="CC824" s="508" t="str">
        <f t="shared" si="1881"/>
        <v/>
      </c>
      <c r="CD824" s="509" t="str">
        <f t="shared" si="1882"/>
        <v/>
      </c>
      <c r="CE824" s="371"/>
      <c r="CF824" s="232" t="str">
        <f t="shared" si="1883"/>
        <v/>
      </c>
      <c r="CG824" s="232" t="str">
        <f t="shared" si="1884"/>
        <v/>
      </c>
      <c r="CH824" s="232" t="str">
        <f t="shared" si="1885"/>
        <v/>
      </c>
      <c r="CI824" s="232" t="str">
        <f t="shared" si="1898"/>
        <v/>
      </c>
      <c r="CJ824" s="232"/>
      <c r="CK824" s="499"/>
      <c r="CL824" s="500"/>
      <c r="CM824" s="488" t="str">
        <f t="shared" si="1886"/>
        <v/>
      </c>
      <c r="CN824" s="371"/>
      <c r="CO824" s="232" t="str">
        <f t="shared" si="1887"/>
        <v/>
      </c>
      <c r="CP824" s="232" t="str">
        <f t="shared" si="1888"/>
        <v/>
      </c>
      <c r="CQ824" s="232" t="str">
        <f t="shared" si="1889"/>
        <v/>
      </c>
      <c r="CR824" s="232" t="str">
        <f t="shared" si="1899"/>
        <v/>
      </c>
      <c r="CS824" s="232"/>
      <c r="CT824" s="371"/>
      <c r="CU824" s="296"/>
      <c r="CV824" s="246"/>
      <c r="CW824" s="264"/>
    </row>
    <row r="825" spans="1:101" x14ac:dyDescent="0.2">
      <c r="A825" s="264"/>
      <c r="B825" s="264"/>
      <c r="C825" s="202"/>
      <c r="D825" s="271">
        <v>4</v>
      </c>
      <c r="E825" s="166"/>
      <c r="F825" s="468"/>
      <c r="G825" s="472" t="s">
        <v>49</v>
      </c>
      <c r="H825" s="473"/>
      <c r="I825" s="170" t="str">
        <f t="shared" si="1850"/>
        <v/>
      </c>
      <c r="J825" s="387" t="str">
        <f t="shared" si="1851"/>
        <v/>
      </c>
      <c r="K825" s="388" t="str">
        <f t="shared" si="1852"/>
        <v/>
      </c>
      <c r="L825" s="299"/>
      <c r="M825" s="375"/>
      <c r="N825" s="379"/>
      <c r="O825" s="236"/>
      <c r="P825" s="236"/>
      <c r="Q825" s="480"/>
      <c r="R825" s="481"/>
      <c r="S825" s="482" t="str">
        <f t="shared" si="1890"/>
        <v/>
      </c>
      <c r="T825" s="371"/>
      <c r="U825" s="232" t="str">
        <f t="shared" si="1853"/>
        <v/>
      </c>
      <c r="V825" s="232" t="str">
        <f t="shared" si="1854"/>
        <v/>
      </c>
      <c r="W825" s="232" t="str">
        <f t="shared" si="1855"/>
        <v/>
      </c>
      <c r="X825" s="232" t="str">
        <f t="shared" si="1891"/>
        <v/>
      </c>
      <c r="Y825" s="371"/>
      <c r="Z825" s="495"/>
      <c r="AA825" s="496"/>
      <c r="AB825" s="482" t="str">
        <f t="shared" si="1856"/>
        <v/>
      </c>
      <c r="AC825" s="371"/>
      <c r="AD825" s="232" t="str">
        <f t="shared" si="1857"/>
        <v/>
      </c>
      <c r="AE825" s="232" t="str">
        <f t="shared" si="1858"/>
        <v/>
      </c>
      <c r="AF825" s="232" t="str">
        <f t="shared" si="1859"/>
        <v/>
      </c>
      <c r="AG825" s="232" t="str">
        <f t="shared" si="1892"/>
        <v/>
      </c>
      <c r="AH825" s="371"/>
      <c r="AI825" s="495"/>
      <c r="AJ825" s="496"/>
      <c r="AK825" s="482" t="str">
        <f t="shared" si="1860"/>
        <v/>
      </c>
      <c r="AL825" s="371"/>
      <c r="AM825" s="232" t="str">
        <f t="shared" si="1861"/>
        <v/>
      </c>
      <c r="AN825" s="232" t="str">
        <f t="shared" si="1862"/>
        <v/>
      </c>
      <c r="AO825" s="232" t="str">
        <f t="shared" si="1863"/>
        <v/>
      </c>
      <c r="AP825" s="232" t="str">
        <f t="shared" si="1893"/>
        <v/>
      </c>
      <c r="AQ825" s="371"/>
      <c r="AR825" s="495"/>
      <c r="AS825" s="496"/>
      <c r="AT825" s="482" t="str">
        <f t="shared" si="1864"/>
        <v/>
      </c>
      <c r="AU825" s="371"/>
      <c r="AV825" s="232" t="str">
        <f t="shared" si="1865"/>
        <v/>
      </c>
      <c r="AW825" s="232" t="str">
        <f t="shared" si="1866"/>
        <v/>
      </c>
      <c r="AX825" s="232" t="str">
        <f t="shared" si="1867"/>
        <v/>
      </c>
      <c r="AY825" s="232" t="str">
        <f t="shared" si="1894"/>
        <v/>
      </c>
      <c r="AZ825" s="371"/>
      <c r="BA825" s="495"/>
      <c r="BB825" s="496"/>
      <c r="BC825" s="482" t="str">
        <f t="shared" si="1868"/>
        <v/>
      </c>
      <c r="BD825" s="371"/>
      <c r="BE825" s="232" t="str">
        <f t="shared" si="1869"/>
        <v/>
      </c>
      <c r="BF825" s="232" t="str">
        <f t="shared" si="1870"/>
        <v/>
      </c>
      <c r="BG825" s="232" t="str">
        <f t="shared" si="1871"/>
        <v/>
      </c>
      <c r="BH825" s="232" t="str">
        <f t="shared" si="1895"/>
        <v/>
      </c>
      <c r="BI825" s="371"/>
      <c r="BJ825" s="495"/>
      <c r="BK825" s="496"/>
      <c r="BL825" s="482" t="str">
        <f t="shared" si="1872"/>
        <v/>
      </c>
      <c r="BM825" s="371"/>
      <c r="BN825" s="232" t="str">
        <f t="shared" si="1873"/>
        <v/>
      </c>
      <c r="BO825" s="232" t="str">
        <f t="shared" si="1874"/>
        <v/>
      </c>
      <c r="BP825" s="232" t="str">
        <f t="shared" si="1875"/>
        <v/>
      </c>
      <c r="BQ825" s="232" t="str">
        <f t="shared" si="1896"/>
        <v/>
      </c>
      <c r="BR825" s="371"/>
      <c r="BS825" s="495"/>
      <c r="BT825" s="496"/>
      <c r="BU825" s="482" t="str">
        <f t="shared" si="1876"/>
        <v/>
      </c>
      <c r="BV825" s="371"/>
      <c r="BW825" s="232" t="str">
        <f t="shared" si="1877"/>
        <v/>
      </c>
      <c r="BX825" s="232" t="str">
        <f t="shared" si="1878"/>
        <v/>
      </c>
      <c r="BY825" s="232" t="str">
        <f t="shared" si="1879"/>
        <v/>
      </c>
      <c r="BZ825" s="232" t="str">
        <f t="shared" si="1897"/>
        <v/>
      </c>
      <c r="CA825" s="371"/>
      <c r="CB825" s="501" t="str">
        <f t="shared" si="1880"/>
        <v/>
      </c>
      <c r="CC825" s="502" t="str">
        <f t="shared" si="1881"/>
        <v/>
      </c>
      <c r="CD825" s="503" t="str">
        <f t="shared" si="1882"/>
        <v/>
      </c>
      <c r="CE825" s="371"/>
      <c r="CF825" s="232" t="str">
        <f t="shared" si="1883"/>
        <v/>
      </c>
      <c r="CG825" s="232" t="str">
        <f t="shared" si="1884"/>
        <v/>
      </c>
      <c r="CH825" s="232" t="str">
        <f t="shared" si="1885"/>
        <v/>
      </c>
      <c r="CI825" s="232" t="str">
        <f t="shared" si="1898"/>
        <v/>
      </c>
      <c r="CJ825" s="232"/>
      <c r="CK825" s="495"/>
      <c r="CL825" s="496"/>
      <c r="CM825" s="482" t="str">
        <f t="shared" si="1886"/>
        <v/>
      </c>
      <c r="CN825" s="371"/>
      <c r="CO825" s="232" t="str">
        <f t="shared" si="1887"/>
        <v/>
      </c>
      <c r="CP825" s="232" t="str">
        <f t="shared" si="1888"/>
        <v/>
      </c>
      <c r="CQ825" s="232" t="str">
        <f t="shared" si="1889"/>
        <v/>
      </c>
      <c r="CR825" s="232" t="str">
        <f t="shared" si="1899"/>
        <v/>
      </c>
      <c r="CS825" s="232"/>
      <c r="CT825" s="371"/>
      <c r="CU825" s="296"/>
      <c r="CV825" s="246"/>
      <c r="CW825" s="264"/>
    </row>
    <row r="826" spans="1:101" x14ac:dyDescent="0.2">
      <c r="A826" s="264"/>
      <c r="B826" s="264"/>
      <c r="C826" s="202"/>
      <c r="D826" s="271">
        <v>5</v>
      </c>
      <c r="E826" s="167"/>
      <c r="F826" s="469"/>
      <c r="G826" s="474" t="s">
        <v>49</v>
      </c>
      <c r="H826" s="475"/>
      <c r="I826" s="389" t="str">
        <f t="shared" si="1850"/>
        <v/>
      </c>
      <c r="J826" s="390" t="str">
        <f t="shared" si="1851"/>
        <v/>
      </c>
      <c r="K826" s="391" t="str">
        <f t="shared" si="1852"/>
        <v/>
      </c>
      <c r="L826" s="299"/>
      <c r="M826" s="375"/>
      <c r="N826" s="379"/>
      <c r="O826" s="236"/>
      <c r="P826" s="236"/>
      <c r="Q826" s="483"/>
      <c r="R826" s="484"/>
      <c r="S826" s="485" t="str">
        <f t="shared" si="1890"/>
        <v/>
      </c>
      <c r="T826" s="371"/>
      <c r="U826" s="232" t="str">
        <f t="shared" si="1853"/>
        <v/>
      </c>
      <c r="V826" s="232" t="str">
        <f t="shared" si="1854"/>
        <v/>
      </c>
      <c r="W826" s="232" t="str">
        <f t="shared" si="1855"/>
        <v/>
      </c>
      <c r="X826" s="232" t="str">
        <f t="shared" si="1891"/>
        <v/>
      </c>
      <c r="Y826" s="371"/>
      <c r="Z826" s="497"/>
      <c r="AA826" s="498"/>
      <c r="AB826" s="485" t="str">
        <f t="shared" si="1856"/>
        <v/>
      </c>
      <c r="AC826" s="371"/>
      <c r="AD826" s="232" t="str">
        <f t="shared" si="1857"/>
        <v/>
      </c>
      <c r="AE826" s="232" t="str">
        <f t="shared" si="1858"/>
        <v/>
      </c>
      <c r="AF826" s="232" t="str">
        <f t="shared" si="1859"/>
        <v/>
      </c>
      <c r="AG826" s="232" t="str">
        <f t="shared" si="1892"/>
        <v/>
      </c>
      <c r="AH826" s="371"/>
      <c r="AI826" s="497"/>
      <c r="AJ826" s="498"/>
      <c r="AK826" s="485" t="str">
        <f t="shared" si="1860"/>
        <v/>
      </c>
      <c r="AL826" s="371"/>
      <c r="AM826" s="232" t="str">
        <f t="shared" si="1861"/>
        <v/>
      </c>
      <c r="AN826" s="232" t="str">
        <f t="shared" si="1862"/>
        <v/>
      </c>
      <c r="AO826" s="232" t="str">
        <f t="shared" si="1863"/>
        <v/>
      </c>
      <c r="AP826" s="232" t="str">
        <f t="shared" si="1893"/>
        <v/>
      </c>
      <c r="AQ826" s="371"/>
      <c r="AR826" s="497"/>
      <c r="AS826" s="498"/>
      <c r="AT826" s="485" t="str">
        <f t="shared" si="1864"/>
        <v/>
      </c>
      <c r="AU826" s="371"/>
      <c r="AV826" s="232" t="str">
        <f t="shared" si="1865"/>
        <v/>
      </c>
      <c r="AW826" s="232" t="str">
        <f t="shared" si="1866"/>
        <v/>
      </c>
      <c r="AX826" s="232" t="str">
        <f t="shared" si="1867"/>
        <v/>
      </c>
      <c r="AY826" s="232" t="str">
        <f t="shared" si="1894"/>
        <v/>
      </c>
      <c r="AZ826" s="371"/>
      <c r="BA826" s="497"/>
      <c r="BB826" s="498"/>
      <c r="BC826" s="485" t="str">
        <f t="shared" si="1868"/>
        <v/>
      </c>
      <c r="BD826" s="371"/>
      <c r="BE826" s="232" t="str">
        <f t="shared" si="1869"/>
        <v/>
      </c>
      <c r="BF826" s="232" t="str">
        <f t="shared" si="1870"/>
        <v/>
      </c>
      <c r="BG826" s="232" t="str">
        <f t="shared" si="1871"/>
        <v/>
      </c>
      <c r="BH826" s="232" t="str">
        <f t="shared" si="1895"/>
        <v/>
      </c>
      <c r="BI826" s="371"/>
      <c r="BJ826" s="497"/>
      <c r="BK826" s="498"/>
      <c r="BL826" s="485" t="str">
        <f t="shared" si="1872"/>
        <v/>
      </c>
      <c r="BM826" s="371"/>
      <c r="BN826" s="232" t="str">
        <f t="shared" si="1873"/>
        <v/>
      </c>
      <c r="BO826" s="232" t="str">
        <f t="shared" si="1874"/>
        <v/>
      </c>
      <c r="BP826" s="232" t="str">
        <f t="shared" si="1875"/>
        <v/>
      </c>
      <c r="BQ826" s="232" t="str">
        <f t="shared" si="1896"/>
        <v/>
      </c>
      <c r="BR826" s="371"/>
      <c r="BS826" s="497"/>
      <c r="BT826" s="498"/>
      <c r="BU826" s="485" t="str">
        <f t="shared" si="1876"/>
        <v/>
      </c>
      <c r="BV826" s="371"/>
      <c r="BW826" s="232" t="str">
        <f t="shared" si="1877"/>
        <v/>
      </c>
      <c r="BX826" s="232" t="str">
        <f t="shared" si="1878"/>
        <v/>
      </c>
      <c r="BY826" s="232" t="str">
        <f t="shared" si="1879"/>
        <v/>
      </c>
      <c r="BZ826" s="232" t="str">
        <f t="shared" si="1897"/>
        <v/>
      </c>
      <c r="CA826" s="371"/>
      <c r="CB826" s="504" t="str">
        <f t="shared" si="1880"/>
        <v/>
      </c>
      <c r="CC826" s="505" t="str">
        <f t="shared" si="1881"/>
        <v/>
      </c>
      <c r="CD826" s="506" t="str">
        <f t="shared" si="1882"/>
        <v/>
      </c>
      <c r="CE826" s="371"/>
      <c r="CF826" s="232" t="str">
        <f t="shared" si="1883"/>
        <v/>
      </c>
      <c r="CG826" s="232" t="str">
        <f t="shared" si="1884"/>
        <v/>
      </c>
      <c r="CH826" s="232" t="str">
        <f t="shared" si="1885"/>
        <v/>
      </c>
      <c r="CI826" s="232" t="str">
        <f t="shared" si="1898"/>
        <v/>
      </c>
      <c r="CJ826" s="232"/>
      <c r="CK826" s="497"/>
      <c r="CL826" s="498"/>
      <c r="CM826" s="485" t="str">
        <f t="shared" si="1886"/>
        <v/>
      </c>
      <c r="CN826" s="371"/>
      <c r="CO826" s="232" t="str">
        <f t="shared" si="1887"/>
        <v/>
      </c>
      <c r="CP826" s="232" t="str">
        <f t="shared" si="1888"/>
        <v/>
      </c>
      <c r="CQ826" s="232" t="str">
        <f t="shared" si="1889"/>
        <v/>
      </c>
      <c r="CR826" s="232" t="str">
        <f t="shared" si="1899"/>
        <v/>
      </c>
      <c r="CS826" s="232"/>
      <c r="CT826" s="371"/>
      <c r="CU826" s="296"/>
      <c r="CV826" s="246"/>
      <c r="CW826" s="264"/>
    </row>
    <row r="827" spans="1:101" ht="13.5" thickBot="1" x14ac:dyDescent="0.25">
      <c r="A827" s="264"/>
      <c r="B827" s="264"/>
      <c r="C827" s="202"/>
      <c r="D827" s="271">
        <v>6</v>
      </c>
      <c r="E827" s="168"/>
      <c r="F827" s="470"/>
      <c r="G827" s="476" t="s">
        <v>49</v>
      </c>
      <c r="H827" s="477"/>
      <c r="I827" s="392" t="str">
        <f t="shared" si="1850"/>
        <v/>
      </c>
      <c r="J827" s="393" t="str">
        <f t="shared" si="1851"/>
        <v/>
      </c>
      <c r="K827" s="394" t="str">
        <f t="shared" si="1852"/>
        <v/>
      </c>
      <c r="L827" s="299"/>
      <c r="M827" s="375"/>
      <c r="N827" s="379"/>
      <c r="O827" s="236"/>
      <c r="P827" s="236"/>
      <c r="Q827" s="489"/>
      <c r="R827" s="490"/>
      <c r="S827" s="491" t="str">
        <f t="shared" si="1890"/>
        <v/>
      </c>
      <c r="T827" s="371"/>
      <c r="U827" s="232" t="str">
        <f t="shared" si="1853"/>
        <v/>
      </c>
      <c r="V827" s="232" t="str">
        <f t="shared" si="1854"/>
        <v/>
      </c>
      <c r="W827" s="232" t="str">
        <f t="shared" si="1855"/>
        <v/>
      </c>
      <c r="X827" s="232" t="str">
        <f t="shared" si="1891"/>
        <v/>
      </c>
      <c r="Y827" s="371"/>
      <c r="Z827" s="499"/>
      <c r="AA827" s="500"/>
      <c r="AB827" s="491" t="str">
        <f t="shared" si="1856"/>
        <v/>
      </c>
      <c r="AC827" s="371"/>
      <c r="AD827" s="232" t="str">
        <f t="shared" si="1857"/>
        <v/>
      </c>
      <c r="AE827" s="232" t="str">
        <f t="shared" si="1858"/>
        <v/>
      </c>
      <c r="AF827" s="232" t="str">
        <f t="shared" si="1859"/>
        <v/>
      </c>
      <c r="AG827" s="232" t="str">
        <f t="shared" si="1892"/>
        <v/>
      </c>
      <c r="AH827" s="371"/>
      <c r="AI827" s="499"/>
      <c r="AJ827" s="500"/>
      <c r="AK827" s="491" t="str">
        <f t="shared" si="1860"/>
        <v/>
      </c>
      <c r="AL827" s="371"/>
      <c r="AM827" s="232" t="str">
        <f t="shared" si="1861"/>
        <v/>
      </c>
      <c r="AN827" s="232" t="str">
        <f t="shared" si="1862"/>
        <v/>
      </c>
      <c r="AO827" s="232" t="str">
        <f t="shared" si="1863"/>
        <v/>
      </c>
      <c r="AP827" s="232" t="str">
        <f t="shared" si="1893"/>
        <v/>
      </c>
      <c r="AQ827" s="371"/>
      <c r="AR827" s="499"/>
      <c r="AS827" s="500"/>
      <c r="AT827" s="491" t="str">
        <f t="shared" si="1864"/>
        <v/>
      </c>
      <c r="AU827" s="371"/>
      <c r="AV827" s="232" t="str">
        <f t="shared" si="1865"/>
        <v/>
      </c>
      <c r="AW827" s="232" t="str">
        <f t="shared" si="1866"/>
        <v/>
      </c>
      <c r="AX827" s="232" t="str">
        <f t="shared" si="1867"/>
        <v/>
      </c>
      <c r="AY827" s="232" t="str">
        <f t="shared" si="1894"/>
        <v/>
      </c>
      <c r="AZ827" s="371"/>
      <c r="BA827" s="499"/>
      <c r="BB827" s="500"/>
      <c r="BC827" s="491" t="str">
        <f t="shared" si="1868"/>
        <v/>
      </c>
      <c r="BD827" s="371"/>
      <c r="BE827" s="232" t="str">
        <f t="shared" si="1869"/>
        <v/>
      </c>
      <c r="BF827" s="232" t="str">
        <f t="shared" si="1870"/>
        <v/>
      </c>
      <c r="BG827" s="232" t="str">
        <f t="shared" si="1871"/>
        <v/>
      </c>
      <c r="BH827" s="232" t="str">
        <f t="shared" si="1895"/>
        <v/>
      </c>
      <c r="BI827" s="371"/>
      <c r="BJ827" s="499"/>
      <c r="BK827" s="500"/>
      <c r="BL827" s="491" t="str">
        <f t="shared" si="1872"/>
        <v/>
      </c>
      <c r="BM827" s="371"/>
      <c r="BN827" s="232" t="str">
        <f t="shared" si="1873"/>
        <v/>
      </c>
      <c r="BO827" s="232" t="str">
        <f t="shared" si="1874"/>
        <v/>
      </c>
      <c r="BP827" s="232" t="str">
        <f t="shared" si="1875"/>
        <v/>
      </c>
      <c r="BQ827" s="232" t="str">
        <f t="shared" si="1896"/>
        <v/>
      </c>
      <c r="BR827" s="371"/>
      <c r="BS827" s="499"/>
      <c r="BT827" s="500"/>
      <c r="BU827" s="491" t="str">
        <f t="shared" si="1876"/>
        <v/>
      </c>
      <c r="BV827" s="371"/>
      <c r="BW827" s="232" t="str">
        <f t="shared" si="1877"/>
        <v/>
      </c>
      <c r="BX827" s="232" t="str">
        <f t="shared" si="1878"/>
        <v/>
      </c>
      <c r="BY827" s="232" t="str">
        <f t="shared" si="1879"/>
        <v/>
      </c>
      <c r="BZ827" s="232" t="str">
        <f t="shared" si="1897"/>
        <v/>
      </c>
      <c r="CA827" s="371"/>
      <c r="CB827" s="507" t="str">
        <f t="shared" si="1880"/>
        <v/>
      </c>
      <c r="CC827" s="508" t="str">
        <f t="shared" si="1881"/>
        <v/>
      </c>
      <c r="CD827" s="509" t="str">
        <f t="shared" si="1882"/>
        <v/>
      </c>
      <c r="CE827" s="371"/>
      <c r="CF827" s="232" t="str">
        <f t="shared" si="1883"/>
        <v/>
      </c>
      <c r="CG827" s="232" t="str">
        <f t="shared" si="1884"/>
        <v/>
      </c>
      <c r="CH827" s="232" t="str">
        <f t="shared" si="1885"/>
        <v/>
      </c>
      <c r="CI827" s="232" t="str">
        <f t="shared" si="1898"/>
        <v/>
      </c>
      <c r="CJ827" s="232"/>
      <c r="CK827" s="499"/>
      <c r="CL827" s="500"/>
      <c r="CM827" s="491" t="str">
        <f t="shared" si="1886"/>
        <v/>
      </c>
      <c r="CN827" s="371"/>
      <c r="CO827" s="232" t="str">
        <f t="shared" si="1887"/>
        <v/>
      </c>
      <c r="CP827" s="232" t="str">
        <f t="shared" si="1888"/>
        <v/>
      </c>
      <c r="CQ827" s="232" t="str">
        <f t="shared" si="1889"/>
        <v/>
      </c>
      <c r="CR827" s="232" t="str">
        <f t="shared" si="1899"/>
        <v/>
      </c>
      <c r="CS827" s="232"/>
      <c r="CT827" s="371"/>
      <c r="CU827" s="296"/>
      <c r="CV827" s="246"/>
      <c r="CW827" s="264"/>
    </row>
    <row r="828" spans="1:101" x14ac:dyDescent="0.2">
      <c r="A828" s="264"/>
      <c r="B828" s="264"/>
      <c r="C828" s="202"/>
      <c r="D828" s="271">
        <v>7</v>
      </c>
      <c r="E828" s="166"/>
      <c r="F828" s="468"/>
      <c r="G828" s="472" t="s">
        <v>49</v>
      </c>
      <c r="H828" s="473"/>
      <c r="I828" s="170" t="str">
        <f t="shared" si="1850"/>
        <v/>
      </c>
      <c r="J828" s="387" t="str">
        <f t="shared" si="1851"/>
        <v/>
      </c>
      <c r="K828" s="388" t="str">
        <f t="shared" si="1852"/>
        <v/>
      </c>
      <c r="L828" s="299"/>
      <c r="M828" s="375"/>
      <c r="N828" s="379"/>
      <c r="O828" s="236"/>
      <c r="P828" s="236"/>
      <c r="Q828" s="480"/>
      <c r="R828" s="481"/>
      <c r="S828" s="482" t="str">
        <f t="shared" si="1890"/>
        <v/>
      </c>
      <c r="T828" s="371"/>
      <c r="U828" s="232" t="str">
        <f t="shared" si="1853"/>
        <v/>
      </c>
      <c r="V828" s="232" t="str">
        <f t="shared" si="1854"/>
        <v/>
      </c>
      <c r="W828" s="232" t="str">
        <f t="shared" si="1855"/>
        <v/>
      </c>
      <c r="X828" s="232" t="str">
        <f t="shared" si="1891"/>
        <v/>
      </c>
      <c r="Y828" s="371"/>
      <c r="Z828" s="495"/>
      <c r="AA828" s="496"/>
      <c r="AB828" s="482" t="str">
        <f t="shared" si="1856"/>
        <v/>
      </c>
      <c r="AC828" s="371"/>
      <c r="AD828" s="232" t="str">
        <f t="shared" si="1857"/>
        <v/>
      </c>
      <c r="AE828" s="232" t="str">
        <f t="shared" si="1858"/>
        <v/>
      </c>
      <c r="AF828" s="232" t="str">
        <f t="shared" si="1859"/>
        <v/>
      </c>
      <c r="AG828" s="232" t="str">
        <f t="shared" si="1892"/>
        <v/>
      </c>
      <c r="AH828" s="371"/>
      <c r="AI828" s="495"/>
      <c r="AJ828" s="496"/>
      <c r="AK828" s="482" t="str">
        <f t="shared" si="1860"/>
        <v/>
      </c>
      <c r="AL828" s="371"/>
      <c r="AM828" s="232" t="str">
        <f t="shared" si="1861"/>
        <v/>
      </c>
      <c r="AN828" s="232" t="str">
        <f t="shared" si="1862"/>
        <v/>
      </c>
      <c r="AO828" s="232" t="str">
        <f t="shared" si="1863"/>
        <v/>
      </c>
      <c r="AP828" s="232" t="str">
        <f t="shared" si="1893"/>
        <v/>
      </c>
      <c r="AQ828" s="371"/>
      <c r="AR828" s="495"/>
      <c r="AS828" s="496"/>
      <c r="AT828" s="482" t="str">
        <f t="shared" si="1864"/>
        <v/>
      </c>
      <c r="AU828" s="371"/>
      <c r="AV828" s="232" t="str">
        <f t="shared" si="1865"/>
        <v/>
      </c>
      <c r="AW828" s="232" t="str">
        <f t="shared" si="1866"/>
        <v/>
      </c>
      <c r="AX828" s="232" t="str">
        <f t="shared" si="1867"/>
        <v/>
      </c>
      <c r="AY828" s="232" t="str">
        <f t="shared" si="1894"/>
        <v/>
      </c>
      <c r="AZ828" s="371"/>
      <c r="BA828" s="495"/>
      <c r="BB828" s="496"/>
      <c r="BC828" s="482" t="str">
        <f t="shared" si="1868"/>
        <v/>
      </c>
      <c r="BD828" s="371"/>
      <c r="BE828" s="232" t="str">
        <f t="shared" si="1869"/>
        <v/>
      </c>
      <c r="BF828" s="232" t="str">
        <f t="shared" si="1870"/>
        <v/>
      </c>
      <c r="BG828" s="232" t="str">
        <f t="shared" si="1871"/>
        <v/>
      </c>
      <c r="BH828" s="232" t="str">
        <f t="shared" si="1895"/>
        <v/>
      </c>
      <c r="BI828" s="371"/>
      <c r="BJ828" s="495"/>
      <c r="BK828" s="496"/>
      <c r="BL828" s="482" t="str">
        <f t="shared" si="1872"/>
        <v/>
      </c>
      <c r="BM828" s="371"/>
      <c r="BN828" s="232" t="str">
        <f t="shared" si="1873"/>
        <v/>
      </c>
      <c r="BO828" s="232" t="str">
        <f t="shared" si="1874"/>
        <v/>
      </c>
      <c r="BP828" s="232" t="str">
        <f t="shared" si="1875"/>
        <v/>
      </c>
      <c r="BQ828" s="232" t="str">
        <f t="shared" si="1896"/>
        <v/>
      </c>
      <c r="BR828" s="371"/>
      <c r="BS828" s="495"/>
      <c r="BT828" s="496"/>
      <c r="BU828" s="482" t="str">
        <f t="shared" si="1876"/>
        <v/>
      </c>
      <c r="BV828" s="371"/>
      <c r="BW828" s="232" t="str">
        <f t="shared" si="1877"/>
        <v/>
      </c>
      <c r="BX828" s="232" t="str">
        <f t="shared" si="1878"/>
        <v/>
      </c>
      <c r="BY828" s="232" t="str">
        <f t="shared" si="1879"/>
        <v/>
      </c>
      <c r="BZ828" s="232" t="str">
        <f t="shared" si="1897"/>
        <v/>
      </c>
      <c r="CA828" s="371"/>
      <c r="CB828" s="501" t="str">
        <f t="shared" si="1880"/>
        <v/>
      </c>
      <c r="CC828" s="502" t="str">
        <f t="shared" si="1881"/>
        <v/>
      </c>
      <c r="CD828" s="503" t="str">
        <f t="shared" si="1882"/>
        <v/>
      </c>
      <c r="CE828" s="371"/>
      <c r="CF828" s="232" t="str">
        <f t="shared" si="1883"/>
        <v/>
      </c>
      <c r="CG828" s="232" t="str">
        <f t="shared" si="1884"/>
        <v/>
      </c>
      <c r="CH828" s="232" t="str">
        <f t="shared" si="1885"/>
        <v/>
      </c>
      <c r="CI828" s="232" t="str">
        <f t="shared" si="1898"/>
        <v/>
      </c>
      <c r="CJ828" s="232"/>
      <c r="CK828" s="495"/>
      <c r="CL828" s="496"/>
      <c r="CM828" s="482" t="str">
        <f t="shared" si="1886"/>
        <v/>
      </c>
      <c r="CN828" s="371"/>
      <c r="CO828" s="232" t="str">
        <f t="shared" si="1887"/>
        <v/>
      </c>
      <c r="CP828" s="232" t="str">
        <f t="shared" si="1888"/>
        <v/>
      </c>
      <c r="CQ828" s="232" t="str">
        <f t="shared" si="1889"/>
        <v/>
      </c>
      <c r="CR828" s="232" t="str">
        <f t="shared" si="1899"/>
        <v/>
      </c>
      <c r="CS828" s="232"/>
      <c r="CT828" s="371"/>
      <c r="CU828" s="300"/>
      <c r="CV828" s="246"/>
      <c r="CW828" s="264"/>
    </row>
    <row r="829" spans="1:101" x14ac:dyDescent="0.2">
      <c r="A829" s="264"/>
      <c r="B829" s="264"/>
      <c r="C829" s="202"/>
      <c r="D829" s="271">
        <v>8</v>
      </c>
      <c r="E829" s="167"/>
      <c r="F829" s="469"/>
      <c r="G829" s="474" t="s">
        <v>49</v>
      </c>
      <c r="H829" s="475"/>
      <c r="I829" s="389" t="str">
        <f t="shared" si="1850"/>
        <v/>
      </c>
      <c r="J829" s="390" t="str">
        <f t="shared" si="1851"/>
        <v/>
      </c>
      <c r="K829" s="391" t="str">
        <f t="shared" si="1852"/>
        <v/>
      </c>
      <c r="L829" s="299"/>
      <c r="M829" s="375"/>
      <c r="N829" s="379"/>
      <c r="O829" s="236"/>
      <c r="P829" s="236"/>
      <c r="Q829" s="483"/>
      <c r="R829" s="484"/>
      <c r="S829" s="485" t="str">
        <f t="shared" si="1890"/>
        <v/>
      </c>
      <c r="T829" s="371"/>
      <c r="U829" s="232" t="str">
        <f t="shared" si="1853"/>
        <v/>
      </c>
      <c r="V829" s="232" t="str">
        <f t="shared" si="1854"/>
        <v/>
      </c>
      <c r="W829" s="232" t="str">
        <f t="shared" si="1855"/>
        <v/>
      </c>
      <c r="X829" s="232" t="str">
        <f t="shared" si="1891"/>
        <v/>
      </c>
      <c r="Y829" s="371"/>
      <c r="Z829" s="497"/>
      <c r="AA829" s="498"/>
      <c r="AB829" s="485" t="str">
        <f t="shared" si="1856"/>
        <v/>
      </c>
      <c r="AC829" s="371"/>
      <c r="AD829" s="232" t="str">
        <f t="shared" si="1857"/>
        <v/>
      </c>
      <c r="AE829" s="232" t="str">
        <f t="shared" si="1858"/>
        <v/>
      </c>
      <c r="AF829" s="232" t="str">
        <f t="shared" si="1859"/>
        <v/>
      </c>
      <c r="AG829" s="232" t="str">
        <f t="shared" si="1892"/>
        <v/>
      </c>
      <c r="AH829" s="371"/>
      <c r="AI829" s="497"/>
      <c r="AJ829" s="498"/>
      <c r="AK829" s="485" t="str">
        <f t="shared" si="1860"/>
        <v/>
      </c>
      <c r="AL829" s="371"/>
      <c r="AM829" s="232" t="str">
        <f t="shared" si="1861"/>
        <v/>
      </c>
      <c r="AN829" s="232" t="str">
        <f t="shared" si="1862"/>
        <v/>
      </c>
      <c r="AO829" s="232" t="str">
        <f t="shared" si="1863"/>
        <v/>
      </c>
      <c r="AP829" s="232" t="str">
        <f t="shared" si="1893"/>
        <v/>
      </c>
      <c r="AQ829" s="371"/>
      <c r="AR829" s="497"/>
      <c r="AS829" s="498"/>
      <c r="AT829" s="485" t="str">
        <f t="shared" si="1864"/>
        <v/>
      </c>
      <c r="AU829" s="371"/>
      <c r="AV829" s="232" t="str">
        <f t="shared" si="1865"/>
        <v/>
      </c>
      <c r="AW829" s="232" t="str">
        <f t="shared" si="1866"/>
        <v/>
      </c>
      <c r="AX829" s="232" t="str">
        <f t="shared" si="1867"/>
        <v/>
      </c>
      <c r="AY829" s="232" t="str">
        <f t="shared" si="1894"/>
        <v/>
      </c>
      <c r="AZ829" s="371"/>
      <c r="BA829" s="497"/>
      <c r="BB829" s="498"/>
      <c r="BC829" s="485" t="str">
        <f t="shared" si="1868"/>
        <v/>
      </c>
      <c r="BD829" s="371"/>
      <c r="BE829" s="232" t="str">
        <f t="shared" si="1869"/>
        <v/>
      </c>
      <c r="BF829" s="232" t="str">
        <f t="shared" si="1870"/>
        <v/>
      </c>
      <c r="BG829" s="232" t="str">
        <f t="shared" si="1871"/>
        <v/>
      </c>
      <c r="BH829" s="232" t="str">
        <f t="shared" si="1895"/>
        <v/>
      </c>
      <c r="BI829" s="371"/>
      <c r="BJ829" s="497"/>
      <c r="BK829" s="498"/>
      <c r="BL829" s="485" t="str">
        <f t="shared" si="1872"/>
        <v/>
      </c>
      <c r="BM829" s="371"/>
      <c r="BN829" s="232" t="str">
        <f t="shared" si="1873"/>
        <v/>
      </c>
      <c r="BO829" s="232" t="str">
        <f t="shared" si="1874"/>
        <v/>
      </c>
      <c r="BP829" s="232" t="str">
        <f t="shared" si="1875"/>
        <v/>
      </c>
      <c r="BQ829" s="232" t="str">
        <f t="shared" si="1896"/>
        <v/>
      </c>
      <c r="BR829" s="371"/>
      <c r="BS829" s="497"/>
      <c r="BT829" s="498"/>
      <c r="BU829" s="485" t="str">
        <f t="shared" si="1876"/>
        <v/>
      </c>
      <c r="BV829" s="371"/>
      <c r="BW829" s="232" t="str">
        <f t="shared" si="1877"/>
        <v/>
      </c>
      <c r="BX829" s="232" t="str">
        <f t="shared" si="1878"/>
        <v/>
      </c>
      <c r="BY829" s="232" t="str">
        <f t="shared" si="1879"/>
        <v/>
      </c>
      <c r="BZ829" s="232" t="str">
        <f t="shared" si="1897"/>
        <v/>
      </c>
      <c r="CA829" s="371"/>
      <c r="CB829" s="504" t="str">
        <f t="shared" si="1880"/>
        <v/>
      </c>
      <c r="CC829" s="505" t="str">
        <f t="shared" si="1881"/>
        <v/>
      </c>
      <c r="CD829" s="506" t="str">
        <f t="shared" si="1882"/>
        <v/>
      </c>
      <c r="CE829" s="371"/>
      <c r="CF829" s="232" t="str">
        <f t="shared" si="1883"/>
        <v/>
      </c>
      <c r="CG829" s="232" t="str">
        <f t="shared" si="1884"/>
        <v/>
      </c>
      <c r="CH829" s="232" t="str">
        <f t="shared" si="1885"/>
        <v/>
      </c>
      <c r="CI829" s="232" t="str">
        <f t="shared" si="1898"/>
        <v/>
      </c>
      <c r="CJ829" s="232"/>
      <c r="CK829" s="497"/>
      <c r="CL829" s="498"/>
      <c r="CM829" s="485" t="str">
        <f t="shared" si="1886"/>
        <v/>
      </c>
      <c r="CN829" s="371"/>
      <c r="CO829" s="232" t="str">
        <f t="shared" si="1887"/>
        <v/>
      </c>
      <c r="CP829" s="232" t="str">
        <f t="shared" si="1888"/>
        <v/>
      </c>
      <c r="CQ829" s="232" t="str">
        <f t="shared" si="1889"/>
        <v/>
      </c>
      <c r="CR829" s="232" t="str">
        <f t="shared" si="1899"/>
        <v/>
      </c>
      <c r="CS829" s="232"/>
      <c r="CT829" s="371"/>
      <c r="CU829" s="300"/>
      <c r="CV829" s="246"/>
      <c r="CW829" s="264"/>
    </row>
    <row r="830" spans="1:101" ht="13.5" thickBot="1" x14ac:dyDescent="0.25">
      <c r="A830" s="264"/>
      <c r="B830" s="264"/>
      <c r="C830" s="202"/>
      <c r="D830" s="271">
        <v>9</v>
      </c>
      <c r="E830" s="168"/>
      <c r="F830" s="470"/>
      <c r="G830" s="476" t="s">
        <v>49</v>
      </c>
      <c r="H830" s="477"/>
      <c r="I830" s="392" t="str">
        <f t="shared" si="1850"/>
        <v/>
      </c>
      <c r="J830" s="393" t="str">
        <f t="shared" si="1851"/>
        <v/>
      </c>
      <c r="K830" s="394" t="str">
        <f t="shared" si="1852"/>
        <v/>
      </c>
      <c r="L830" s="299"/>
      <c r="M830" s="375"/>
      <c r="N830" s="379"/>
      <c r="O830" s="236"/>
      <c r="P830" s="236"/>
      <c r="Q830" s="489"/>
      <c r="R830" s="490"/>
      <c r="S830" s="491" t="str">
        <f t="shared" si="1890"/>
        <v/>
      </c>
      <c r="T830" s="371"/>
      <c r="U830" s="232" t="str">
        <f t="shared" si="1853"/>
        <v/>
      </c>
      <c r="V830" s="232" t="str">
        <f t="shared" si="1854"/>
        <v/>
      </c>
      <c r="W830" s="232" t="str">
        <f t="shared" si="1855"/>
        <v/>
      </c>
      <c r="X830" s="232" t="str">
        <f t="shared" si="1891"/>
        <v/>
      </c>
      <c r="Y830" s="371"/>
      <c r="Z830" s="499"/>
      <c r="AA830" s="500"/>
      <c r="AB830" s="491" t="str">
        <f t="shared" si="1856"/>
        <v/>
      </c>
      <c r="AC830" s="371"/>
      <c r="AD830" s="232" t="str">
        <f t="shared" si="1857"/>
        <v/>
      </c>
      <c r="AE830" s="232" t="str">
        <f t="shared" si="1858"/>
        <v/>
      </c>
      <c r="AF830" s="232" t="str">
        <f t="shared" si="1859"/>
        <v/>
      </c>
      <c r="AG830" s="232" t="str">
        <f t="shared" si="1892"/>
        <v/>
      </c>
      <c r="AH830" s="371"/>
      <c r="AI830" s="499"/>
      <c r="AJ830" s="500"/>
      <c r="AK830" s="491" t="str">
        <f t="shared" si="1860"/>
        <v/>
      </c>
      <c r="AL830" s="371"/>
      <c r="AM830" s="232" t="str">
        <f t="shared" si="1861"/>
        <v/>
      </c>
      <c r="AN830" s="232" t="str">
        <f t="shared" si="1862"/>
        <v/>
      </c>
      <c r="AO830" s="232" t="str">
        <f t="shared" si="1863"/>
        <v/>
      </c>
      <c r="AP830" s="232" t="str">
        <f t="shared" si="1893"/>
        <v/>
      </c>
      <c r="AQ830" s="371"/>
      <c r="AR830" s="499"/>
      <c r="AS830" s="500"/>
      <c r="AT830" s="491" t="str">
        <f t="shared" si="1864"/>
        <v/>
      </c>
      <c r="AU830" s="371"/>
      <c r="AV830" s="232" t="str">
        <f t="shared" si="1865"/>
        <v/>
      </c>
      <c r="AW830" s="232" t="str">
        <f t="shared" si="1866"/>
        <v/>
      </c>
      <c r="AX830" s="232" t="str">
        <f t="shared" si="1867"/>
        <v/>
      </c>
      <c r="AY830" s="232" t="str">
        <f t="shared" si="1894"/>
        <v/>
      </c>
      <c r="AZ830" s="371"/>
      <c r="BA830" s="499"/>
      <c r="BB830" s="500"/>
      <c r="BC830" s="491" t="str">
        <f t="shared" si="1868"/>
        <v/>
      </c>
      <c r="BD830" s="371"/>
      <c r="BE830" s="232" t="str">
        <f t="shared" si="1869"/>
        <v/>
      </c>
      <c r="BF830" s="232" t="str">
        <f t="shared" si="1870"/>
        <v/>
      </c>
      <c r="BG830" s="232" t="str">
        <f t="shared" si="1871"/>
        <v/>
      </c>
      <c r="BH830" s="232" t="str">
        <f t="shared" si="1895"/>
        <v/>
      </c>
      <c r="BI830" s="371"/>
      <c r="BJ830" s="499"/>
      <c r="BK830" s="500"/>
      <c r="BL830" s="491" t="str">
        <f t="shared" si="1872"/>
        <v/>
      </c>
      <c r="BM830" s="371"/>
      <c r="BN830" s="232" t="str">
        <f t="shared" si="1873"/>
        <v/>
      </c>
      <c r="BO830" s="232" t="str">
        <f t="shared" si="1874"/>
        <v/>
      </c>
      <c r="BP830" s="232" t="str">
        <f t="shared" si="1875"/>
        <v/>
      </c>
      <c r="BQ830" s="232" t="str">
        <f t="shared" si="1896"/>
        <v/>
      </c>
      <c r="BR830" s="371"/>
      <c r="BS830" s="499"/>
      <c r="BT830" s="500"/>
      <c r="BU830" s="491" t="str">
        <f t="shared" si="1876"/>
        <v/>
      </c>
      <c r="BV830" s="371"/>
      <c r="BW830" s="232" t="str">
        <f t="shared" si="1877"/>
        <v/>
      </c>
      <c r="BX830" s="232" t="str">
        <f t="shared" si="1878"/>
        <v/>
      </c>
      <c r="BY830" s="232" t="str">
        <f t="shared" si="1879"/>
        <v/>
      </c>
      <c r="BZ830" s="232" t="str">
        <f t="shared" si="1897"/>
        <v/>
      </c>
      <c r="CA830" s="371"/>
      <c r="CB830" s="507" t="str">
        <f t="shared" si="1880"/>
        <v/>
      </c>
      <c r="CC830" s="508" t="str">
        <f t="shared" si="1881"/>
        <v/>
      </c>
      <c r="CD830" s="509" t="str">
        <f t="shared" si="1882"/>
        <v/>
      </c>
      <c r="CE830" s="371"/>
      <c r="CF830" s="232" t="str">
        <f t="shared" si="1883"/>
        <v/>
      </c>
      <c r="CG830" s="232" t="str">
        <f t="shared" si="1884"/>
        <v/>
      </c>
      <c r="CH830" s="232" t="str">
        <f t="shared" si="1885"/>
        <v/>
      </c>
      <c r="CI830" s="232" t="str">
        <f t="shared" si="1898"/>
        <v/>
      </c>
      <c r="CJ830" s="232"/>
      <c r="CK830" s="499"/>
      <c r="CL830" s="500"/>
      <c r="CM830" s="491" t="str">
        <f t="shared" si="1886"/>
        <v/>
      </c>
      <c r="CN830" s="371"/>
      <c r="CO830" s="232" t="str">
        <f t="shared" si="1887"/>
        <v/>
      </c>
      <c r="CP830" s="232" t="str">
        <f t="shared" si="1888"/>
        <v/>
      </c>
      <c r="CQ830" s="232" t="str">
        <f t="shared" si="1889"/>
        <v/>
      </c>
      <c r="CR830" s="232" t="str">
        <f t="shared" si="1899"/>
        <v/>
      </c>
      <c r="CS830" s="232"/>
      <c r="CT830" s="371"/>
      <c r="CU830" s="300"/>
      <c r="CV830" s="246"/>
      <c r="CW830" s="264"/>
    </row>
    <row r="831" spans="1:101" x14ac:dyDescent="0.2">
      <c r="A831" s="264"/>
      <c r="B831" s="264"/>
      <c r="C831" s="202"/>
      <c r="D831" s="271">
        <v>10</v>
      </c>
      <c r="E831" s="169"/>
      <c r="F831" s="471"/>
      <c r="G831" s="478" t="s">
        <v>49</v>
      </c>
      <c r="H831" s="479"/>
      <c r="I831" s="170" t="str">
        <f t="shared" si="1850"/>
        <v/>
      </c>
      <c r="J831" s="387" t="str">
        <f t="shared" si="1851"/>
        <v/>
      </c>
      <c r="K831" s="388" t="str">
        <f t="shared" si="1852"/>
        <v/>
      </c>
      <c r="L831" s="299"/>
      <c r="M831" s="375"/>
      <c r="N831" s="379"/>
      <c r="O831" s="236"/>
      <c r="P831" s="236"/>
      <c r="Q831" s="492"/>
      <c r="R831" s="493"/>
      <c r="S831" s="494" t="str">
        <f t="shared" si="1890"/>
        <v/>
      </c>
      <c r="T831" s="371"/>
      <c r="U831" s="232" t="str">
        <f t="shared" si="1853"/>
        <v/>
      </c>
      <c r="V831" s="232" t="str">
        <f t="shared" si="1854"/>
        <v/>
      </c>
      <c r="W831" s="232" t="str">
        <f t="shared" si="1855"/>
        <v/>
      </c>
      <c r="X831" s="232" t="str">
        <f t="shared" si="1891"/>
        <v/>
      </c>
      <c r="Y831" s="371"/>
      <c r="Z831" s="495"/>
      <c r="AA831" s="496"/>
      <c r="AB831" s="494" t="str">
        <f t="shared" si="1856"/>
        <v/>
      </c>
      <c r="AC831" s="371"/>
      <c r="AD831" s="232" t="str">
        <f t="shared" si="1857"/>
        <v/>
      </c>
      <c r="AE831" s="232" t="str">
        <f t="shared" si="1858"/>
        <v/>
      </c>
      <c r="AF831" s="232" t="str">
        <f t="shared" si="1859"/>
        <v/>
      </c>
      <c r="AG831" s="232" t="str">
        <f t="shared" si="1892"/>
        <v/>
      </c>
      <c r="AH831" s="371"/>
      <c r="AI831" s="495"/>
      <c r="AJ831" s="496"/>
      <c r="AK831" s="494" t="str">
        <f t="shared" si="1860"/>
        <v/>
      </c>
      <c r="AL831" s="371"/>
      <c r="AM831" s="232" t="str">
        <f t="shared" si="1861"/>
        <v/>
      </c>
      <c r="AN831" s="232" t="str">
        <f t="shared" si="1862"/>
        <v/>
      </c>
      <c r="AO831" s="232" t="str">
        <f t="shared" si="1863"/>
        <v/>
      </c>
      <c r="AP831" s="232" t="str">
        <f t="shared" si="1893"/>
        <v/>
      </c>
      <c r="AQ831" s="371"/>
      <c r="AR831" s="495"/>
      <c r="AS831" s="496"/>
      <c r="AT831" s="494" t="str">
        <f t="shared" si="1864"/>
        <v/>
      </c>
      <c r="AU831" s="371"/>
      <c r="AV831" s="232" t="str">
        <f t="shared" si="1865"/>
        <v/>
      </c>
      <c r="AW831" s="232" t="str">
        <f t="shared" si="1866"/>
        <v/>
      </c>
      <c r="AX831" s="232" t="str">
        <f t="shared" si="1867"/>
        <v/>
      </c>
      <c r="AY831" s="232" t="str">
        <f t="shared" si="1894"/>
        <v/>
      </c>
      <c r="AZ831" s="371"/>
      <c r="BA831" s="495"/>
      <c r="BB831" s="496"/>
      <c r="BC831" s="494" t="str">
        <f t="shared" si="1868"/>
        <v/>
      </c>
      <c r="BD831" s="371"/>
      <c r="BE831" s="232" t="str">
        <f t="shared" si="1869"/>
        <v/>
      </c>
      <c r="BF831" s="232" t="str">
        <f t="shared" si="1870"/>
        <v/>
      </c>
      <c r="BG831" s="232" t="str">
        <f t="shared" si="1871"/>
        <v/>
      </c>
      <c r="BH831" s="232" t="str">
        <f t="shared" si="1895"/>
        <v/>
      </c>
      <c r="BI831" s="371"/>
      <c r="BJ831" s="495"/>
      <c r="BK831" s="496"/>
      <c r="BL831" s="494" t="str">
        <f t="shared" si="1872"/>
        <v/>
      </c>
      <c r="BM831" s="371"/>
      <c r="BN831" s="232" t="str">
        <f t="shared" si="1873"/>
        <v/>
      </c>
      <c r="BO831" s="232" t="str">
        <f t="shared" si="1874"/>
        <v/>
      </c>
      <c r="BP831" s="232" t="str">
        <f t="shared" si="1875"/>
        <v/>
      </c>
      <c r="BQ831" s="232" t="str">
        <f t="shared" si="1896"/>
        <v/>
      </c>
      <c r="BR831" s="371"/>
      <c r="BS831" s="495"/>
      <c r="BT831" s="496"/>
      <c r="BU831" s="494" t="str">
        <f t="shared" si="1876"/>
        <v/>
      </c>
      <c r="BV831" s="371"/>
      <c r="BW831" s="232" t="str">
        <f t="shared" si="1877"/>
        <v/>
      </c>
      <c r="BX831" s="232" t="str">
        <f t="shared" si="1878"/>
        <v/>
      </c>
      <c r="BY831" s="232" t="str">
        <f t="shared" si="1879"/>
        <v/>
      </c>
      <c r="BZ831" s="232" t="str">
        <f t="shared" si="1897"/>
        <v/>
      </c>
      <c r="CA831" s="371"/>
      <c r="CB831" s="501" t="str">
        <f t="shared" si="1880"/>
        <v/>
      </c>
      <c r="CC831" s="502" t="str">
        <f t="shared" si="1881"/>
        <v/>
      </c>
      <c r="CD831" s="503" t="str">
        <f t="shared" si="1882"/>
        <v/>
      </c>
      <c r="CE831" s="371"/>
      <c r="CF831" s="232" t="str">
        <f t="shared" si="1883"/>
        <v/>
      </c>
      <c r="CG831" s="232" t="str">
        <f t="shared" si="1884"/>
        <v/>
      </c>
      <c r="CH831" s="232" t="str">
        <f t="shared" si="1885"/>
        <v/>
      </c>
      <c r="CI831" s="232" t="str">
        <f t="shared" si="1898"/>
        <v/>
      </c>
      <c r="CJ831" s="232"/>
      <c r="CK831" s="495"/>
      <c r="CL831" s="496"/>
      <c r="CM831" s="494" t="str">
        <f t="shared" si="1886"/>
        <v/>
      </c>
      <c r="CN831" s="371"/>
      <c r="CO831" s="232" t="str">
        <f t="shared" si="1887"/>
        <v/>
      </c>
      <c r="CP831" s="232" t="str">
        <f t="shared" si="1888"/>
        <v/>
      </c>
      <c r="CQ831" s="232" t="str">
        <f t="shared" si="1889"/>
        <v/>
      </c>
      <c r="CR831" s="232" t="str">
        <f t="shared" si="1899"/>
        <v/>
      </c>
      <c r="CS831" s="232"/>
      <c r="CT831" s="371"/>
      <c r="CU831" s="300"/>
      <c r="CV831" s="246"/>
      <c r="CW831" s="264"/>
    </row>
    <row r="832" spans="1:101" x14ac:dyDescent="0.2">
      <c r="A832" s="264"/>
      <c r="B832" s="264"/>
      <c r="C832" s="202"/>
      <c r="D832" s="271">
        <v>11</v>
      </c>
      <c r="E832" s="167"/>
      <c r="F832" s="469"/>
      <c r="G832" s="474" t="s">
        <v>49</v>
      </c>
      <c r="H832" s="475"/>
      <c r="I832" s="389" t="str">
        <f t="shared" si="1850"/>
        <v/>
      </c>
      <c r="J832" s="390" t="str">
        <f t="shared" si="1851"/>
        <v/>
      </c>
      <c r="K832" s="391" t="str">
        <f t="shared" si="1852"/>
        <v/>
      </c>
      <c r="L832" s="299"/>
      <c r="M832" s="375"/>
      <c r="N832" s="379"/>
      <c r="O832" s="236"/>
      <c r="P832" s="236"/>
      <c r="Q832" s="483"/>
      <c r="R832" s="484"/>
      <c r="S832" s="485" t="str">
        <f t="shared" si="1890"/>
        <v/>
      </c>
      <c r="T832" s="371"/>
      <c r="U832" s="232" t="str">
        <f t="shared" si="1853"/>
        <v/>
      </c>
      <c r="V832" s="232" t="str">
        <f t="shared" si="1854"/>
        <v/>
      </c>
      <c r="W832" s="232" t="str">
        <f t="shared" si="1855"/>
        <v/>
      </c>
      <c r="X832" s="232" t="str">
        <f t="shared" si="1891"/>
        <v/>
      </c>
      <c r="Y832" s="371"/>
      <c r="Z832" s="497"/>
      <c r="AA832" s="498"/>
      <c r="AB832" s="485" t="str">
        <f t="shared" si="1856"/>
        <v/>
      </c>
      <c r="AC832" s="371"/>
      <c r="AD832" s="232" t="str">
        <f t="shared" si="1857"/>
        <v/>
      </c>
      <c r="AE832" s="232" t="str">
        <f t="shared" si="1858"/>
        <v/>
      </c>
      <c r="AF832" s="232" t="str">
        <f t="shared" si="1859"/>
        <v/>
      </c>
      <c r="AG832" s="232" t="str">
        <f t="shared" si="1892"/>
        <v/>
      </c>
      <c r="AH832" s="371"/>
      <c r="AI832" s="497"/>
      <c r="AJ832" s="498"/>
      <c r="AK832" s="485" t="str">
        <f t="shared" si="1860"/>
        <v/>
      </c>
      <c r="AL832" s="371"/>
      <c r="AM832" s="232" t="str">
        <f t="shared" si="1861"/>
        <v/>
      </c>
      <c r="AN832" s="232" t="str">
        <f t="shared" si="1862"/>
        <v/>
      </c>
      <c r="AO832" s="232" t="str">
        <f t="shared" si="1863"/>
        <v/>
      </c>
      <c r="AP832" s="232" t="str">
        <f t="shared" si="1893"/>
        <v/>
      </c>
      <c r="AQ832" s="371"/>
      <c r="AR832" s="497"/>
      <c r="AS832" s="498"/>
      <c r="AT832" s="485" t="str">
        <f t="shared" si="1864"/>
        <v/>
      </c>
      <c r="AU832" s="371"/>
      <c r="AV832" s="232" t="str">
        <f t="shared" si="1865"/>
        <v/>
      </c>
      <c r="AW832" s="232" t="str">
        <f t="shared" si="1866"/>
        <v/>
      </c>
      <c r="AX832" s="232" t="str">
        <f t="shared" si="1867"/>
        <v/>
      </c>
      <c r="AY832" s="232" t="str">
        <f t="shared" si="1894"/>
        <v/>
      </c>
      <c r="AZ832" s="371"/>
      <c r="BA832" s="497"/>
      <c r="BB832" s="498"/>
      <c r="BC832" s="485" t="str">
        <f t="shared" si="1868"/>
        <v/>
      </c>
      <c r="BD832" s="371"/>
      <c r="BE832" s="232" t="str">
        <f t="shared" si="1869"/>
        <v/>
      </c>
      <c r="BF832" s="232" t="str">
        <f t="shared" si="1870"/>
        <v/>
      </c>
      <c r="BG832" s="232" t="str">
        <f t="shared" si="1871"/>
        <v/>
      </c>
      <c r="BH832" s="232" t="str">
        <f t="shared" si="1895"/>
        <v/>
      </c>
      <c r="BI832" s="371"/>
      <c r="BJ832" s="497"/>
      <c r="BK832" s="498"/>
      <c r="BL832" s="485" t="str">
        <f t="shared" si="1872"/>
        <v/>
      </c>
      <c r="BM832" s="371"/>
      <c r="BN832" s="232" t="str">
        <f t="shared" si="1873"/>
        <v/>
      </c>
      <c r="BO832" s="232" t="str">
        <f t="shared" si="1874"/>
        <v/>
      </c>
      <c r="BP832" s="232" t="str">
        <f t="shared" si="1875"/>
        <v/>
      </c>
      <c r="BQ832" s="232" t="str">
        <f t="shared" si="1896"/>
        <v/>
      </c>
      <c r="BR832" s="371"/>
      <c r="BS832" s="497"/>
      <c r="BT832" s="498"/>
      <c r="BU832" s="485" t="str">
        <f t="shared" si="1876"/>
        <v/>
      </c>
      <c r="BV832" s="371"/>
      <c r="BW832" s="232" t="str">
        <f t="shared" si="1877"/>
        <v/>
      </c>
      <c r="BX832" s="232" t="str">
        <f t="shared" si="1878"/>
        <v/>
      </c>
      <c r="BY832" s="232" t="str">
        <f t="shared" si="1879"/>
        <v/>
      </c>
      <c r="BZ832" s="232" t="str">
        <f t="shared" si="1897"/>
        <v/>
      </c>
      <c r="CA832" s="371"/>
      <c r="CB832" s="504" t="str">
        <f t="shared" si="1880"/>
        <v/>
      </c>
      <c r="CC832" s="505" t="str">
        <f t="shared" si="1881"/>
        <v/>
      </c>
      <c r="CD832" s="506" t="str">
        <f t="shared" si="1882"/>
        <v/>
      </c>
      <c r="CE832" s="371"/>
      <c r="CF832" s="232" t="str">
        <f t="shared" si="1883"/>
        <v/>
      </c>
      <c r="CG832" s="232" t="str">
        <f t="shared" si="1884"/>
        <v/>
      </c>
      <c r="CH832" s="232" t="str">
        <f t="shared" si="1885"/>
        <v/>
      </c>
      <c r="CI832" s="232" t="str">
        <f t="shared" si="1898"/>
        <v/>
      </c>
      <c r="CJ832" s="232"/>
      <c r="CK832" s="497"/>
      <c r="CL832" s="498"/>
      <c r="CM832" s="485" t="str">
        <f t="shared" si="1886"/>
        <v/>
      </c>
      <c r="CN832" s="371"/>
      <c r="CO832" s="232" t="str">
        <f t="shared" si="1887"/>
        <v/>
      </c>
      <c r="CP832" s="232" t="str">
        <f t="shared" si="1888"/>
        <v/>
      </c>
      <c r="CQ832" s="232" t="str">
        <f t="shared" si="1889"/>
        <v/>
      </c>
      <c r="CR832" s="232" t="str">
        <f t="shared" si="1899"/>
        <v/>
      </c>
      <c r="CS832" s="232"/>
      <c r="CT832" s="371"/>
      <c r="CU832" s="300"/>
      <c r="CV832" s="246"/>
      <c r="CW832" s="264"/>
    </row>
    <row r="833" spans="1:101" ht="13.5" thickBot="1" x14ac:dyDescent="0.25">
      <c r="A833" s="264"/>
      <c r="B833" s="264"/>
      <c r="C833" s="202"/>
      <c r="D833" s="271">
        <v>12</v>
      </c>
      <c r="E833" s="168"/>
      <c r="F833" s="470"/>
      <c r="G833" s="476" t="s">
        <v>49</v>
      </c>
      <c r="H833" s="477"/>
      <c r="I833" s="392" t="str">
        <f t="shared" si="1850"/>
        <v/>
      </c>
      <c r="J833" s="393" t="str">
        <f t="shared" si="1851"/>
        <v/>
      </c>
      <c r="K833" s="394" t="str">
        <f t="shared" si="1852"/>
        <v/>
      </c>
      <c r="L833" s="299"/>
      <c r="M833" s="375"/>
      <c r="N833" s="379"/>
      <c r="O833" s="236"/>
      <c r="P833" s="236"/>
      <c r="Q833" s="489"/>
      <c r="R833" s="490"/>
      <c r="S833" s="491" t="str">
        <f t="shared" si="1890"/>
        <v/>
      </c>
      <c r="T833" s="371"/>
      <c r="U833" s="232" t="str">
        <f t="shared" si="1853"/>
        <v/>
      </c>
      <c r="V833" s="232" t="str">
        <f t="shared" si="1854"/>
        <v/>
      </c>
      <c r="W833" s="232" t="str">
        <f t="shared" si="1855"/>
        <v/>
      </c>
      <c r="X833" s="232" t="str">
        <f t="shared" si="1891"/>
        <v/>
      </c>
      <c r="Y833" s="371"/>
      <c r="Z833" s="499"/>
      <c r="AA833" s="500"/>
      <c r="AB833" s="491" t="str">
        <f t="shared" si="1856"/>
        <v/>
      </c>
      <c r="AC833" s="371"/>
      <c r="AD833" s="232" t="str">
        <f t="shared" si="1857"/>
        <v/>
      </c>
      <c r="AE833" s="232" t="str">
        <f t="shared" si="1858"/>
        <v/>
      </c>
      <c r="AF833" s="232" t="str">
        <f t="shared" si="1859"/>
        <v/>
      </c>
      <c r="AG833" s="232" t="str">
        <f t="shared" si="1892"/>
        <v/>
      </c>
      <c r="AH833" s="371"/>
      <c r="AI833" s="499"/>
      <c r="AJ833" s="500"/>
      <c r="AK833" s="491" t="str">
        <f t="shared" si="1860"/>
        <v/>
      </c>
      <c r="AL833" s="371"/>
      <c r="AM833" s="232" t="str">
        <f t="shared" si="1861"/>
        <v/>
      </c>
      <c r="AN833" s="232" t="str">
        <f t="shared" si="1862"/>
        <v/>
      </c>
      <c r="AO833" s="232" t="str">
        <f t="shared" si="1863"/>
        <v/>
      </c>
      <c r="AP833" s="232" t="str">
        <f t="shared" si="1893"/>
        <v/>
      </c>
      <c r="AQ833" s="371"/>
      <c r="AR833" s="499"/>
      <c r="AS833" s="500"/>
      <c r="AT833" s="491" t="str">
        <f t="shared" si="1864"/>
        <v/>
      </c>
      <c r="AU833" s="371"/>
      <c r="AV833" s="232" t="str">
        <f t="shared" si="1865"/>
        <v/>
      </c>
      <c r="AW833" s="232" t="str">
        <f t="shared" si="1866"/>
        <v/>
      </c>
      <c r="AX833" s="232" t="str">
        <f t="shared" si="1867"/>
        <v/>
      </c>
      <c r="AY833" s="232" t="str">
        <f t="shared" si="1894"/>
        <v/>
      </c>
      <c r="AZ833" s="371"/>
      <c r="BA833" s="499"/>
      <c r="BB833" s="500"/>
      <c r="BC833" s="491" t="str">
        <f t="shared" si="1868"/>
        <v/>
      </c>
      <c r="BD833" s="371"/>
      <c r="BE833" s="232" t="str">
        <f t="shared" si="1869"/>
        <v/>
      </c>
      <c r="BF833" s="232" t="str">
        <f t="shared" si="1870"/>
        <v/>
      </c>
      <c r="BG833" s="232" t="str">
        <f t="shared" si="1871"/>
        <v/>
      </c>
      <c r="BH833" s="232" t="str">
        <f t="shared" si="1895"/>
        <v/>
      </c>
      <c r="BI833" s="371"/>
      <c r="BJ833" s="499"/>
      <c r="BK833" s="500"/>
      <c r="BL833" s="491" t="str">
        <f t="shared" si="1872"/>
        <v/>
      </c>
      <c r="BM833" s="371"/>
      <c r="BN833" s="232" t="str">
        <f t="shared" si="1873"/>
        <v/>
      </c>
      <c r="BO833" s="232" t="str">
        <f t="shared" si="1874"/>
        <v/>
      </c>
      <c r="BP833" s="232" t="str">
        <f t="shared" si="1875"/>
        <v/>
      </c>
      <c r="BQ833" s="232" t="str">
        <f t="shared" si="1896"/>
        <v/>
      </c>
      <c r="BR833" s="371"/>
      <c r="BS833" s="499"/>
      <c r="BT833" s="500"/>
      <c r="BU833" s="491" t="str">
        <f t="shared" si="1876"/>
        <v/>
      </c>
      <c r="BV833" s="371"/>
      <c r="BW833" s="232" t="str">
        <f t="shared" si="1877"/>
        <v/>
      </c>
      <c r="BX833" s="232" t="str">
        <f t="shared" si="1878"/>
        <v/>
      </c>
      <c r="BY833" s="232" t="str">
        <f t="shared" si="1879"/>
        <v/>
      </c>
      <c r="BZ833" s="232" t="str">
        <f t="shared" si="1897"/>
        <v/>
      </c>
      <c r="CA833" s="371"/>
      <c r="CB833" s="507" t="str">
        <f t="shared" si="1880"/>
        <v/>
      </c>
      <c r="CC833" s="508" t="str">
        <f t="shared" si="1881"/>
        <v/>
      </c>
      <c r="CD833" s="509" t="str">
        <f t="shared" si="1882"/>
        <v/>
      </c>
      <c r="CE833" s="371"/>
      <c r="CF833" s="232" t="str">
        <f t="shared" si="1883"/>
        <v/>
      </c>
      <c r="CG833" s="232" t="str">
        <f t="shared" si="1884"/>
        <v/>
      </c>
      <c r="CH833" s="232" t="str">
        <f t="shared" si="1885"/>
        <v/>
      </c>
      <c r="CI833" s="232" t="str">
        <f t="shared" si="1898"/>
        <v/>
      </c>
      <c r="CJ833" s="232"/>
      <c r="CK833" s="499"/>
      <c r="CL833" s="500"/>
      <c r="CM833" s="491" t="str">
        <f t="shared" si="1886"/>
        <v/>
      </c>
      <c r="CN833" s="371"/>
      <c r="CO833" s="232" t="str">
        <f t="shared" si="1887"/>
        <v/>
      </c>
      <c r="CP833" s="232" t="str">
        <f t="shared" si="1888"/>
        <v/>
      </c>
      <c r="CQ833" s="232" t="str">
        <f t="shared" si="1889"/>
        <v/>
      </c>
      <c r="CR833" s="232" t="str">
        <f t="shared" si="1899"/>
        <v/>
      </c>
      <c r="CS833" s="232"/>
      <c r="CT833" s="371"/>
      <c r="CU833" s="300"/>
      <c r="CV833" s="246"/>
      <c r="CW833" s="264"/>
    </row>
    <row r="834" spans="1:101" x14ac:dyDescent="0.2">
      <c r="A834" s="264"/>
      <c r="B834" s="264"/>
      <c r="C834" s="202"/>
      <c r="D834" s="272"/>
      <c r="E834" s="235"/>
      <c r="F834" s="395" t="str">
        <f>IF(SUM(F822:F833)=0,"",SUM(F822:F833))</f>
        <v/>
      </c>
      <c r="G834" s="370" t="s">
        <v>49</v>
      </c>
      <c r="H834" s="396" t="str">
        <f>IF(SUM(H822:H833)=0,"",SUM(H822:H833))</f>
        <v/>
      </c>
      <c r="I834" s="397" t="str">
        <f>IF(COUNTIF(I822:I833,"=x")=0,"",COUNTIF(I822:I833,"=x"))</f>
        <v/>
      </c>
      <c r="J834" s="398" t="str">
        <f>IF(COUNTIF(J822:J833,"=x")=0,"",COUNTIF(J822:J833,"=x"))</f>
        <v/>
      </c>
      <c r="K834" s="399" t="str">
        <f>IF(COUNTIF(K822:K833,"=x")=0,"",COUNTIF(K822:K833,"=x"))</f>
        <v/>
      </c>
      <c r="L834" s="299"/>
      <c r="M834" s="375"/>
      <c r="N834" s="379"/>
      <c r="O834" s="236"/>
      <c r="P834" s="369"/>
      <c r="Q834" s="466">
        <f>SUM(U822:U833)</f>
        <v>0</v>
      </c>
      <c r="R834" s="466">
        <f>SUM(V822:V833)</f>
        <v>0</v>
      </c>
      <c r="S834" s="466">
        <f>SUM(W822:W833)</f>
        <v>0</v>
      </c>
      <c r="T834" s="368"/>
      <c r="U834" s="232"/>
      <c r="V834" s="232"/>
      <c r="W834" s="232"/>
      <c r="X834" s="232"/>
      <c r="Y834" s="367"/>
      <c r="Z834" s="466">
        <f>SUM(AD822:AD833)</f>
        <v>0</v>
      </c>
      <c r="AA834" s="466">
        <f>SUM(AE822:AE833)</f>
        <v>0</v>
      </c>
      <c r="AB834" s="466">
        <f>SUM(AF822:AF833)</f>
        <v>0</v>
      </c>
      <c r="AC834" s="368"/>
      <c r="AD834" s="232"/>
      <c r="AE834" s="232"/>
      <c r="AF834" s="232"/>
      <c r="AG834" s="232"/>
      <c r="AH834" s="367"/>
      <c r="AI834" s="466">
        <f>SUM(AM822:AM833)</f>
        <v>0</v>
      </c>
      <c r="AJ834" s="466">
        <f>SUM(AN822:AN833)</f>
        <v>0</v>
      </c>
      <c r="AK834" s="466">
        <f>SUM(AO822:AO833)</f>
        <v>0</v>
      </c>
      <c r="AL834" s="368"/>
      <c r="AM834" s="232"/>
      <c r="AN834" s="232"/>
      <c r="AO834" s="232"/>
      <c r="AP834" s="232"/>
      <c r="AQ834" s="367"/>
      <c r="AR834" s="466">
        <f>SUM(AV822:AV833)</f>
        <v>0</v>
      </c>
      <c r="AS834" s="466">
        <f>SUM(AW822:AW833)</f>
        <v>0</v>
      </c>
      <c r="AT834" s="466">
        <f>SUM(AX822:AX833)</f>
        <v>0</v>
      </c>
      <c r="AU834" s="368"/>
      <c r="AV834" s="232"/>
      <c r="AW834" s="232"/>
      <c r="AX834" s="232"/>
      <c r="AY834" s="232"/>
      <c r="AZ834" s="367"/>
      <c r="BA834" s="466">
        <f>SUM(BE822:BE833)</f>
        <v>0</v>
      </c>
      <c r="BB834" s="466">
        <f>SUM(BF822:BF833)</f>
        <v>0</v>
      </c>
      <c r="BC834" s="466">
        <f>SUM(BG822:BG833)</f>
        <v>0</v>
      </c>
      <c r="BD834" s="368"/>
      <c r="BE834" s="232"/>
      <c r="BF834" s="232"/>
      <c r="BG834" s="232"/>
      <c r="BH834" s="232"/>
      <c r="BI834" s="367"/>
      <c r="BJ834" s="466">
        <f>SUM(BN822:BN833)</f>
        <v>0</v>
      </c>
      <c r="BK834" s="466">
        <f>SUM(BO822:BO833)</f>
        <v>0</v>
      </c>
      <c r="BL834" s="466">
        <f>SUM(BP822:BP833)</f>
        <v>0</v>
      </c>
      <c r="BM834" s="368"/>
      <c r="BN834" s="232"/>
      <c r="BO834" s="232"/>
      <c r="BP834" s="232"/>
      <c r="BQ834" s="232"/>
      <c r="BR834" s="367"/>
      <c r="BS834" s="466">
        <f>SUM(BW822:BW833)</f>
        <v>0</v>
      </c>
      <c r="BT834" s="466">
        <f>SUM(BX822:BX833)</f>
        <v>0</v>
      </c>
      <c r="BU834" s="466">
        <f>SUM(BY822:BY833)</f>
        <v>0</v>
      </c>
      <c r="BV834" s="368"/>
      <c r="BW834" s="232"/>
      <c r="BX834" s="232"/>
      <c r="BY834" s="232"/>
      <c r="BZ834" s="232"/>
      <c r="CA834" s="369"/>
      <c r="CB834" s="466">
        <f>SUM(CF822:CF833)</f>
        <v>0</v>
      </c>
      <c r="CC834" s="466">
        <f>SUM(CG822:CG833)</f>
        <v>0</v>
      </c>
      <c r="CD834" s="466">
        <f>SUM(CH822:CH833)</f>
        <v>0</v>
      </c>
      <c r="CE834" s="368"/>
      <c r="CF834" s="232"/>
      <c r="CG834" s="232"/>
      <c r="CH834" s="232"/>
      <c r="CI834" s="232"/>
      <c r="CJ834" s="232"/>
      <c r="CK834" s="466">
        <f>SUM(CO822:CO833)</f>
        <v>0</v>
      </c>
      <c r="CL834" s="466">
        <f>SUM(CP822:CP833)</f>
        <v>0</v>
      </c>
      <c r="CM834" s="466">
        <f>SUM(CQ822:CQ833)</f>
        <v>0</v>
      </c>
      <c r="CN834" s="368"/>
      <c r="CO834" s="232"/>
      <c r="CP834" s="232"/>
      <c r="CQ834" s="232"/>
      <c r="CR834" s="232"/>
      <c r="CS834" s="232"/>
      <c r="CT834" s="232"/>
      <c r="CU834" s="300"/>
      <c r="CV834" s="246"/>
      <c r="CW834" s="265"/>
    </row>
    <row r="835" spans="1:101" ht="13.5" thickBot="1" x14ac:dyDescent="0.25">
      <c r="A835" s="264"/>
      <c r="B835" s="264"/>
      <c r="C835" s="202"/>
      <c r="D835" s="289"/>
      <c r="E835" s="282"/>
      <c r="F835" s="283"/>
      <c r="G835" s="282"/>
      <c r="H835" s="282"/>
      <c r="I835" s="282"/>
      <c r="J835" s="282"/>
      <c r="K835" s="282"/>
      <c r="L835" s="293"/>
      <c r="M835" s="301"/>
      <c r="N835" s="380"/>
      <c r="O835" s="376"/>
      <c r="P835" s="284"/>
      <c r="Q835" s="285"/>
      <c r="R835" s="285"/>
      <c r="S835" s="285"/>
      <c r="T835" s="286"/>
      <c r="U835" s="287"/>
      <c r="V835" s="287"/>
      <c r="W835" s="287"/>
      <c r="X835" s="287"/>
      <c r="Y835" s="284"/>
      <c r="Z835" s="285"/>
      <c r="AA835" s="285"/>
      <c r="AB835" s="285"/>
      <c r="AC835" s="286"/>
      <c r="AD835" s="287"/>
      <c r="AE835" s="287"/>
      <c r="AF835" s="287"/>
      <c r="AG835" s="288"/>
      <c r="AH835" s="284"/>
      <c r="AI835" s="285"/>
      <c r="AJ835" s="285"/>
      <c r="AK835" s="285"/>
      <c r="AL835" s="286"/>
      <c r="AM835" s="287"/>
      <c r="AN835" s="287"/>
      <c r="AO835" s="287"/>
      <c r="AP835" s="288"/>
      <c r="AQ835" s="284"/>
      <c r="AR835" s="285"/>
      <c r="AS835" s="285"/>
      <c r="AT835" s="285"/>
      <c r="AU835" s="286"/>
      <c r="AV835" s="287"/>
      <c r="AW835" s="287"/>
      <c r="AX835" s="287"/>
      <c r="AY835" s="288"/>
      <c r="AZ835" s="284"/>
      <c r="BA835" s="285"/>
      <c r="BB835" s="285"/>
      <c r="BC835" s="285"/>
      <c r="BD835" s="286"/>
      <c r="BE835" s="287"/>
      <c r="BF835" s="287"/>
      <c r="BG835" s="287"/>
      <c r="BH835" s="288"/>
      <c r="BI835" s="284"/>
      <c r="BJ835" s="284"/>
      <c r="BK835" s="284"/>
      <c r="BL835" s="284"/>
      <c r="BM835" s="284"/>
      <c r="BN835" s="284"/>
      <c r="BO835" s="284"/>
      <c r="BP835" s="284"/>
      <c r="BQ835" s="284"/>
      <c r="BR835" s="284"/>
      <c r="BS835" s="284"/>
      <c r="BT835" s="284"/>
      <c r="BU835" s="284"/>
      <c r="BV835" s="284"/>
      <c r="BW835" s="284"/>
      <c r="BX835" s="284"/>
      <c r="BY835" s="284"/>
      <c r="BZ835" s="284"/>
      <c r="CA835" s="284"/>
      <c r="CB835" s="284"/>
      <c r="CC835" s="284"/>
      <c r="CD835" s="284"/>
      <c r="CE835" s="284"/>
      <c r="CF835" s="284"/>
      <c r="CG835" s="284"/>
      <c r="CH835" s="284"/>
      <c r="CI835" s="284"/>
      <c r="CJ835" s="288"/>
      <c r="CK835" s="288"/>
      <c r="CL835" s="288"/>
      <c r="CM835" s="288"/>
      <c r="CN835" s="288"/>
      <c r="CO835" s="288"/>
      <c r="CP835" s="288"/>
      <c r="CQ835" s="288"/>
      <c r="CR835" s="288"/>
      <c r="CS835" s="288"/>
      <c r="CT835" s="282"/>
      <c r="CU835" s="294"/>
      <c r="CV835" s="246"/>
      <c r="CW835" s="265"/>
    </row>
    <row r="836" spans="1:101" ht="14.25" thickTop="1" thickBot="1" x14ac:dyDescent="0.25">
      <c r="A836" s="256"/>
      <c r="B836" s="256"/>
      <c r="C836" s="210"/>
      <c r="D836" s="211"/>
      <c r="E836" s="247"/>
      <c r="F836" s="248"/>
      <c r="G836" s="247"/>
      <c r="H836" s="247"/>
      <c r="I836" s="247"/>
      <c r="J836" s="247"/>
      <c r="K836" s="247"/>
      <c r="L836" s="249"/>
      <c r="M836" s="250"/>
      <c r="N836" s="250"/>
      <c r="O836" s="250"/>
      <c r="P836" s="250"/>
      <c r="Q836" s="247"/>
      <c r="R836" s="247"/>
      <c r="S836" s="247"/>
      <c r="T836" s="251"/>
      <c r="U836" s="252"/>
      <c r="V836" s="252"/>
      <c r="W836" s="252"/>
      <c r="X836" s="252"/>
      <c r="Y836" s="250"/>
      <c r="Z836" s="247"/>
      <c r="AA836" s="247"/>
      <c r="AB836" s="247"/>
      <c r="AC836" s="251"/>
      <c r="AD836" s="252"/>
      <c r="AE836" s="252"/>
      <c r="AF836" s="252"/>
      <c r="AG836" s="247"/>
      <c r="AH836" s="250"/>
      <c r="AI836" s="247"/>
      <c r="AJ836" s="247"/>
      <c r="AK836" s="247"/>
      <c r="AL836" s="251"/>
      <c r="AM836" s="252"/>
      <c r="AN836" s="252"/>
      <c r="AO836" s="252"/>
      <c r="AP836" s="253"/>
      <c r="AQ836" s="250"/>
      <c r="AR836" s="247"/>
      <c r="AS836" s="247"/>
      <c r="AT836" s="247"/>
      <c r="AU836" s="251"/>
      <c r="AV836" s="252"/>
      <c r="AW836" s="252"/>
      <c r="AX836" s="252"/>
      <c r="AY836" s="247"/>
      <c r="AZ836" s="250"/>
      <c r="BA836" s="247"/>
      <c r="BB836" s="247"/>
      <c r="BC836" s="247"/>
      <c r="BD836" s="251"/>
      <c r="BE836" s="252"/>
      <c r="BF836" s="252"/>
      <c r="BG836" s="252"/>
      <c r="BH836" s="247"/>
      <c r="BI836" s="250"/>
      <c r="BJ836" s="247"/>
      <c r="BK836" s="247"/>
      <c r="BL836" s="247"/>
      <c r="BM836" s="251"/>
      <c r="BN836" s="252"/>
      <c r="BO836" s="252"/>
      <c r="BP836" s="252"/>
      <c r="BQ836" s="247"/>
      <c r="BR836" s="212"/>
      <c r="BS836" s="247"/>
      <c r="BT836" s="247"/>
      <c r="BU836" s="247"/>
      <c r="BV836" s="250"/>
      <c r="BW836" s="252"/>
      <c r="BX836" s="252"/>
      <c r="BY836" s="252"/>
      <c r="BZ836" s="247"/>
      <c r="CA836" s="247"/>
      <c r="CB836" s="253"/>
      <c r="CC836" s="253"/>
      <c r="CD836" s="253"/>
      <c r="CE836" s="253"/>
      <c r="CF836" s="247"/>
      <c r="CG836" s="247"/>
      <c r="CH836" s="247"/>
      <c r="CI836" s="247"/>
      <c r="CJ836" s="247"/>
      <c r="CK836" s="247"/>
      <c r="CL836" s="247"/>
      <c r="CM836" s="247"/>
      <c r="CN836" s="247"/>
      <c r="CO836" s="247"/>
      <c r="CP836" s="247"/>
      <c r="CQ836" s="247"/>
      <c r="CR836" s="247"/>
      <c r="CS836" s="247"/>
      <c r="CT836" s="247"/>
      <c r="CU836" s="247"/>
      <c r="CV836" s="254"/>
      <c r="CW836" s="255"/>
    </row>
    <row r="837" spans="1:101" ht="14.25" thickTop="1" thickBot="1" x14ac:dyDescent="0.25">
      <c r="A837" s="255"/>
      <c r="B837" s="255"/>
      <c r="C837" s="255"/>
      <c r="D837" s="255"/>
      <c r="E837" s="255"/>
      <c r="F837" s="255"/>
      <c r="G837" s="255"/>
      <c r="H837" s="255"/>
      <c r="I837" s="255"/>
      <c r="J837" s="255"/>
      <c r="K837" s="255"/>
      <c r="L837" s="255"/>
      <c r="M837" s="255"/>
      <c r="N837" s="255"/>
      <c r="O837" s="255"/>
      <c r="P837" s="255"/>
      <c r="Q837" s="255"/>
      <c r="R837" s="255"/>
      <c r="S837" s="255"/>
      <c r="T837" s="255"/>
      <c r="U837" s="255"/>
      <c r="V837" s="255"/>
      <c r="W837" s="255"/>
      <c r="X837" s="255"/>
      <c r="Y837" s="255"/>
      <c r="Z837" s="255"/>
      <c r="AA837" s="255"/>
      <c r="AB837" s="255"/>
      <c r="AC837" s="255"/>
      <c r="AD837" s="255"/>
      <c r="AE837" s="255"/>
      <c r="AF837" s="255"/>
      <c r="AG837" s="255"/>
      <c r="AH837" s="255"/>
      <c r="AI837" s="255"/>
      <c r="AJ837" s="255"/>
      <c r="AK837" s="255"/>
      <c r="AL837" s="255"/>
      <c r="AM837" s="255"/>
      <c r="AN837" s="255"/>
      <c r="AO837" s="255"/>
      <c r="AP837" s="255"/>
      <c r="AQ837" s="255"/>
      <c r="AR837" s="255"/>
      <c r="AS837" s="255"/>
      <c r="AT837" s="255"/>
      <c r="AU837" s="255"/>
      <c r="AV837" s="255"/>
      <c r="AW837" s="255"/>
      <c r="AX837" s="255"/>
      <c r="AY837" s="255"/>
      <c r="AZ837" s="255"/>
      <c r="BA837" s="255"/>
      <c r="BB837" s="255"/>
      <c r="BC837" s="255"/>
      <c r="BD837" s="255"/>
      <c r="BE837" s="255"/>
      <c r="BF837" s="255"/>
      <c r="BG837" s="255"/>
      <c r="BH837" s="255"/>
      <c r="BI837" s="255"/>
      <c r="BJ837" s="255"/>
      <c r="BK837" s="255"/>
      <c r="BL837" s="255"/>
      <c r="BM837" s="255"/>
      <c r="BN837" s="255"/>
      <c r="BO837" s="255"/>
      <c r="BP837" s="255"/>
      <c r="BQ837" s="255"/>
      <c r="BR837" s="255"/>
      <c r="BS837" s="255"/>
      <c r="BT837" s="255"/>
      <c r="BU837" s="255"/>
      <c r="BV837" s="255"/>
      <c r="BW837" s="255"/>
      <c r="BX837" s="255"/>
      <c r="BY837" s="255"/>
      <c r="BZ837" s="255"/>
      <c r="CA837" s="255"/>
      <c r="CB837" s="436"/>
      <c r="CC837" s="436"/>
      <c r="CD837" s="436"/>
      <c r="CE837" s="436"/>
      <c r="CF837" s="255"/>
      <c r="CG837" s="255"/>
      <c r="CH837" s="255"/>
      <c r="CI837" s="255"/>
      <c r="CJ837" s="255"/>
      <c r="CK837" s="255"/>
      <c r="CL837" s="255"/>
      <c r="CM837" s="255"/>
      <c r="CN837" s="255"/>
      <c r="CO837" s="255"/>
      <c r="CP837" s="255"/>
      <c r="CQ837" s="255"/>
      <c r="CR837" s="255"/>
      <c r="CS837" s="255"/>
      <c r="CT837" s="255"/>
      <c r="CU837" s="255"/>
      <c r="CV837" s="255"/>
      <c r="CW837" s="255"/>
    </row>
    <row r="838" spans="1:101" ht="21" thickTop="1" x14ac:dyDescent="0.3">
      <c r="A838" s="256"/>
      <c r="B838" s="256"/>
      <c r="C838" s="190"/>
      <c r="D838" s="191"/>
      <c r="E838" s="866" t="str">
        <f>E2</f>
        <v>STPS 2026</v>
      </c>
      <c r="F838" s="267"/>
      <c r="G838" s="267"/>
      <c r="H838" s="267"/>
      <c r="I838" s="192"/>
      <c r="J838" s="192"/>
      <c r="K838" s="192"/>
      <c r="L838" s="193"/>
      <c r="M838" s="192"/>
      <c r="N838" s="192"/>
      <c r="O838" s="192"/>
      <c r="P838" s="194"/>
      <c r="Q838" s="192"/>
      <c r="R838" s="192"/>
      <c r="S838" s="192"/>
      <c r="T838" s="195"/>
      <c r="U838" s="196"/>
      <c r="V838" s="196"/>
      <c r="W838" s="196"/>
      <c r="X838" s="196"/>
      <c r="Y838" s="194"/>
      <c r="Z838" s="192"/>
      <c r="AA838" s="192"/>
      <c r="AB838" s="192"/>
      <c r="AC838" s="195"/>
      <c r="AD838" s="196"/>
      <c r="AE838" s="196"/>
      <c r="AF838" s="196"/>
      <c r="AG838" s="197"/>
      <c r="AH838" s="194"/>
      <c r="AI838" s="192"/>
      <c r="AJ838" s="237"/>
      <c r="AK838" s="237"/>
      <c r="AL838" s="198"/>
      <c r="AM838" s="238"/>
      <c r="AN838" s="238"/>
      <c r="AO838" s="238"/>
      <c r="AP838" s="197"/>
      <c r="AQ838" s="239"/>
      <c r="AR838" s="240"/>
      <c r="AS838" s="199"/>
      <c r="AT838" s="200"/>
      <c r="AU838" s="198"/>
      <c r="AV838" s="196"/>
      <c r="AW838" s="196"/>
      <c r="AX838" s="196"/>
      <c r="AY838" s="197"/>
      <c r="AZ838" s="239"/>
      <c r="BA838" s="240"/>
      <c r="BB838" s="200"/>
      <c r="BC838" s="237"/>
      <c r="BD838" s="241"/>
      <c r="BE838" s="196"/>
      <c r="BF838" s="196"/>
      <c r="BG838" s="196"/>
      <c r="BH838" s="197"/>
      <c r="BI838" s="242"/>
      <c r="BJ838" s="237"/>
      <c r="BK838" s="237"/>
      <c r="BL838" s="237"/>
      <c r="BM838" s="241"/>
      <c r="BN838" s="196"/>
      <c r="BO838" s="196"/>
      <c r="BP838" s="196"/>
      <c r="BQ838" s="197"/>
      <c r="BR838" s="201"/>
      <c r="BS838" s="237"/>
      <c r="BT838" s="237"/>
      <c r="BU838" s="237"/>
      <c r="BV838" s="242"/>
      <c r="BW838" s="237"/>
      <c r="BX838" s="237"/>
      <c r="BY838" s="237"/>
      <c r="BZ838" s="237"/>
      <c r="CA838" s="237"/>
      <c r="CB838" s="437"/>
      <c r="CC838" s="437"/>
      <c r="CD838" s="437"/>
      <c r="CE838" s="437"/>
      <c r="CF838" s="237"/>
      <c r="CG838" s="237"/>
      <c r="CH838" s="237"/>
      <c r="CI838" s="237"/>
      <c r="CJ838" s="197"/>
      <c r="CK838" s="197"/>
      <c r="CL838" s="197"/>
      <c r="CM838" s="197"/>
      <c r="CN838" s="197"/>
      <c r="CO838" s="197"/>
      <c r="CP838" s="197"/>
      <c r="CQ838" s="197"/>
      <c r="CR838" s="197"/>
      <c r="CS838" s="197"/>
      <c r="CT838" s="401"/>
      <c r="CU838" s="237"/>
      <c r="CV838" s="243"/>
      <c r="CW838" s="255"/>
    </row>
    <row r="839" spans="1:101" ht="13.5" thickBot="1" x14ac:dyDescent="0.25">
      <c r="A839" s="256"/>
      <c r="B839" s="256"/>
      <c r="C839" s="202"/>
      <c r="D839" s="188"/>
      <c r="E839" s="266" t="str">
        <f>E3</f>
        <v>Skorgen Tippelag</v>
      </c>
      <c r="F839" s="406"/>
      <c r="G839" s="406"/>
      <c r="H839" s="406"/>
      <c r="I839" s="406"/>
      <c r="J839" s="406"/>
      <c r="K839" s="406"/>
      <c r="L839" s="406"/>
      <c r="M839" s="406"/>
      <c r="N839" s="406"/>
      <c r="O839" s="406"/>
      <c r="P839" s="406"/>
      <c r="Q839" s="406"/>
      <c r="R839" s="406"/>
      <c r="S839" s="406"/>
      <c r="T839" s="406"/>
      <c r="U839" s="406"/>
      <c r="V839" s="406"/>
      <c r="W839" s="406"/>
      <c r="X839" s="406"/>
      <c r="Y839" s="406"/>
      <c r="Z839" s="406"/>
      <c r="AA839" s="406"/>
      <c r="AB839" s="406"/>
      <c r="AC839" s="406"/>
      <c r="AD839" s="406"/>
      <c r="AE839" s="406"/>
      <c r="AF839" s="406"/>
      <c r="AG839" s="406"/>
      <c r="AH839" s="406"/>
      <c r="AI839" s="406"/>
      <c r="AJ839" s="406"/>
      <c r="AK839" s="406"/>
      <c r="AL839" s="406"/>
      <c r="AM839" s="406"/>
      <c r="AN839" s="406"/>
      <c r="AO839" s="406"/>
      <c r="AP839" s="406"/>
      <c r="AQ839" s="406"/>
      <c r="AR839" s="406"/>
      <c r="AS839" s="406"/>
      <c r="AT839" s="406"/>
      <c r="AU839" s="406"/>
      <c r="AV839" s="406"/>
      <c r="AW839" s="406"/>
      <c r="AX839" s="406"/>
      <c r="AY839" s="406"/>
      <c r="AZ839" s="406"/>
      <c r="BA839" s="406"/>
      <c r="BB839" s="406"/>
      <c r="BC839" s="406"/>
      <c r="BD839" s="406"/>
      <c r="BE839" s="406"/>
      <c r="BF839" s="406"/>
      <c r="BG839" s="406"/>
      <c r="BH839" s="406"/>
      <c r="BI839" s="406"/>
      <c r="BJ839" s="406"/>
      <c r="BK839" s="406"/>
      <c r="BL839" s="406"/>
      <c r="BM839" s="406"/>
      <c r="BN839" s="406"/>
      <c r="BO839" s="406"/>
      <c r="BP839" s="406"/>
      <c r="BQ839" s="406"/>
      <c r="BR839" s="406"/>
      <c r="BS839" s="406"/>
      <c r="BT839" s="406"/>
      <c r="BU839" s="406"/>
      <c r="BV839" s="406"/>
      <c r="BW839" s="406"/>
      <c r="BX839" s="406"/>
      <c r="BY839" s="406"/>
      <c r="BZ839" s="406"/>
      <c r="CA839" s="406"/>
      <c r="CB839" s="438"/>
      <c r="CC839" s="438"/>
      <c r="CD839" s="438"/>
      <c r="CE839" s="438"/>
      <c r="CF839" s="406"/>
      <c r="CG839" s="406"/>
      <c r="CH839" s="406"/>
      <c r="CI839" s="406"/>
      <c r="CJ839" s="406"/>
      <c r="CK839" s="406"/>
      <c r="CL839" s="406"/>
      <c r="CM839" s="406"/>
      <c r="CN839" s="366"/>
      <c r="CO839" s="366"/>
      <c r="CP839" s="366"/>
      <c r="CQ839" s="366"/>
      <c r="CR839" s="366"/>
      <c r="CS839" s="366"/>
      <c r="CT839" s="187"/>
      <c r="CU839" s="310"/>
      <c r="CV839" s="246"/>
      <c r="CW839" s="255"/>
    </row>
    <row r="840" spans="1:101" ht="18.75" thickTop="1" x14ac:dyDescent="0.2">
      <c r="A840" s="256"/>
      <c r="B840" s="256"/>
      <c r="C840" s="209"/>
      <c r="D840" s="290"/>
      <c r="E840" s="273"/>
      <c r="F840" s="274"/>
      <c r="G840" s="273"/>
      <c r="H840" s="273"/>
      <c r="I840" s="803" t="s">
        <v>39</v>
      </c>
      <c r="J840" s="805"/>
      <c r="K840" s="805"/>
      <c r="L840" s="291"/>
      <c r="M840" s="302"/>
      <c r="N840" s="242"/>
      <c r="O840" s="275"/>
      <c r="P840" s="275"/>
      <c r="Q840" s="808" t="str">
        <f>IF($F844="","",SUM(Q856:S856)-S842)</f>
        <v/>
      </c>
      <c r="R840" s="808"/>
      <c r="S840" s="808"/>
      <c r="T840" s="276"/>
      <c r="U840" s="277"/>
      <c r="V840" s="277"/>
      <c r="W840" s="277"/>
      <c r="X840" s="277"/>
      <c r="Y840" s="275"/>
      <c r="Z840" s="808" t="str">
        <f>IF($F844="","",SUM(Z856:AB856)-AB842)</f>
        <v/>
      </c>
      <c r="AA840" s="808"/>
      <c r="AB840" s="808"/>
      <c r="AC840" s="276"/>
      <c r="AD840" s="277"/>
      <c r="AE840" s="277"/>
      <c r="AF840" s="277"/>
      <c r="AG840" s="273"/>
      <c r="AH840" s="275"/>
      <c r="AI840" s="808" t="str">
        <f>IF($F844="","",SUM(AI856:AK856)-AK842)</f>
        <v/>
      </c>
      <c r="AJ840" s="808"/>
      <c r="AK840" s="808"/>
      <c r="AL840" s="276"/>
      <c r="AM840" s="277"/>
      <c r="AN840" s="277"/>
      <c r="AO840" s="277"/>
      <c r="AP840" s="273"/>
      <c r="AQ840" s="275"/>
      <c r="AR840" s="808" t="str">
        <f>IF($F844="","",SUM(AR856:AT856)-AT842)</f>
        <v/>
      </c>
      <c r="AS840" s="808"/>
      <c r="AT840" s="808"/>
      <c r="AU840" s="278"/>
      <c r="AV840" s="277"/>
      <c r="AW840" s="277"/>
      <c r="AX840" s="277"/>
      <c r="AY840" s="279"/>
      <c r="AZ840" s="280"/>
      <c r="BA840" s="808" t="str">
        <f>IF($F844="","",SUM(BA856:BC856)-BC842)</f>
        <v/>
      </c>
      <c r="BB840" s="808"/>
      <c r="BC840" s="808"/>
      <c r="BD840" s="278"/>
      <c r="BE840" s="277"/>
      <c r="BF840" s="277"/>
      <c r="BG840" s="277"/>
      <c r="BH840" s="279"/>
      <c r="BI840" s="280"/>
      <c r="BJ840" s="808" t="str">
        <f>IF($F844="","",SUM(BJ856:BL856)-BL842)</f>
        <v/>
      </c>
      <c r="BK840" s="808"/>
      <c r="BL840" s="808"/>
      <c r="BM840" s="278"/>
      <c r="BN840" s="277"/>
      <c r="BO840" s="277"/>
      <c r="BP840" s="277"/>
      <c r="BQ840" s="279"/>
      <c r="BR840" s="281"/>
      <c r="BS840" s="808" t="str">
        <f>IF($F844="","",SUM(BS856:BU856)-BU842)</f>
        <v/>
      </c>
      <c r="BT840" s="808"/>
      <c r="BU840" s="808"/>
      <c r="BV840" s="280"/>
      <c r="BW840" s="279"/>
      <c r="BX840" s="279"/>
      <c r="BY840" s="279"/>
      <c r="BZ840" s="279"/>
      <c r="CA840" s="281"/>
      <c r="CB840" s="808" t="str">
        <f>IF($F844="","",SUM(CB856:CD856)-CD842)</f>
        <v/>
      </c>
      <c r="CC840" s="808"/>
      <c r="CD840" s="808"/>
      <c r="CE840" s="280"/>
      <c r="CF840" s="279"/>
      <c r="CG840" s="279"/>
      <c r="CH840" s="279"/>
      <c r="CI840" s="279"/>
      <c r="CJ840" s="273"/>
      <c r="CK840" s="808" t="str">
        <f>IF($F844="","",SUM(CK856:CM856))</f>
        <v/>
      </c>
      <c r="CL840" s="808"/>
      <c r="CM840" s="808"/>
      <c r="CN840" s="280"/>
      <c r="CO840" s="279"/>
      <c r="CP840" s="279"/>
      <c r="CQ840" s="279"/>
      <c r="CR840" s="273"/>
      <c r="CS840" s="273"/>
      <c r="CT840" s="273"/>
      <c r="CU840" s="292"/>
      <c r="CV840" s="246"/>
      <c r="CW840" s="255"/>
    </row>
    <row r="841" spans="1:101" x14ac:dyDescent="0.2">
      <c r="A841" s="256"/>
      <c r="B841" s="256"/>
      <c r="C841" s="209"/>
      <c r="D841" s="916"/>
      <c r="E841" s="588" t="str">
        <f>IF(D841="","",DATE($D$3,1,1)+(D841-1)*7+(6-WEEKDAY(DATE($D$3,1,1),2)))</f>
        <v/>
      </c>
      <c r="F841" s="213"/>
      <c r="G841" s="214"/>
      <c r="H841" s="214"/>
      <c r="I841" s="804" t="str">
        <f>IF(ISERROR(AVERAGE(Q840,Z840,AI840,AR840,BA840,BJ840,BS840,CB840,CK840)),"",AVERAGE(Q840,Z840,AI840,AR840,BA840,BJ840,BS840,CB840,CK840))</f>
        <v/>
      </c>
      <c r="J841" s="806"/>
      <c r="K841" s="806"/>
      <c r="L841" s="295"/>
      <c r="M841" s="372"/>
      <c r="N841" s="245"/>
      <c r="O841" s="215"/>
      <c r="P841" s="215"/>
      <c r="Q841" s="710" t="str">
        <f>IF(Q840="","",Q840/Data!$X$1)</f>
        <v/>
      </c>
      <c r="R841" s="710"/>
      <c r="S841" s="711" t="str">
        <f>IF(SUM(X844:X855)=0,"",SUM(X844:X855))</f>
        <v/>
      </c>
      <c r="T841" s="216"/>
      <c r="U841" s="217"/>
      <c r="V841" s="217"/>
      <c r="W841" s="217"/>
      <c r="X841" s="217"/>
      <c r="Y841" s="215"/>
      <c r="Z841" s="710" t="str">
        <f>IF(Z840="","",Z840/Data!$X$1)</f>
        <v/>
      </c>
      <c r="AA841" s="710"/>
      <c r="AB841" s="711" t="str">
        <f>IF(SUM(AG844:AG855)=0,"",SUM(AG844:AG855))</f>
        <v/>
      </c>
      <c r="AC841" s="216"/>
      <c r="AD841" s="217"/>
      <c r="AE841" s="217"/>
      <c r="AF841" s="217"/>
      <c r="AG841" s="217"/>
      <c r="AH841" s="215"/>
      <c r="AI841" s="710" t="str">
        <f>IF(AI840="","",AI840/Data!$X$1)</f>
        <v/>
      </c>
      <c r="AJ841" s="710"/>
      <c r="AK841" s="711" t="str">
        <f>IF(SUM(AP844:AP855)=0,"",SUM(AP844:AP855))</f>
        <v/>
      </c>
      <c r="AL841" s="216"/>
      <c r="AM841" s="217"/>
      <c r="AN841" s="217"/>
      <c r="AO841" s="217"/>
      <c r="AP841" s="217"/>
      <c r="AQ841" s="215"/>
      <c r="AR841" s="710" t="str">
        <f>IF(AR840="","",AR840/Data!$X$1)</f>
        <v/>
      </c>
      <c r="AS841" s="710"/>
      <c r="AT841" s="711" t="str">
        <f>IF(SUM(AY844:AY855)=0,"",SUM(AY844:AY855))</f>
        <v/>
      </c>
      <c r="AU841" s="218"/>
      <c r="AV841" s="217"/>
      <c r="AW841" s="217"/>
      <c r="AX841" s="217"/>
      <c r="AY841" s="217"/>
      <c r="AZ841" s="219"/>
      <c r="BA841" s="710" t="str">
        <f>IF(BA840="","",BA840/Data!$X$1)</f>
        <v/>
      </c>
      <c r="BB841" s="710"/>
      <c r="BC841" s="711" t="str">
        <f>IF(SUM(BH844:BH855)=0,"",SUM(BH844:BH855))</f>
        <v/>
      </c>
      <c r="BD841" s="218"/>
      <c r="BE841" s="217"/>
      <c r="BF841" s="217"/>
      <c r="BG841" s="217"/>
      <c r="BH841" s="217"/>
      <c r="BI841" s="219"/>
      <c r="BJ841" s="710" t="str">
        <f>IF(BJ840="","",BJ840/Data!$X$1)</f>
        <v/>
      </c>
      <c r="BK841" s="710"/>
      <c r="BL841" s="711" t="str">
        <f>IF(SUM(BQ844:BQ855)=0,"",SUM(BQ844:BQ855))</f>
        <v/>
      </c>
      <c r="BM841" s="218"/>
      <c r="BN841" s="217"/>
      <c r="BO841" s="217"/>
      <c r="BP841" s="217"/>
      <c r="BQ841" s="217"/>
      <c r="BR841" s="220"/>
      <c r="BS841" s="710" t="str">
        <f>IF(BS840="","",BS840/Data!$X$1)</f>
        <v/>
      </c>
      <c r="BT841" s="710"/>
      <c r="BU841" s="711" t="str">
        <f>IF(SUM(BZ844:BZ855)=0,"",SUM(BZ844:BZ855))</f>
        <v/>
      </c>
      <c r="BV841" s="219"/>
      <c r="BW841" s="217"/>
      <c r="BX841" s="217"/>
      <c r="BY841" s="217"/>
      <c r="BZ841" s="217"/>
      <c r="CA841" s="220"/>
      <c r="CB841" s="710" t="str">
        <f>IF(CB840="","",CB840/Data!$X$1)</f>
        <v/>
      </c>
      <c r="CC841" s="710"/>
      <c r="CD841" s="711" t="str">
        <f>IF(SUM(CI844:CI855)=0,"",SUM(CI844:CI855))</f>
        <v/>
      </c>
      <c r="CE841" s="219"/>
      <c r="CF841" s="217"/>
      <c r="CG841" s="217"/>
      <c r="CH841" s="217"/>
      <c r="CI841" s="217"/>
      <c r="CJ841" s="217"/>
      <c r="CK841" s="710" t="str">
        <f>IF(CK840="","",CK840/Data!$X$1)</f>
        <v/>
      </c>
      <c r="CL841" s="710"/>
      <c r="CM841" s="711" t="str">
        <f>IF(SUM(CR844:CR855)=0,"",SUM(CR844:CR855))</f>
        <v/>
      </c>
      <c r="CN841" s="219"/>
      <c r="CO841" s="217"/>
      <c r="CP841" s="217"/>
      <c r="CQ841" s="217"/>
      <c r="CR841" s="217"/>
      <c r="CS841" s="217"/>
      <c r="CT841" s="217"/>
      <c r="CU841" s="296"/>
      <c r="CV841" s="246"/>
      <c r="CW841" s="255"/>
    </row>
    <row r="842" spans="1:101" ht="13.5" thickBot="1" x14ac:dyDescent="0.25">
      <c r="A842" s="256"/>
      <c r="B842" s="256"/>
      <c r="C842" s="209"/>
      <c r="D842" s="269">
        <f>D820+1</f>
        <v>39</v>
      </c>
      <c r="E842" s="402" t="str">
        <f>IF(E841="","Sett inn dato over her",TEXT(E841,"dddd"))</f>
        <v>Sett inn dato over her</v>
      </c>
      <c r="F842" s="221"/>
      <c r="G842" s="222"/>
      <c r="H842" s="222"/>
      <c r="I842" s="802"/>
      <c r="J842" s="807"/>
      <c r="K842" s="807"/>
      <c r="L842" s="297"/>
      <c r="M842" s="373"/>
      <c r="N842" s="377"/>
      <c r="O842" s="222"/>
      <c r="P842" s="222"/>
      <c r="Q842" s="385" t="str">
        <f>Data!$E$11</f>
        <v>AHH</v>
      </c>
      <c r="R842" s="386" t="str">
        <f>IF($F855="","",RANK(Q840,$Q840:$CL840))</f>
        <v/>
      </c>
      <c r="S842" s="510"/>
      <c r="T842" s="216">
        <v>0</v>
      </c>
      <c r="U842" s="217"/>
      <c r="V842" s="217"/>
      <c r="W842" s="217"/>
      <c r="X842" s="217"/>
      <c r="Y842" s="215"/>
      <c r="Z842" s="385" t="str">
        <f>Data!$E$12</f>
        <v>RB</v>
      </c>
      <c r="AA842" s="386" t="str">
        <f>IF($F855="","",RANK(Z840,$Q840:$CL840))</f>
        <v/>
      </c>
      <c r="AB842" s="510"/>
      <c r="AC842" s="216"/>
      <c r="AD842" s="217"/>
      <c r="AE842" s="217"/>
      <c r="AF842" s="217"/>
      <c r="AG842" s="217"/>
      <c r="AH842" s="215"/>
      <c r="AI842" s="385" t="str">
        <f>Data!$E$13</f>
        <v>EB</v>
      </c>
      <c r="AJ842" s="386" t="str">
        <f>IF($F855="","",RANK(AI840,$Q840:$CL840))</f>
        <v/>
      </c>
      <c r="AK842" s="510"/>
      <c r="AL842" s="216"/>
      <c r="AM842" s="217"/>
      <c r="AN842" s="217"/>
      <c r="AO842" s="217"/>
      <c r="AP842" s="217"/>
      <c r="AQ842" s="215"/>
      <c r="AR842" s="346" t="str">
        <f>Data!$E$14</f>
        <v>KAF</v>
      </c>
      <c r="AS842" s="386" t="str">
        <f>IF($F855="","",RANK(AR840,$Q840:$CL840))</f>
        <v/>
      </c>
      <c r="AT842" s="510"/>
      <c r="AU842" s="216"/>
      <c r="AV842" s="217"/>
      <c r="AW842" s="217"/>
      <c r="AX842" s="217"/>
      <c r="AY842" s="217"/>
      <c r="AZ842" s="215"/>
      <c r="BA842" s="346" t="str">
        <f>Data!$E$15</f>
        <v>ØG</v>
      </c>
      <c r="BB842" s="386" t="str">
        <f>IF($F855="","",RANK(BA840,$Q840:$CL840))</f>
        <v/>
      </c>
      <c r="BC842" s="510"/>
      <c r="BD842" s="216"/>
      <c r="BE842" s="217"/>
      <c r="BF842" s="217"/>
      <c r="BG842" s="217"/>
      <c r="BH842" s="217"/>
      <c r="BI842" s="215"/>
      <c r="BJ842" s="346" t="str">
        <f>Data!$E$16</f>
        <v>JH</v>
      </c>
      <c r="BK842" s="386" t="str">
        <f>IF($F855="","",RANK(BJ840,$Q840:$CL840))</f>
        <v/>
      </c>
      <c r="BL842" s="510"/>
      <c r="BM842" s="216"/>
      <c r="BN842" s="217"/>
      <c r="BO842" s="217"/>
      <c r="BP842" s="217"/>
      <c r="BQ842" s="217"/>
      <c r="BR842" s="223"/>
      <c r="BS842" s="346" t="str">
        <f>Data!$E$17</f>
        <v>TOH</v>
      </c>
      <c r="BT842" s="386" t="str">
        <f>IF($F855="","",RANK(BS840,$Q840:$CL840))</f>
        <v/>
      </c>
      <c r="BU842" s="510"/>
      <c r="BV842" s="215"/>
      <c r="BW842" s="217"/>
      <c r="BX842" s="217"/>
      <c r="BY842" s="217"/>
      <c r="BZ842" s="217"/>
      <c r="CA842" s="223"/>
      <c r="CB842" s="346" t="s">
        <v>26</v>
      </c>
      <c r="CC842" s="386" t="str">
        <f>IF($F855="","",RANK(CB840,$Q840:$CM840))</f>
        <v/>
      </c>
      <c r="CD842" s="511"/>
      <c r="CE842" s="215"/>
      <c r="CF842" s="217"/>
      <c r="CG842" s="217"/>
      <c r="CH842" s="217"/>
      <c r="CI842" s="217"/>
      <c r="CJ842" s="217"/>
      <c r="CK842" s="346" t="s">
        <v>27</v>
      </c>
      <c r="CL842" s="386" t="str">
        <f>IF($F855="","",RANK(CK840,$Q840:$CM840))</f>
        <v/>
      </c>
      <c r="CM842" s="798"/>
      <c r="CN842" s="215"/>
      <c r="CO842" s="217"/>
      <c r="CP842" s="217"/>
      <c r="CQ842" s="217"/>
      <c r="CR842" s="217"/>
      <c r="CS842" s="217"/>
      <c r="CT842" s="217"/>
      <c r="CU842" s="296"/>
      <c r="CV842" s="246"/>
      <c r="CW842" s="255"/>
    </row>
    <row r="843" spans="1:101" ht="13.5" thickBot="1" x14ac:dyDescent="0.25">
      <c r="A843" s="264"/>
      <c r="B843" s="264"/>
      <c r="C843" s="202"/>
      <c r="D843" s="270"/>
      <c r="E843" s="224"/>
      <c r="F843" s="225"/>
      <c r="G843" s="226"/>
      <c r="H843" s="226"/>
      <c r="I843" s="227" t="s">
        <v>45</v>
      </c>
      <c r="J843" s="228" t="s">
        <v>46</v>
      </c>
      <c r="K843" s="229" t="s">
        <v>47</v>
      </c>
      <c r="L843" s="298"/>
      <c r="M843" s="374"/>
      <c r="N843" s="378"/>
      <c r="O843" s="230"/>
      <c r="P843" s="230"/>
      <c r="Q843" s="227" t="s">
        <v>45</v>
      </c>
      <c r="R843" s="228" t="s">
        <v>46</v>
      </c>
      <c r="S843" s="229" t="s">
        <v>47</v>
      </c>
      <c r="T843" s="231"/>
      <c r="U843" s="232"/>
      <c r="V843" s="232"/>
      <c r="W843" s="232"/>
      <c r="X843" s="232"/>
      <c r="Y843" s="230"/>
      <c r="Z843" s="227" t="s">
        <v>45</v>
      </c>
      <c r="AA843" s="228" t="s">
        <v>46</v>
      </c>
      <c r="AB843" s="229" t="s">
        <v>47</v>
      </c>
      <c r="AC843" s="231"/>
      <c r="AD843" s="232"/>
      <c r="AE843" s="232"/>
      <c r="AF843" s="232"/>
      <c r="AG843" s="232"/>
      <c r="AH843" s="230"/>
      <c r="AI843" s="227" t="s">
        <v>45</v>
      </c>
      <c r="AJ843" s="228" t="s">
        <v>46</v>
      </c>
      <c r="AK843" s="229" t="s">
        <v>47</v>
      </c>
      <c r="AL843" s="231"/>
      <c r="AM843" s="232"/>
      <c r="AN843" s="232"/>
      <c r="AO843" s="232"/>
      <c r="AP843" s="232"/>
      <c r="AQ843" s="230"/>
      <c r="AR843" s="227" t="s">
        <v>45</v>
      </c>
      <c r="AS843" s="228" t="s">
        <v>46</v>
      </c>
      <c r="AT843" s="229" t="s">
        <v>47</v>
      </c>
      <c r="AU843" s="231"/>
      <c r="AV843" s="232"/>
      <c r="AW843" s="232"/>
      <c r="AX843" s="232"/>
      <c r="AY843" s="232"/>
      <c r="AZ843" s="230"/>
      <c r="BA843" s="227" t="s">
        <v>45</v>
      </c>
      <c r="BB843" s="228" t="s">
        <v>46</v>
      </c>
      <c r="BC843" s="229" t="s">
        <v>47</v>
      </c>
      <c r="BD843" s="231"/>
      <c r="BE843" s="232"/>
      <c r="BF843" s="232"/>
      <c r="BG843" s="232"/>
      <c r="BH843" s="232"/>
      <c r="BI843" s="230"/>
      <c r="BJ843" s="227" t="s">
        <v>45</v>
      </c>
      <c r="BK843" s="228" t="s">
        <v>46</v>
      </c>
      <c r="BL843" s="229" t="s">
        <v>47</v>
      </c>
      <c r="BM843" s="231"/>
      <c r="BN843" s="232"/>
      <c r="BO843" s="232"/>
      <c r="BP843" s="232"/>
      <c r="BQ843" s="232"/>
      <c r="BR843" s="230"/>
      <c r="BS843" s="227" t="s">
        <v>45</v>
      </c>
      <c r="BT843" s="228" t="s">
        <v>46</v>
      </c>
      <c r="BU843" s="229" t="s">
        <v>47</v>
      </c>
      <c r="BV843" s="231"/>
      <c r="BW843" s="232"/>
      <c r="BX843" s="232"/>
      <c r="BY843" s="232"/>
      <c r="BZ843" s="233"/>
      <c r="CA843" s="230"/>
      <c r="CB843" s="227" t="s">
        <v>45</v>
      </c>
      <c r="CC843" s="228" t="s">
        <v>46</v>
      </c>
      <c r="CD843" s="229" t="s">
        <v>47</v>
      </c>
      <c r="CE843" s="231"/>
      <c r="CF843" s="232"/>
      <c r="CG843" s="232"/>
      <c r="CH843" s="232"/>
      <c r="CI843" s="232"/>
      <c r="CJ843" s="232"/>
      <c r="CK843" s="227" t="s">
        <v>45</v>
      </c>
      <c r="CL843" s="228" t="s">
        <v>46</v>
      </c>
      <c r="CM843" s="229" t="s">
        <v>47</v>
      </c>
      <c r="CN843" s="231"/>
      <c r="CO843" s="232"/>
      <c r="CP843" s="232"/>
      <c r="CQ843" s="232"/>
      <c r="CR843" s="232"/>
      <c r="CS843" s="232"/>
      <c r="CT843" s="234"/>
      <c r="CU843" s="296"/>
      <c r="CV843" s="246"/>
      <c r="CW843" s="265"/>
    </row>
    <row r="844" spans="1:101" x14ac:dyDescent="0.2">
      <c r="A844" s="264"/>
      <c r="B844" s="264"/>
      <c r="C844" s="202"/>
      <c r="D844" s="271">
        <v>1</v>
      </c>
      <c r="E844" s="166"/>
      <c r="F844" s="468"/>
      <c r="G844" s="472" t="s">
        <v>49</v>
      </c>
      <c r="H844" s="473"/>
      <c r="I844" s="170" t="str">
        <f t="shared" ref="I844:I855" si="1900">IF($F844&gt;$H844,"x","")</f>
        <v/>
      </c>
      <c r="J844" s="387" t="str">
        <f t="shared" ref="J844:J855" si="1901">IF(F844&lt;&gt;"",IF(H844&lt;&gt;"",IF(F844=H844,"x",""),""),"")</f>
        <v/>
      </c>
      <c r="K844" s="388" t="str">
        <f t="shared" ref="K844:K855" si="1902">IF($F844&lt;$H844,"x","")</f>
        <v/>
      </c>
      <c r="L844" s="299"/>
      <c r="M844" s="375"/>
      <c r="N844" s="379"/>
      <c r="O844" s="236"/>
      <c r="P844" s="236"/>
      <c r="Q844" s="480"/>
      <c r="R844" s="481"/>
      <c r="S844" s="482" t="str">
        <f>IF(Q844="","",100-SUM(Q844:R844))</f>
        <v/>
      </c>
      <c r="T844" s="371"/>
      <c r="U844" s="232" t="str">
        <f t="shared" ref="U844:U855" si="1903">IF($I844="x",Q844,"")</f>
        <v/>
      </c>
      <c r="V844" s="232" t="str">
        <f t="shared" ref="V844:V855" si="1904">IF($J844="x",R844,"")</f>
        <v/>
      </c>
      <c r="W844" s="232" t="str">
        <f t="shared" ref="W844:W855" si="1905">IF($K844="x",S844,"")</f>
        <v/>
      </c>
      <c r="X844" s="232" t="str">
        <f>IF((MAX(U844,V844,W844))=0,"",IF((MAX(U844,V844,W844))=(MAX(Q844,R844,S844)),1,""))</f>
        <v/>
      </c>
      <c r="Y844" s="371"/>
      <c r="Z844" s="495"/>
      <c r="AA844" s="496"/>
      <c r="AB844" s="482" t="str">
        <f t="shared" ref="AB844:AB855" si="1906">IF(Z844="","",100-SUM(Z844:AA844))</f>
        <v/>
      </c>
      <c r="AC844" s="371"/>
      <c r="AD844" s="232" t="str">
        <f t="shared" ref="AD844:AD855" si="1907">IF($I844="x",Z844,"")</f>
        <v/>
      </c>
      <c r="AE844" s="232" t="str">
        <f t="shared" ref="AE844:AE855" si="1908">IF($J844="x",AA844,"")</f>
        <v/>
      </c>
      <c r="AF844" s="232" t="str">
        <f t="shared" ref="AF844:AF855" si="1909">IF($K844="x",AB844,"")</f>
        <v/>
      </c>
      <c r="AG844" s="232" t="str">
        <f>IF((MAX(AD844,AE844,AF844))=0,"",IF((MAX(AD844,AE844,AF844))=(MAX(Z844,AA844,AB844)),1,""))</f>
        <v/>
      </c>
      <c r="AH844" s="371"/>
      <c r="AI844" s="495"/>
      <c r="AJ844" s="496"/>
      <c r="AK844" s="482" t="str">
        <f t="shared" ref="AK844:AK855" si="1910">IF(AI844="","",100-SUM(AI844:AJ844))</f>
        <v/>
      </c>
      <c r="AL844" s="371"/>
      <c r="AM844" s="232" t="str">
        <f t="shared" ref="AM844:AM855" si="1911">IF($I844="x",AI844,"")</f>
        <v/>
      </c>
      <c r="AN844" s="232" t="str">
        <f t="shared" ref="AN844:AN855" si="1912">IF($J844="x",AJ844,"")</f>
        <v/>
      </c>
      <c r="AO844" s="232" t="str">
        <f t="shared" ref="AO844:AO855" si="1913">IF($K844="x",AK844,"")</f>
        <v/>
      </c>
      <c r="AP844" s="232" t="str">
        <f>IF((MAX(AM844,AN844,AO844))=0,"",IF((MAX(AM844,AN844,AO844))=(MAX(AI844,AJ844,AK844)),1,""))</f>
        <v/>
      </c>
      <c r="AQ844" s="371"/>
      <c r="AR844" s="495"/>
      <c r="AS844" s="496"/>
      <c r="AT844" s="482" t="str">
        <f t="shared" ref="AT844:AT855" si="1914">IF(AR844="","",100-SUM(AR844:AS844))</f>
        <v/>
      </c>
      <c r="AU844" s="371"/>
      <c r="AV844" s="232" t="str">
        <f t="shared" ref="AV844:AV855" si="1915">IF($I844="x",AR844,"")</f>
        <v/>
      </c>
      <c r="AW844" s="232" t="str">
        <f t="shared" ref="AW844:AW855" si="1916">IF($J844="x",AS844,"")</f>
        <v/>
      </c>
      <c r="AX844" s="232" t="str">
        <f t="shared" ref="AX844:AX855" si="1917">IF($K844="x",AT844,"")</f>
        <v/>
      </c>
      <c r="AY844" s="232" t="str">
        <f>IF((MAX(AV844,AW844,AX844))=0,"",IF((MAX(AV844,AW844,AX844))=(MAX(AR844,AS844,AT844)),1,""))</f>
        <v/>
      </c>
      <c r="AZ844" s="371"/>
      <c r="BA844" s="495"/>
      <c r="BB844" s="496"/>
      <c r="BC844" s="482" t="str">
        <f t="shared" ref="BC844:BC855" si="1918">IF(BA844="","",100-SUM(BA844:BB844))</f>
        <v/>
      </c>
      <c r="BD844" s="371"/>
      <c r="BE844" s="232" t="str">
        <f t="shared" ref="BE844:BE855" si="1919">IF($I844="x",BA844,"")</f>
        <v/>
      </c>
      <c r="BF844" s="232" t="str">
        <f t="shared" ref="BF844:BF855" si="1920">IF($J844="x",BB844,"")</f>
        <v/>
      </c>
      <c r="BG844" s="232" t="str">
        <f t="shared" ref="BG844:BG855" si="1921">IF($K844="x",BC844,"")</f>
        <v/>
      </c>
      <c r="BH844" s="232" t="str">
        <f>IF((MAX(BE844,BF844,BG844))=0,"",IF((MAX(BE844,BF844,BG844))=(MAX(BA844,BB844,BC844)),1,""))</f>
        <v/>
      </c>
      <c r="BI844" s="371"/>
      <c r="BJ844" s="495"/>
      <c r="BK844" s="496"/>
      <c r="BL844" s="482" t="str">
        <f t="shared" ref="BL844:BL855" si="1922">IF(BJ844="","",100-SUM(BJ844:BK844))</f>
        <v/>
      </c>
      <c r="BM844" s="371"/>
      <c r="BN844" s="232" t="str">
        <f t="shared" ref="BN844:BN855" si="1923">IF($I844="x",BJ844,"")</f>
        <v/>
      </c>
      <c r="BO844" s="232" t="str">
        <f t="shared" ref="BO844:BO855" si="1924">IF($J844="x",BK844,"")</f>
        <v/>
      </c>
      <c r="BP844" s="232" t="str">
        <f t="shared" ref="BP844:BP855" si="1925">IF($K844="x",BL844,"")</f>
        <v/>
      </c>
      <c r="BQ844" s="232" t="str">
        <f>IF((MAX(BN844,BO844,BP844))=0,"",IF((MAX(BN844,BO844,BP844))=(MAX(BJ844,BK844,BL844)),1,""))</f>
        <v/>
      </c>
      <c r="BR844" s="371"/>
      <c r="BS844" s="495"/>
      <c r="BT844" s="496"/>
      <c r="BU844" s="482" t="str">
        <f t="shared" ref="BU844:BU855" si="1926">IF(BS844="","",100-SUM(BS844:BT844))</f>
        <v/>
      </c>
      <c r="BV844" s="371"/>
      <c r="BW844" s="232" t="str">
        <f t="shared" ref="BW844:BW855" si="1927">IF($I844="x",BS844,"")</f>
        <v/>
      </c>
      <c r="BX844" s="232" t="str">
        <f t="shared" ref="BX844:BX855" si="1928">IF($J844="x",BT844,"")</f>
        <v/>
      </c>
      <c r="BY844" s="232" t="str">
        <f t="shared" ref="BY844:BY855" si="1929">IF($K844="x",BU844,"")</f>
        <v/>
      </c>
      <c r="BZ844" s="232" t="str">
        <f>IF((MAX(BW844,BX844,BY844))=0,"",IF((MAX(BW844,BX844,BY844))=(MAX(BS844,BT844,BU844)),1,""))</f>
        <v/>
      </c>
      <c r="CA844" s="371"/>
      <c r="CB844" s="501" t="str">
        <f t="shared" ref="CB844:CB855" si="1930">IFERROR(ROUNDUP((SUM(Q844,Z844,AI844,AR844,BA844,BJ844,BS844)/SUM($Q844:$S844,$Z844:$AB844,$AI844:$AK844,$AR844:$AT844,$BA844:$BC844,$BJ844:$BL844,$BS844:$BU844))*100,-1),"")</f>
        <v/>
      </c>
      <c r="CC844" s="502" t="str">
        <f t="shared" ref="CC844:CC855" si="1931">IFERROR(ROUNDDOWN((SUM(R844,AA844,AJ844,AS844,BB844,BK844,BT844)/SUM($Q844:$S844,$Z844:$AB844,$AI844:$AK844,$AR844:$AT844,$BA844:$BC844,$BJ844:$BL844,$BS844:$BU844))*100,-1),"")</f>
        <v/>
      </c>
      <c r="CD844" s="503" t="str">
        <f t="shared" ref="CD844:CD855" si="1932">IF(CB844="","",100-SUM(CB844:CC844))</f>
        <v/>
      </c>
      <c r="CE844" s="371"/>
      <c r="CF844" s="232" t="str">
        <f t="shared" ref="CF844:CF855" si="1933">IF($I844="x",CB844,"")</f>
        <v/>
      </c>
      <c r="CG844" s="232" t="str">
        <f t="shared" ref="CG844:CG855" si="1934">IF($J844="x",CC844,"")</f>
        <v/>
      </c>
      <c r="CH844" s="232" t="str">
        <f t="shared" ref="CH844:CH855" si="1935">IF($K844="x",CD844,"")</f>
        <v/>
      </c>
      <c r="CI844" s="232" t="str">
        <f>IF((MAX(CF844,CG844,CH844))=0,"",IF((MAX(CF844,CG844,CH844))=(MAX(CB844,CC844,CD844)),1,""))</f>
        <v/>
      </c>
      <c r="CJ844" s="232"/>
      <c r="CK844" s="495"/>
      <c r="CL844" s="496"/>
      <c r="CM844" s="482" t="str">
        <f t="shared" ref="CM844:CM855" si="1936">IF(CK844="","",100-SUM(CK844:CL844))</f>
        <v/>
      </c>
      <c r="CN844" s="371"/>
      <c r="CO844" s="232" t="str">
        <f t="shared" ref="CO844:CO855" si="1937">IF($I844="x",CK844,"")</f>
        <v/>
      </c>
      <c r="CP844" s="232" t="str">
        <f t="shared" ref="CP844:CP855" si="1938">IF($J844="x",CL844,"")</f>
        <v/>
      </c>
      <c r="CQ844" s="232" t="str">
        <f t="shared" ref="CQ844:CQ855" si="1939">IF($K844="x",CM844,"")</f>
        <v/>
      </c>
      <c r="CR844" s="232" t="str">
        <f>IF((MAX(CO844,CP844,CQ844))=0,"",IF((MAX(CO844,CP844,CQ844))=(MAX(CK844,CL844,CM844)),1,""))</f>
        <v/>
      </c>
      <c r="CS844" s="232"/>
      <c r="CT844" s="371"/>
      <c r="CU844" s="296"/>
      <c r="CV844" s="246"/>
      <c r="CW844" s="264"/>
    </row>
    <row r="845" spans="1:101" x14ac:dyDescent="0.2">
      <c r="A845" s="264"/>
      <c r="B845" s="264"/>
      <c r="C845" s="202"/>
      <c r="D845" s="271">
        <v>2</v>
      </c>
      <c r="E845" s="167"/>
      <c r="F845" s="469"/>
      <c r="G845" s="474" t="s">
        <v>49</v>
      </c>
      <c r="H845" s="475"/>
      <c r="I845" s="389" t="str">
        <f t="shared" si="1900"/>
        <v/>
      </c>
      <c r="J845" s="390" t="str">
        <f t="shared" si="1901"/>
        <v/>
      </c>
      <c r="K845" s="391" t="str">
        <f t="shared" si="1902"/>
        <v/>
      </c>
      <c r="L845" s="299"/>
      <c r="M845" s="375"/>
      <c r="N845" s="379"/>
      <c r="O845" s="236"/>
      <c r="P845" s="236"/>
      <c r="Q845" s="483"/>
      <c r="R845" s="484"/>
      <c r="S845" s="485" t="str">
        <f t="shared" ref="S845:S855" si="1940">IF(Q845="","",100-SUM(Q845:R845))</f>
        <v/>
      </c>
      <c r="T845" s="371"/>
      <c r="U845" s="232" t="str">
        <f t="shared" si="1903"/>
        <v/>
      </c>
      <c r="V845" s="232" t="str">
        <f t="shared" si="1904"/>
        <v/>
      </c>
      <c r="W845" s="232" t="str">
        <f t="shared" si="1905"/>
        <v/>
      </c>
      <c r="X845" s="232" t="str">
        <f t="shared" ref="X845:X855" si="1941">IF((MAX(U845,V845,W845))=0,"",IF((MAX(U845,V845,W845))=(MAX(Q845,R845,S845)),1,""))</f>
        <v/>
      </c>
      <c r="Y845" s="371"/>
      <c r="Z845" s="497"/>
      <c r="AA845" s="498"/>
      <c r="AB845" s="485" t="str">
        <f t="shared" si="1906"/>
        <v/>
      </c>
      <c r="AC845" s="371"/>
      <c r="AD845" s="232" t="str">
        <f t="shared" si="1907"/>
        <v/>
      </c>
      <c r="AE845" s="232" t="str">
        <f t="shared" si="1908"/>
        <v/>
      </c>
      <c r="AF845" s="232" t="str">
        <f t="shared" si="1909"/>
        <v/>
      </c>
      <c r="AG845" s="232" t="str">
        <f t="shared" ref="AG845:AG855" si="1942">IF((MAX(AD845,AE845,AF845))=0,"",IF((MAX(AD845,AE845,AF845))=(MAX(Z845,AA845,AB845)),1,""))</f>
        <v/>
      </c>
      <c r="AH845" s="371"/>
      <c r="AI845" s="497"/>
      <c r="AJ845" s="498"/>
      <c r="AK845" s="485" t="str">
        <f t="shared" si="1910"/>
        <v/>
      </c>
      <c r="AL845" s="371"/>
      <c r="AM845" s="232" t="str">
        <f t="shared" si="1911"/>
        <v/>
      </c>
      <c r="AN845" s="232" t="str">
        <f t="shared" si="1912"/>
        <v/>
      </c>
      <c r="AO845" s="232" t="str">
        <f t="shared" si="1913"/>
        <v/>
      </c>
      <c r="AP845" s="232" t="str">
        <f t="shared" ref="AP845:AP855" si="1943">IF((MAX(AM845,AN845,AO845))=0,"",IF((MAX(AM845,AN845,AO845))=(MAX(AI845,AJ845,AK845)),1,""))</f>
        <v/>
      </c>
      <c r="AQ845" s="371"/>
      <c r="AR845" s="497"/>
      <c r="AS845" s="498"/>
      <c r="AT845" s="485" t="str">
        <f t="shared" si="1914"/>
        <v/>
      </c>
      <c r="AU845" s="371"/>
      <c r="AV845" s="232" t="str">
        <f t="shared" si="1915"/>
        <v/>
      </c>
      <c r="AW845" s="232" t="str">
        <f t="shared" si="1916"/>
        <v/>
      </c>
      <c r="AX845" s="232" t="str">
        <f t="shared" si="1917"/>
        <v/>
      </c>
      <c r="AY845" s="232" t="str">
        <f t="shared" ref="AY845:AY855" si="1944">IF((MAX(AV845,AW845,AX845))=0,"",IF((MAX(AV845,AW845,AX845))=(MAX(AR845,AS845,AT845)),1,""))</f>
        <v/>
      </c>
      <c r="AZ845" s="371"/>
      <c r="BA845" s="497"/>
      <c r="BB845" s="498"/>
      <c r="BC845" s="485" t="str">
        <f t="shared" si="1918"/>
        <v/>
      </c>
      <c r="BD845" s="371"/>
      <c r="BE845" s="232" t="str">
        <f t="shared" si="1919"/>
        <v/>
      </c>
      <c r="BF845" s="232" t="str">
        <f t="shared" si="1920"/>
        <v/>
      </c>
      <c r="BG845" s="232" t="str">
        <f t="shared" si="1921"/>
        <v/>
      </c>
      <c r="BH845" s="232" t="str">
        <f t="shared" ref="BH845:BH855" si="1945">IF((MAX(BE845,BF845,BG845))=0,"",IF((MAX(BE845,BF845,BG845))=(MAX(BA845,BB845,BC845)),1,""))</f>
        <v/>
      </c>
      <c r="BI845" s="371"/>
      <c r="BJ845" s="497"/>
      <c r="BK845" s="498"/>
      <c r="BL845" s="485" t="str">
        <f t="shared" si="1922"/>
        <v/>
      </c>
      <c r="BM845" s="371"/>
      <c r="BN845" s="232" t="str">
        <f t="shared" si="1923"/>
        <v/>
      </c>
      <c r="BO845" s="232" t="str">
        <f t="shared" si="1924"/>
        <v/>
      </c>
      <c r="BP845" s="232" t="str">
        <f t="shared" si="1925"/>
        <v/>
      </c>
      <c r="BQ845" s="232" t="str">
        <f t="shared" ref="BQ845:BQ855" si="1946">IF((MAX(BN845,BO845,BP845))=0,"",IF((MAX(BN845,BO845,BP845))=(MAX(BJ845,BK845,BL845)),1,""))</f>
        <v/>
      </c>
      <c r="BR845" s="371"/>
      <c r="BS845" s="497"/>
      <c r="BT845" s="498"/>
      <c r="BU845" s="485" t="str">
        <f t="shared" si="1926"/>
        <v/>
      </c>
      <c r="BV845" s="371"/>
      <c r="BW845" s="232" t="str">
        <f t="shared" si="1927"/>
        <v/>
      </c>
      <c r="BX845" s="232" t="str">
        <f t="shared" si="1928"/>
        <v/>
      </c>
      <c r="BY845" s="232" t="str">
        <f t="shared" si="1929"/>
        <v/>
      </c>
      <c r="BZ845" s="232" t="str">
        <f t="shared" ref="BZ845:BZ855" si="1947">IF((MAX(BW845,BX845,BY845))=0,"",IF((MAX(BW845,BX845,BY845))=(MAX(BS845,BT845,BU845)),1,""))</f>
        <v/>
      </c>
      <c r="CA845" s="371"/>
      <c r="CB845" s="504" t="str">
        <f t="shared" si="1930"/>
        <v/>
      </c>
      <c r="CC845" s="505" t="str">
        <f t="shared" si="1931"/>
        <v/>
      </c>
      <c r="CD845" s="506" t="str">
        <f t="shared" si="1932"/>
        <v/>
      </c>
      <c r="CE845" s="371"/>
      <c r="CF845" s="232" t="str">
        <f t="shared" si="1933"/>
        <v/>
      </c>
      <c r="CG845" s="232" t="str">
        <f t="shared" si="1934"/>
        <v/>
      </c>
      <c r="CH845" s="232" t="str">
        <f t="shared" si="1935"/>
        <v/>
      </c>
      <c r="CI845" s="232" t="str">
        <f t="shared" ref="CI845:CI855" si="1948">IF((MAX(CF845,CG845,CH845))=0,"",IF((MAX(CF845,CG845,CH845))=(MAX(CB845,CC845,CD845)),1,""))</f>
        <v/>
      </c>
      <c r="CJ845" s="232"/>
      <c r="CK845" s="497"/>
      <c r="CL845" s="498"/>
      <c r="CM845" s="485" t="str">
        <f t="shared" si="1936"/>
        <v/>
      </c>
      <c r="CN845" s="371"/>
      <c r="CO845" s="232" t="str">
        <f t="shared" si="1937"/>
        <v/>
      </c>
      <c r="CP845" s="232" t="str">
        <f t="shared" si="1938"/>
        <v/>
      </c>
      <c r="CQ845" s="232" t="str">
        <f t="shared" si="1939"/>
        <v/>
      </c>
      <c r="CR845" s="232" t="str">
        <f t="shared" ref="CR845:CR855" si="1949">IF((MAX(CO845,CP845,CQ845))=0,"",IF((MAX(CO845,CP845,CQ845))=(MAX(CK845,CL845,CM845)),1,""))</f>
        <v/>
      </c>
      <c r="CS845" s="232"/>
      <c r="CT845" s="371"/>
      <c r="CU845" s="296"/>
      <c r="CV845" s="246"/>
      <c r="CW845" s="264"/>
    </row>
    <row r="846" spans="1:101" ht="13.5" thickBot="1" x14ac:dyDescent="0.25">
      <c r="A846" s="264"/>
      <c r="B846" s="264"/>
      <c r="C846" s="202"/>
      <c r="D846" s="271">
        <v>3</v>
      </c>
      <c r="E846" s="168"/>
      <c r="F846" s="470"/>
      <c r="G846" s="476" t="s">
        <v>49</v>
      </c>
      <c r="H846" s="477"/>
      <c r="I846" s="392" t="str">
        <f t="shared" si="1900"/>
        <v/>
      </c>
      <c r="J846" s="393" t="str">
        <f t="shared" si="1901"/>
        <v/>
      </c>
      <c r="K846" s="394" t="str">
        <f t="shared" si="1902"/>
        <v/>
      </c>
      <c r="L846" s="299"/>
      <c r="M846" s="375"/>
      <c r="N846" s="379"/>
      <c r="O846" s="236"/>
      <c r="P846" s="236"/>
      <c r="Q846" s="486"/>
      <c r="R846" s="487"/>
      <c r="S846" s="488" t="str">
        <f t="shared" si="1940"/>
        <v/>
      </c>
      <c r="T846" s="371"/>
      <c r="U846" s="232" t="str">
        <f t="shared" si="1903"/>
        <v/>
      </c>
      <c r="V846" s="232" t="str">
        <f t="shared" si="1904"/>
        <v/>
      </c>
      <c r="W846" s="232" t="str">
        <f t="shared" si="1905"/>
        <v/>
      </c>
      <c r="X846" s="232" t="str">
        <f t="shared" si="1941"/>
        <v/>
      </c>
      <c r="Y846" s="371"/>
      <c r="Z846" s="499"/>
      <c r="AA846" s="500"/>
      <c r="AB846" s="488" t="str">
        <f t="shared" si="1906"/>
        <v/>
      </c>
      <c r="AC846" s="371"/>
      <c r="AD846" s="232" t="str">
        <f t="shared" si="1907"/>
        <v/>
      </c>
      <c r="AE846" s="232" t="str">
        <f t="shared" si="1908"/>
        <v/>
      </c>
      <c r="AF846" s="232" t="str">
        <f t="shared" si="1909"/>
        <v/>
      </c>
      <c r="AG846" s="232" t="str">
        <f t="shared" si="1942"/>
        <v/>
      </c>
      <c r="AH846" s="371"/>
      <c r="AI846" s="499"/>
      <c r="AJ846" s="500"/>
      <c r="AK846" s="488" t="str">
        <f t="shared" si="1910"/>
        <v/>
      </c>
      <c r="AL846" s="371"/>
      <c r="AM846" s="232" t="str">
        <f t="shared" si="1911"/>
        <v/>
      </c>
      <c r="AN846" s="232" t="str">
        <f t="shared" si="1912"/>
        <v/>
      </c>
      <c r="AO846" s="232" t="str">
        <f t="shared" si="1913"/>
        <v/>
      </c>
      <c r="AP846" s="232" t="str">
        <f t="shared" si="1943"/>
        <v/>
      </c>
      <c r="AQ846" s="371"/>
      <c r="AR846" s="499"/>
      <c r="AS846" s="500"/>
      <c r="AT846" s="488" t="str">
        <f t="shared" si="1914"/>
        <v/>
      </c>
      <c r="AU846" s="371"/>
      <c r="AV846" s="232" t="str">
        <f t="shared" si="1915"/>
        <v/>
      </c>
      <c r="AW846" s="232" t="str">
        <f t="shared" si="1916"/>
        <v/>
      </c>
      <c r="AX846" s="232" t="str">
        <f t="shared" si="1917"/>
        <v/>
      </c>
      <c r="AY846" s="232" t="str">
        <f t="shared" si="1944"/>
        <v/>
      </c>
      <c r="AZ846" s="371"/>
      <c r="BA846" s="499"/>
      <c r="BB846" s="500"/>
      <c r="BC846" s="488" t="str">
        <f t="shared" si="1918"/>
        <v/>
      </c>
      <c r="BD846" s="371"/>
      <c r="BE846" s="232" t="str">
        <f t="shared" si="1919"/>
        <v/>
      </c>
      <c r="BF846" s="232" t="str">
        <f t="shared" si="1920"/>
        <v/>
      </c>
      <c r="BG846" s="232" t="str">
        <f t="shared" si="1921"/>
        <v/>
      </c>
      <c r="BH846" s="232" t="str">
        <f t="shared" si="1945"/>
        <v/>
      </c>
      <c r="BI846" s="371"/>
      <c r="BJ846" s="499"/>
      <c r="BK846" s="500"/>
      <c r="BL846" s="488" t="str">
        <f t="shared" si="1922"/>
        <v/>
      </c>
      <c r="BM846" s="371"/>
      <c r="BN846" s="232" t="str">
        <f t="shared" si="1923"/>
        <v/>
      </c>
      <c r="BO846" s="232" t="str">
        <f t="shared" si="1924"/>
        <v/>
      </c>
      <c r="BP846" s="232" t="str">
        <f t="shared" si="1925"/>
        <v/>
      </c>
      <c r="BQ846" s="232" t="str">
        <f t="shared" si="1946"/>
        <v/>
      </c>
      <c r="BR846" s="371"/>
      <c r="BS846" s="499"/>
      <c r="BT846" s="500"/>
      <c r="BU846" s="488" t="str">
        <f t="shared" si="1926"/>
        <v/>
      </c>
      <c r="BV846" s="371"/>
      <c r="BW846" s="232" t="str">
        <f t="shared" si="1927"/>
        <v/>
      </c>
      <c r="BX846" s="232" t="str">
        <f t="shared" si="1928"/>
        <v/>
      </c>
      <c r="BY846" s="232" t="str">
        <f t="shared" si="1929"/>
        <v/>
      </c>
      <c r="BZ846" s="232" t="str">
        <f t="shared" si="1947"/>
        <v/>
      </c>
      <c r="CA846" s="371"/>
      <c r="CB846" s="507" t="str">
        <f t="shared" si="1930"/>
        <v/>
      </c>
      <c r="CC846" s="508" t="str">
        <f t="shared" si="1931"/>
        <v/>
      </c>
      <c r="CD846" s="509" t="str">
        <f t="shared" si="1932"/>
        <v/>
      </c>
      <c r="CE846" s="371"/>
      <c r="CF846" s="232" t="str">
        <f t="shared" si="1933"/>
        <v/>
      </c>
      <c r="CG846" s="232" t="str">
        <f t="shared" si="1934"/>
        <v/>
      </c>
      <c r="CH846" s="232" t="str">
        <f t="shared" si="1935"/>
        <v/>
      </c>
      <c r="CI846" s="232" t="str">
        <f t="shared" si="1948"/>
        <v/>
      </c>
      <c r="CJ846" s="232"/>
      <c r="CK846" s="499"/>
      <c r="CL846" s="500"/>
      <c r="CM846" s="488" t="str">
        <f t="shared" si="1936"/>
        <v/>
      </c>
      <c r="CN846" s="371"/>
      <c r="CO846" s="232" t="str">
        <f t="shared" si="1937"/>
        <v/>
      </c>
      <c r="CP846" s="232" t="str">
        <f t="shared" si="1938"/>
        <v/>
      </c>
      <c r="CQ846" s="232" t="str">
        <f t="shared" si="1939"/>
        <v/>
      </c>
      <c r="CR846" s="232" t="str">
        <f t="shared" si="1949"/>
        <v/>
      </c>
      <c r="CS846" s="232"/>
      <c r="CT846" s="371"/>
      <c r="CU846" s="296"/>
      <c r="CV846" s="246"/>
      <c r="CW846" s="264"/>
    </row>
    <row r="847" spans="1:101" x14ac:dyDescent="0.2">
      <c r="A847" s="264"/>
      <c r="B847" s="264"/>
      <c r="C847" s="202"/>
      <c r="D847" s="271">
        <v>4</v>
      </c>
      <c r="E847" s="166"/>
      <c r="F847" s="468"/>
      <c r="G847" s="472" t="s">
        <v>49</v>
      </c>
      <c r="H847" s="473"/>
      <c r="I847" s="170" t="str">
        <f t="shared" si="1900"/>
        <v/>
      </c>
      <c r="J847" s="387" t="str">
        <f t="shared" si="1901"/>
        <v/>
      </c>
      <c r="K847" s="388" t="str">
        <f t="shared" si="1902"/>
        <v/>
      </c>
      <c r="L847" s="299"/>
      <c r="M847" s="375"/>
      <c r="N847" s="379"/>
      <c r="O847" s="236"/>
      <c r="P847" s="236"/>
      <c r="Q847" s="480"/>
      <c r="R847" s="481"/>
      <c r="S847" s="482" t="str">
        <f t="shared" si="1940"/>
        <v/>
      </c>
      <c r="T847" s="371"/>
      <c r="U847" s="232" t="str">
        <f t="shared" si="1903"/>
        <v/>
      </c>
      <c r="V847" s="232" t="str">
        <f t="shared" si="1904"/>
        <v/>
      </c>
      <c r="W847" s="232" t="str">
        <f t="shared" si="1905"/>
        <v/>
      </c>
      <c r="X847" s="232" t="str">
        <f t="shared" si="1941"/>
        <v/>
      </c>
      <c r="Y847" s="371"/>
      <c r="Z847" s="495"/>
      <c r="AA847" s="496"/>
      <c r="AB847" s="482" t="str">
        <f t="shared" si="1906"/>
        <v/>
      </c>
      <c r="AC847" s="371"/>
      <c r="AD847" s="232" t="str">
        <f t="shared" si="1907"/>
        <v/>
      </c>
      <c r="AE847" s="232" t="str">
        <f t="shared" si="1908"/>
        <v/>
      </c>
      <c r="AF847" s="232" t="str">
        <f t="shared" si="1909"/>
        <v/>
      </c>
      <c r="AG847" s="232" t="str">
        <f t="shared" si="1942"/>
        <v/>
      </c>
      <c r="AH847" s="371"/>
      <c r="AI847" s="495"/>
      <c r="AJ847" s="496"/>
      <c r="AK847" s="482" t="str">
        <f t="shared" si="1910"/>
        <v/>
      </c>
      <c r="AL847" s="371"/>
      <c r="AM847" s="232" t="str">
        <f t="shared" si="1911"/>
        <v/>
      </c>
      <c r="AN847" s="232" t="str">
        <f t="shared" si="1912"/>
        <v/>
      </c>
      <c r="AO847" s="232" t="str">
        <f t="shared" si="1913"/>
        <v/>
      </c>
      <c r="AP847" s="232" t="str">
        <f t="shared" si="1943"/>
        <v/>
      </c>
      <c r="AQ847" s="371"/>
      <c r="AR847" s="495"/>
      <c r="AS847" s="496"/>
      <c r="AT847" s="482" t="str">
        <f t="shared" si="1914"/>
        <v/>
      </c>
      <c r="AU847" s="371"/>
      <c r="AV847" s="232" t="str">
        <f t="shared" si="1915"/>
        <v/>
      </c>
      <c r="AW847" s="232" t="str">
        <f t="shared" si="1916"/>
        <v/>
      </c>
      <c r="AX847" s="232" t="str">
        <f t="shared" si="1917"/>
        <v/>
      </c>
      <c r="AY847" s="232" t="str">
        <f t="shared" si="1944"/>
        <v/>
      </c>
      <c r="AZ847" s="371"/>
      <c r="BA847" s="495"/>
      <c r="BB847" s="496"/>
      <c r="BC847" s="482" t="str">
        <f t="shared" si="1918"/>
        <v/>
      </c>
      <c r="BD847" s="371"/>
      <c r="BE847" s="232" t="str">
        <f t="shared" si="1919"/>
        <v/>
      </c>
      <c r="BF847" s="232" t="str">
        <f t="shared" si="1920"/>
        <v/>
      </c>
      <c r="BG847" s="232" t="str">
        <f t="shared" si="1921"/>
        <v/>
      </c>
      <c r="BH847" s="232" t="str">
        <f t="shared" si="1945"/>
        <v/>
      </c>
      <c r="BI847" s="371"/>
      <c r="BJ847" s="495"/>
      <c r="BK847" s="496"/>
      <c r="BL847" s="482" t="str">
        <f t="shared" si="1922"/>
        <v/>
      </c>
      <c r="BM847" s="371"/>
      <c r="BN847" s="232" t="str">
        <f t="shared" si="1923"/>
        <v/>
      </c>
      <c r="BO847" s="232" t="str">
        <f t="shared" si="1924"/>
        <v/>
      </c>
      <c r="BP847" s="232" t="str">
        <f t="shared" si="1925"/>
        <v/>
      </c>
      <c r="BQ847" s="232" t="str">
        <f t="shared" si="1946"/>
        <v/>
      </c>
      <c r="BR847" s="371"/>
      <c r="BS847" s="495"/>
      <c r="BT847" s="496"/>
      <c r="BU847" s="482" t="str">
        <f t="shared" si="1926"/>
        <v/>
      </c>
      <c r="BV847" s="371"/>
      <c r="BW847" s="232" t="str">
        <f t="shared" si="1927"/>
        <v/>
      </c>
      <c r="BX847" s="232" t="str">
        <f t="shared" si="1928"/>
        <v/>
      </c>
      <c r="BY847" s="232" t="str">
        <f t="shared" si="1929"/>
        <v/>
      </c>
      <c r="BZ847" s="232" t="str">
        <f t="shared" si="1947"/>
        <v/>
      </c>
      <c r="CA847" s="371"/>
      <c r="CB847" s="501" t="str">
        <f t="shared" si="1930"/>
        <v/>
      </c>
      <c r="CC847" s="502" t="str">
        <f t="shared" si="1931"/>
        <v/>
      </c>
      <c r="CD847" s="503" t="str">
        <f t="shared" si="1932"/>
        <v/>
      </c>
      <c r="CE847" s="371"/>
      <c r="CF847" s="232" t="str">
        <f t="shared" si="1933"/>
        <v/>
      </c>
      <c r="CG847" s="232" t="str">
        <f t="shared" si="1934"/>
        <v/>
      </c>
      <c r="CH847" s="232" t="str">
        <f t="shared" si="1935"/>
        <v/>
      </c>
      <c r="CI847" s="232" t="str">
        <f t="shared" si="1948"/>
        <v/>
      </c>
      <c r="CJ847" s="232"/>
      <c r="CK847" s="495"/>
      <c r="CL847" s="496"/>
      <c r="CM847" s="482" t="str">
        <f t="shared" si="1936"/>
        <v/>
      </c>
      <c r="CN847" s="371"/>
      <c r="CO847" s="232" t="str">
        <f t="shared" si="1937"/>
        <v/>
      </c>
      <c r="CP847" s="232" t="str">
        <f t="shared" si="1938"/>
        <v/>
      </c>
      <c r="CQ847" s="232" t="str">
        <f t="shared" si="1939"/>
        <v/>
      </c>
      <c r="CR847" s="232" t="str">
        <f t="shared" si="1949"/>
        <v/>
      </c>
      <c r="CS847" s="232"/>
      <c r="CT847" s="371"/>
      <c r="CU847" s="296"/>
      <c r="CV847" s="246"/>
      <c r="CW847" s="264"/>
    </row>
    <row r="848" spans="1:101" x14ac:dyDescent="0.2">
      <c r="A848" s="264"/>
      <c r="B848" s="264"/>
      <c r="C848" s="202"/>
      <c r="D848" s="271">
        <v>5</v>
      </c>
      <c r="E848" s="167"/>
      <c r="F848" s="469"/>
      <c r="G848" s="474" t="s">
        <v>49</v>
      </c>
      <c r="H848" s="475"/>
      <c r="I848" s="389" t="str">
        <f t="shared" si="1900"/>
        <v/>
      </c>
      <c r="J848" s="390" t="str">
        <f t="shared" si="1901"/>
        <v/>
      </c>
      <c r="K848" s="391" t="str">
        <f t="shared" si="1902"/>
        <v/>
      </c>
      <c r="L848" s="299"/>
      <c r="M848" s="375"/>
      <c r="N848" s="379"/>
      <c r="O848" s="236"/>
      <c r="P848" s="236"/>
      <c r="Q848" s="483"/>
      <c r="R848" s="484"/>
      <c r="S848" s="485" t="str">
        <f t="shared" si="1940"/>
        <v/>
      </c>
      <c r="T848" s="371"/>
      <c r="U848" s="232" t="str">
        <f t="shared" si="1903"/>
        <v/>
      </c>
      <c r="V848" s="232" t="str">
        <f t="shared" si="1904"/>
        <v/>
      </c>
      <c r="W848" s="232" t="str">
        <f t="shared" si="1905"/>
        <v/>
      </c>
      <c r="X848" s="232" t="str">
        <f t="shared" si="1941"/>
        <v/>
      </c>
      <c r="Y848" s="371"/>
      <c r="Z848" s="497"/>
      <c r="AA848" s="498"/>
      <c r="AB848" s="485" t="str">
        <f t="shared" si="1906"/>
        <v/>
      </c>
      <c r="AC848" s="371"/>
      <c r="AD848" s="232" t="str">
        <f t="shared" si="1907"/>
        <v/>
      </c>
      <c r="AE848" s="232" t="str">
        <f t="shared" si="1908"/>
        <v/>
      </c>
      <c r="AF848" s="232" t="str">
        <f t="shared" si="1909"/>
        <v/>
      </c>
      <c r="AG848" s="232" t="str">
        <f t="shared" si="1942"/>
        <v/>
      </c>
      <c r="AH848" s="371"/>
      <c r="AI848" s="497"/>
      <c r="AJ848" s="498"/>
      <c r="AK848" s="485" t="str">
        <f t="shared" si="1910"/>
        <v/>
      </c>
      <c r="AL848" s="371"/>
      <c r="AM848" s="232" t="str">
        <f t="shared" si="1911"/>
        <v/>
      </c>
      <c r="AN848" s="232" t="str">
        <f t="shared" si="1912"/>
        <v/>
      </c>
      <c r="AO848" s="232" t="str">
        <f t="shared" si="1913"/>
        <v/>
      </c>
      <c r="AP848" s="232" t="str">
        <f t="shared" si="1943"/>
        <v/>
      </c>
      <c r="AQ848" s="371"/>
      <c r="AR848" s="497"/>
      <c r="AS848" s="498"/>
      <c r="AT848" s="485" t="str">
        <f t="shared" si="1914"/>
        <v/>
      </c>
      <c r="AU848" s="371"/>
      <c r="AV848" s="232" t="str">
        <f t="shared" si="1915"/>
        <v/>
      </c>
      <c r="AW848" s="232" t="str">
        <f t="shared" si="1916"/>
        <v/>
      </c>
      <c r="AX848" s="232" t="str">
        <f t="shared" si="1917"/>
        <v/>
      </c>
      <c r="AY848" s="232" t="str">
        <f t="shared" si="1944"/>
        <v/>
      </c>
      <c r="AZ848" s="371"/>
      <c r="BA848" s="497"/>
      <c r="BB848" s="498"/>
      <c r="BC848" s="485" t="str">
        <f t="shared" si="1918"/>
        <v/>
      </c>
      <c r="BD848" s="371"/>
      <c r="BE848" s="232" t="str">
        <f t="shared" si="1919"/>
        <v/>
      </c>
      <c r="BF848" s="232" t="str">
        <f t="shared" si="1920"/>
        <v/>
      </c>
      <c r="BG848" s="232" t="str">
        <f t="shared" si="1921"/>
        <v/>
      </c>
      <c r="BH848" s="232" t="str">
        <f t="shared" si="1945"/>
        <v/>
      </c>
      <c r="BI848" s="371"/>
      <c r="BJ848" s="497"/>
      <c r="BK848" s="498"/>
      <c r="BL848" s="485" t="str">
        <f t="shared" si="1922"/>
        <v/>
      </c>
      <c r="BM848" s="371"/>
      <c r="BN848" s="232" t="str">
        <f t="shared" si="1923"/>
        <v/>
      </c>
      <c r="BO848" s="232" t="str">
        <f t="shared" si="1924"/>
        <v/>
      </c>
      <c r="BP848" s="232" t="str">
        <f t="shared" si="1925"/>
        <v/>
      </c>
      <c r="BQ848" s="232" t="str">
        <f t="shared" si="1946"/>
        <v/>
      </c>
      <c r="BR848" s="371"/>
      <c r="BS848" s="497"/>
      <c r="BT848" s="498"/>
      <c r="BU848" s="485" t="str">
        <f t="shared" si="1926"/>
        <v/>
      </c>
      <c r="BV848" s="371"/>
      <c r="BW848" s="232" t="str">
        <f t="shared" si="1927"/>
        <v/>
      </c>
      <c r="BX848" s="232" t="str">
        <f t="shared" si="1928"/>
        <v/>
      </c>
      <c r="BY848" s="232" t="str">
        <f t="shared" si="1929"/>
        <v/>
      </c>
      <c r="BZ848" s="232" t="str">
        <f t="shared" si="1947"/>
        <v/>
      </c>
      <c r="CA848" s="371"/>
      <c r="CB848" s="504" t="str">
        <f t="shared" si="1930"/>
        <v/>
      </c>
      <c r="CC848" s="505" t="str">
        <f t="shared" si="1931"/>
        <v/>
      </c>
      <c r="CD848" s="506" t="str">
        <f t="shared" si="1932"/>
        <v/>
      </c>
      <c r="CE848" s="371"/>
      <c r="CF848" s="232" t="str">
        <f t="shared" si="1933"/>
        <v/>
      </c>
      <c r="CG848" s="232" t="str">
        <f t="shared" si="1934"/>
        <v/>
      </c>
      <c r="CH848" s="232" t="str">
        <f t="shared" si="1935"/>
        <v/>
      </c>
      <c r="CI848" s="232" t="str">
        <f t="shared" si="1948"/>
        <v/>
      </c>
      <c r="CJ848" s="232"/>
      <c r="CK848" s="497"/>
      <c r="CL848" s="498"/>
      <c r="CM848" s="485" t="str">
        <f t="shared" si="1936"/>
        <v/>
      </c>
      <c r="CN848" s="371"/>
      <c r="CO848" s="232" t="str">
        <f t="shared" si="1937"/>
        <v/>
      </c>
      <c r="CP848" s="232" t="str">
        <f t="shared" si="1938"/>
        <v/>
      </c>
      <c r="CQ848" s="232" t="str">
        <f t="shared" si="1939"/>
        <v/>
      </c>
      <c r="CR848" s="232" t="str">
        <f t="shared" si="1949"/>
        <v/>
      </c>
      <c r="CS848" s="232"/>
      <c r="CT848" s="371"/>
      <c r="CU848" s="296"/>
      <c r="CV848" s="246"/>
      <c r="CW848" s="264"/>
    </row>
    <row r="849" spans="1:101" ht="13.5" thickBot="1" x14ac:dyDescent="0.25">
      <c r="A849" s="264"/>
      <c r="B849" s="264"/>
      <c r="C849" s="202"/>
      <c r="D849" s="271">
        <v>6</v>
      </c>
      <c r="E849" s="168"/>
      <c r="F849" s="470"/>
      <c r="G849" s="476" t="s">
        <v>49</v>
      </c>
      <c r="H849" s="477"/>
      <c r="I849" s="392" t="str">
        <f t="shared" si="1900"/>
        <v/>
      </c>
      <c r="J849" s="393" t="str">
        <f t="shared" si="1901"/>
        <v/>
      </c>
      <c r="K849" s="394" t="str">
        <f t="shared" si="1902"/>
        <v/>
      </c>
      <c r="L849" s="299"/>
      <c r="M849" s="375"/>
      <c r="N849" s="379"/>
      <c r="O849" s="236"/>
      <c r="P849" s="236"/>
      <c r="Q849" s="489"/>
      <c r="R849" s="490"/>
      <c r="S849" s="491" t="str">
        <f t="shared" si="1940"/>
        <v/>
      </c>
      <c r="T849" s="371"/>
      <c r="U849" s="232" t="str">
        <f t="shared" si="1903"/>
        <v/>
      </c>
      <c r="V849" s="232" t="str">
        <f t="shared" si="1904"/>
        <v/>
      </c>
      <c r="W849" s="232" t="str">
        <f t="shared" si="1905"/>
        <v/>
      </c>
      <c r="X849" s="232" t="str">
        <f t="shared" si="1941"/>
        <v/>
      </c>
      <c r="Y849" s="371"/>
      <c r="Z849" s="499"/>
      <c r="AA849" s="500"/>
      <c r="AB849" s="491" t="str">
        <f t="shared" si="1906"/>
        <v/>
      </c>
      <c r="AC849" s="371"/>
      <c r="AD849" s="232" t="str">
        <f t="shared" si="1907"/>
        <v/>
      </c>
      <c r="AE849" s="232" t="str">
        <f t="shared" si="1908"/>
        <v/>
      </c>
      <c r="AF849" s="232" t="str">
        <f t="shared" si="1909"/>
        <v/>
      </c>
      <c r="AG849" s="232" t="str">
        <f t="shared" si="1942"/>
        <v/>
      </c>
      <c r="AH849" s="371"/>
      <c r="AI849" s="499"/>
      <c r="AJ849" s="500"/>
      <c r="AK849" s="491" t="str">
        <f t="shared" si="1910"/>
        <v/>
      </c>
      <c r="AL849" s="371"/>
      <c r="AM849" s="232" t="str">
        <f t="shared" si="1911"/>
        <v/>
      </c>
      <c r="AN849" s="232" t="str">
        <f t="shared" si="1912"/>
        <v/>
      </c>
      <c r="AO849" s="232" t="str">
        <f t="shared" si="1913"/>
        <v/>
      </c>
      <c r="AP849" s="232" t="str">
        <f t="shared" si="1943"/>
        <v/>
      </c>
      <c r="AQ849" s="371"/>
      <c r="AR849" s="499"/>
      <c r="AS849" s="500"/>
      <c r="AT849" s="491" t="str">
        <f t="shared" si="1914"/>
        <v/>
      </c>
      <c r="AU849" s="371"/>
      <c r="AV849" s="232" t="str">
        <f t="shared" si="1915"/>
        <v/>
      </c>
      <c r="AW849" s="232" t="str">
        <f t="shared" si="1916"/>
        <v/>
      </c>
      <c r="AX849" s="232" t="str">
        <f t="shared" si="1917"/>
        <v/>
      </c>
      <c r="AY849" s="232" t="str">
        <f t="shared" si="1944"/>
        <v/>
      </c>
      <c r="AZ849" s="371"/>
      <c r="BA849" s="499"/>
      <c r="BB849" s="500"/>
      <c r="BC849" s="491" t="str">
        <f t="shared" si="1918"/>
        <v/>
      </c>
      <c r="BD849" s="371"/>
      <c r="BE849" s="232" t="str">
        <f t="shared" si="1919"/>
        <v/>
      </c>
      <c r="BF849" s="232" t="str">
        <f t="shared" si="1920"/>
        <v/>
      </c>
      <c r="BG849" s="232" t="str">
        <f t="shared" si="1921"/>
        <v/>
      </c>
      <c r="BH849" s="232" t="str">
        <f t="shared" si="1945"/>
        <v/>
      </c>
      <c r="BI849" s="371"/>
      <c r="BJ849" s="499"/>
      <c r="BK849" s="500"/>
      <c r="BL849" s="491" t="str">
        <f t="shared" si="1922"/>
        <v/>
      </c>
      <c r="BM849" s="371"/>
      <c r="BN849" s="232" t="str">
        <f t="shared" si="1923"/>
        <v/>
      </c>
      <c r="BO849" s="232" t="str">
        <f t="shared" si="1924"/>
        <v/>
      </c>
      <c r="BP849" s="232" t="str">
        <f t="shared" si="1925"/>
        <v/>
      </c>
      <c r="BQ849" s="232" t="str">
        <f t="shared" si="1946"/>
        <v/>
      </c>
      <c r="BR849" s="371"/>
      <c r="BS849" s="499"/>
      <c r="BT849" s="500"/>
      <c r="BU849" s="491" t="str">
        <f t="shared" si="1926"/>
        <v/>
      </c>
      <c r="BV849" s="371"/>
      <c r="BW849" s="232" t="str">
        <f t="shared" si="1927"/>
        <v/>
      </c>
      <c r="BX849" s="232" t="str">
        <f t="shared" si="1928"/>
        <v/>
      </c>
      <c r="BY849" s="232" t="str">
        <f t="shared" si="1929"/>
        <v/>
      </c>
      <c r="BZ849" s="232" t="str">
        <f t="shared" si="1947"/>
        <v/>
      </c>
      <c r="CA849" s="371"/>
      <c r="CB849" s="507" t="str">
        <f t="shared" si="1930"/>
        <v/>
      </c>
      <c r="CC849" s="508" t="str">
        <f t="shared" si="1931"/>
        <v/>
      </c>
      <c r="CD849" s="509" t="str">
        <f t="shared" si="1932"/>
        <v/>
      </c>
      <c r="CE849" s="371"/>
      <c r="CF849" s="232" t="str">
        <f t="shared" si="1933"/>
        <v/>
      </c>
      <c r="CG849" s="232" t="str">
        <f t="shared" si="1934"/>
        <v/>
      </c>
      <c r="CH849" s="232" t="str">
        <f t="shared" si="1935"/>
        <v/>
      </c>
      <c r="CI849" s="232" t="str">
        <f t="shared" si="1948"/>
        <v/>
      </c>
      <c r="CJ849" s="232"/>
      <c r="CK849" s="499"/>
      <c r="CL849" s="500"/>
      <c r="CM849" s="491" t="str">
        <f t="shared" si="1936"/>
        <v/>
      </c>
      <c r="CN849" s="371"/>
      <c r="CO849" s="232" t="str">
        <f t="shared" si="1937"/>
        <v/>
      </c>
      <c r="CP849" s="232" t="str">
        <f t="shared" si="1938"/>
        <v/>
      </c>
      <c r="CQ849" s="232" t="str">
        <f t="shared" si="1939"/>
        <v/>
      </c>
      <c r="CR849" s="232" t="str">
        <f t="shared" si="1949"/>
        <v/>
      </c>
      <c r="CS849" s="232"/>
      <c r="CT849" s="371"/>
      <c r="CU849" s="296"/>
      <c r="CV849" s="246"/>
      <c r="CW849" s="264"/>
    </row>
    <row r="850" spans="1:101" x14ac:dyDescent="0.2">
      <c r="A850" s="264"/>
      <c r="B850" s="264"/>
      <c r="C850" s="202"/>
      <c r="D850" s="271">
        <v>7</v>
      </c>
      <c r="E850" s="166"/>
      <c r="F850" s="468"/>
      <c r="G850" s="472" t="s">
        <v>49</v>
      </c>
      <c r="H850" s="473"/>
      <c r="I850" s="170" t="str">
        <f t="shared" si="1900"/>
        <v/>
      </c>
      <c r="J850" s="387" t="str">
        <f t="shared" si="1901"/>
        <v/>
      </c>
      <c r="K850" s="388" t="str">
        <f t="shared" si="1902"/>
        <v/>
      </c>
      <c r="L850" s="299"/>
      <c r="M850" s="375"/>
      <c r="N850" s="379"/>
      <c r="O850" s="236"/>
      <c r="P850" s="236"/>
      <c r="Q850" s="480"/>
      <c r="R850" s="481"/>
      <c r="S850" s="482" t="str">
        <f t="shared" si="1940"/>
        <v/>
      </c>
      <c r="T850" s="371"/>
      <c r="U850" s="232" t="str">
        <f t="shared" si="1903"/>
        <v/>
      </c>
      <c r="V850" s="232" t="str">
        <f t="shared" si="1904"/>
        <v/>
      </c>
      <c r="W850" s="232" t="str">
        <f t="shared" si="1905"/>
        <v/>
      </c>
      <c r="X850" s="232" t="str">
        <f t="shared" si="1941"/>
        <v/>
      </c>
      <c r="Y850" s="371"/>
      <c r="Z850" s="495"/>
      <c r="AA850" s="496"/>
      <c r="AB850" s="482" t="str">
        <f t="shared" si="1906"/>
        <v/>
      </c>
      <c r="AC850" s="371"/>
      <c r="AD850" s="232" t="str">
        <f t="shared" si="1907"/>
        <v/>
      </c>
      <c r="AE850" s="232" t="str">
        <f t="shared" si="1908"/>
        <v/>
      </c>
      <c r="AF850" s="232" t="str">
        <f t="shared" si="1909"/>
        <v/>
      </c>
      <c r="AG850" s="232" t="str">
        <f t="shared" si="1942"/>
        <v/>
      </c>
      <c r="AH850" s="371"/>
      <c r="AI850" s="495"/>
      <c r="AJ850" s="496"/>
      <c r="AK850" s="482" t="str">
        <f t="shared" si="1910"/>
        <v/>
      </c>
      <c r="AL850" s="371"/>
      <c r="AM850" s="232" t="str">
        <f t="shared" si="1911"/>
        <v/>
      </c>
      <c r="AN850" s="232" t="str">
        <f t="shared" si="1912"/>
        <v/>
      </c>
      <c r="AO850" s="232" t="str">
        <f t="shared" si="1913"/>
        <v/>
      </c>
      <c r="AP850" s="232" t="str">
        <f t="shared" si="1943"/>
        <v/>
      </c>
      <c r="AQ850" s="371"/>
      <c r="AR850" s="495"/>
      <c r="AS850" s="496"/>
      <c r="AT850" s="482" t="str">
        <f t="shared" si="1914"/>
        <v/>
      </c>
      <c r="AU850" s="371"/>
      <c r="AV850" s="232" t="str">
        <f t="shared" si="1915"/>
        <v/>
      </c>
      <c r="AW850" s="232" t="str">
        <f t="shared" si="1916"/>
        <v/>
      </c>
      <c r="AX850" s="232" t="str">
        <f t="shared" si="1917"/>
        <v/>
      </c>
      <c r="AY850" s="232" t="str">
        <f t="shared" si="1944"/>
        <v/>
      </c>
      <c r="AZ850" s="371"/>
      <c r="BA850" s="495"/>
      <c r="BB850" s="496"/>
      <c r="BC850" s="482" t="str">
        <f t="shared" si="1918"/>
        <v/>
      </c>
      <c r="BD850" s="371"/>
      <c r="BE850" s="232" t="str">
        <f t="shared" si="1919"/>
        <v/>
      </c>
      <c r="BF850" s="232" t="str">
        <f t="shared" si="1920"/>
        <v/>
      </c>
      <c r="BG850" s="232" t="str">
        <f t="shared" si="1921"/>
        <v/>
      </c>
      <c r="BH850" s="232" t="str">
        <f t="shared" si="1945"/>
        <v/>
      </c>
      <c r="BI850" s="371"/>
      <c r="BJ850" s="495"/>
      <c r="BK850" s="496"/>
      <c r="BL850" s="482" t="str">
        <f t="shared" si="1922"/>
        <v/>
      </c>
      <c r="BM850" s="371"/>
      <c r="BN850" s="232" t="str">
        <f t="shared" si="1923"/>
        <v/>
      </c>
      <c r="BO850" s="232" t="str">
        <f t="shared" si="1924"/>
        <v/>
      </c>
      <c r="BP850" s="232" t="str">
        <f t="shared" si="1925"/>
        <v/>
      </c>
      <c r="BQ850" s="232" t="str">
        <f t="shared" si="1946"/>
        <v/>
      </c>
      <c r="BR850" s="371"/>
      <c r="BS850" s="495"/>
      <c r="BT850" s="496"/>
      <c r="BU850" s="482" t="str">
        <f t="shared" si="1926"/>
        <v/>
      </c>
      <c r="BV850" s="371"/>
      <c r="BW850" s="232" t="str">
        <f t="shared" si="1927"/>
        <v/>
      </c>
      <c r="BX850" s="232" t="str">
        <f t="shared" si="1928"/>
        <v/>
      </c>
      <c r="BY850" s="232" t="str">
        <f t="shared" si="1929"/>
        <v/>
      </c>
      <c r="BZ850" s="232" t="str">
        <f t="shared" si="1947"/>
        <v/>
      </c>
      <c r="CA850" s="371"/>
      <c r="CB850" s="501" t="str">
        <f t="shared" si="1930"/>
        <v/>
      </c>
      <c r="CC850" s="502" t="str">
        <f t="shared" si="1931"/>
        <v/>
      </c>
      <c r="CD850" s="503" t="str">
        <f t="shared" si="1932"/>
        <v/>
      </c>
      <c r="CE850" s="371"/>
      <c r="CF850" s="232" t="str">
        <f t="shared" si="1933"/>
        <v/>
      </c>
      <c r="CG850" s="232" t="str">
        <f t="shared" si="1934"/>
        <v/>
      </c>
      <c r="CH850" s="232" t="str">
        <f t="shared" si="1935"/>
        <v/>
      </c>
      <c r="CI850" s="232" t="str">
        <f t="shared" si="1948"/>
        <v/>
      </c>
      <c r="CJ850" s="232"/>
      <c r="CK850" s="495"/>
      <c r="CL850" s="496"/>
      <c r="CM850" s="482" t="str">
        <f t="shared" si="1936"/>
        <v/>
      </c>
      <c r="CN850" s="371"/>
      <c r="CO850" s="232" t="str">
        <f t="shared" si="1937"/>
        <v/>
      </c>
      <c r="CP850" s="232" t="str">
        <f t="shared" si="1938"/>
        <v/>
      </c>
      <c r="CQ850" s="232" t="str">
        <f t="shared" si="1939"/>
        <v/>
      </c>
      <c r="CR850" s="232" t="str">
        <f t="shared" si="1949"/>
        <v/>
      </c>
      <c r="CS850" s="232"/>
      <c r="CT850" s="371"/>
      <c r="CU850" s="300"/>
      <c r="CV850" s="246"/>
      <c r="CW850" s="264"/>
    </row>
    <row r="851" spans="1:101" x14ac:dyDescent="0.2">
      <c r="A851" s="264"/>
      <c r="B851" s="264"/>
      <c r="C851" s="202"/>
      <c r="D851" s="271">
        <v>8</v>
      </c>
      <c r="E851" s="167"/>
      <c r="F851" s="469"/>
      <c r="G851" s="474" t="s">
        <v>49</v>
      </c>
      <c r="H851" s="475"/>
      <c r="I851" s="389" t="str">
        <f t="shared" si="1900"/>
        <v/>
      </c>
      <c r="J851" s="390" t="str">
        <f t="shared" si="1901"/>
        <v/>
      </c>
      <c r="K851" s="391" t="str">
        <f t="shared" si="1902"/>
        <v/>
      </c>
      <c r="L851" s="299"/>
      <c r="M851" s="375"/>
      <c r="N851" s="379"/>
      <c r="O851" s="236"/>
      <c r="P851" s="236"/>
      <c r="Q851" s="483"/>
      <c r="R851" s="484"/>
      <c r="S851" s="485" t="str">
        <f t="shared" si="1940"/>
        <v/>
      </c>
      <c r="T851" s="371"/>
      <c r="U851" s="232" t="str">
        <f t="shared" si="1903"/>
        <v/>
      </c>
      <c r="V851" s="232" t="str">
        <f t="shared" si="1904"/>
        <v/>
      </c>
      <c r="W851" s="232" t="str">
        <f t="shared" si="1905"/>
        <v/>
      </c>
      <c r="X851" s="232" t="str">
        <f t="shared" si="1941"/>
        <v/>
      </c>
      <c r="Y851" s="371"/>
      <c r="Z851" s="497"/>
      <c r="AA851" s="498"/>
      <c r="AB851" s="485" t="str">
        <f t="shared" si="1906"/>
        <v/>
      </c>
      <c r="AC851" s="371"/>
      <c r="AD851" s="232" t="str">
        <f t="shared" si="1907"/>
        <v/>
      </c>
      <c r="AE851" s="232" t="str">
        <f t="shared" si="1908"/>
        <v/>
      </c>
      <c r="AF851" s="232" t="str">
        <f t="shared" si="1909"/>
        <v/>
      </c>
      <c r="AG851" s="232" t="str">
        <f t="shared" si="1942"/>
        <v/>
      </c>
      <c r="AH851" s="371"/>
      <c r="AI851" s="497"/>
      <c r="AJ851" s="498"/>
      <c r="AK851" s="485" t="str">
        <f t="shared" si="1910"/>
        <v/>
      </c>
      <c r="AL851" s="371"/>
      <c r="AM851" s="232" t="str">
        <f t="shared" si="1911"/>
        <v/>
      </c>
      <c r="AN851" s="232" t="str">
        <f t="shared" si="1912"/>
        <v/>
      </c>
      <c r="AO851" s="232" t="str">
        <f t="shared" si="1913"/>
        <v/>
      </c>
      <c r="AP851" s="232" t="str">
        <f t="shared" si="1943"/>
        <v/>
      </c>
      <c r="AQ851" s="371"/>
      <c r="AR851" s="497"/>
      <c r="AS851" s="498"/>
      <c r="AT851" s="485" t="str">
        <f t="shared" si="1914"/>
        <v/>
      </c>
      <c r="AU851" s="371"/>
      <c r="AV851" s="232" t="str">
        <f t="shared" si="1915"/>
        <v/>
      </c>
      <c r="AW851" s="232" t="str">
        <f t="shared" si="1916"/>
        <v/>
      </c>
      <c r="AX851" s="232" t="str">
        <f t="shared" si="1917"/>
        <v/>
      </c>
      <c r="AY851" s="232" t="str">
        <f t="shared" si="1944"/>
        <v/>
      </c>
      <c r="AZ851" s="371"/>
      <c r="BA851" s="497"/>
      <c r="BB851" s="498"/>
      <c r="BC851" s="485" t="str">
        <f t="shared" si="1918"/>
        <v/>
      </c>
      <c r="BD851" s="371"/>
      <c r="BE851" s="232" t="str">
        <f t="shared" si="1919"/>
        <v/>
      </c>
      <c r="BF851" s="232" t="str">
        <f t="shared" si="1920"/>
        <v/>
      </c>
      <c r="BG851" s="232" t="str">
        <f t="shared" si="1921"/>
        <v/>
      </c>
      <c r="BH851" s="232" t="str">
        <f t="shared" si="1945"/>
        <v/>
      </c>
      <c r="BI851" s="371"/>
      <c r="BJ851" s="497"/>
      <c r="BK851" s="498"/>
      <c r="BL851" s="485" t="str">
        <f t="shared" si="1922"/>
        <v/>
      </c>
      <c r="BM851" s="371"/>
      <c r="BN851" s="232" t="str">
        <f t="shared" si="1923"/>
        <v/>
      </c>
      <c r="BO851" s="232" t="str">
        <f t="shared" si="1924"/>
        <v/>
      </c>
      <c r="BP851" s="232" t="str">
        <f t="shared" si="1925"/>
        <v/>
      </c>
      <c r="BQ851" s="232" t="str">
        <f t="shared" si="1946"/>
        <v/>
      </c>
      <c r="BR851" s="371"/>
      <c r="BS851" s="497"/>
      <c r="BT851" s="498"/>
      <c r="BU851" s="485" t="str">
        <f t="shared" si="1926"/>
        <v/>
      </c>
      <c r="BV851" s="371"/>
      <c r="BW851" s="232" t="str">
        <f t="shared" si="1927"/>
        <v/>
      </c>
      <c r="BX851" s="232" t="str">
        <f t="shared" si="1928"/>
        <v/>
      </c>
      <c r="BY851" s="232" t="str">
        <f t="shared" si="1929"/>
        <v/>
      </c>
      <c r="BZ851" s="232" t="str">
        <f t="shared" si="1947"/>
        <v/>
      </c>
      <c r="CA851" s="371"/>
      <c r="CB851" s="504" t="str">
        <f t="shared" si="1930"/>
        <v/>
      </c>
      <c r="CC851" s="505" t="str">
        <f t="shared" si="1931"/>
        <v/>
      </c>
      <c r="CD851" s="506" t="str">
        <f t="shared" si="1932"/>
        <v/>
      </c>
      <c r="CE851" s="371"/>
      <c r="CF851" s="232" t="str">
        <f t="shared" si="1933"/>
        <v/>
      </c>
      <c r="CG851" s="232" t="str">
        <f t="shared" si="1934"/>
        <v/>
      </c>
      <c r="CH851" s="232" t="str">
        <f t="shared" si="1935"/>
        <v/>
      </c>
      <c r="CI851" s="232" t="str">
        <f t="shared" si="1948"/>
        <v/>
      </c>
      <c r="CJ851" s="232"/>
      <c r="CK851" s="497"/>
      <c r="CL851" s="498"/>
      <c r="CM851" s="485" t="str">
        <f t="shared" si="1936"/>
        <v/>
      </c>
      <c r="CN851" s="371"/>
      <c r="CO851" s="232" t="str">
        <f t="shared" si="1937"/>
        <v/>
      </c>
      <c r="CP851" s="232" t="str">
        <f t="shared" si="1938"/>
        <v/>
      </c>
      <c r="CQ851" s="232" t="str">
        <f t="shared" si="1939"/>
        <v/>
      </c>
      <c r="CR851" s="232" t="str">
        <f t="shared" si="1949"/>
        <v/>
      </c>
      <c r="CS851" s="232"/>
      <c r="CT851" s="371"/>
      <c r="CU851" s="300"/>
      <c r="CV851" s="246"/>
      <c r="CW851" s="264"/>
    </row>
    <row r="852" spans="1:101" ht="13.5" thickBot="1" x14ac:dyDescent="0.25">
      <c r="A852" s="264"/>
      <c r="B852" s="264"/>
      <c r="C852" s="202"/>
      <c r="D852" s="271">
        <v>9</v>
      </c>
      <c r="E852" s="168"/>
      <c r="F852" s="470"/>
      <c r="G852" s="476" t="s">
        <v>49</v>
      </c>
      <c r="H852" s="477"/>
      <c r="I852" s="392" t="str">
        <f t="shared" si="1900"/>
        <v/>
      </c>
      <c r="J852" s="393" t="str">
        <f t="shared" si="1901"/>
        <v/>
      </c>
      <c r="K852" s="394" t="str">
        <f t="shared" si="1902"/>
        <v/>
      </c>
      <c r="L852" s="299"/>
      <c r="M852" s="375"/>
      <c r="N852" s="379"/>
      <c r="O852" s="236"/>
      <c r="P852" s="236"/>
      <c r="Q852" s="489"/>
      <c r="R852" s="490"/>
      <c r="S852" s="491" t="str">
        <f t="shared" si="1940"/>
        <v/>
      </c>
      <c r="T852" s="371"/>
      <c r="U852" s="232" t="str">
        <f t="shared" si="1903"/>
        <v/>
      </c>
      <c r="V852" s="232" t="str">
        <f t="shared" si="1904"/>
        <v/>
      </c>
      <c r="W852" s="232" t="str">
        <f t="shared" si="1905"/>
        <v/>
      </c>
      <c r="X852" s="232" t="str">
        <f t="shared" si="1941"/>
        <v/>
      </c>
      <c r="Y852" s="371"/>
      <c r="Z852" s="499"/>
      <c r="AA852" s="500"/>
      <c r="AB852" s="491" t="str">
        <f t="shared" si="1906"/>
        <v/>
      </c>
      <c r="AC852" s="371"/>
      <c r="AD852" s="232" t="str">
        <f t="shared" si="1907"/>
        <v/>
      </c>
      <c r="AE852" s="232" t="str">
        <f t="shared" si="1908"/>
        <v/>
      </c>
      <c r="AF852" s="232" t="str">
        <f t="shared" si="1909"/>
        <v/>
      </c>
      <c r="AG852" s="232" t="str">
        <f t="shared" si="1942"/>
        <v/>
      </c>
      <c r="AH852" s="371"/>
      <c r="AI852" s="499"/>
      <c r="AJ852" s="500"/>
      <c r="AK852" s="491" t="str">
        <f t="shared" si="1910"/>
        <v/>
      </c>
      <c r="AL852" s="371"/>
      <c r="AM852" s="232" t="str">
        <f t="shared" si="1911"/>
        <v/>
      </c>
      <c r="AN852" s="232" t="str">
        <f t="shared" si="1912"/>
        <v/>
      </c>
      <c r="AO852" s="232" t="str">
        <f t="shared" si="1913"/>
        <v/>
      </c>
      <c r="AP852" s="232" t="str">
        <f t="shared" si="1943"/>
        <v/>
      </c>
      <c r="AQ852" s="371"/>
      <c r="AR852" s="499"/>
      <c r="AS852" s="500"/>
      <c r="AT852" s="491" t="str">
        <f t="shared" si="1914"/>
        <v/>
      </c>
      <c r="AU852" s="371"/>
      <c r="AV852" s="232" t="str">
        <f t="shared" si="1915"/>
        <v/>
      </c>
      <c r="AW852" s="232" t="str">
        <f t="shared" si="1916"/>
        <v/>
      </c>
      <c r="AX852" s="232" t="str">
        <f t="shared" si="1917"/>
        <v/>
      </c>
      <c r="AY852" s="232" t="str">
        <f t="shared" si="1944"/>
        <v/>
      </c>
      <c r="AZ852" s="371"/>
      <c r="BA852" s="499"/>
      <c r="BB852" s="500"/>
      <c r="BC852" s="491" t="str">
        <f t="shared" si="1918"/>
        <v/>
      </c>
      <c r="BD852" s="371"/>
      <c r="BE852" s="232" t="str">
        <f t="shared" si="1919"/>
        <v/>
      </c>
      <c r="BF852" s="232" t="str">
        <f t="shared" si="1920"/>
        <v/>
      </c>
      <c r="BG852" s="232" t="str">
        <f t="shared" si="1921"/>
        <v/>
      </c>
      <c r="BH852" s="232" t="str">
        <f t="shared" si="1945"/>
        <v/>
      </c>
      <c r="BI852" s="371"/>
      <c r="BJ852" s="499"/>
      <c r="BK852" s="500"/>
      <c r="BL852" s="491" t="str">
        <f t="shared" si="1922"/>
        <v/>
      </c>
      <c r="BM852" s="371"/>
      <c r="BN852" s="232" t="str">
        <f t="shared" si="1923"/>
        <v/>
      </c>
      <c r="BO852" s="232" t="str">
        <f t="shared" si="1924"/>
        <v/>
      </c>
      <c r="BP852" s="232" t="str">
        <f t="shared" si="1925"/>
        <v/>
      </c>
      <c r="BQ852" s="232" t="str">
        <f t="shared" si="1946"/>
        <v/>
      </c>
      <c r="BR852" s="371"/>
      <c r="BS852" s="499"/>
      <c r="BT852" s="500"/>
      <c r="BU852" s="491" t="str">
        <f t="shared" si="1926"/>
        <v/>
      </c>
      <c r="BV852" s="371"/>
      <c r="BW852" s="232" t="str">
        <f t="shared" si="1927"/>
        <v/>
      </c>
      <c r="BX852" s="232" t="str">
        <f t="shared" si="1928"/>
        <v/>
      </c>
      <c r="BY852" s="232" t="str">
        <f t="shared" si="1929"/>
        <v/>
      </c>
      <c r="BZ852" s="232" t="str">
        <f t="shared" si="1947"/>
        <v/>
      </c>
      <c r="CA852" s="371"/>
      <c r="CB852" s="507" t="str">
        <f t="shared" si="1930"/>
        <v/>
      </c>
      <c r="CC852" s="508" t="str">
        <f t="shared" si="1931"/>
        <v/>
      </c>
      <c r="CD852" s="509" t="str">
        <f t="shared" si="1932"/>
        <v/>
      </c>
      <c r="CE852" s="371"/>
      <c r="CF852" s="232" t="str">
        <f t="shared" si="1933"/>
        <v/>
      </c>
      <c r="CG852" s="232" t="str">
        <f t="shared" si="1934"/>
        <v/>
      </c>
      <c r="CH852" s="232" t="str">
        <f t="shared" si="1935"/>
        <v/>
      </c>
      <c r="CI852" s="232" t="str">
        <f t="shared" si="1948"/>
        <v/>
      </c>
      <c r="CJ852" s="232"/>
      <c r="CK852" s="499"/>
      <c r="CL852" s="500"/>
      <c r="CM852" s="491" t="str">
        <f t="shared" si="1936"/>
        <v/>
      </c>
      <c r="CN852" s="371"/>
      <c r="CO852" s="232" t="str">
        <f t="shared" si="1937"/>
        <v/>
      </c>
      <c r="CP852" s="232" t="str">
        <f t="shared" si="1938"/>
        <v/>
      </c>
      <c r="CQ852" s="232" t="str">
        <f t="shared" si="1939"/>
        <v/>
      </c>
      <c r="CR852" s="232" t="str">
        <f t="shared" si="1949"/>
        <v/>
      </c>
      <c r="CS852" s="232"/>
      <c r="CT852" s="371"/>
      <c r="CU852" s="300"/>
      <c r="CV852" s="246"/>
      <c r="CW852" s="264"/>
    </row>
    <row r="853" spans="1:101" x14ac:dyDescent="0.2">
      <c r="A853" s="264"/>
      <c r="B853" s="264"/>
      <c r="C853" s="202"/>
      <c r="D853" s="271">
        <v>10</v>
      </c>
      <c r="E853" s="169"/>
      <c r="F853" s="471"/>
      <c r="G853" s="478" t="s">
        <v>49</v>
      </c>
      <c r="H853" s="479"/>
      <c r="I853" s="170" t="str">
        <f t="shared" si="1900"/>
        <v/>
      </c>
      <c r="J853" s="387" t="str">
        <f t="shared" si="1901"/>
        <v/>
      </c>
      <c r="K853" s="388" t="str">
        <f t="shared" si="1902"/>
        <v/>
      </c>
      <c r="L853" s="299"/>
      <c r="M853" s="375"/>
      <c r="N853" s="379"/>
      <c r="O853" s="236"/>
      <c r="P853" s="236"/>
      <c r="Q853" s="492"/>
      <c r="R853" s="493"/>
      <c r="S853" s="494" t="str">
        <f t="shared" si="1940"/>
        <v/>
      </c>
      <c r="T853" s="371"/>
      <c r="U853" s="232" t="str">
        <f t="shared" si="1903"/>
        <v/>
      </c>
      <c r="V853" s="232" t="str">
        <f t="shared" si="1904"/>
        <v/>
      </c>
      <c r="W853" s="232" t="str">
        <f t="shared" si="1905"/>
        <v/>
      </c>
      <c r="X853" s="232" t="str">
        <f t="shared" si="1941"/>
        <v/>
      </c>
      <c r="Y853" s="371"/>
      <c r="Z853" s="495"/>
      <c r="AA853" s="496"/>
      <c r="AB853" s="494" t="str">
        <f t="shared" si="1906"/>
        <v/>
      </c>
      <c r="AC853" s="371"/>
      <c r="AD853" s="232" t="str">
        <f t="shared" si="1907"/>
        <v/>
      </c>
      <c r="AE853" s="232" t="str">
        <f t="shared" si="1908"/>
        <v/>
      </c>
      <c r="AF853" s="232" t="str">
        <f t="shared" si="1909"/>
        <v/>
      </c>
      <c r="AG853" s="232" t="str">
        <f t="shared" si="1942"/>
        <v/>
      </c>
      <c r="AH853" s="371"/>
      <c r="AI853" s="495"/>
      <c r="AJ853" s="496"/>
      <c r="AK853" s="494" t="str">
        <f t="shared" si="1910"/>
        <v/>
      </c>
      <c r="AL853" s="371"/>
      <c r="AM853" s="232" t="str">
        <f t="shared" si="1911"/>
        <v/>
      </c>
      <c r="AN853" s="232" t="str">
        <f t="shared" si="1912"/>
        <v/>
      </c>
      <c r="AO853" s="232" t="str">
        <f t="shared" si="1913"/>
        <v/>
      </c>
      <c r="AP853" s="232" t="str">
        <f t="shared" si="1943"/>
        <v/>
      </c>
      <c r="AQ853" s="371"/>
      <c r="AR853" s="495"/>
      <c r="AS853" s="496"/>
      <c r="AT853" s="494" t="str">
        <f t="shared" si="1914"/>
        <v/>
      </c>
      <c r="AU853" s="371"/>
      <c r="AV853" s="232" t="str">
        <f t="shared" si="1915"/>
        <v/>
      </c>
      <c r="AW853" s="232" t="str">
        <f t="shared" si="1916"/>
        <v/>
      </c>
      <c r="AX853" s="232" t="str">
        <f t="shared" si="1917"/>
        <v/>
      </c>
      <c r="AY853" s="232" t="str">
        <f t="shared" si="1944"/>
        <v/>
      </c>
      <c r="AZ853" s="371"/>
      <c r="BA853" s="495"/>
      <c r="BB853" s="496"/>
      <c r="BC853" s="494" t="str">
        <f t="shared" si="1918"/>
        <v/>
      </c>
      <c r="BD853" s="371"/>
      <c r="BE853" s="232" t="str">
        <f t="shared" si="1919"/>
        <v/>
      </c>
      <c r="BF853" s="232" t="str">
        <f t="shared" si="1920"/>
        <v/>
      </c>
      <c r="BG853" s="232" t="str">
        <f t="shared" si="1921"/>
        <v/>
      </c>
      <c r="BH853" s="232" t="str">
        <f t="shared" si="1945"/>
        <v/>
      </c>
      <c r="BI853" s="371"/>
      <c r="BJ853" s="495"/>
      <c r="BK853" s="496"/>
      <c r="BL853" s="494" t="str">
        <f t="shared" si="1922"/>
        <v/>
      </c>
      <c r="BM853" s="371"/>
      <c r="BN853" s="232" t="str">
        <f t="shared" si="1923"/>
        <v/>
      </c>
      <c r="BO853" s="232" t="str">
        <f t="shared" si="1924"/>
        <v/>
      </c>
      <c r="BP853" s="232" t="str">
        <f t="shared" si="1925"/>
        <v/>
      </c>
      <c r="BQ853" s="232" t="str">
        <f t="shared" si="1946"/>
        <v/>
      </c>
      <c r="BR853" s="371"/>
      <c r="BS853" s="495"/>
      <c r="BT853" s="496"/>
      <c r="BU853" s="494" t="str">
        <f t="shared" si="1926"/>
        <v/>
      </c>
      <c r="BV853" s="371"/>
      <c r="BW853" s="232" t="str">
        <f t="shared" si="1927"/>
        <v/>
      </c>
      <c r="BX853" s="232" t="str">
        <f t="shared" si="1928"/>
        <v/>
      </c>
      <c r="BY853" s="232" t="str">
        <f t="shared" si="1929"/>
        <v/>
      </c>
      <c r="BZ853" s="232" t="str">
        <f t="shared" si="1947"/>
        <v/>
      </c>
      <c r="CA853" s="371"/>
      <c r="CB853" s="501" t="str">
        <f t="shared" si="1930"/>
        <v/>
      </c>
      <c r="CC853" s="502" t="str">
        <f t="shared" si="1931"/>
        <v/>
      </c>
      <c r="CD853" s="503" t="str">
        <f t="shared" si="1932"/>
        <v/>
      </c>
      <c r="CE853" s="371"/>
      <c r="CF853" s="232" t="str">
        <f t="shared" si="1933"/>
        <v/>
      </c>
      <c r="CG853" s="232" t="str">
        <f t="shared" si="1934"/>
        <v/>
      </c>
      <c r="CH853" s="232" t="str">
        <f t="shared" si="1935"/>
        <v/>
      </c>
      <c r="CI853" s="232" t="str">
        <f t="shared" si="1948"/>
        <v/>
      </c>
      <c r="CJ853" s="232"/>
      <c r="CK853" s="495"/>
      <c r="CL853" s="496"/>
      <c r="CM853" s="494" t="str">
        <f t="shared" si="1936"/>
        <v/>
      </c>
      <c r="CN853" s="371"/>
      <c r="CO853" s="232" t="str">
        <f t="shared" si="1937"/>
        <v/>
      </c>
      <c r="CP853" s="232" t="str">
        <f t="shared" si="1938"/>
        <v/>
      </c>
      <c r="CQ853" s="232" t="str">
        <f t="shared" si="1939"/>
        <v/>
      </c>
      <c r="CR853" s="232" t="str">
        <f t="shared" si="1949"/>
        <v/>
      </c>
      <c r="CS853" s="232"/>
      <c r="CT853" s="371"/>
      <c r="CU853" s="300"/>
      <c r="CV853" s="246"/>
      <c r="CW853" s="264"/>
    </row>
    <row r="854" spans="1:101" x14ac:dyDescent="0.2">
      <c r="A854" s="264"/>
      <c r="B854" s="264"/>
      <c r="C854" s="202"/>
      <c r="D854" s="271">
        <v>11</v>
      </c>
      <c r="E854" s="167"/>
      <c r="F854" s="469"/>
      <c r="G854" s="474" t="s">
        <v>49</v>
      </c>
      <c r="H854" s="475"/>
      <c r="I854" s="389" t="str">
        <f t="shared" si="1900"/>
        <v/>
      </c>
      <c r="J854" s="390" t="str">
        <f t="shared" si="1901"/>
        <v/>
      </c>
      <c r="K854" s="391" t="str">
        <f t="shared" si="1902"/>
        <v/>
      </c>
      <c r="L854" s="299"/>
      <c r="M854" s="375"/>
      <c r="N854" s="379"/>
      <c r="O854" s="236"/>
      <c r="P854" s="236"/>
      <c r="Q854" s="483"/>
      <c r="R854" s="484"/>
      <c r="S854" s="485" t="str">
        <f t="shared" si="1940"/>
        <v/>
      </c>
      <c r="T854" s="371"/>
      <c r="U854" s="232" t="str">
        <f t="shared" si="1903"/>
        <v/>
      </c>
      <c r="V854" s="232" t="str">
        <f t="shared" si="1904"/>
        <v/>
      </c>
      <c r="W854" s="232" t="str">
        <f t="shared" si="1905"/>
        <v/>
      </c>
      <c r="X854" s="232" t="str">
        <f t="shared" si="1941"/>
        <v/>
      </c>
      <c r="Y854" s="371"/>
      <c r="Z854" s="497"/>
      <c r="AA854" s="498"/>
      <c r="AB854" s="485" t="str">
        <f t="shared" si="1906"/>
        <v/>
      </c>
      <c r="AC854" s="371"/>
      <c r="AD854" s="232" t="str">
        <f t="shared" si="1907"/>
        <v/>
      </c>
      <c r="AE854" s="232" t="str">
        <f t="shared" si="1908"/>
        <v/>
      </c>
      <c r="AF854" s="232" t="str">
        <f t="shared" si="1909"/>
        <v/>
      </c>
      <c r="AG854" s="232" t="str">
        <f t="shared" si="1942"/>
        <v/>
      </c>
      <c r="AH854" s="371"/>
      <c r="AI854" s="497"/>
      <c r="AJ854" s="498"/>
      <c r="AK854" s="485" t="str">
        <f t="shared" si="1910"/>
        <v/>
      </c>
      <c r="AL854" s="371"/>
      <c r="AM854" s="232" t="str">
        <f t="shared" si="1911"/>
        <v/>
      </c>
      <c r="AN854" s="232" t="str">
        <f t="shared" si="1912"/>
        <v/>
      </c>
      <c r="AO854" s="232" t="str">
        <f t="shared" si="1913"/>
        <v/>
      </c>
      <c r="AP854" s="232" t="str">
        <f t="shared" si="1943"/>
        <v/>
      </c>
      <c r="AQ854" s="371"/>
      <c r="AR854" s="497"/>
      <c r="AS854" s="498"/>
      <c r="AT854" s="485" t="str">
        <f t="shared" si="1914"/>
        <v/>
      </c>
      <c r="AU854" s="371"/>
      <c r="AV854" s="232" t="str">
        <f t="shared" si="1915"/>
        <v/>
      </c>
      <c r="AW854" s="232" t="str">
        <f t="shared" si="1916"/>
        <v/>
      </c>
      <c r="AX854" s="232" t="str">
        <f t="shared" si="1917"/>
        <v/>
      </c>
      <c r="AY854" s="232" t="str">
        <f t="shared" si="1944"/>
        <v/>
      </c>
      <c r="AZ854" s="371"/>
      <c r="BA854" s="497"/>
      <c r="BB854" s="498"/>
      <c r="BC854" s="485" t="str">
        <f t="shared" si="1918"/>
        <v/>
      </c>
      <c r="BD854" s="371"/>
      <c r="BE854" s="232" t="str">
        <f t="shared" si="1919"/>
        <v/>
      </c>
      <c r="BF854" s="232" t="str">
        <f t="shared" si="1920"/>
        <v/>
      </c>
      <c r="BG854" s="232" t="str">
        <f t="shared" si="1921"/>
        <v/>
      </c>
      <c r="BH854" s="232" t="str">
        <f t="shared" si="1945"/>
        <v/>
      </c>
      <c r="BI854" s="371"/>
      <c r="BJ854" s="497"/>
      <c r="BK854" s="498"/>
      <c r="BL854" s="485" t="str">
        <f t="shared" si="1922"/>
        <v/>
      </c>
      <c r="BM854" s="371"/>
      <c r="BN854" s="232" t="str">
        <f t="shared" si="1923"/>
        <v/>
      </c>
      <c r="BO854" s="232" t="str">
        <f t="shared" si="1924"/>
        <v/>
      </c>
      <c r="BP854" s="232" t="str">
        <f t="shared" si="1925"/>
        <v/>
      </c>
      <c r="BQ854" s="232" t="str">
        <f t="shared" si="1946"/>
        <v/>
      </c>
      <c r="BR854" s="371"/>
      <c r="BS854" s="497"/>
      <c r="BT854" s="498"/>
      <c r="BU854" s="485" t="str">
        <f t="shared" si="1926"/>
        <v/>
      </c>
      <c r="BV854" s="371"/>
      <c r="BW854" s="232" t="str">
        <f t="shared" si="1927"/>
        <v/>
      </c>
      <c r="BX854" s="232" t="str">
        <f t="shared" si="1928"/>
        <v/>
      </c>
      <c r="BY854" s="232" t="str">
        <f t="shared" si="1929"/>
        <v/>
      </c>
      <c r="BZ854" s="232" t="str">
        <f t="shared" si="1947"/>
        <v/>
      </c>
      <c r="CA854" s="371"/>
      <c r="CB854" s="504" t="str">
        <f t="shared" si="1930"/>
        <v/>
      </c>
      <c r="CC854" s="505" t="str">
        <f t="shared" si="1931"/>
        <v/>
      </c>
      <c r="CD854" s="506" t="str">
        <f t="shared" si="1932"/>
        <v/>
      </c>
      <c r="CE854" s="371"/>
      <c r="CF854" s="232" t="str">
        <f t="shared" si="1933"/>
        <v/>
      </c>
      <c r="CG854" s="232" t="str">
        <f t="shared" si="1934"/>
        <v/>
      </c>
      <c r="CH854" s="232" t="str">
        <f t="shared" si="1935"/>
        <v/>
      </c>
      <c r="CI854" s="232" t="str">
        <f t="shared" si="1948"/>
        <v/>
      </c>
      <c r="CJ854" s="232"/>
      <c r="CK854" s="497"/>
      <c r="CL854" s="498"/>
      <c r="CM854" s="485" t="str">
        <f t="shared" si="1936"/>
        <v/>
      </c>
      <c r="CN854" s="371"/>
      <c r="CO854" s="232" t="str">
        <f t="shared" si="1937"/>
        <v/>
      </c>
      <c r="CP854" s="232" t="str">
        <f t="shared" si="1938"/>
        <v/>
      </c>
      <c r="CQ854" s="232" t="str">
        <f t="shared" si="1939"/>
        <v/>
      </c>
      <c r="CR854" s="232" t="str">
        <f t="shared" si="1949"/>
        <v/>
      </c>
      <c r="CS854" s="232"/>
      <c r="CT854" s="371"/>
      <c r="CU854" s="300"/>
      <c r="CV854" s="246"/>
      <c r="CW854" s="264"/>
    </row>
    <row r="855" spans="1:101" ht="13.5" thickBot="1" x14ac:dyDescent="0.25">
      <c r="A855" s="264"/>
      <c r="B855" s="264"/>
      <c r="C855" s="202"/>
      <c r="D855" s="271">
        <v>12</v>
      </c>
      <c r="E855" s="168"/>
      <c r="F855" s="470"/>
      <c r="G855" s="476" t="s">
        <v>49</v>
      </c>
      <c r="H855" s="477"/>
      <c r="I855" s="392" t="str">
        <f t="shared" si="1900"/>
        <v/>
      </c>
      <c r="J855" s="393" t="str">
        <f t="shared" si="1901"/>
        <v/>
      </c>
      <c r="K855" s="394" t="str">
        <f t="shared" si="1902"/>
        <v/>
      </c>
      <c r="L855" s="299"/>
      <c r="M855" s="375"/>
      <c r="N855" s="379"/>
      <c r="O855" s="236"/>
      <c r="P855" s="236"/>
      <c r="Q855" s="489"/>
      <c r="R855" s="490"/>
      <c r="S855" s="491" t="str">
        <f t="shared" si="1940"/>
        <v/>
      </c>
      <c r="T855" s="371"/>
      <c r="U855" s="232" t="str">
        <f t="shared" si="1903"/>
        <v/>
      </c>
      <c r="V855" s="232" t="str">
        <f t="shared" si="1904"/>
        <v/>
      </c>
      <c r="W855" s="232" t="str">
        <f t="shared" si="1905"/>
        <v/>
      </c>
      <c r="X855" s="232" t="str">
        <f t="shared" si="1941"/>
        <v/>
      </c>
      <c r="Y855" s="371"/>
      <c r="Z855" s="499"/>
      <c r="AA855" s="500"/>
      <c r="AB855" s="491" t="str">
        <f t="shared" si="1906"/>
        <v/>
      </c>
      <c r="AC855" s="371"/>
      <c r="AD855" s="232" t="str">
        <f t="shared" si="1907"/>
        <v/>
      </c>
      <c r="AE855" s="232" t="str">
        <f t="shared" si="1908"/>
        <v/>
      </c>
      <c r="AF855" s="232" t="str">
        <f t="shared" si="1909"/>
        <v/>
      </c>
      <c r="AG855" s="232" t="str">
        <f t="shared" si="1942"/>
        <v/>
      </c>
      <c r="AH855" s="371"/>
      <c r="AI855" s="499"/>
      <c r="AJ855" s="500"/>
      <c r="AK855" s="491" t="str">
        <f t="shared" si="1910"/>
        <v/>
      </c>
      <c r="AL855" s="371"/>
      <c r="AM855" s="232" t="str">
        <f t="shared" si="1911"/>
        <v/>
      </c>
      <c r="AN855" s="232" t="str">
        <f t="shared" si="1912"/>
        <v/>
      </c>
      <c r="AO855" s="232" t="str">
        <f t="shared" si="1913"/>
        <v/>
      </c>
      <c r="AP855" s="232" t="str">
        <f t="shared" si="1943"/>
        <v/>
      </c>
      <c r="AQ855" s="371"/>
      <c r="AR855" s="499"/>
      <c r="AS855" s="500"/>
      <c r="AT855" s="491" t="str">
        <f t="shared" si="1914"/>
        <v/>
      </c>
      <c r="AU855" s="371"/>
      <c r="AV855" s="232" t="str">
        <f t="shared" si="1915"/>
        <v/>
      </c>
      <c r="AW855" s="232" t="str">
        <f t="shared" si="1916"/>
        <v/>
      </c>
      <c r="AX855" s="232" t="str">
        <f t="shared" si="1917"/>
        <v/>
      </c>
      <c r="AY855" s="232" t="str">
        <f t="shared" si="1944"/>
        <v/>
      </c>
      <c r="AZ855" s="371"/>
      <c r="BA855" s="499"/>
      <c r="BB855" s="500"/>
      <c r="BC855" s="491" t="str">
        <f t="shared" si="1918"/>
        <v/>
      </c>
      <c r="BD855" s="371"/>
      <c r="BE855" s="232" t="str">
        <f t="shared" si="1919"/>
        <v/>
      </c>
      <c r="BF855" s="232" t="str">
        <f t="shared" si="1920"/>
        <v/>
      </c>
      <c r="BG855" s="232" t="str">
        <f t="shared" si="1921"/>
        <v/>
      </c>
      <c r="BH855" s="232" t="str">
        <f t="shared" si="1945"/>
        <v/>
      </c>
      <c r="BI855" s="371"/>
      <c r="BJ855" s="499"/>
      <c r="BK855" s="500"/>
      <c r="BL855" s="491" t="str">
        <f t="shared" si="1922"/>
        <v/>
      </c>
      <c r="BM855" s="371"/>
      <c r="BN855" s="232" t="str">
        <f t="shared" si="1923"/>
        <v/>
      </c>
      <c r="BO855" s="232" t="str">
        <f t="shared" si="1924"/>
        <v/>
      </c>
      <c r="BP855" s="232" t="str">
        <f t="shared" si="1925"/>
        <v/>
      </c>
      <c r="BQ855" s="232" t="str">
        <f t="shared" si="1946"/>
        <v/>
      </c>
      <c r="BR855" s="371"/>
      <c r="BS855" s="499"/>
      <c r="BT855" s="500"/>
      <c r="BU855" s="491" t="str">
        <f t="shared" si="1926"/>
        <v/>
      </c>
      <c r="BV855" s="371"/>
      <c r="BW855" s="232" t="str">
        <f t="shared" si="1927"/>
        <v/>
      </c>
      <c r="BX855" s="232" t="str">
        <f t="shared" si="1928"/>
        <v/>
      </c>
      <c r="BY855" s="232" t="str">
        <f t="shared" si="1929"/>
        <v/>
      </c>
      <c r="BZ855" s="232" t="str">
        <f t="shared" si="1947"/>
        <v/>
      </c>
      <c r="CA855" s="371"/>
      <c r="CB855" s="507" t="str">
        <f t="shared" si="1930"/>
        <v/>
      </c>
      <c r="CC855" s="508" t="str">
        <f t="shared" si="1931"/>
        <v/>
      </c>
      <c r="CD855" s="509" t="str">
        <f t="shared" si="1932"/>
        <v/>
      </c>
      <c r="CE855" s="371"/>
      <c r="CF855" s="232" t="str">
        <f t="shared" si="1933"/>
        <v/>
      </c>
      <c r="CG855" s="232" t="str">
        <f t="shared" si="1934"/>
        <v/>
      </c>
      <c r="CH855" s="232" t="str">
        <f t="shared" si="1935"/>
        <v/>
      </c>
      <c r="CI855" s="232" t="str">
        <f t="shared" si="1948"/>
        <v/>
      </c>
      <c r="CJ855" s="232"/>
      <c r="CK855" s="499"/>
      <c r="CL855" s="500"/>
      <c r="CM855" s="491" t="str">
        <f t="shared" si="1936"/>
        <v/>
      </c>
      <c r="CN855" s="371"/>
      <c r="CO855" s="232" t="str">
        <f t="shared" si="1937"/>
        <v/>
      </c>
      <c r="CP855" s="232" t="str">
        <f t="shared" si="1938"/>
        <v/>
      </c>
      <c r="CQ855" s="232" t="str">
        <f t="shared" si="1939"/>
        <v/>
      </c>
      <c r="CR855" s="232" t="str">
        <f t="shared" si="1949"/>
        <v/>
      </c>
      <c r="CS855" s="232"/>
      <c r="CT855" s="371"/>
      <c r="CU855" s="300"/>
      <c r="CV855" s="246"/>
      <c r="CW855" s="264"/>
    </row>
    <row r="856" spans="1:101" x14ac:dyDescent="0.2">
      <c r="A856" s="264"/>
      <c r="B856" s="264"/>
      <c r="C856" s="202"/>
      <c r="D856" s="272"/>
      <c r="E856" s="235"/>
      <c r="F856" s="395" t="str">
        <f>IF(SUM(F844:F855)=0,"",SUM(F844:F855))</f>
        <v/>
      </c>
      <c r="G856" s="370" t="s">
        <v>49</v>
      </c>
      <c r="H856" s="396" t="str">
        <f>IF(SUM(H844:H855)=0,"",SUM(H844:H855))</f>
        <v/>
      </c>
      <c r="I856" s="397" t="str">
        <f>IF(COUNTIF(I844:I855,"=x")=0,"",COUNTIF(I844:I855,"=x"))</f>
        <v/>
      </c>
      <c r="J856" s="398" t="str">
        <f>IF(COUNTIF(J844:J855,"=x")=0,"",COUNTIF(J844:J855,"=x"))</f>
        <v/>
      </c>
      <c r="K856" s="399" t="str">
        <f>IF(COUNTIF(K844:K855,"=x")=0,"",COUNTIF(K844:K855,"=x"))</f>
        <v/>
      </c>
      <c r="L856" s="299"/>
      <c r="M856" s="375"/>
      <c r="N856" s="379"/>
      <c r="O856" s="236"/>
      <c r="P856" s="369"/>
      <c r="Q856" s="466">
        <f>SUM(U844:U855)</f>
        <v>0</v>
      </c>
      <c r="R856" s="466">
        <f>SUM(V844:V855)</f>
        <v>0</v>
      </c>
      <c r="S856" s="466">
        <f>SUM(W844:W855)</f>
        <v>0</v>
      </c>
      <c r="T856" s="368"/>
      <c r="U856" s="232"/>
      <c r="V856" s="232"/>
      <c r="W856" s="232"/>
      <c r="X856" s="232"/>
      <c r="Y856" s="367"/>
      <c r="Z856" s="466">
        <f>SUM(AD844:AD855)</f>
        <v>0</v>
      </c>
      <c r="AA856" s="466">
        <f>SUM(AE844:AE855)</f>
        <v>0</v>
      </c>
      <c r="AB856" s="466">
        <f>SUM(AF844:AF855)</f>
        <v>0</v>
      </c>
      <c r="AC856" s="368"/>
      <c r="AD856" s="232"/>
      <c r="AE856" s="232"/>
      <c r="AF856" s="232"/>
      <c r="AG856" s="232"/>
      <c r="AH856" s="367"/>
      <c r="AI856" s="466">
        <f>SUM(AM844:AM855)</f>
        <v>0</v>
      </c>
      <c r="AJ856" s="466">
        <f>SUM(AN844:AN855)</f>
        <v>0</v>
      </c>
      <c r="AK856" s="466">
        <f>SUM(AO844:AO855)</f>
        <v>0</v>
      </c>
      <c r="AL856" s="368"/>
      <c r="AM856" s="232"/>
      <c r="AN856" s="232"/>
      <c r="AO856" s="232"/>
      <c r="AP856" s="232"/>
      <c r="AQ856" s="367"/>
      <c r="AR856" s="466">
        <f>SUM(AV844:AV855)</f>
        <v>0</v>
      </c>
      <c r="AS856" s="466">
        <f>SUM(AW844:AW855)</f>
        <v>0</v>
      </c>
      <c r="AT856" s="466">
        <f>SUM(AX844:AX855)</f>
        <v>0</v>
      </c>
      <c r="AU856" s="368"/>
      <c r="AV856" s="232"/>
      <c r="AW856" s="232"/>
      <c r="AX856" s="232"/>
      <c r="AY856" s="232"/>
      <c r="AZ856" s="367"/>
      <c r="BA856" s="466">
        <f>SUM(BE844:BE855)</f>
        <v>0</v>
      </c>
      <c r="BB856" s="466">
        <f>SUM(BF844:BF855)</f>
        <v>0</v>
      </c>
      <c r="BC856" s="466">
        <f>SUM(BG844:BG855)</f>
        <v>0</v>
      </c>
      <c r="BD856" s="368"/>
      <c r="BE856" s="232"/>
      <c r="BF856" s="232"/>
      <c r="BG856" s="232"/>
      <c r="BH856" s="232"/>
      <c r="BI856" s="367"/>
      <c r="BJ856" s="466">
        <f>SUM(BN844:BN855)</f>
        <v>0</v>
      </c>
      <c r="BK856" s="466">
        <f>SUM(BO844:BO855)</f>
        <v>0</v>
      </c>
      <c r="BL856" s="466">
        <f>SUM(BP844:BP855)</f>
        <v>0</v>
      </c>
      <c r="BM856" s="368"/>
      <c r="BN856" s="232"/>
      <c r="BO856" s="232"/>
      <c r="BP856" s="232"/>
      <c r="BQ856" s="232"/>
      <c r="BR856" s="367"/>
      <c r="BS856" s="466">
        <f>SUM(BW844:BW855)</f>
        <v>0</v>
      </c>
      <c r="BT856" s="466">
        <f>SUM(BX844:BX855)</f>
        <v>0</v>
      </c>
      <c r="BU856" s="466">
        <f>SUM(BY844:BY855)</f>
        <v>0</v>
      </c>
      <c r="BV856" s="368"/>
      <c r="BW856" s="232"/>
      <c r="BX856" s="232"/>
      <c r="BY856" s="232"/>
      <c r="BZ856" s="232"/>
      <c r="CA856" s="369"/>
      <c r="CB856" s="466">
        <f>SUM(CF844:CF855)</f>
        <v>0</v>
      </c>
      <c r="CC856" s="466">
        <f>SUM(CG844:CG855)</f>
        <v>0</v>
      </c>
      <c r="CD856" s="466">
        <f>SUM(CH844:CH855)</f>
        <v>0</v>
      </c>
      <c r="CE856" s="368"/>
      <c r="CF856" s="232"/>
      <c r="CG856" s="232"/>
      <c r="CH856" s="232"/>
      <c r="CI856" s="232"/>
      <c r="CJ856" s="232"/>
      <c r="CK856" s="466">
        <f>SUM(CO844:CO855)</f>
        <v>0</v>
      </c>
      <c r="CL856" s="466">
        <f>SUM(CP844:CP855)</f>
        <v>0</v>
      </c>
      <c r="CM856" s="466">
        <f>SUM(CQ844:CQ855)</f>
        <v>0</v>
      </c>
      <c r="CN856" s="368"/>
      <c r="CO856" s="232"/>
      <c r="CP856" s="232"/>
      <c r="CQ856" s="232"/>
      <c r="CR856" s="232"/>
      <c r="CS856" s="232"/>
      <c r="CT856" s="232"/>
      <c r="CU856" s="300"/>
      <c r="CV856" s="246"/>
      <c r="CW856" s="265"/>
    </row>
    <row r="857" spans="1:101" ht="13.5" thickBot="1" x14ac:dyDescent="0.25">
      <c r="A857" s="264"/>
      <c r="B857" s="264"/>
      <c r="C857" s="202"/>
      <c r="D857" s="289"/>
      <c r="E857" s="282"/>
      <c r="F857" s="283"/>
      <c r="G857" s="282"/>
      <c r="H857" s="282"/>
      <c r="I857" s="282"/>
      <c r="J857" s="282"/>
      <c r="K857" s="282"/>
      <c r="L857" s="293"/>
      <c r="M857" s="301"/>
      <c r="N857" s="380"/>
      <c r="O857" s="376"/>
      <c r="P857" s="284"/>
      <c r="Q857" s="285"/>
      <c r="R857" s="285"/>
      <c r="S857" s="285"/>
      <c r="T857" s="286"/>
      <c r="U857" s="287"/>
      <c r="V857" s="287"/>
      <c r="W857" s="287"/>
      <c r="X857" s="287"/>
      <c r="Y857" s="284"/>
      <c r="Z857" s="285"/>
      <c r="AA857" s="285"/>
      <c r="AB857" s="285"/>
      <c r="AC857" s="286"/>
      <c r="AD857" s="287"/>
      <c r="AE857" s="287"/>
      <c r="AF857" s="287"/>
      <c r="AG857" s="288"/>
      <c r="AH857" s="284"/>
      <c r="AI857" s="285"/>
      <c r="AJ857" s="285"/>
      <c r="AK857" s="285"/>
      <c r="AL857" s="286"/>
      <c r="AM857" s="287"/>
      <c r="AN857" s="287"/>
      <c r="AO857" s="287"/>
      <c r="AP857" s="288"/>
      <c r="AQ857" s="284"/>
      <c r="AR857" s="285"/>
      <c r="AS857" s="285"/>
      <c r="AT857" s="285"/>
      <c r="AU857" s="286"/>
      <c r="AV857" s="287"/>
      <c r="AW857" s="287"/>
      <c r="AX857" s="287"/>
      <c r="AY857" s="288"/>
      <c r="AZ857" s="284"/>
      <c r="BA857" s="285"/>
      <c r="BB857" s="285"/>
      <c r="BC857" s="285"/>
      <c r="BD857" s="286"/>
      <c r="BE857" s="287"/>
      <c r="BF857" s="287"/>
      <c r="BG857" s="287"/>
      <c r="BH857" s="288"/>
      <c r="BI857" s="284"/>
      <c r="BJ857" s="284"/>
      <c r="BK857" s="284"/>
      <c r="BL857" s="284"/>
      <c r="BM857" s="284"/>
      <c r="BN857" s="284"/>
      <c r="BO857" s="284"/>
      <c r="BP857" s="284"/>
      <c r="BQ857" s="284"/>
      <c r="BR857" s="284"/>
      <c r="BS857" s="284"/>
      <c r="BT857" s="284"/>
      <c r="BU857" s="284"/>
      <c r="BV857" s="284"/>
      <c r="BW857" s="284"/>
      <c r="BX857" s="284"/>
      <c r="BY857" s="284"/>
      <c r="BZ857" s="284"/>
      <c r="CA857" s="284"/>
      <c r="CB857" s="284"/>
      <c r="CC857" s="284"/>
      <c r="CD857" s="284"/>
      <c r="CE857" s="284"/>
      <c r="CF857" s="284"/>
      <c r="CG857" s="284"/>
      <c r="CH857" s="284"/>
      <c r="CI857" s="284"/>
      <c r="CJ857" s="288"/>
      <c r="CK857" s="288"/>
      <c r="CL857" s="288"/>
      <c r="CM857" s="288"/>
      <c r="CN857" s="288"/>
      <c r="CO857" s="288"/>
      <c r="CP857" s="288"/>
      <c r="CQ857" s="288"/>
      <c r="CR857" s="288"/>
      <c r="CS857" s="288"/>
      <c r="CT857" s="282"/>
      <c r="CU857" s="294"/>
      <c r="CV857" s="246"/>
      <c r="CW857" s="265"/>
    </row>
    <row r="858" spans="1:101" ht="14.25" thickTop="1" thickBot="1" x14ac:dyDescent="0.25">
      <c r="A858" s="256"/>
      <c r="B858" s="256"/>
      <c r="C858" s="210"/>
      <c r="D858" s="211"/>
      <c r="E858" s="247"/>
      <c r="F858" s="248"/>
      <c r="G858" s="247"/>
      <c r="H858" s="247"/>
      <c r="I858" s="247"/>
      <c r="J858" s="247"/>
      <c r="K858" s="247"/>
      <c r="L858" s="249"/>
      <c r="M858" s="250"/>
      <c r="N858" s="250"/>
      <c r="O858" s="250"/>
      <c r="P858" s="250"/>
      <c r="Q858" s="247"/>
      <c r="R858" s="247"/>
      <c r="S858" s="247"/>
      <c r="T858" s="251"/>
      <c r="U858" s="252"/>
      <c r="V858" s="252"/>
      <c r="W858" s="252"/>
      <c r="X858" s="252"/>
      <c r="Y858" s="250"/>
      <c r="Z858" s="247"/>
      <c r="AA858" s="247"/>
      <c r="AB858" s="247"/>
      <c r="AC858" s="251"/>
      <c r="AD858" s="252"/>
      <c r="AE858" s="252"/>
      <c r="AF858" s="252"/>
      <c r="AG858" s="247"/>
      <c r="AH858" s="250"/>
      <c r="AI858" s="247"/>
      <c r="AJ858" s="247"/>
      <c r="AK858" s="247"/>
      <c r="AL858" s="251"/>
      <c r="AM858" s="252"/>
      <c r="AN858" s="252"/>
      <c r="AO858" s="252"/>
      <c r="AP858" s="253"/>
      <c r="AQ858" s="250"/>
      <c r="AR858" s="247"/>
      <c r="AS858" s="247"/>
      <c r="AT858" s="247"/>
      <c r="AU858" s="251"/>
      <c r="AV858" s="252"/>
      <c r="AW858" s="252"/>
      <c r="AX858" s="252"/>
      <c r="AY858" s="247"/>
      <c r="AZ858" s="250"/>
      <c r="BA858" s="247"/>
      <c r="BB858" s="247"/>
      <c r="BC858" s="247"/>
      <c r="BD858" s="251"/>
      <c r="BE858" s="252"/>
      <c r="BF858" s="252"/>
      <c r="BG858" s="252"/>
      <c r="BH858" s="247"/>
      <c r="BI858" s="250"/>
      <c r="BJ858" s="247"/>
      <c r="BK858" s="247"/>
      <c r="BL858" s="247"/>
      <c r="BM858" s="251"/>
      <c r="BN858" s="252"/>
      <c r="BO858" s="252"/>
      <c r="BP858" s="252"/>
      <c r="BQ858" s="247"/>
      <c r="BR858" s="212"/>
      <c r="BS858" s="247"/>
      <c r="BT858" s="247"/>
      <c r="BU858" s="247"/>
      <c r="BV858" s="250"/>
      <c r="BW858" s="252"/>
      <c r="BX858" s="252"/>
      <c r="BY858" s="252"/>
      <c r="BZ858" s="247"/>
      <c r="CA858" s="247"/>
      <c r="CB858" s="253"/>
      <c r="CC858" s="253"/>
      <c r="CD858" s="253"/>
      <c r="CE858" s="253"/>
      <c r="CF858" s="247"/>
      <c r="CG858" s="247"/>
      <c r="CH858" s="247"/>
      <c r="CI858" s="247"/>
      <c r="CJ858" s="247"/>
      <c r="CK858" s="247"/>
      <c r="CL858" s="247"/>
      <c r="CM858" s="247"/>
      <c r="CN858" s="247"/>
      <c r="CO858" s="247"/>
      <c r="CP858" s="247"/>
      <c r="CQ858" s="247"/>
      <c r="CR858" s="247"/>
      <c r="CS858" s="247"/>
      <c r="CT858" s="247"/>
      <c r="CU858" s="247"/>
      <c r="CV858" s="254"/>
      <c r="CW858" s="255"/>
    </row>
    <row r="859" spans="1:101" ht="14.25" thickTop="1" thickBot="1" x14ac:dyDescent="0.25">
      <c r="A859" s="255"/>
      <c r="B859" s="255"/>
      <c r="C859" s="255"/>
      <c r="D859" s="255"/>
      <c r="E859" s="255"/>
      <c r="F859" s="255"/>
      <c r="G859" s="255"/>
      <c r="H859" s="255"/>
      <c r="I859" s="255"/>
      <c r="J859" s="255"/>
      <c r="K859" s="255"/>
      <c r="L859" s="255"/>
      <c r="M859" s="255"/>
      <c r="N859" s="255"/>
      <c r="O859" s="255"/>
      <c r="P859" s="255"/>
      <c r="Q859" s="255"/>
      <c r="R859" s="255"/>
      <c r="S859" s="255"/>
      <c r="T859" s="255"/>
      <c r="U859" s="255"/>
      <c r="V859" s="255"/>
      <c r="W859" s="255"/>
      <c r="X859" s="255"/>
      <c r="Y859" s="255"/>
      <c r="Z859" s="255"/>
      <c r="AA859" s="255"/>
      <c r="AB859" s="255"/>
      <c r="AC859" s="255"/>
      <c r="AD859" s="255"/>
      <c r="AE859" s="255"/>
      <c r="AF859" s="255"/>
      <c r="AG859" s="255"/>
      <c r="AH859" s="255"/>
      <c r="AI859" s="255"/>
      <c r="AJ859" s="255"/>
      <c r="AK859" s="255"/>
      <c r="AL859" s="255"/>
      <c r="AM859" s="255"/>
      <c r="AN859" s="255"/>
      <c r="AO859" s="255"/>
      <c r="AP859" s="255"/>
      <c r="AQ859" s="255"/>
      <c r="AR859" s="255"/>
      <c r="AS859" s="255"/>
      <c r="AT859" s="255"/>
      <c r="AU859" s="255"/>
      <c r="AV859" s="255"/>
      <c r="AW859" s="255"/>
      <c r="AX859" s="255"/>
      <c r="AY859" s="255"/>
      <c r="AZ859" s="255"/>
      <c r="BA859" s="255"/>
      <c r="BB859" s="255"/>
      <c r="BC859" s="255"/>
      <c r="BD859" s="255"/>
      <c r="BE859" s="255"/>
      <c r="BF859" s="255"/>
      <c r="BG859" s="255"/>
      <c r="BH859" s="255"/>
      <c r="BI859" s="255"/>
      <c r="BJ859" s="255"/>
      <c r="BK859" s="255"/>
      <c r="BL859" s="255"/>
      <c r="BM859" s="255"/>
      <c r="BN859" s="255"/>
      <c r="BO859" s="255"/>
      <c r="BP859" s="255"/>
      <c r="BQ859" s="255"/>
      <c r="BR859" s="255"/>
      <c r="BS859" s="255"/>
      <c r="BT859" s="255"/>
      <c r="BU859" s="255"/>
      <c r="BV859" s="255"/>
      <c r="BW859" s="255"/>
      <c r="BX859" s="255"/>
      <c r="BY859" s="255"/>
      <c r="BZ859" s="255"/>
      <c r="CA859" s="255"/>
      <c r="CB859" s="436"/>
      <c r="CC859" s="436"/>
      <c r="CD859" s="436"/>
      <c r="CE859" s="436"/>
      <c r="CF859" s="255"/>
      <c r="CG859" s="255"/>
      <c r="CH859" s="255"/>
      <c r="CI859" s="255"/>
      <c r="CJ859" s="255"/>
      <c r="CK859" s="255"/>
      <c r="CL859" s="255"/>
      <c r="CM859" s="255"/>
      <c r="CN859" s="255"/>
      <c r="CO859" s="255"/>
      <c r="CP859" s="255"/>
      <c r="CQ859" s="255"/>
      <c r="CR859" s="255"/>
      <c r="CS859" s="255"/>
      <c r="CT859" s="255"/>
      <c r="CU859" s="255"/>
      <c r="CV859" s="255"/>
      <c r="CW859" s="255"/>
    </row>
    <row r="860" spans="1:101" ht="21" thickTop="1" x14ac:dyDescent="0.3">
      <c r="A860" s="256"/>
      <c r="B860" s="256"/>
      <c r="C860" s="190"/>
      <c r="D860" s="191"/>
      <c r="E860" s="866" t="str">
        <f>E2</f>
        <v>STPS 2026</v>
      </c>
      <c r="F860" s="267"/>
      <c r="G860" s="267"/>
      <c r="H860" s="267"/>
      <c r="I860" s="192"/>
      <c r="J860" s="192"/>
      <c r="K860" s="192"/>
      <c r="L860" s="193"/>
      <c r="M860" s="192"/>
      <c r="N860" s="192"/>
      <c r="O860" s="192"/>
      <c r="P860" s="194"/>
      <c r="Q860" s="192"/>
      <c r="R860" s="192"/>
      <c r="S860" s="192"/>
      <c r="T860" s="195"/>
      <c r="U860" s="196"/>
      <c r="V860" s="196"/>
      <c r="W860" s="196"/>
      <c r="X860" s="196"/>
      <c r="Y860" s="194"/>
      <c r="Z860" s="192"/>
      <c r="AA860" s="192"/>
      <c r="AB860" s="192"/>
      <c r="AC860" s="195"/>
      <c r="AD860" s="196"/>
      <c r="AE860" s="196"/>
      <c r="AF860" s="196"/>
      <c r="AG860" s="197"/>
      <c r="AH860" s="194"/>
      <c r="AI860" s="192"/>
      <c r="AJ860" s="237"/>
      <c r="AK860" s="237"/>
      <c r="AL860" s="198"/>
      <c r="AM860" s="238"/>
      <c r="AN860" s="238"/>
      <c r="AO860" s="238"/>
      <c r="AP860" s="197"/>
      <c r="AQ860" s="239"/>
      <c r="AR860" s="240"/>
      <c r="AS860" s="199"/>
      <c r="AT860" s="200"/>
      <c r="AU860" s="198"/>
      <c r="AV860" s="196"/>
      <c r="AW860" s="196"/>
      <c r="AX860" s="196"/>
      <c r="AY860" s="197"/>
      <c r="AZ860" s="239"/>
      <c r="BA860" s="240"/>
      <c r="BB860" s="200"/>
      <c r="BC860" s="237"/>
      <c r="BD860" s="241"/>
      <c r="BE860" s="196"/>
      <c r="BF860" s="196"/>
      <c r="BG860" s="196"/>
      <c r="BH860" s="197"/>
      <c r="BI860" s="242"/>
      <c r="BJ860" s="237"/>
      <c r="BK860" s="237"/>
      <c r="BL860" s="237"/>
      <c r="BM860" s="241"/>
      <c r="BN860" s="196"/>
      <c r="BO860" s="196"/>
      <c r="BP860" s="196"/>
      <c r="BQ860" s="197"/>
      <c r="BR860" s="201"/>
      <c r="BS860" s="237"/>
      <c r="BT860" s="237"/>
      <c r="BU860" s="237"/>
      <c r="BV860" s="242"/>
      <c r="BW860" s="237"/>
      <c r="BX860" s="237"/>
      <c r="BY860" s="237"/>
      <c r="BZ860" s="237"/>
      <c r="CA860" s="237"/>
      <c r="CB860" s="437"/>
      <c r="CC860" s="437"/>
      <c r="CD860" s="437"/>
      <c r="CE860" s="437"/>
      <c r="CF860" s="237"/>
      <c r="CG860" s="237"/>
      <c r="CH860" s="237"/>
      <c r="CI860" s="237"/>
      <c r="CJ860" s="197"/>
      <c r="CK860" s="197"/>
      <c r="CL860" s="197"/>
      <c r="CM860" s="197"/>
      <c r="CN860" s="197"/>
      <c r="CO860" s="197"/>
      <c r="CP860" s="197"/>
      <c r="CQ860" s="197"/>
      <c r="CR860" s="197"/>
      <c r="CS860" s="197"/>
      <c r="CT860" s="401"/>
      <c r="CU860" s="237"/>
      <c r="CV860" s="243"/>
      <c r="CW860" s="255"/>
    </row>
    <row r="861" spans="1:101" ht="13.5" thickBot="1" x14ac:dyDescent="0.25">
      <c r="A861" s="256"/>
      <c r="B861" s="256"/>
      <c r="C861" s="202"/>
      <c r="D861" s="188"/>
      <c r="E861" s="266" t="str">
        <f>E3</f>
        <v>Skorgen Tippelag</v>
      </c>
      <c r="F861" s="406"/>
      <c r="G861" s="406"/>
      <c r="H861" s="406"/>
      <c r="I861" s="406"/>
      <c r="J861" s="406"/>
      <c r="K861" s="406"/>
      <c r="L861" s="406"/>
      <c r="M861" s="406"/>
      <c r="N861" s="406"/>
      <c r="O861" s="406"/>
      <c r="P861" s="406"/>
      <c r="Q861" s="406"/>
      <c r="R861" s="406"/>
      <c r="S861" s="406"/>
      <c r="T861" s="406"/>
      <c r="U861" s="406"/>
      <c r="V861" s="406"/>
      <c r="W861" s="406"/>
      <c r="X861" s="406"/>
      <c r="Y861" s="406"/>
      <c r="Z861" s="406"/>
      <c r="AA861" s="406"/>
      <c r="AB861" s="406"/>
      <c r="AC861" s="406"/>
      <c r="AD861" s="406"/>
      <c r="AE861" s="406"/>
      <c r="AF861" s="406"/>
      <c r="AG861" s="406"/>
      <c r="AH861" s="406"/>
      <c r="AI861" s="406"/>
      <c r="AJ861" s="406"/>
      <c r="AK861" s="406"/>
      <c r="AL861" s="406"/>
      <c r="AM861" s="406"/>
      <c r="AN861" s="406"/>
      <c r="AO861" s="406"/>
      <c r="AP861" s="406"/>
      <c r="AQ861" s="406"/>
      <c r="AR861" s="406"/>
      <c r="AS861" s="406"/>
      <c r="AT861" s="406"/>
      <c r="AU861" s="406"/>
      <c r="AV861" s="406"/>
      <c r="AW861" s="406"/>
      <c r="AX861" s="406"/>
      <c r="AY861" s="406"/>
      <c r="AZ861" s="406"/>
      <c r="BA861" s="406"/>
      <c r="BB861" s="406"/>
      <c r="BC861" s="406"/>
      <c r="BD861" s="406"/>
      <c r="BE861" s="406"/>
      <c r="BF861" s="406"/>
      <c r="BG861" s="406"/>
      <c r="BH861" s="406"/>
      <c r="BI861" s="406"/>
      <c r="BJ861" s="406"/>
      <c r="BK861" s="406"/>
      <c r="BL861" s="406"/>
      <c r="BM861" s="406"/>
      <c r="BN861" s="406"/>
      <c r="BO861" s="406"/>
      <c r="BP861" s="406"/>
      <c r="BQ861" s="406"/>
      <c r="BR861" s="406"/>
      <c r="BS861" s="406"/>
      <c r="BT861" s="406"/>
      <c r="BU861" s="406"/>
      <c r="BV861" s="406"/>
      <c r="BW861" s="406"/>
      <c r="BX861" s="406"/>
      <c r="BY861" s="406"/>
      <c r="BZ861" s="406"/>
      <c r="CA861" s="406"/>
      <c r="CB861" s="438"/>
      <c r="CC861" s="438"/>
      <c r="CD861" s="438"/>
      <c r="CE861" s="438"/>
      <c r="CF861" s="406"/>
      <c r="CG861" s="406"/>
      <c r="CH861" s="406"/>
      <c r="CI861" s="406"/>
      <c r="CJ861" s="406"/>
      <c r="CK861" s="406"/>
      <c r="CL861" s="406"/>
      <c r="CM861" s="406"/>
      <c r="CN861" s="366"/>
      <c r="CO861" s="366"/>
      <c r="CP861" s="366"/>
      <c r="CQ861" s="366"/>
      <c r="CR861" s="366"/>
      <c r="CS861" s="366"/>
      <c r="CT861" s="187"/>
      <c r="CU861" s="310"/>
      <c r="CV861" s="246"/>
      <c r="CW861" s="255"/>
    </row>
    <row r="862" spans="1:101" ht="18.75" thickTop="1" x14ac:dyDescent="0.2">
      <c r="A862" s="256"/>
      <c r="B862" s="256"/>
      <c r="C862" s="209"/>
      <c r="D862" s="290"/>
      <c r="E862" s="273"/>
      <c r="F862" s="274"/>
      <c r="G862" s="273"/>
      <c r="H862" s="273"/>
      <c r="I862" s="803" t="s">
        <v>39</v>
      </c>
      <c r="J862" s="805"/>
      <c r="K862" s="805"/>
      <c r="L862" s="291"/>
      <c r="M862" s="302"/>
      <c r="N862" s="242"/>
      <c r="O862" s="275"/>
      <c r="P862" s="275"/>
      <c r="Q862" s="808" t="str">
        <f>IF($F866="","",SUM(Q878:S878)-S864)</f>
        <v/>
      </c>
      <c r="R862" s="808"/>
      <c r="S862" s="808"/>
      <c r="T862" s="276"/>
      <c r="U862" s="277"/>
      <c r="V862" s="277"/>
      <c r="W862" s="277"/>
      <c r="X862" s="277"/>
      <c r="Y862" s="275"/>
      <c r="Z862" s="808" t="str">
        <f>IF($F866="","",SUM(Z878:AB878)-AB864)</f>
        <v/>
      </c>
      <c r="AA862" s="808"/>
      <c r="AB862" s="808"/>
      <c r="AC862" s="276"/>
      <c r="AD862" s="277"/>
      <c r="AE862" s="277"/>
      <c r="AF862" s="277"/>
      <c r="AG862" s="273"/>
      <c r="AH862" s="275"/>
      <c r="AI862" s="808" t="str">
        <f>IF($F866="","",SUM(AI878:AK878)-AK864)</f>
        <v/>
      </c>
      <c r="AJ862" s="808"/>
      <c r="AK862" s="808"/>
      <c r="AL862" s="276"/>
      <c r="AM862" s="277"/>
      <c r="AN862" s="277"/>
      <c r="AO862" s="277"/>
      <c r="AP862" s="273"/>
      <c r="AQ862" s="275"/>
      <c r="AR862" s="808" t="str">
        <f>IF($F866="","",SUM(AR878:AT878)-AT864)</f>
        <v/>
      </c>
      <c r="AS862" s="808"/>
      <c r="AT862" s="808"/>
      <c r="AU862" s="278"/>
      <c r="AV862" s="277"/>
      <c r="AW862" s="277"/>
      <c r="AX862" s="277"/>
      <c r="AY862" s="279"/>
      <c r="AZ862" s="280"/>
      <c r="BA862" s="808" t="str">
        <f>IF($F866="","",SUM(BA878:BC878)-BC864)</f>
        <v/>
      </c>
      <c r="BB862" s="808"/>
      <c r="BC862" s="808"/>
      <c r="BD862" s="278"/>
      <c r="BE862" s="277"/>
      <c r="BF862" s="277"/>
      <c r="BG862" s="277"/>
      <c r="BH862" s="279"/>
      <c r="BI862" s="280"/>
      <c r="BJ862" s="808" t="str">
        <f>IF($F866="","",SUM(BJ878:BL878)-BL864)</f>
        <v/>
      </c>
      <c r="BK862" s="808"/>
      <c r="BL862" s="808"/>
      <c r="BM862" s="278"/>
      <c r="BN862" s="277"/>
      <c r="BO862" s="277"/>
      <c r="BP862" s="277"/>
      <c r="BQ862" s="279"/>
      <c r="BR862" s="281"/>
      <c r="BS862" s="808" t="str">
        <f>IF($F866="","",SUM(BS878:BU878)-BU864)</f>
        <v/>
      </c>
      <c r="BT862" s="808"/>
      <c r="BU862" s="808"/>
      <c r="BV862" s="280"/>
      <c r="BW862" s="279"/>
      <c r="BX862" s="279"/>
      <c r="BY862" s="279"/>
      <c r="BZ862" s="279"/>
      <c r="CA862" s="281"/>
      <c r="CB862" s="808" t="str">
        <f>IF($F866="","",SUM(CB878:CD878)-CD864)</f>
        <v/>
      </c>
      <c r="CC862" s="808"/>
      <c r="CD862" s="808"/>
      <c r="CE862" s="280"/>
      <c r="CF862" s="279"/>
      <c r="CG862" s="279"/>
      <c r="CH862" s="279"/>
      <c r="CI862" s="279"/>
      <c r="CJ862" s="273"/>
      <c r="CK862" s="808" t="str">
        <f>IF($F866="","",SUM(CK878:CM878))</f>
        <v/>
      </c>
      <c r="CL862" s="808"/>
      <c r="CM862" s="808"/>
      <c r="CN862" s="280"/>
      <c r="CO862" s="279"/>
      <c r="CP862" s="279"/>
      <c r="CQ862" s="279"/>
      <c r="CR862" s="273"/>
      <c r="CS862" s="273"/>
      <c r="CT862" s="273"/>
      <c r="CU862" s="292"/>
      <c r="CV862" s="246"/>
      <c r="CW862" s="255"/>
    </row>
    <row r="863" spans="1:101" x14ac:dyDescent="0.2">
      <c r="A863" s="256"/>
      <c r="B863" s="256"/>
      <c r="C863" s="209"/>
      <c r="D863" s="916"/>
      <c r="E863" s="588" t="str">
        <f>IF(D863="","",DATE($D$3,1,1)+(D863-1)*7+(6-WEEKDAY(DATE($D$3,1,1),2)))</f>
        <v/>
      </c>
      <c r="F863" s="213"/>
      <c r="G863" s="214"/>
      <c r="H863" s="214"/>
      <c r="I863" s="804" t="str">
        <f>IF(ISERROR(AVERAGE(Q862,Z862,AI862,AR862,BA862,BJ862,BS862,CB862,CK862)),"",AVERAGE(Q862,Z862,AI862,AR862,BA862,BJ862,BS862,CB862,CK862))</f>
        <v/>
      </c>
      <c r="J863" s="806"/>
      <c r="K863" s="806"/>
      <c r="L863" s="295"/>
      <c r="M863" s="372"/>
      <c r="N863" s="245"/>
      <c r="O863" s="215"/>
      <c r="P863" s="215"/>
      <c r="Q863" s="710" t="str">
        <f>IF(Q862="","",Q862/Data!$X$1)</f>
        <v/>
      </c>
      <c r="R863" s="710"/>
      <c r="S863" s="711" t="str">
        <f>IF(SUM(X866:X877)=0,"",SUM(X866:X877))</f>
        <v/>
      </c>
      <c r="T863" s="216"/>
      <c r="U863" s="217"/>
      <c r="V863" s="217"/>
      <c r="W863" s="217"/>
      <c r="X863" s="217"/>
      <c r="Y863" s="215"/>
      <c r="Z863" s="710" t="str">
        <f>IF(Z862="","",Z862/Data!$X$1)</f>
        <v/>
      </c>
      <c r="AA863" s="710"/>
      <c r="AB863" s="711" t="str">
        <f>IF(SUM(AG866:AG877)=0,"",SUM(AG866:AG877))</f>
        <v/>
      </c>
      <c r="AC863" s="216"/>
      <c r="AD863" s="217"/>
      <c r="AE863" s="217"/>
      <c r="AF863" s="217"/>
      <c r="AG863" s="217"/>
      <c r="AH863" s="215"/>
      <c r="AI863" s="710" t="str">
        <f>IF(AI862="","",AI862/Data!$X$1)</f>
        <v/>
      </c>
      <c r="AJ863" s="710"/>
      <c r="AK863" s="711" t="str">
        <f>IF(SUM(AP866:AP877)=0,"",SUM(AP866:AP877))</f>
        <v/>
      </c>
      <c r="AL863" s="216"/>
      <c r="AM863" s="217"/>
      <c r="AN863" s="217"/>
      <c r="AO863" s="217"/>
      <c r="AP863" s="217"/>
      <c r="AQ863" s="215"/>
      <c r="AR863" s="710" t="str">
        <f>IF(AR862="","",AR862/Data!$X$1)</f>
        <v/>
      </c>
      <c r="AS863" s="710"/>
      <c r="AT863" s="711" t="str">
        <f>IF(SUM(AY866:AY877)=0,"",SUM(AY866:AY877))</f>
        <v/>
      </c>
      <c r="AU863" s="218"/>
      <c r="AV863" s="217"/>
      <c r="AW863" s="217"/>
      <c r="AX863" s="217"/>
      <c r="AY863" s="217"/>
      <c r="AZ863" s="219"/>
      <c r="BA863" s="710" t="str">
        <f>IF(BA862="","",BA862/Data!$X$1)</f>
        <v/>
      </c>
      <c r="BB863" s="710"/>
      <c r="BC863" s="711" t="str">
        <f>IF(SUM(BH866:BH877)=0,"",SUM(BH866:BH877))</f>
        <v/>
      </c>
      <c r="BD863" s="218"/>
      <c r="BE863" s="217"/>
      <c r="BF863" s="217"/>
      <c r="BG863" s="217"/>
      <c r="BH863" s="217"/>
      <c r="BI863" s="219"/>
      <c r="BJ863" s="710" t="str">
        <f>IF(BJ862="","",BJ862/Data!$X$1)</f>
        <v/>
      </c>
      <c r="BK863" s="710"/>
      <c r="BL863" s="711" t="str">
        <f>IF(SUM(BQ866:BQ877)=0,"",SUM(BQ866:BQ877))</f>
        <v/>
      </c>
      <c r="BM863" s="218"/>
      <c r="BN863" s="217"/>
      <c r="BO863" s="217"/>
      <c r="BP863" s="217"/>
      <c r="BQ863" s="217"/>
      <c r="BR863" s="220"/>
      <c r="BS863" s="710" t="str">
        <f>IF(BS862="","",BS862/Data!$X$1)</f>
        <v/>
      </c>
      <c r="BT863" s="710"/>
      <c r="BU863" s="711" t="str">
        <f>IF(SUM(BZ866:BZ877)=0,"",SUM(BZ866:BZ877))</f>
        <v/>
      </c>
      <c r="BV863" s="219"/>
      <c r="BW863" s="217"/>
      <c r="BX863" s="217"/>
      <c r="BY863" s="217"/>
      <c r="BZ863" s="217"/>
      <c r="CA863" s="220"/>
      <c r="CB863" s="710" t="str">
        <f>IF(CB862="","",CB862/Data!$X$1)</f>
        <v/>
      </c>
      <c r="CC863" s="710"/>
      <c r="CD863" s="711" t="str">
        <f>IF(SUM(CI866:CI877)=0,"",SUM(CI866:CI877))</f>
        <v/>
      </c>
      <c r="CE863" s="219"/>
      <c r="CF863" s="217"/>
      <c r="CG863" s="217"/>
      <c r="CH863" s="217"/>
      <c r="CI863" s="217"/>
      <c r="CJ863" s="217"/>
      <c r="CK863" s="710" t="str">
        <f>IF(CK862="","",CK862/Data!$X$1)</f>
        <v/>
      </c>
      <c r="CL863" s="710"/>
      <c r="CM863" s="711" t="str">
        <f>IF(SUM(CR866:CR877)=0,"",SUM(CR866:CR877))</f>
        <v/>
      </c>
      <c r="CN863" s="219"/>
      <c r="CO863" s="217"/>
      <c r="CP863" s="217"/>
      <c r="CQ863" s="217"/>
      <c r="CR863" s="217"/>
      <c r="CS863" s="217"/>
      <c r="CT863" s="217"/>
      <c r="CU863" s="296"/>
      <c r="CV863" s="246"/>
      <c r="CW863" s="255"/>
    </row>
    <row r="864" spans="1:101" ht="13.5" thickBot="1" x14ac:dyDescent="0.25">
      <c r="A864" s="256"/>
      <c r="B864" s="256"/>
      <c r="C864" s="209"/>
      <c r="D864" s="269">
        <f>D842+1</f>
        <v>40</v>
      </c>
      <c r="E864" s="402" t="str">
        <f>IF(E863="","Sett inn dato over her",TEXT(E863,"dddd"))</f>
        <v>Sett inn dato over her</v>
      </c>
      <c r="F864" s="221"/>
      <c r="G864" s="222"/>
      <c r="H864" s="222"/>
      <c r="I864" s="802"/>
      <c r="J864" s="807"/>
      <c r="K864" s="807"/>
      <c r="L864" s="297"/>
      <c r="M864" s="373"/>
      <c r="N864" s="377"/>
      <c r="O864" s="222"/>
      <c r="P864" s="222"/>
      <c r="Q864" s="385" t="str">
        <f>Data!$E$11</f>
        <v>AHH</v>
      </c>
      <c r="R864" s="386" t="str">
        <f>IF($F877="","",RANK(Q862,$Q862:$CL862))</f>
        <v/>
      </c>
      <c r="S864" s="510"/>
      <c r="T864" s="216">
        <v>0</v>
      </c>
      <c r="U864" s="217"/>
      <c r="V864" s="217"/>
      <c r="W864" s="217"/>
      <c r="X864" s="217"/>
      <c r="Y864" s="215"/>
      <c r="Z864" s="385" t="str">
        <f>Data!$E$12</f>
        <v>RB</v>
      </c>
      <c r="AA864" s="386" t="str">
        <f>IF($F877="","",RANK(Z862,$Q862:$CL862))</f>
        <v/>
      </c>
      <c r="AB864" s="510"/>
      <c r="AC864" s="216"/>
      <c r="AD864" s="217"/>
      <c r="AE864" s="217"/>
      <c r="AF864" s="217"/>
      <c r="AG864" s="217"/>
      <c r="AH864" s="215"/>
      <c r="AI864" s="385" t="str">
        <f>Data!$E$13</f>
        <v>EB</v>
      </c>
      <c r="AJ864" s="386" t="str">
        <f>IF($F877="","",RANK(AI862,$Q862:$CL862))</f>
        <v/>
      </c>
      <c r="AK864" s="510"/>
      <c r="AL864" s="216"/>
      <c r="AM864" s="217"/>
      <c r="AN864" s="217"/>
      <c r="AO864" s="217"/>
      <c r="AP864" s="217"/>
      <c r="AQ864" s="215"/>
      <c r="AR864" s="346" t="str">
        <f>Data!$E$14</f>
        <v>KAF</v>
      </c>
      <c r="AS864" s="386" t="str">
        <f>IF($F877="","",RANK(AR862,$Q862:$CL862))</f>
        <v/>
      </c>
      <c r="AT864" s="510"/>
      <c r="AU864" s="216"/>
      <c r="AV864" s="217"/>
      <c r="AW864" s="217"/>
      <c r="AX864" s="217"/>
      <c r="AY864" s="217"/>
      <c r="AZ864" s="215"/>
      <c r="BA864" s="346" t="str">
        <f>Data!$E$15</f>
        <v>ØG</v>
      </c>
      <c r="BB864" s="386" t="str">
        <f>IF($F877="","",RANK(BA862,$Q862:$CL862))</f>
        <v/>
      </c>
      <c r="BC864" s="510"/>
      <c r="BD864" s="216"/>
      <c r="BE864" s="217"/>
      <c r="BF864" s="217"/>
      <c r="BG864" s="217"/>
      <c r="BH864" s="217"/>
      <c r="BI864" s="215"/>
      <c r="BJ864" s="346" t="str">
        <f>Data!$E$16</f>
        <v>JH</v>
      </c>
      <c r="BK864" s="386" t="str">
        <f>IF($F877="","",RANK(BJ862,$Q862:$CL862))</f>
        <v/>
      </c>
      <c r="BL864" s="510"/>
      <c r="BM864" s="216"/>
      <c r="BN864" s="217"/>
      <c r="BO864" s="217"/>
      <c r="BP864" s="217"/>
      <c r="BQ864" s="217"/>
      <c r="BR864" s="223"/>
      <c r="BS864" s="346" t="str">
        <f>Data!$E$17</f>
        <v>TOH</v>
      </c>
      <c r="BT864" s="386" t="str">
        <f>IF($F877="","",RANK(BS862,$Q862:$CL862))</f>
        <v/>
      </c>
      <c r="BU864" s="510"/>
      <c r="BV864" s="215"/>
      <c r="BW864" s="217"/>
      <c r="BX864" s="217"/>
      <c r="BY864" s="217"/>
      <c r="BZ864" s="217"/>
      <c r="CA864" s="223"/>
      <c r="CB864" s="346" t="s">
        <v>26</v>
      </c>
      <c r="CC864" s="386" t="str">
        <f>IF($F877="","",RANK(CB862,$Q862:$CM862))</f>
        <v/>
      </c>
      <c r="CD864" s="511"/>
      <c r="CE864" s="215"/>
      <c r="CF864" s="217"/>
      <c r="CG864" s="217"/>
      <c r="CH864" s="217"/>
      <c r="CI864" s="217"/>
      <c r="CJ864" s="217"/>
      <c r="CK864" s="346" t="s">
        <v>27</v>
      </c>
      <c r="CL864" s="386" t="str">
        <f>IF($F877="","",RANK(CK862,$Q862:$CM862))</f>
        <v/>
      </c>
      <c r="CM864" s="798"/>
      <c r="CN864" s="215"/>
      <c r="CO864" s="217"/>
      <c r="CP864" s="217"/>
      <c r="CQ864" s="217"/>
      <c r="CR864" s="217"/>
      <c r="CS864" s="217"/>
      <c r="CT864" s="217"/>
      <c r="CU864" s="296"/>
      <c r="CV864" s="246"/>
      <c r="CW864" s="255"/>
    </row>
    <row r="865" spans="1:101" ht="13.5" thickBot="1" x14ac:dyDescent="0.25">
      <c r="A865" s="264"/>
      <c r="B865" s="264"/>
      <c r="C865" s="202"/>
      <c r="D865" s="270"/>
      <c r="E865" s="224"/>
      <c r="F865" s="225"/>
      <c r="G865" s="226"/>
      <c r="H865" s="226"/>
      <c r="I865" s="227" t="s">
        <v>45</v>
      </c>
      <c r="J865" s="228" t="s">
        <v>46</v>
      </c>
      <c r="K865" s="229" t="s">
        <v>47</v>
      </c>
      <c r="L865" s="298"/>
      <c r="M865" s="374"/>
      <c r="N865" s="378"/>
      <c r="O865" s="230"/>
      <c r="P865" s="230"/>
      <c r="Q865" s="227" t="s">
        <v>45</v>
      </c>
      <c r="R865" s="228" t="s">
        <v>46</v>
      </c>
      <c r="S865" s="229" t="s">
        <v>47</v>
      </c>
      <c r="T865" s="231"/>
      <c r="U865" s="232"/>
      <c r="V865" s="232"/>
      <c r="W865" s="232"/>
      <c r="X865" s="232"/>
      <c r="Y865" s="230"/>
      <c r="Z865" s="227" t="s">
        <v>45</v>
      </c>
      <c r="AA865" s="228" t="s">
        <v>46</v>
      </c>
      <c r="AB865" s="229" t="s">
        <v>47</v>
      </c>
      <c r="AC865" s="231"/>
      <c r="AD865" s="232"/>
      <c r="AE865" s="232"/>
      <c r="AF865" s="232"/>
      <c r="AG865" s="232"/>
      <c r="AH865" s="230"/>
      <c r="AI865" s="227" t="s">
        <v>45</v>
      </c>
      <c r="AJ865" s="228" t="s">
        <v>46</v>
      </c>
      <c r="AK865" s="229" t="s">
        <v>47</v>
      </c>
      <c r="AL865" s="231"/>
      <c r="AM865" s="232"/>
      <c r="AN865" s="232"/>
      <c r="AO865" s="232"/>
      <c r="AP865" s="232"/>
      <c r="AQ865" s="230"/>
      <c r="AR865" s="227" t="s">
        <v>45</v>
      </c>
      <c r="AS865" s="228" t="s">
        <v>46</v>
      </c>
      <c r="AT865" s="229" t="s">
        <v>47</v>
      </c>
      <c r="AU865" s="231"/>
      <c r="AV865" s="232"/>
      <c r="AW865" s="232"/>
      <c r="AX865" s="232"/>
      <c r="AY865" s="232"/>
      <c r="AZ865" s="230"/>
      <c r="BA865" s="227" t="s">
        <v>45</v>
      </c>
      <c r="BB865" s="228" t="s">
        <v>46</v>
      </c>
      <c r="BC865" s="229" t="s">
        <v>47</v>
      </c>
      <c r="BD865" s="231"/>
      <c r="BE865" s="232"/>
      <c r="BF865" s="232"/>
      <c r="BG865" s="232"/>
      <c r="BH865" s="232"/>
      <c r="BI865" s="230"/>
      <c r="BJ865" s="227" t="s">
        <v>45</v>
      </c>
      <c r="BK865" s="228" t="s">
        <v>46</v>
      </c>
      <c r="BL865" s="229" t="s">
        <v>47</v>
      </c>
      <c r="BM865" s="231"/>
      <c r="BN865" s="232"/>
      <c r="BO865" s="232"/>
      <c r="BP865" s="232"/>
      <c r="BQ865" s="232"/>
      <c r="BR865" s="230"/>
      <c r="BS865" s="227" t="s">
        <v>45</v>
      </c>
      <c r="BT865" s="228" t="s">
        <v>46</v>
      </c>
      <c r="BU865" s="229" t="s">
        <v>47</v>
      </c>
      <c r="BV865" s="231"/>
      <c r="BW865" s="232"/>
      <c r="BX865" s="232"/>
      <c r="BY865" s="232"/>
      <c r="BZ865" s="233"/>
      <c r="CA865" s="230"/>
      <c r="CB865" s="227" t="s">
        <v>45</v>
      </c>
      <c r="CC865" s="228" t="s">
        <v>46</v>
      </c>
      <c r="CD865" s="229" t="s">
        <v>47</v>
      </c>
      <c r="CE865" s="231"/>
      <c r="CF865" s="232"/>
      <c r="CG865" s="232"/>
      <c r="CH865" s="232"/>
      <c r="CI865" s="232"/>
      <c r="CJ865" s="232"/>
      <c r="CK865" s="227" t="s">
        <v>45</v>
      </c>
      <c r="CL865" s="228" t="s">
        <v>46</v>
      </c>
      <c r="CM865" s="229" t="s">
        <v>47</v>
      </c>
      <c r="CN865" s="231"/>
      <c r="CO865" s="232"/>
      <c r="CP865" s="232"/>
      <c r="CQ865" s="232"/>
      <c r="CR865" s="232"/>
      <c r="CS865" s="232"/>
      <c r="CT865" s="234"/>
      <c r="CU865" s="296"/>
      <c r="CV865" s="246"/>
      <c r="CW865" s="265"/>
    </row>
    <row r="866" spans="1:101" x14ac:dyDescent="0.2">
      <c r="A866" s="264"/>
      <c r="B866" s="264"/>
      <c r="C866" s="202"/>
      <c r="D866" s="271">
        <v>1</v>
      </c>
      <c r="E866" s="166"/>
      <c r="F866" s="468"/>
      <c r="G866" s="472" t="s">
        <v>49</v>
      </c>
      <c r="H866" s="473"/>
      <c r="I866" s="170" t="str">
        <f t="shared" ref="I866:I877" si="1950">IF($F866&gt;$H866,"x","")</f>
        <v/>
      </c>
      <c r="J866" s="387" t="str">
        <f t="shared" ref="J866:J877" si="1951">IF(F866&lt;&gt;"",IF(H866&lt;&gt;"",IF(F866=H866,"x",""),""),"")</f>
        <v/>
      </c>
      <c r="K866" s="388" t="str">
        <f t="shared" ref="K866:K877" si="1952">IF($F866&lt;$H866,"x","")</f>
        <v/>
      </c>
      <c r="L866" s="299"/>
      <c r="M866" s="375"/>
      <c r="N866" s="379"/>
      <c r="O866" s="236"/>
      <c r="P866" s="236"/>
      <c r="Q866" s="480"/>
      <c r="R866" s="481"/>
      <c r="S866" s="482" t="str">
        <f>IF(Q866="","",100-SUM(Q866:R866))</f>
        <v/>
      </c>
      <c r="T866" s="371"/>
      <c r="U866" s="232" t="str">
        <f t="shared" ref="U866:U877" si="1953">IF($I866="x",Q866,"")</f>
        <v/>
      </c>
      <c r="V866" s="232" t="str">
        <f t="shared" ref="V866:V877" si="1954">IF($J866="x",R866,"")</f>
        <v/>
      </c>
      <c r="W866" s="232" t="str">
        <f t="shared" ref="W866:W877" si="1955">IF($K866="x",S866,"")</f>
        <v/>
      </c>
      <c r="X866" s="232" t="str">
        <f>IF((MAX(U866,V866,W866))=0,"",IF((MAX(U866,V866,W866))=(MAX(Q866,R866,S866)),1,""))</f>
        <v/>
      </c>
      <c r="Y866" s="371"/>
      <c r="Z866" s="495"/>
      <c r="AA866" s="496"/>
      <c r="AB866" s="482" t="str">
        <f t="shared" ref="AB866:AB877" si="1956">IF(Z866="","",100-SUM(Z866:AA866))</f>
        <v/>
      </c>
      <c r="AC866" s="371"/>
      <c r="AD866" s="232" t="str">
        <f t="shared" ref="AD866:AD877" si="1957">IF($I866="x",Z866,"")</f>
        <v/>
      </c>
      <c r="AE866" s="232" t="str">
        <f t="shared" ref="AE866:AE877" si="1958">IF($J866="x",AA866,"")</f>
        <v/>
      </c>
      <c r="AF866" s="232" t="str">
        <f t="shared" ref="AF866:AF877" si="1959">IF($K866="x",AB866,"")</f>
        <v/>
      </c>
      <c r="AG866" s="232" t="str">
        <f>IF((MAX(AD866,AE866,AF866))=0,"",IF((MAX(AD866,AE866,AF866))=(MAX(Z866,AA866,AB866)),1,""))</f>
        <v/>
      </c>
      <c r="AH866" s="371"/>
      <c r="AI866" s="495"/>
      <c r="AJ866" s="496"/>
      <c r="AK866" s="482" t="str">
        <f t="shared" ref="AK866:AK877" si="1960">IF(AI866="","",100-SUM(AI866:AJ866))</f>
        <v/>
      </c>
      <c r="AL866" s="371"/>
      <c r="AM866" s="232" t="str">
        <f t="shared" ref="AM866:AM877" si="1961">IF($I866="x",AI866,"")</f>
        <v/>
      </c>
      <c r="AN866" s="232" t="str">
        <f t="shared" ref="AN866:AN877" si="1962">IF($J866="x",AJ866,"")</f>
        <v/>
      </c>
      <c r="AO866" s="232" t="str">
        <f t="shared" ref="AO866:AO877" si="1963">IF($K866="x",AK866,"")</f>
        <v/>
      </c>
      <c r="AP866" s="232" t="str">
        <f>IF((MAX(AM866,AN866,AO866))=0,"",IF((MAX(AM866,AN866,AO866))=(MAX(AI866,AJ866,AK866)),1,""))</f>
        <v/>
      </c>
      <c r="AQ866" s="371"/>
      <c r="AR866" s="495"/>
      <c r="AS866" s="496"/>
      <c r="AT866" s="482" t="str">
        <f t="shared" ref="AT866:AT877" si="1964">IF(AR866="","",100-SUM(AR866:AS866))</f>
        <v/>
      </c>
      <c r="AU866" s="371"/>
      <c r="AV866" s="232" t="str">
        <f t="shared" ref="AV866:AV877" si="1965">IF($I866="x",AR866,"")</f>
        <v/>
      </c>
      <c r="AW866" s="232" t="str">
        <f t="shared" ref="AW866:AW877" si="1966">IF($J866="x",AS866,"")</f>
        <v/>
      </c>
      <c r="AX866" s="232" t="str">
        <f t="shared" ref="AX866:AX877" si="1967">IF($K866="x",AT866,"")</f>
        <v/>
      </c>
      <c r="AY866" s="232" t="str">
        <f>IF((MAX(AV866,AW866,AX866))=0,"",IF((MAX(AV866,AW866,AX866))=(MAX(AR866,AS866,AT866)),1,""))</f>
        <v/>
      </c>
      <c r="AZ866" s="371"/>
      <c r="BA866" s="495"/>
      <c r="BB866" s="496"/>
      <c r="BC866" s="482" t="str">
        <f t="shared" ref="BC866:BC877" si="1968">IF(BA866="","",100-SUM(BA866:BB866))</f>
        <v/>
      </c>
      <c r="BD866" s="371"/>
      <c r="BE866" s="232" t="str">
        <f t="shared" ref="BE866:BE877" si="1969">IF($I866="x",BA866,"")</f>
        <v/>
      </c>
      <c r="BF866" s="232" t="str">
        <f t="shared" ref="BF866:BF877" si="1970">IF($J866="x",BB866,"")</f>
        <v/>
      </c>
      <c r="BG866" s="232" t="str">
        <f t="shared" ref="BG866:BG877" si="1971">IF($K866="x",BC866,"")</f>
        <v/>
      </c>
      <c r="BH866" s="232" t="str">
        <f>IF((MAX(BE866,BF866,BG866))=0,"",IF((MAX(BE866,BF866,BG866))=(MAX(BA866,BB866,BC866)),1,""))</f>
        <v/>
      </c>
      <c r="BI866" s="371"/>
      <c r="BJ866" s="495"/>
      <c r="BK866" s="496"/>
      <c r="BL866" s="482" t="str">
        <f t="shared" ref="BL866:BL877" si="1972">IF(BJ866="","",100-SUM(BJ866:BK866))</f>
        <v/>
      </c>
      <c r="BM866" s="371"/>
      <c r="BN866" s="232" t="str">
        <f t="shared" ref="BN866:BN877" si="1973">IF($I866="x",BJ866,"")</f>
        <v/>
      </c>
      <c r="BO866" s="232" t="str">
        <f t="shared" ref="BO866:BO877" si="1974">IF($J866="x",BK866,"")</f>
        <v/>
      </c>
      <c r="BP866" s="232" t="str">
        <f t="shared" ref="BP866:BP877" si="1975">IF($K866="x",BL866,"")</f>
        <v/>
      </c>
      <c r="BQ866" s="232" t="str">
        <f>IF((MAX(BN866,BO866,BP866))=0,"",IF((MAX(BN866,BO866,BP866))=(MAX(BJ866,BK866,BL866)),1,""))</f>
        <v/>
      </c>
      <c r="BR866" s="371"/>
      <c r="BS866" s="495"/>
      <c r="BT866" s="496"/>
      <c r="BU866" s="482" t="str">
        <f t="shared" ref="BU866:BU877" si="1976">IF(BS866="","",100-SUM(BS866:BT866))</f>
        <v/>
      </c>
      <c r="BV866" s="371"/>
      <c r="BW866" s="232" t="str">
        <f t="shared" ref="BW866:BW877" si="1977">IF($I866="x",BS866,"")</f>
        <v/>
      </c>
      <c r="BX866" s="232" t="str">
        <f t="shared" ref="BX866:BX877" si="1978">IF($J866="x",BT866,"")</f>
        <v/>
      </c>
      <c r="BY866" s="232" t="str">
        <f t="shared" ref="BY866:BY877" si="1979">IF($K866="x",BU866,"")</f>
        <v/>
      </c>
      <c r="BZ866" s="232" t="str">
        <f>IF((MAX(BW866,BX866,BY866))=0,"",IF((MAX(BW866,BX866,BY866))=(MAX(BS866,BT866,BU866)),1,""))</f>
        <v/>
      </c>
      <c r="CA866" s="371"/>
      <c r="CB866" s="501" t="str">
        <f t="shared" ref="CB866:CB877" si="1980">IFERROR(ROUNDUP((SUM(Q866,Z866,AI866,AR866,BA866,BJ866,BS866)/SUM($Q866:$S866,$Z866:$AB866,$AI866:$AK866,$AR866:$AT866,$BA866:$BC866,$BJ866:$BL866,$BS866:$BU866))*100,-1),"")</f>
        <v/>
      </c>
      <c r="CC866" s="502" t="str">
        <f t="shared" ref="CC866:CC877" si="1981">IFERROR(ROUNDDOWN((SUM(R866,AA866,AJ866,AS866,BB866,BK866,BT866)/SUM($Q866:$S866,$Z866:$AB866,$AI866:$AK866,$AR866:$AT866,$BA866:$BC866,$BJ866:$BL866,$BS866:$BU866))*100,-1),"")</f>
        <v/>
      </c>
      <c r="CD866" s="503" t="str">
        <f t="shared" ref="CD866:CD877" si="1982">IF(CB866="","",100-SUM(CB866:CC866))</f>
        <v/>
      </c>
      <c r="CE866" s="371"/>
      <c r="CF866" s="232" t="str">
        <f t="shared" ref="CF866:CF877" si="1983">IF($I866="x",CB866,"")</f>
        <v/>
      </c>
      <c r="CG866" s="232" t="str">
        <f t="shared" ref="CG866:CG877" si="1984">IF($J866="x",CC866,"")</f>
        <v/>
      </c>
      <c r="CH866" s="232" t="str">
        <f t="shared" ref="CH866:CH877" si="1985">IF($K866="x",CD866,"")</f>
        <v/>
      </c>
      <c r="CI866" s="232" t="str">
        <f>IF((MAX(CF866,CG866,CH866))=0,"",IF((MAX(CF866,CG866,CH866))=(MAX(CB866,CC866,CD866)),1,""))</f>
        <v/>
      </c>
      <c r="CJ866" s="232"/>
      <c r="CK866" s="495"/>
      <c r="CL866" s="496"/>
      <c r="CM866" s="482" t="str">
        <f t="shared" ref="CM866:CM877" si="1986">IF(CK866="","",100-SUM(CK866:CL866))</f>
        <v/>
      </c>
      <c r="CN866" s="371"/>
      <c r="CO866" s="232" t="str">
        <f t="shared" ref="CO866:CO877" si="1987">IF($I866="x",CK866,"")</f>
        <v/>
      </c>
      <c r="CP866" s="232" t="str">
        <f t="shared" ref="CP866:CP877" si="1988">IF($J866="x",CL866,"")</f>
        <v/>
      </c>
      <c r="CQ866" s="232" t="str">
        <f t="shared" ref="CQ866:CQ877" si="1989">IF($K866="x",CM866,"")</f>
        <v/>
      </c>
      <c r="CR866" s="232" t="str">
        <f>IF((MAX(CO866,CP866,CQ866))=0,"",IF((MAX(CO866,CP866,CQ866))=(MAX(CK866,CL866,CM866)),1,""))</f>
        <v/>
      </c>
      <c r="CS866" s="232"/>
      <c r="CT866" s="371"/>
      <c r="CU866" s="296"/>
      <c r="CV866" s="246"/>
      <c r="CW866" s="264"/>
    </row>
    <row r="867" spans="1:101" x14ac:dyDescent="0.2">
      <c r="A867" s="264"/>
      <c r="B867" s="264"/>
      <c r="C867" s="202"/>
      <c r="D867" s="271">
        <v>2</v>
      </c>
      <c r="E867" s="167"/>
      <c r="F867" s="469"/>
      <c r="G867" s="474" t="s">
        <v>49</v>
      </c>
      <c r="H867" s="475"/>
      <c r="I867" s="389" t="str">
        <f t="shared" si="1950"/>
        <v/>
      </c>
      <c r="J867" s="390" t="str">
        <f t="shared" si="1951"/>
        <v/>
      </c>
      <c r="K867" s="391" t="str">
        <f t="shared" si="1952"/>
        <v/>
      </c>
      <c r="L867" s="299"/>
      <c r="M867" s="375"/>
      <c r="N867" s="379"/>
      <c r="O867" s="236"/>
      <c r="P867" s="236"/>
      <c r="Q867" s="483"/>
      <c r="R867" s="484"/>
      <c r="S867" s="485" t="str">
        <f t="shared" ref="S867:S877" si="1990">IF(Q867="","",100-SUM(Q867:R867))</f>
        <v/>
      </c>
      <c r="T867" s="371"/>
      <c r="U867" s="232" t="str">
        <f t="shared" si="1953"/>
        <v/>
      </c>
      <c r="V867" s="232" t="str">
        <f t="shared" si="1954"/>
        <v/>
      </c>
      <c r="W867" s="232" t="str">
        <f t="shared" si="1955"/>
        <v/>
      </c>
      <c r="X867" s="232" t="str">
        <f t="shared" ref="X867:X877" si="1991">IF((MAX(U867,V867,W867))=0,"",IF((MAX(U867,V867,W867))=(MAX(Q867,R867,S867)),1,""))</f>
        <v/>
      </c>
      <c r="Y867" s="371"/>
      <c r="Z867" s="497"/>
      <c r="AA867" s="498"/>
      <c r="AB867" s="485" t="str">
        <f t="shared" si="1956"/>
        <v/>
      </c>
      <c r="AC867" s="371"/>
      <c r="AD867" s="232" t="str">
        <f t="shared" si="1957"/>
        <v/>
      </c>
      <c r="AE867" s="232" t="str">
        <f t="shared" si="1958"/>
        <v/>
      </c>
      <c r="AF867" s="232" t="str">
        <f t="shared" si="1959"/>
        <v/>
      </c>
      <c r="AG867" s="232" t="str">
        <f t="shared" ref="AG867:AG877" si="1992">IF((MAX(AD867,AE867,AF867))=0,"",IF((MAX(AD867,AE867,AF867))=(MAX(Z867,AA867,AB867)),1,""))</f>
        <v/>
      </c>
      <c r="AH867" s="371"/>
      <c r="AI867" s="497"/>
      <c r="AJ867" s="498"/>
      <c r="AK867" s="485" t="str">
        <f t="shared" si="1960"/>
        <v/>
      </c>
      <c r="AL867" s="371"/>
      <c r="AM867" s="232" t="str">
        <f t="shared" si="1961"/>
        <v/>
      </c>
      <c r="AN867" s="232" t="str">
        <f t="shared" si="1962"/>
        <v/>
      </c>
      <c r="AO867" s="232" t="str">
        <f t="shared" si="1963"/>
        <v/>
      </c>
      <c r="AP867" s="232" t="str">
        <f t="shared" ref="AP867:AP877" si="1993">IF((MAX(AM867,AN867,AO867))=0,"",IF((MAX(AM867,AN867,AO867))=(MAX(AI867,AJ867,AK867)),1,""))</f>
        <v/>
      </c>
      <c r="AQ867" s="371"/>
      <c r="AR867" s="497"/>
      <c r="AS867" s="498"/>
      <c r="AT867" s="485" t="str">
        <f t="shared" si="1964"/>
        <v/>
      </c>
      <c r="AU867" s="371"/>
      <c r="AV867" s="232" t="str">
        <f t="shared" si="1965"/>
        <v/>
      </c>
      <c r="AW867" s="232" t="str">
        <f t="shared" si="1966"/>
        <v/>
      </c>
      <c r="AX867" s="232" t="str">
        <f t="shared" si="1967"/>
        <v/>
      </c>
      <c r="AY867" s="232" t="str">
        <f t="shared" ref="AY867:AY877" si="1994">IF((MAX(AV867,AW867,AX867))=0,"",IF((MAX(AV867,AW867,AX867))=(MAX(AR867,AS867,AT867)),1,""))</f>
        <v/>
      </c>
      <c r="AZ867" s="371"/>
      <c r="BA867" s="497"/>
      <c r="BB867" s="498"/>
      <c r="BC867" s="485" t="str">
        <f t="shared" si="1968"/>
        <v/>
      </c>
      <c r="BD867" s="371"/>
      <c r="BE867" s="232" t="str">
        <f t="shared" si="1969"/>
        <v/>
      </c>
      <c r="BF867" s="232" t="str">
        <f t="shared" si="1970"/>
        <v/>
      </c>
      <c r="BG867" s="232" t="str">
        <f t="shared" si="1971"/>
        <v/>
      </c>
      <c r="BH867" s="232" t="str">
        <f t="shared" ref="BH867:BH877" si="1995">IF((MAX(BE867,BF867,BG867))=0,"",IF((MAX(BE867,BF867,BG867))=(MAX(BA867,BB867,BC867)),1,""))</f>
        <v/>
      </c>
      <c r="BI867" s="371"/>
      <c r="BJ867" s="497"/>
      <c r="BK867" s="498"/>
      <c r="BL867" s="485" t="str">
        <f t="shared" si="1972"/>
        <v/>
      </c>
      <c r="BM867" s="371"/>
      <c r="BN867" s="232" t="str">
        <f t="shared" si="1973"/>
        <v/>
      </c>
      <c r="BO867" s="232" t="str">
        <f t="shared" si="1974"/>
        <v/>
      </c>
      <c r="BP867" s="232" t="str">
        <f t="shared" si="1975"/>
        <v/>
      </c>
      <c r="BQ867" s="232" t="str">
        <f t="shared" ref="BQ867:BQ877" si="1996">IF((MAX(BN867,BO867,BP867))=0,"",IF((MAX(BN867,BO867,BP867))=(MAX(BJ867,BK867,BL867)),1,""))</f>
        <v/>
      </c>
      <c r="BR867" s="371"/>
      <c r="BS867" s="497"/>
      <c r="BT867" s="498"/>
      <c r="BU867" s="485" t="str">
        <f t="shared" si="1976"/>
        <v/>
      </c>
      <c r="BV867" s="371"/>
      <c r="BW867" s="232" t="str">
        <f t="shared" si="1977"/>
        <v/>
      </c>
      <c r="BX867" s="232" t="str">
        <f t="shared" si="1978"/>
        <v/>
      </c>
      <c r="BY867" s="232" t="str">
        <f t="shared" si="1979"/>
        <v/>
      </c>
      <c r="BZ867" s="232" t="str">
        <f t="shared" ref="BZ867:BZ877" si="1997">IF((MAX(BW867,BX867,BY867))=0,"",IF((MAX(BW867,BX867,BY867))=(MAX(BS867,BT867,BU867)),1,""))</f>
        <v/>
      </c>
      <c r="CA867" s="371"/>
      <c r="CB867" s="504" t="str">
        <f t="shared" si="1980"/>
        <v/>
      </c>
      <c r="CC867" s="505" t="str">
        <f t="shared" si="1981"/>
        <v/>
      </c>
      <c r="CD867" s="506" t="str">
        <f t="shared" si="1982"/>
        <v/>
      </c>
      <c r="CE867" s="371"/>
      <c r="CF867" s="232" t="str">
        <f t="shared" si="1983"/>
        <v/>
      </c>
      <c r="CG867" s="232" t="str">
        <f t="shared" si="1984"/>
        <v/>
      </c>
      <c r="CH867" s="232" t="str">
        <f t="shared" si="1985"/>
        <v/>
      </c>
      <c r="CI867" s="232" t="str">
        <f t="shared" ref="CI867:CI877" si="1998">IF((MAX(CF867,CG867,CH867))=0,"",IF((MAX(CF867,CG867,CH867))=(MAX(CB867,CC867,CD867)),1,""))</f>
        <v/>
      </c>
      <c r="CJ867" s="232"/>
      <c r="CK867" s="497"/>
      <c r="CL867" s="498"/>
      <c r="CM867" s="485" t="str">
        <f t="shared" si="1986"/>
        <v/>
      </c>
      <c r="CN867" s="371"/>
      <c r="CO867" s="232" t="str">
        <f t="shared" si="1987"/>
        <v/>
      </c>
      <c r="CP867" s="232" t="str">
        <f t="shared" si="1988"/>
        <v/>
      </c>
      <c r="CQ867" s="232" t="str">
        <f t="shared" si="1989"/>
        <v/>
      </c>
      <c r="CR867" s="232" t="str">
        <f t="shared" ref="CR867:CR877" si="1999">IF((MAX(CO867,CP867,CQ867))=0,"",IF((MAX(CO867,CP867,CQ867))=(MAX(CK867,CL867,CM867)),1,""))</f>
        <v/>
      </c>
      <c r="CS867" s="232"/>
      <c r="CT867" s="371"/>
      <c r="CU867" s="296"/>
      <c r="CV867" s="246"/>
      <c r="CW867" s="264"/>
    </row>
    <row r="868" spans="1:101" ht="13.5" thickBot="1" x14ac:dyDescent="0.25">
      <c r="A868" s="264"/>
      <c r="B868" s="264"/>
      <c r="C868" s="202"/>
      <c r="D868" s="271">
        <v>3</v>
      </c>
      <c r="E868" s="168"/>
      <c r="F868" s="470"/>
      <c r="G868" s="476" t="s">
        <v>49</v>
      </c>
      <c r="H868" s="477"/>
      <c r="I868" s="392" t="str">
        <f t="shared" si="1950"/>
        <v/>
      </c>
      <c r="J868" s="393" t="str">
        <f t="shared" si="1951"/>
        <v/>
      </c>
      <c r="K868" s="394" t="str">
        <f t="shared" si="1952"/>
        <v/>
      </c>
      <c r="L868" s="299"/>
      <c r="M868" s="375"/>
      <c r="N868" s="379"/>
      <c r="O868" s="236"/>
      <c r="P868" s="236"/>
      <c r="Q868" s="486"/>
      <c r="R868" s="487"/>
      <c r="S868" s="488" t="str">
        <f t="shared" si="1990"/>
        <v/>
      </c>
      <c r="T868" s="371"/>
      <c r="U868" s="232" t="str">
        <f t="shared" si="1953"/>
        <v/>
      </c>
      <c r="V868" s="232" t="str">
        <f t="shared" si="1954"/>
        <v/>
      </c>
      <c r="W868" s="232" t="str">
        <f t="shared" si="1955"/>
        <v/>
      </c>
      <c r="X868" s="232" t="str">
        <f t="shared" si="1991"/>
        <v/>
      </c>
      <c r="Y868" s="371"/>
      <c r="Z868" s="499"/>
      <c r="AA868" s="500"/>
      <c r="AB868" s="488" t="str">
        <f t="shared" si="1956"/>
        <v/>
      </c>
      <c r="AC868" s="371"/>
      <c r="AD868" s="232" t="str">
        <f t="shared" si="1957"/>
        <v/>
      </c>
      <c r="AE868" s="232" t="str">
        <f t="shared" si="1958"/>
        <v/>
      </c>
      <c r="AF868" s="232" t="str">
        <f t="shared" si="1959"/>
        <v/>
      </c>
      <c r="AG868" s="232" t="str">
        <f t="shared" si="1992"/>
        <v/>
      </c>
      <c r="AH868" s="371"/>
      <c r="AI868" s="499"/>
      <c r="AJ868" s="500"/>
      <c r="AK868" s="488" t="str">
        <f t="shared" si="1960"/>
        <v/>
      </c>
      <c r="AL868" s="371"/>
      <c r="AM868" s="232" t="str">
        <f t="shared" si="1961"/>
        <v/>
      </c>
      <c r="AN868" s="232" t="str">
        <f t="shared" si="1962"/>
        <v/>
      </c>
      <c r="AO868" s="232" t="str">
        <f t="shared" si="1963"/>
        <v/>
      </c>
      <c r="AP868" s="232" t="str">
        <f t="shared" si="1993"/>
        <v/>
      </c>
      <c r="AQ868" s="371"/>
      <c r="AR868" s="499"/>
      <c r="AS868" s="500"/>
      <c r="AT868" s="488" t="str">
        <f t="shared" si="1964"/>
        <v/>
      </c>
      <c r="AU868" s="371"/>
      <c r="AV868" s="232" t="str">
        <f t="shared" si="1965"/>
        <v/>
      </c>
      <c r="AW868" s="232" t="str">
        <f t="shared" si="1966"/>
        <v/>
      </c>
      <c r="AX868" s="232" t="str">
        <f t="shared" si="1967"/>
        <v/>
      </c>
      <c r="AY868" s="232" t="str">
        <f t="shared" si="1994"/>
        <v/>
      </c>
      <c r="AZ868" s="371"/>
      <c r="BA868" s="499"/>
      <c r="BB868" s="500"/>
      <c r="BC868" s="488" t="str">
        <f t="shared" si="1968"/>
        <v/>
      </c>
      <c r="BD868" s="371"/>
      <c r="BE868" s="232" t="str">
        <f t="shared" si="1969"/>
        <v/>
      </c>
      <c r="BF868" s="232" t="str">
        <f t="shared" si="1970"/>
        <v/>
      </c>
      <c r="BG868" s="232" t="str">
        <f t="shared" si="1971"/>
        <v/>
      </c>
      <c r="BH868" s="232" t="str">
        <f t="shared" si="1995"/>
        <v/>
      </c>
      <c r="BI868" s="371"/>
      <c r="BJ868" s="499"/>
      <c r="BK868" s="500"/>
      <c r="BL868" s="488" t="str">
        <f t="shared" si="1972"/>
        <v/>
      </c>
      <c r="BM868" s="371"/>
      <c r="BN868" s="232" t="str">
        <f t="shared" si="1973"/>
        <v/>
      </c>
      <c r="BO868" s="232" t="str">
        <f t="shared" si="1974"/>
        <v/>
      </c>
      <c r="BP868" s="232" t="str">
        <f t="shared" si="1975"/>
        <v/>
      </c>
      <c r="BQ868" s="232" t="str">
        <f t="shared" si="1996"/>
        <v/>
      </c>
      <c r="BR868" s="371"/>
      <c r="BS868" s="499"/>
      <c r="BT868" s="500"/>
      <c r="BU868" s="488" t="str">
        <f t="shared" si="1976"/>
        <v/>
      </c>
      <c r="BV868" s="371"/>
      <c r="BW868" s="232" t="str">
        <f t="shared" si="1977"/>
        <v/>
      </c>
      <c r="BX868" s="232" t="str">
        <f t="shared" si="1978"/>
        <v/>
      </c>
      <c r="BY868" s="232" t="str">
        <f t="shared" si="1979"/>
        <v/>
      </c>
      <c r="BZ868" s="232" t="str">
        <f t="shared" si="1997"/>
        <v/>
      </c>
      <c r="CA868" s="371"/>
      <c r="CB868" s="507" t="str">
        <f t="shared" si="1980"/>
        <v/>
      </c>
      <c r="CC868" s="508" t="str">
        <f t="shared" si="1981"/>
        <v/>
      </c>
      <c r="CD868" s="509" t="str">
        <f t="shared" si="1982"/>
        <v/>
      </c>
      <c r="CE868" s="371"/>
      <c r="CF868" s="232" t="str">
        <f t="shared" si="1983"/>
        <v/>
      </c>
      <c r="CG868" s="232" t="str">
        <f t="shared" si="1984"/>
        <v/>
      </c>
      <c r="CH868" s="232" t="str">
        <f t="shared" si="1985"/>
        <v/>
      </c>
      <c r="CI868" s="232" t="str">
        <f t="shared" si="1998"/>
        <v/>
      </c>
      <c r="CJ868" s="232"/>
      <c r="CK868" s="499"/>
      <c r="CL868" s="500"/>
      <c r="CM868" s="488" t="str">
        <f t="shared" si="1986"/>
        <v/>
      </c>
      <c r="CN868" s="371"/>
      <c r="CO868" s="232" t="str">
        <f t="shared" si="1987"/>
        <v/>
      </c>
      <c r="CP868" s="232" t="str">
        <f t="shared" si="1988"/>
        <v/>
      </c>
      <c r="CQ868" s="232" t="str">
        <f t="shared" si="1989"/>
        <v/>
      </c>
      <c r="CR868" s="232" t="str">
        <f t="shared" si="1999"/>
        <v/>
      </c>
      <c r="CS868" s="232"/>
      <c r="CT868" s="371"/>
      <c r="CU868" s="296"/>
      <c r="CV868" s="246"/>
      <c r="CW868" s="264"/>
    </row>
    <row r="869" spans="1:101" x14ac:dyDescent="0.2">
      <c r="A869" s="264"/>
      <c r="B869" s="264"/>
      <c r="C869" s="202"/>
      <c r="D869" s="271">
        <v>4</v>
      </c>
      <c r="E869" s="166"/>
      <c r="F869" s="468"/>
      <c r="G869" s="472" t="s">
        <v>49</v>
      </c>
      <c r="H869" s="473"/>
      <c r="I869" s="170" t="str">
        <f t="shared" si="1950"/>
        <v/>
      </c>
      <c r="J869" s="387" t="str">
        <f t="shared" si="1951"/>
        <v/>
      </c>
      <c r="K869" s="388" t="str">
        <f t="shared" si="1952"/>
        <v/>
      </c>
      <c r="L869" s="299"/>
      <c r="M869" s="375"/>
      <c r="N869" s="379"/>
      <c r="O869" s="236"/>
      <c r="P869" s="236"/>
      <c r="Q869" s="480"/>
      <c r="R869" s="481"/>
      <c r="S869" s="482" t="str">
        <f t="shared" si="1990"/>
        <v/>
      </c>
      <c r="T869" s="371"/>
      <c r="U869" s="232" t="str">
        <f t="shared" si="1953"/>
        <v/>
      </c>
      <c r="V869" s="232" t="str">
        <f t="shared" si="1954"/>
        <v/>
      </c>
      <c r="W869" s="232" t="str">
        <f t="shared" si="1955"/>
        <v/>
      </c>
      <c r="X869" s="232" t="str">
        <f t="shared" si="1991"/>
        <v/>
      </c>
      <c r="Y869" s="371"/>
      <c r="Z869" s="495"/>
      <c r="AA869" s="496"/>
      <c r="AB869" s="482" t="str">
        <f t="shared" si="1956"/>
        <v/>
      </c>
      <c r="AC869" s="371"/>
      <c r="AD869" s="232" t="str">
        <f t="shared" si="1957"/>
        <v/>
      </c>
      <c r="AE869" s="232" t="str">
        <f t="shared" si="1958"/>
        <v/>
      </c>
      <c r="AF869" s="232" t="str">
        <f t="shared" si="1959"/>
        <v/>
      </c>
      <c r="AG869" s="232" t="str">
        <f t="shared" si="1992"/>
        <v/>
      </c>
      <c r="AH869" s="371"/>
      <c r="AI869" s="495"/>
      <c r="AJ869" s="496"/>
      <c r="AK869" s="482" t="str">
        <f t="shared" si="1960"/>
        <v/>
      </c>
      <c r="AL869" s="371"/>
      <c r="AM869" s="232" t="str">
        <f t="shared" si="1961"/>
        <v/>
      </c>
      <c r="AN869" s="232" t="str">
        <f t="shared" si="1962"/>
        <v/>
      </c>
      <c r="AO869" s="232" t="str">
        <f t="shared" si="1963"/>
        <v/>
      </c>
      <c r="AP869" s="232" t="str">
        <f t="shared" si="1993"/>
        <v/>
      </c>
      <c r="AQ869" s="371"/>
      <c r="AR869" s="495"/>
      <c r="AS869" s="496"/>
      <c r="AT869" s="482" t="str">
        <f t="shared" si="1964"/>
        <v/>
      </c>
      <c r="AU869" s="371"/>
      <c r="AV869" s="232" t="str">
        <f t="shared" si="1965"/>
        <v/>
      </c>
      <c r="AW869" s="232" t="str">
        <f t="shared" si="1966"/>
        <v/>
      </c>
      <c r="AX869" s="232" t="str">
        <f t="shared" si="1967"/>
        <v/>
      </c>
      <c r="AY869" s="232" t="str">
        <f t="shared" si="1994"/>
        <v/>
      </c>
      <c r="AZ869" s="371"/>
      <c r="BA869" s="495"/>
      <c r="BB869" s="496"/>
      <c r="BC869" s="482" t="str">
        <f t="shared" si="1968"/>
        <v/>
      </c>
      <c r="BD869" s="371"/>
      <c r="BE869" s="232" t="str">
        <f t="shared" si="1969"/>
        <v/>
      </c>
      <c r="BF869" s="232" t="str">
        <f t="shared" si="1970"/>
        <v/>
      </c>
      <c r="BG869" s="232" t="str">
        <f t="shared" si="1971"/>
        <v/>
      </c>
      <c r="BH869" s="232" t="str">
        <f t="shared" si="1995"/>
        <v/>
      </c>
      <c r="BI869" s="371"/>
      <c r="BJ869" s="495"/>
      <c r="BK869" s="496"/>
      <c r="BL869" s="482" t="str">
        <f t="shared" si="1972"/>
        <v/>
      </c>
      <c r="BM869" s="371"/>
      <c r="BN869" s="232" t="str">
        <f t="shared" si="1973"/>
        <v/>
      </c>
      <c r="BO869" s="232" t="str">
        <f t="shared" si="1974"/>
        <v/>
      </c>
      <c r="BP869" s="232" t="str">
        <f t="shared" si="1975"/>
        <v/>
      </c>
      <c r="BQ869" s="232" t="str">
        <f t="shared" si="1996"/>
        <v/>
      </c>
      <c r="BR869" s="371"/>
      <c r="BS869" s="495"/>
      <c r="BT869" s="496"/>
      <c r="BU869" s="482" t="str">
        <f t="shared" si="1976"/>
        <v/>
      </c>
      <c r="BV869" s="371"/>
      <c r="BW869" s="232" t="str">
        <f t="shared" si="1977"/>
        <v/>
      </c>
      <c r="BX869" s="232" t="str">
        <f t="shared" si="1978"/>
        <v/>
      </c>
      <c r="BY869" s="232" t="str">
        <f t="shared" si="1979"/>
        <v/>
      </c>
      <c r="BZ869" s="232" t="str">
        <f t="shared" si="1997"/>
        <v/>
      </c>
      <c r="CA869" s="371"/>
      <c r="CB869" s="501" t="str">
        <f t="shared" si="1980"/>
        <v/>
      </c>
      <c r="CC869" s="502" t="str">
        <f t="shared" si="1981"/>
        <v/>
      </c>
      <c r="CD869" s="503" t="str">
        <f t="shared" si="1982"/>
        <v/>
      </c>
      <c r="CE869" s="371"/>
      <c r="CF869" s="232" t="str">
        <f t="shared" si="1983"/>
        <v/>
      </c>
      <c r="CG869" s="232" t="str">
        <f t="shared" si="1984"/>
        <v/>
      </c>
      <c r="CH869" s="232" t="str">
        <f t="shared" si="1985"/>
        <v/>
      </c>
      <c r="CI869" s="232" t="str">
        <f t="shared" si="1998"/>
        <v/>
      </c>
      <c r="CJ869" s="232"/>
      <c r="CK869" s="495"/>
      <c r="CL869" s="496"/>
      <c r="CM869" s="482" t="str">
        <f t="shared" si="1986"/>
        <v/>
      </c>
      <c r="CN869" s="371"/>
      <c r="CO869" s="232" t="str">
        <f t="shared" si="1987"/>
        <v/>
      </c>
      <c r="CP869" s="232" t="str">
        <f t="shared" si="1988"/>
        <v/>
      </c>
      <c r="CQ869" s="232" t="str">
        <f t="shared" si="1989"/>
        <v/>
      </c>
      <c r="CR869" s="232" t="str">
        <f t="shared" si="1999"/>
        <v/>
      </c>
      <c r="CS869" s="232"/>
      <c r="CT869" s="371"/>
      <c r="CU869" s="296"/>
      <c r="CV869" s="246"/>
      <c r="CW869" s="264"/>
    </row>
    <row r="870" spans="1:101" x14ac:dyDescent="0.2">
      <c r="A870" s="264"/>
      <c r="B870" s="264"/>
      <c r="C870" s="202"/>
      <c r="D870" s="271">
        <v>5</v>
      </c>
      <c r="E870" s="167"/>
      <c r="F870" s="469"/>
      <c r="G870" s="474" t="s">
        <v>49</v>
      </c>
      <c r="H870" s="475"/>
      <c r="I870" s="389" t="str">
        <f t="shared" si="1950"/>
        <v/>
      </c>
      <c r="J870" s="390" t="str">
        <f t="shared" si="1951"/>
        <v/>
      </c>
      <c r="K870" s="391" t="str">
        <f t="shared" si="1952"/>
        <v/>
      </c>
      <c r="L870" s="299"/>
      <c r="M870" s="375"/>
      <c r="N870" s="379"/>
      <c r="O870" s="236"/>
      <c r="P870" s="236"/>
      <c r="Q870" s="483"/>
      <c r="R870" s="484"/>
      <c r="S870" s="485" t="str">
        <f t="shared" si="1990"/>
        <v/>
      </c>
      <c r="T870" s="371"/>
      <c r="U870" s="232" t="str">
        <f t="shared" si="1953"/>
        <v/>
      </c>
      <c r="V870" s="232" t="str">
        <f t="shared" si="1954"/>
        <v/>
      </c>
      <c r="W870" s="232" t="str">
        <f t="shared" si="1955"/>
        <v/>
      </c>
      <c r="X870" s="232" t="str">
        <f t="shared" si="1991"/>
        <v/>
      </c>
      <c r="Y870" s="371"/>
      <c r="Z870" s="497"/>
      <c r="AA870" s="498"/>
      <c r="AB870" s="485" t="str">
        <f t="shared" si="1956"/>
        <v/>
      </c>
      <c r="AC870" s="371"/>
      <c r="AD870" s="232" t="str">
        <f t="shared" si="1957"/>
        <v/>
      </c>
      <c r="AE870" s="232" t="str">
        <f t="shared" si="1958"/>
        <v/>
      </c>
      <c r="AF870" s="232" t="str">
        <f t="shared" si="1959"/>
        <v/>
      </c>
      <c r="AG870" s="232" t="str">
        <f t="shared" si="1992"/>
        <v/>
      </c>
      <c r="AH870" s="371"/>
      <c r="AI870" s="497"/>
      <c r="AJ870" s="498"/>
      <c r="AK870" s="485" t="str">
        <f t="shared" si="1960"/>
        <v/>
      </c>
      <c r="AL870" s="371"/>
      <c r="AM870" s="232" t="str">
        <f t="shared" si="1961"/>
        <v/>
      </c>
      <c r="AN870" s="232" t="str">
        <f t="shared" si="1962"/>
        <v/>
      </c>
      <c r="AO870" s="232" t="str">
        <f t="shared" si="1963"/>
        <v/>
      </c>
      <c r="AP870" s="232" t="str">
        <f t="shared" si="1993"/>
        <v/>
      </c>
      <c r="AQ870" s="371"/>
      <c r="AR870" s="497"/>
      <c r="AS870" s="498"/>
      <c r="AT870" s="485" t="str">
        <f t="shared" si="1964"/>
        <v/>
      </c>
      <c r="AU870" s="371"/>
      <c r="AV870" s="232" t="str">
        <f t="shared" si="1965"/>
        <v/>
      </c>
      <c r="AW870" s="232" t="str">
        <f t="shared" si="1966"/>
        <v/>
      </c>
      <c r="AX870" s="232" t="str">
        <f t="shared" si="1967"/>
        <v/>
      </c>
      <c r="AY870" s="232" t="str">
        <f t="shared" si="1994"/>
        <v/>
      </c>
      <c r="AZ870" s="371"/>
      <c r="BA870" s="497"/>
      <c r="BB870" s="498"/>
      <c r="BC870" s="485" t="str">
        <f t="shared" si="1968"/>
        <v/>
      </c>
      <c r="BD870" s="371"/>
      <c r="BE870" s="232" t="str">
        <f t="shared" si="1969"/>
        <v/>
      </c>
      <c r="BF870" s="232" t="str">
        <f t="shared" si="1970"/>
        <v/>
      </c>
      <c r="BG870" s="232" t="str">
        <f t="shared" si="1971"/>
        <v/>
      </c>
      <c r="BH870" s="232" t="str">
        <f t="shared" si="1995"/>
        <v/>
      </c>
      <c r="BI870" s="371"/>
      <c r="BJ870" s="497"/>
      <c r="BK870" s="498"/>
      <c r="BL870" s="485" t="str">
        <f t="shared" si="1972"/>
        <v/>
      </c>
      <c r="BM870" s="371"/>
      <c r="BN870" s="232" t="str">
        <f t="shared" si="1973"/>
        <v/>
      </c>
      <c r="BO870" s="232" t="str">
        <f t="shared" si="1974"/>
        <v/>
      </c>
      <c r="BP870" s="232" t="str">
        <f t="shared" si="1975"/>
        <v/>
      </c>
      <c r="BQ870" s="232" t="str">
        <f t="shared" si="1996"/>
        <v/>
      </c>
      <c r="BR870" s="371"/>
      <c r="BS870" s="497"/>
      <c r="BT870" s="498"/>
      <c r="BU870" s="485" t="str">
        <f t="shared" si="1976"/>
        <v/>
      </c>
      <c r="BV870" s="371"/>
      <c r="BW870" s="232" t="str">
        <f t="shared" si="1977"/>
        <v/>
      </c>
      <c r="BX870" s="232" t="str">
        <f t="shared" si="1978"/>
        <v/>
      </c>
      <c r="BY870" s="232" t="str">
        <f t="shared" si="1979"/>
        <v/>
      </c>
      <c r="BZ870" s="232" t="str">
        <f t="shared" si="1997"/>
        <v/>
      </c>
      <c r="CA870" s="371"/>
      <c r="CB870" s="504" t="str">
        <f t="shared" si="1980"/>
        <v/>
      </c>
      <c r="CC870" s="505" t="str">
        <f t="shared" si="1981"/>
        <v/>
      </c>
      <c r="CD870" s="506" t="str">
        <f t="shared" si="1982"/>
        <v/>
      </c>
      <c r="CE870" s="371"/>
      <c r="CF870" s="232" t="str">
        <f t="shared" si="1983"/>
        <v/>
      </c>
      <c r="CG870" s="232" t="str">
        <f t="shared" si="1984"/>
        <v/>
      </c>
      <c r="CH870" s="232" t="str">
        <f t="shared" si="1985"/>
        <v/>
      </c>
      <c r="CI870" s="232" t="str">
        <f t="shared" si="1998"/>
        <v/>
      </c>
      <c r="CJ870" s="232"/>
      <c r="CK870" s="497"/>
      <c r="CL870" s="498"/>
      <c r="CM870" s="485" t="str">
        <f t="shared" si="1986"/>
        <v/>
      </c>
      <c r="CN870" s="371"/>
      <c r="CO870" s="232" t="str">
        <f t="shared" si="1987"/>
        <v/>
      </c>
      <c r="CP870" s="232" t="str">
        <f t="shared" si="1988"/>
        <v/>
      </c>
      <c r="CQ870" s="232" t="str">
        <f t="shared" si="1989"/>
        <v/>
      </c>
      <c r="CR870" s="232" t="str">
        <f t="shared" si="1999"/>
        <v/>
      </c>
      <c r="CS870" s="232"/>
      <c r="CT870" s="371"/>
      <c r="CU870" s="296"/>
      <c r="CV870" s="246"/>
      <c r="CW870" s="264"/>
    </row>
    <row r="871" spans="1:101" ht="13.5" thickBot="1" x14ac:dyDescent="0.25">
      <c r="A871" s="264"/>
      <c r="B871" s="264"/>
      <c r="C871" s="202"/>
      <c r="D871" s="271">
        <v>6</v>
      </c>
      <c r="E871" s="168"/>
      <c r="F871" s="470"/>
      <c r="G871" s="476" t="s">
        <v>49</v>
      </c>
      <c r="H871" s="477"/>
      <c r="I871" s="392" t="str">
        <f t="shared" si="1950"/>
        <v/>
      </c>
      <c r="J871" s="393" t="str">
        <f t="shared" si="1951"/>
        <v/>
      </c>
      <c r="K871" s="394" t="str">
        <f t="shared" si="1952"/>
        <v/>
      </c>
      <c r="L871" s="299"/>
      <c r="M871" s="375"/>
      <c r="N871" s="379"/>
      <c r="O871" s="236"/>
      <c r="P871" s="236"/>
      <c r="Q871" s="489"/>
      <c r="R871" s="490"/>
      <c r="S871" s="491" t="str">
        <f t="shared" si="1990"/>
        <v/>
      </c>
      <c r="T871" s="371"/>
      <c r="U871" s="232" t="str">
        <f t="shared" si="1953"/>
        <v/>
      </c>
      <c r="V871" s="232" t="str">
        <f t="shared" si="1954"/>
        <v/>
      </c>
      <c r="W871" s="232" t="str">
        <f t="shared" si="1955"/>
        <v/>
      </c>
      <c r="X871" s="232" t="str">
        <f t="shared" si="1991"/>
        <v/>
      </c>
      <c r="Y871" s="371"/>
      <c r="Z871" s="499"/>
      <c r="AA871" s="500"/>
      <c r="AB871" s="491" t="str">
        <f t="shared" si="1956"/>
        <v/>
      </c>
      <c r="AC871" s="371"/>
      <c r="AD871" s="232" t="str">
        <f t="shared" si="1957"/>
        <v/>
      </c>
      <c r="AE871" s="232" t="str">
        <f t="shared" si="1958"/>
        <v/>
      </c>
      <c r="AF871" s="232" t="str">
        <f t="shared" si="1959"/>
        <v/>
      </c>
      <c r="AG871" s="232" t="str">
        <f t="shared" si="1992"/>
        <v/>
      </c>
      <c r="AH871" s="371"/>
      <c r="AI871" s="499"/>
      <c r="AJ871" s="500"/>
      <c r="AK871" s="491" t="str">
        <f t="shared" si="1960"/>
        <v/>
      </c>
      <c r="AL871" s="371"/>
      <c r="AM871" s="232" t="str">
        <f t="shared" si="1961"/>
        <v/>
      </c>
      <c r="AN871" s="232" t="str">
        <f t="shared" si="1962"/>
        <v/>
      </c>
      <c r="AO871" s="232" t="str">
        <f t="shared" si="1963"/>
        <v/>
      </c>
      <c r="AP871" s="232" t="str">
        <f t="shared" si="1993"/>
        <v/>
      </c>
      <c r="AQ871" s="371"/>
      <c r="AR871" s="499"/>
      <c r="AS871" s="500"/>
      <c r="AT871" s="491" t="str">
        <f t="shared" si="1964"/>
        <v/>
      </c>
      <c r="AU871" s="371"/>
      <c r="AV871" s="232" t="str">
        <f t="shared" si="1965"/>
        <v/>
      </c>
      <c r="AW871" s="232" t="str">
        <f t="shared" si="1966"/>
        <v/>
      </c>
      <c r="AX871" s="232" t="str">
        <f t="shared" si="1967"/>
        <v/>
      </c>
      <c r="AY871" s="232" t="str">
        <f t="shared" si="1994"/>
        <v/>
      </c>
      <c r="AZ871" s="371"/>
      <c r="BA871" s="499"/>
      <c r="BB871" s="500"/>
      <c r="BC871" s="491" t="str">
        <f t="shared" si="1968"/>
        <v/>
      </c>
      <c r="BD871" s="371"/>
      <c r="BE871" s="232" t="str">
        <f t="shared" si="1969"/>
        <v/>
      </c>
      <c r="BF871" s="232" t="str">
        <f t="shared" si="1970"/>
        <v/>
      </c>
      <c r="BG871" s="232" t="str">
        <f t="shared" si="1971"/>
        <v/>
      </c>
      <c r="BH871" s="232" t="str">
        <f t="shared" si="1995"/>
        <v/>
      </c>
      <c r="BI871" s="371"/>
      <c r="BJ871" s="499"/>
      <c r="BK871" s="500"/>
      <c r="BL871" s="491" t="str">
        <f t="shared" si="1972"/>
        <v/>
      </c>
      <c r="BM871" s="371"/>
      <c r="BN871" s="232" t="str">
        <f t="shared" si="1973"/>
        <v/>
      </c>
      <c r="BO871" s="232" t="str">
        <f t="shared" si="1974"/>
        <v/>
      </c>
      <c r="BP871" s="232" t="str">
        <f t="shared" si="1975"/>
        <v/>
      </c>
      <c r="BQ871" s="232" t="str">
        <f t="shared" si="1996"/>
        <v/>
      </c>
      <c r="BR871" s="371"/>
      <c r="BS871" s="499"/>
      <c r="BT871" s="500"/>
      <c r="BU871" s="491" t="str">
        <f t="shared" si="1976"/>
        <v/>
      </c>
      <c r="BV871" s="371"/>
      <c r="BW871" s="232" t="str">
        <f t="shared" si="1977"/>
        <v/>
      </c>
      <c r="BX871" s="232" t="str">
        <f t="shared" si="1978"/>
        <v/>
      </c>
      <c r="BY871" s="232" t="str">
        <f t="shared" si="1979"/>
        <v/>
      </c>
      <c r="BZ871" s="232" t="str">
        <f t="shared" si="1997"/>
        <v/>
      </c>
      <c r="CA871" s="371"/>
      <c r="CB871" s="507" t="str">
        <f t="shared" si="1980"/>
        <v/>
      </c>
      <c r="CC871" s="508" t="str">
        <f t="shared" si="1981"/>
        <v/>
      </c>
      <c r="CD871" s="509" t="str">
        <f t="shared" si="1982"/>
        <v/>
      </c>
      <c r="CE871" s="371"/>
      <c r="CF871" s="232" t="str">
        <f t="shared" si="1983"/>
        <v/>
      </c>
      <c r="CG871" s="232" t="str">
        <f t="shared" si="1984"/>
        <v/>
      </c>
      <c r="CH871" s="232" t="str">
        <f t="shared" si="1985"/>
        <v/>
      </c>
      <c r="CI871" s="232" t="str">
        <f t="shared" si="1998"/>
        <v/>
      </c>
      <c r="CJ871" s="232"/>
      <c r="CK871" s="499"/>
      <c r="CL871" s="500"/>
      <c r="CM871" s="491" t="str">
        <f t="shared" si="1986"/>
        <v/>
      </c>
      <c r="CN871" s="371"/>
      <c r="CO871" s="232" t="str">
        <f t="shared" si="1987"/>
        <v/>
      </c>
      <c r="CP871" s="232" t="str">
        <f t="shared" si="1988"/>
        <v/>
      </c>
      <c r="CQ871" s="232" t="str">
        <f t="shared" si="1989"/>
        <v/>
      </c>
      <c r="CR871" s="232" t="str">
        <f t="shared" si="1999"/>
        <v/>
      </c>
      <c r="CS871" s="232"/>
      <c r="CT871" s="371"/>
      <c r="CU871" s="296"/>
      <c r="CV871" s="246"/>
      <c r="CW871" s="264"/>
    </row>
    <row r="872" spans="1:101" x14ac:dyDescent="0.2">
      <c r="A872" s="264"/>
      <c r="B872" s="264"/>
      <c r="C872" s="202"/>
      <c r="D872" s="271">
        <v>7</v>
      </c>
      <c r="E872" s="166"/>
      <c r="F872" s="468"/>
      <c r="G872" s="472" t="s">
        <v>49</v>
      </c>
      <c r="H872" s="473"/>
      <c r="I872" s="170" t="str">
        <f t="shared" si="1950"/>
        <v/>
      </c>
      <c r="J872" s="387" t="str">
        <f t="shared" si="1951"/>
        <v/>
      </c>
      <c r="K872" s="388" t="str">
        <f t="shared" si="1952"/>
        <v/>
      </c>
      <c r="L872" s="299"/>
      <c r="M872" s="375"/>
      <c r="N872" s="379"/>
      <c r="O872" s="236"/>
      <c r="P872" s="236"/>
      <c r="Q872" s="480"/>
      <c r="R872" s="481"/>
      <c r="S872" s="482" t="str">
        <f t="shared" si="1990"/>
        <v/>
      </c>
      <c r="T872" s="371"/>
      <c r="U872" s="232" t="str">
        <f t="shared" si="1953"/>
        <v/>
      </c>
      <c r="V872" s="232" t="str">
        <f t="shared" si="1954"/>
        <v/>
      </c>
      <c r="W872" s="232" t="str">
        <f t="shared" si="1955"/>
        <v/>
      </c>
      <c r="X872" s="232" t="str">
        <f t="shared" si="1991"/>
        <v/>
      </c>
      <c r="Y872" s="371"/>
      <c r="Z872" s="495"/>
      <c r="AA872" s="496"/>
      <c r="AB872" s="482" t="str">
        <f t="shared" si="1956"/>
        <v/>
      </c>
      <c r="AC872" s="371"/>
      <c r="AD872" s="232" t="str">
        <f t="shared" si="1957"/>
        <v/>
      </c>
      <c r="AE872" s="232" t="str">
        <f t="shared" si="1958"/>
        <v/>
      </c>
      <c r="AF872" s="232" t="str">
        <f t="shared" si="1959"/>
        <v/>
      </c>
      <c r="AG872" s="232" t="str">
        <f t="shared" si="1992"/>
        <v/>
      </c>
      <c r="AH872" s="371"/>
      <c r="AI872" s="495"/>
      <c r="AJ872" s="496"/>
      <c r="AK872" s="482" t="str">
        <f t="shared" si="1960"/>
        <v/>
      </c>
      <c r="AL872" s="371"/>
      <c r="AM872" s="232" t="str">
        <f t="shared" si="1961"/>
        <v/>
      </c>
      <c r="AN872" s="232" t="str">
        <f t="shared" si="1962"/>
        <v/>
      </c>
      <c r="AO872" s="232" t="str">
        <f t="shared" si="1963"/>
        <v/>
      </c>
      <c r="AP872" s="232" t="str">
        <f t="shared" si="1993"/>
        <v/>
      </c>
      <c r="AQ872" s="371"/>
      <c r="AR872" s="495"/>
      <c r="AS872" s="496"/>
      <c r="AT872" s="482" t="str">
        <f t="shared" si="1964"/>
        <v/>
      </c>
      <c r="AU872" s="371"/>
      <c r="AV872" s="232" t="str">
        <f t="shared" si="1965"/>
        <v/>
      </c>
      <c r="AW872" s="232" t="str">
        <f t="shared" si="1966"/>
        <v/>
      </c>
      <c r="AX872" s="232" t="str">
        <f t="shared" si="1967"/>
        <v/>
      </c>
      <c r="AY872" s="232" t="str">
        <f t="shared" si="1994"/>
        <v/>
      </c>
      <c r="AZ872" s="371"/>
      <c r="BA872" s="495"/>
      <c r="BB872" s="496"/>
      <c r="BC872" s="482" t="str">
        <f t="shared" si="1968"/>
        <v/>
      </c>
      <c r="BD872" s="371"/>
      <c r="BE872" s="232" t="str">
        <f t="shared" si="1969"/>
        <v/>
      </c>
      <c r="BF872" s="232" t="str">
        <f t="shared" si="1970"/>
        <v/>
      </c>
      <c r="BG872" s="232" t="str">
        <f t="shared" si="1971"/>
        <v/>
      </c>
      <c r="BH872" s="232" t="str">
        <f t="shared" si="1995"/>
        <v/>
      </c>
      <c r="BI872" s="371"/>
      <c r="BJ872" s="495"/>
      <c r="BK872" s="496"/>
      <c r="BL872" s="482" t="str">
        <f t="shared" si="1972"/>
        <v/>
      </c>
      <c r="BM872" s="371"/>
      <c r="BN872" s="232" t="str">
        <f t="shared" si="1973"/>
        <v/>
      </c>
      <c r="BO872" s="232" t="str">
        <f t="shared" si="1974"/>
        <v/>
      </c>
      <c r="BP872" s="232" t="str">
        <f t="shared" si="1975"/>
        <v/>
      </c>
      <c r="BQ872" s="232" t="str">
        <f t="shared" si="1996"/>
        <v/>
      </c>
      <c r="BR872" s="371"/>
      <c r="BS872" s="495"/>
      <c r="BT872" s="496"/>
      <c r="BU872" s="482" t="str">
        <f t="shared" si="1976"/>
        <v/>
      </c>
      <c r="BV872" s="371"/>
      <c r="BW872" s="232" t="str">
        <f t="shared" si="1977"/>
        <v/>
      </c>
      <c r="BX872" s="232" t="str">
        <f t="shared" si="1978"/>
        <v/>
      </c>
      <c r="BY872" s="232" t="str">
        <f t="shared" si="1979"/>
        <v/>
      </c>
      <c r="BZ872" s="232" t="str">
        <f t="shared" si="1997"/>
        <v/>
      </c>
      <c r="CA872" s="371"/>
      <c r="CB872" s="501" t="str">
        <f t="shared" si="1980"/>
        <v/>
      </c>
      <c r="CC872" s="502" t="str">
        <f t="shared" si="1981"/>
        <v/>
      </c>
      <c r="CD872" s="503" t="str">
        <f t="shared" si="1982"/>
        <v/>
      </c>
      <c r="CE872" s="371"/>
      <c r="CF872" s="232" t="str">
        <f t="shared" si="1983"/>
        <v/>
      </c>
      <c r="CG872" s="232" t="str">
        <f t="shared" si="1984"/>
        <v/>
      </c>
      <c r="CH872" s="232" t="str">
        <f t="shared" si="1985"/>
        <v/>
      </c>
      <c r="CI872" s="232" t="str">
        <f t="shared" si="1998"/>
        <v/>
      </c>
      <c r="CJ872" s="232"/>
      <c r="CK872" s="495"/>
      <c r="CL872" s="496"/>
      <c r="CM872" s="482" t="str">
        <f t="shared" si="1986"/>
        <v/>
      </c>
      <c r="CN872" s="371"/>
      <c r="CO872" s="232" t="str">
        <f t="shared" si="1987"/>
        <v/>
      </c>
      <c r="CP872" s="232" t="str">
        <f t="shared" si="1988"/>
        <v/>
      </c>
      <c r="CQ872" s="232" t="str">
        <f t="shared" si="1989"/>
        <v/>
      </c>
      <c r="CR872" s="232" t="str">
        <f t="shared" si="1999"/>
        <v/>
      </c>
      <c r="CS872" s="232"/>
      <c r="CT872" s="371"/>
      <c r="CU872" s="300"/>
      <c r="CV872" s="246"/>
      <c r="CW872" s="264"/>
    </row>
    <row r="873" spans="1:101" x14ac:dyDescent="0.2">
      <c r="A873" s="264"/>
      <c r="B873" s="264"/>
      <c r="C873" s="202"/>
      <c r="D873" s="271">
        <v>8</v>
      </c>
      <c r="E873" s="167"/>
      <c r="F873" s="469"/>
      <c r="G873" s="474" t="s">
        <v>49</v>
      </c>
      <c r="H873" s="475"/>
      <c r="I873" s="389" t="str">
        <f t="shared" si="1950"/>
        <v/>
      </c>
      <c r="J873" s="390" t="str">
        <f t="shared" si="1951"/>
        <v/>
      </c>
      <c r="K873" s="391" t="str">
        <f t="shared" si="1952"/>
        <v/>
      </c>
      <c r="L873" s="299"/>
      <c r="M873" s="375"/>
      <c r="N873" s="379"/>
      <c r="O873" s="236"/>
      <c r="P873" s="236"/>
      <c r="Q873" s="483"/>
      <c r="R873" s="484"/>
      <c r="S873" s="485" t="str">
        <f t="shared" si="1990"/>
        <v/>
      </c>
      <c r="T873" s="371"/>
      <c r="U873" s="232" t="str">
        <f t="shared" si="1953"/>
        <v/>
      </c>
      <c r="V873" s="232" t="str">
        <f t="shared" si="1954"/>
        <v/>
      </c>
      <c r="W873" s="232" t="str">
        <f t="shared" si="1955"/>
        <v/>
      </c>
      <c r="X873" s="232" t="str">
        <f t="shared" si="1991"/>
        <v/>
      </c>
      <c r="Y873" s="371"/>
      <c r="Z873" s="497"/>
      <c r="AA873" s="498"/>
      <c r="AB873" s="485" t="str">
        <f t="shared" si="1956"/>
        <v/>
      </c>
      <c r="AC873" s="371"/>
      <c r="AD873" s="232" t="str">
        <f t="shared" si="1957"/>
        <v/>
      </c>
      <c r="AE873" s="232" t="str">
        <f t="shared" si="1958"/>
        <v/>
      </c>
      <c r="AF873" s="232" t="str">
        <f t="shared" si="1959"/>
        <v/>
      </c>
      <c r="AG873" s="232" t="str">
        <f t="shared" si="1992"/>
        <v/>
      </c>
      <c r="AH873" s="371"/>
      <c r="AI873" s="497"/>
      <c r="AJ873" s="498"/>
      <c r="AK873" s="485" t="str">
        <f t="shared" si="1960"/>
        <v/>
      </c>
      <c r="AL873" s="371"/>
      <c r="AM873" s="232" t="str">
        <f t="shared" si="1961"/>
        <v/>
      </c>
      <c r="AN873" s="232" t="str">
        <f t="shared" si="1962"/>
        <v/>
      </c>
      <c r="AO873" s="232" t="str">
        <f t="shared" si="1963"/>
        <v/>
      </c>
      <c r="AP873" s="232" t="str">
        <f t="shared" si="1993"/>
        <v/>
      </c>
      <c r="AQ873" s="371"/>
      <c r="AR873" s="497"/>
      <c r="AS873" s="498"/>
      <c r="AT873" s="485" t="str">
        <f t="shared" si="1964"/>
        <v/>
      </c>
      <c r="AU873" s="371"/>
      <c r="AV873" s="232" t="str">
        <f t="shared" si="1965"/>
        <v/>
      </c>
      <c r="AW873" s="232" t="str">
        <f t="shared" si="1966"/>
        <v/>
      </c>
      <c r="AX873" s="232" t="str">
        <f t="shared" si="1967"/>
        <v/>
      </c>
      <c r="AY873" s="232" t="str">
        <f t="shared" si="1994"/>
        <v/>
      </c>
      <c r="AZ873" s="371"/>
      <c r="BA873" s="497"/>
      <c r="BB873" s="498"/>
      <c r="BC873" s="485" t="str">
        <f t="shared" si="1968"/>
        <v/>
      </c>
      <c r="BD873" s="371"/>
      <c r="BE873" s="232" t="str">
        <f t="shared" si="1969"/>
        <v/>
      </c>
      <c r="BF873" s="232" t="str">
        <f t="shared" si="1970"/>
        <v/>
      </c>
      <c r="BG873" s="232" t="str">
        <f t="shared" si="1971"/>
        <v/>
      </c>
      <c r="BH873" s="232" t="str">
        <f t="shared" si="1995"/>
        <v/>
      </c>
      <c r="BI873" s="371"/>
      <c r="BJ873" s="497"/>
      <c r="BK873" s="498"/>
      <c r="BL873" s="485" t="str">
        <f t="shared" si="1972"/>
        <v/>
      </c>
      <c r="BM873" s="371"/>
      <c r="BN873" s="232" t="str">
        <f t="shared" si="1973"/>
        <v/>
      </c>
      <c r="BO873" s="232" t="str">
        <f t="shared" si="1974"/>
        <v/>
      </c>
      <c r="BP873" s="232" t="str">
        <f t="shared" si="1975"/>
        <v/>
      </c>
      <c r="BQ873" s="232" t="str">
        <f t="shared" si="1996"/>
        <v/>
      </c>
      <c r="BR873" s="371"/>
      <c r="BS873" s="497"/>
      <c r="BT873" s="498"/>
      <c r="BU873" s="485" t="str">
        <f t="shared" si="1976"/>
        <v/>
      </c>
      <c r="BV873" s="371"/>
      <c r="BW873" s="232" t="str">
        <f t="shared" si="1977"/>
        <v/>
      </c>
      <c r="BX873" s="232" t="str">
        <f t="shared" si="1978"/>
        <v/>
      </c>
      <c r="BY873" s="232" t="str">
        <f t="shared" si="1979"/>
        <v/>
      </c>
      <c r="BZ873" s="232" t="str">
        <f t="shared" si="1997"/>
        <v/>
      </c>
      <c r="CA873" s="371"/>
      <c r="CB873" s="504" t="str">
        <f t="shared" si="1980"/>
        <v/>
      </c>
      <c r="CC873" s="505" t="str">
        <f t="shared" si="1981"/>
        <v/>
      </c>
      <c r="CD873" s="506" t="str">
        <f t="shared" si="1982"/>
        <v/>
      </c>
      <c r="CE873" s="371"/>
      <c r="CF873" s="232" t="str">
        <f t="shared" si="1983"/>
        <v/>
      </c>
      <c r="CG873" s="232" t="str">
        <f t="shared" si="1984"/>
        <v/>
      </c>
      <c r="CH873" s="232" t="str">
        <f t="shared" si="1985"/>
        <v/>
      </c>
      <c r="CI873" s="232" t="str">
        <f t="shared" si="1998"/>
        <v/>
      </c>
      <c r="CJ873" s="232"/>
      <c r="CK873" s="497"/>
      <c r="CL873" s="498"/>
      <c r="CM873" s="485" t="str">
        <f t="shared" si="1986"/>
        <v/>
      </c>
      <c r="CN873" s="371"/>
      <c r="CO873" s="232" t="str">
        <f t="shared" si="1987"/>
        <v/>
      </c>
      <c r="CP873" s="232" t="str">
        <f t="shared" si="1988"/>
        <v/>
      </c>
      <c r="CQ873" s="232" t="str">
        <f t="shared" si="1989"/>
        <v/>
      </c>
      <c r="CR873" s="232" t="str">
        <f t="shared" si="1999"/>
        <v/>
      </c>
      <c r="CS873" s="232"/>
      <c r="CT873" s="371"/>
      <c r="CU873" s="300"/>
      <c r="CV873" s="246"/>
      <c r="CW873" s="264"/>
    </row>
    <row r="874" spans="1:101" ht="13.5" thickBot="1" x14ac:dyDescent="0.25">
      <c r="A874" s="264"/>
      <c r="B874" s="264"/>
      <c r="C874" s="202"/>
      <c r="D874" s="271">
        <v>9</v>
      </c>
      <c r="E874" s="168"/>
      <c r="F874" s="470"/>
      <c r="G874" s="476" t="s">
        <v>49</v>
      </c>
      <c r="H874" s="477"/>
      <c r="I874" s="392" t="str">
        <f t="shared" si="1950"/>
        <v/>
      </c>
      <c r="J874" s="393" t="str">
        <f t="shared" si="1951"/>
        <v/>
      </c>
      <c r="K874" s="394" t="str">
        <f t="shared" si="1952"/>
        <v/>
      </c>
      <c r="L874" s="299"/>
      <c r="M874" s="375"/>
      <c r="N874" s="379"/>
      <c r="O874" s="236"/>
      <c r="P874" s="236"/>
      <c r="Q874" s="489"/>
      <c r="R874" s="490"/>
      <c r="S874" s="491" t="str">
        <f t="shared" si="1990"/>
        <v/>
      </c>
      <c r="T874" s="371"/>
      <c r="U874" s="232" t="str">
        <f t="shared" si="1953"/>
        <v/>
      </c>
      <c r="V874" s="232" t="str">
        <f t="shared" si="1954"/>
        <v/>
      </c>
      <c r="W874" s="232" t="str">
        <f t="shared" si="1955"/>
        <v/>
      </c>
      <c r="X874" s="232" t="str">
        <f t="shared" si="1991"/>
        <v/>
      </c>
      <c r="Y874" s="371"/>
      <c r="Z874" s="499"/>
      <c r="AA874" s="500"/>
      <c r="AB874" s="491" t="str">
        <f t="shared" si="1956"/>
        <v/>
      </c>
      <c r="AC874" s="371"/>
      <c r="AD874" s="232" t="str">
        <f t="shared" si="1957"/>
        <v/>
      </c>
      <c r="AE874" s="232" t="str">
        <f t="shared" si="1958"/>
        <v/>
      </c>
      <c r="AF874" s="232" t="str">
        <f t="shared" si="1959"/>
        <v/>
      </c>
      <c r="AG874" s="232" t="str">
        <f t="shared" si="1992"/>
        <v/>
      </c>
      <c r="AH874" s="371"/>
      <c r="AI874" s="499"/>
      <c r="AJ874" s="500"/>
      <c r="AK874" s="491" t="str">
        <f t="shared" si="1960"/>
        <v/>
      </c>
      <c r="AL874" s="371"/>
      <c r="AM874" s="232" t="str">
        <f t="shared" si="1961"/>
        <v/>
      </c>
      <c r="AN874" s="232" t="str">
        <f t="shared" si="1962"/>
        <v/>
      </c>
      <c r="AO874" s="232" t="str">
        <f t="shared" si="1963"/>
        <v/>
      </c>
      <c r="AP874" s="232" t="str">
        <f t="shared" si="1993"/>
        <v/>
      </c>
      <c r="AQ874" s="371"/>
      <c r="AR874" s="499"/>
      <c r="AS874" s="500"/>
      <c r="AT874" s="491" t="str">
        <f t="shared" si="1964"/>
        <v/>
      </c>
      <c r="AU874" s="371"/>
      <c r="AV874" s="232" t="str">
        <f t="shared" si="1965"/>
        <v/>
      </c>
      <c r="AW874" s="232" t="str">
        <f t="shared" si="1966"/>
        <v/>
      </c>
      <c r="AX874" s="232" t="str">
        <f t="shared" si="1967"/>
        <v/>
      </c>
      <c r="AY874" s="232" t="str">
        <f t="shared" si="1994"/>
        <v/>
      </c>
      <c r="AZ874" s="371"/>
      <c r="BA874" s="499"/>
      <c r="BB874" s="500"/>
      <c r="BC874" s="491" t="str">
        <f t="shared" si="1968"/>
        <v/>
      </c>
      <c r="BD874" s="371"/>
      <c r="BE874" s="232" t="str">
        <f t="shared" si="1969"/>
        <v/>
      </c>
      <c r="BF874" s="232" t="str">
        <f t="shared" si="1970"/>
        <v/>
      </c>
      <c r="BG874" s="232" t="str">
        <f t="shared" si="1971"/>
        <v/>
      </c>
      <c r="BH874" s="232" t="str">
        <f t="shared" si="1995"/>
        <v/>
      </c>
      <c r="BI874" s="371"/>
      <c r="BJ874" s="499"/>
      <c r="BK874" s="500"/>
      <c r="BL874" s="491" t="str">
        <f t="shared" si="1972"/>
        <v/>
      </c>
      <c r="BM874" s="371"/>
      <c r="BN874" s="232" t="str">
        <f t="shared" si="1973"/>
        <v/>
      </c>
      <c r="BO874" s="232" t="str">
        <f t="shared" si="1974"/>
        <v/>
      </c>
      <c r="BP874" s="232" t="str">
        <f t="shared" si="1975"/>
        <v/>
      </c>
      <c r="BQ874" s="232" t="str">
        <f t="shared" si="1996"/>
        <v/>
      </c>
      <c r="BR874" s="371"/>
      <c r="BS874" s="499"/>
      <c r="BT874" s="500"/>
      <c r="BU874" s="491" t="str">
        <f t="shared" si="1976"/>
        <v/>
      </c>
      <c r="BV874" s="371"/>
      <c r="BW874" s="232" t="str">
        <f t="shared" si="1977"/>
        <v/>
      </c>
      <c r="BX874" s="232" t="str">
        <f t="shared" si="1978"/>
        <v/>
      </c>
      <c r="BY874" s="232" t="str">
        <f t="shared" si="1979"/>
        <v/>
      </c>
      <c r="BZ874" s="232" t="str">
        <f t="shared" si="1997"/>
        <v/>
      </c>
      <c r="CA874" s="371"/>
      <c r="CB874" s="507" t="str">
        <f t="shared" si="1980"/>
        <v/>
      </c>
      <c r="CC874" s="508" t="str">
        <f t="shared" si="1981"/>
        <v/>
      </c>
      <c r="CD874" s="509" t="str">
        <f t="shared" si="1982"/>
        <v/>
      </c>
      <c r="CE874" s="371"/>
      <c r="CF874" s="232" t="str">
        <f t="shared" si="1983"/>
        <v/>
      </c>
      <c r="CG874" s="232" t="str">
        <f t="shared" si="1984"/>
        <v/>
      </c>
      <c r="CH874" s="232" t="str">
        <f t="shared" si="1985"/>
        <v/>
      </c>
      <c r="CI874" s="232" t="str">
        <f t="shared" si="1998"/>
        <v/>
      </c>
      <c r="CJ874" s="232"/>
      <c r="CK874" s="499"/>
      <c r="CL874" s="500"/>
      <c r="CM874" s="491" t="str">
        <f t="shared" si="1986"/>
        <v/>
      </c>
      <c r="CN874" s="371"/>
      <c r="CO874" s="232" t="str">
        <f t="shared" si="1987"/>
        <v/>
      </c>
      <c r="CP874" s="232" t="str">
        <f t="shared" si="1988"/>
        <v/>
      </c>
      <c r="CQ874" s="232" t="str">
        <f t="shared" si="1989"/>
        <v/>
      </c>
      <c r="CR874" s="232" t="str">
        <f t="shared" si="1999"/>
        <v/>
      </c>
      <c r="CS874" s="232"/>
      <c r="CT874" s="371"/>
      <c r="CU874" s="300"/>
      <c r="CV874" s="246"/>
      <c r="CW874" s="264"/>
    </row>
    <row r="875" spans="1:101" x14ac:dyDescent="0.2">
      <c r="A875" s="264"/>
      <c r="B875" s="264"/>
      <c r="C875" s="202"/>
      <c r="D875" s="271">
        <v>10</v>
      </c>
      <c r="E875" s="169"/>
      <c r="F875" s="471"/>
      <c r="G875" s="478" t="s">
        <v>49</v>
      </c>
      <c r="H875" s="479"/>
      <c r="I875" s="170" t="str">
        <f t="shared" si="1950"/>
        <v/>
      </c>
      <c r="J875" s="387" t="str">
        <f t="shared" si="1951"/>
        <v/>
      </c>
      <c r="K875" s="388" t="str">
        <f t="shared" si="1952"/>
        <v/>
      </c>
      <c r="L875" s="299"/>
      <c r="M875" s="375"/>
      <c r="N875" s="379"/>
      <c r="O875" s="236"/>
      <c r="P875" s="236"/>
      <c r="Q875" s="492"/>
      <c r="R875" s="493"/>
      <c r="S875" s="494" t="str">
        <f t="shared" si="1990"/>
        <v/>
      </c>
      <c r="T875" s="371"/>
      <c r="U875" s="232" t="str">
        <f t="shared" si="1953"/>
        <v/>
      </c>
      <c r="V875" s="232" t="str">
        <f t="shared" si="1954"/>
        <v/>
      </c>
      <c r="W875" s="232" t="str">
        <f t="shared" si="1955"/>
        <v/>
      </c>
      <c r="X875" s="232" t="str">
        <f t="shared" si="1991"/>
        <v/>
      </c>
      <c r="Y875" s="371"/>
      <c r="Z875" s="495"/>
      <c r="AA875" s="496"/>
      <c r="AB875" s="494" t="str">
        <f t="shared" si="1956"/>
        <v/>
      </c>
      <c r="AC875" s="371"/>
      <c r="AD875" s="232" t="str">
        <f t="shared" si="1957"/>
        <v/>
      </c>
      <c r="AE875" s="232" t="str">
        <f t="shared" si="1958"/>
        <v/>
      </c>
      <c r="AF875" s="232" t="str">
        <f t="shared" si="1959"/>
        <v/>
      </c>
      <c r="AG875" s="232" t="str">
        <f t="shared" si="1992"/>
        <v/>
      </c>
      <c r="AH875" s="371"/>
      <c r="AI875" s="495"/>
      <c r="AJ875" s="496"/>
      <c r="AK875" s="494" t="str">
        <f t="shared" si="1960"/>
        <v/>
      </c>
      <c r="AL875" s="371"/>
      <c r="AM875" s="232" t="str">
        <f t="shared" si="1961"/>
        <v/>
      </c>
      <c r="AN875" s="232" t="str">
        <f t="shared" si="1962"/>
        <v/>
      </c>
      <c r="AO875" s="232" t="str">
        <f t="shared" si="1963"/>
        <v/>
      </c>
      <c r="AP875" s="232" t="str">
        <f t="shared" si="1993"/>
        <v/>
      </c>
      <c r="AQ875" s="371"/>
      <c r="AR875" s="495"/>
      <c r="AS875" s="496"/>
      <c r="AT875" s="494" t="str">
        <f t="shared" si="1964"/>
        <v/>
      </c>
      <c r="AU875" s="371"/>
      <c r="AV875" s="232" t="str">
        <f t="shared" si="1965"/>
        <v/>
      </c>
      <c r="AW875" s="232" t="str">
        <f t="shared" si="1966"/>
        <v/>
      </c>
      <c r="AX875" s="232" t="str">
        <f t="shared" si="1967"/>
        <v/>
      </c>
      <c r="AY875" s="232" t="str">
        <f t="shared" si="1994"/>
        <v/>
      </c>
      <c r="AZ875" s="371"/>
      <c r="BA875" s="495"/>
      <c r="BB875" s="496"/>
      <c r="BC875" s="494" t="str">
        <f t="shared" si="1968"/>
        <v/>
      </c>
      <c r="BD875" s="371"/>
      <c r="BE875" s="232" t="str">
        <f t="shared" si="1969"/>
        <v/>
      </c>
      <c r="BF875" s="232" t="str">
        <f t="shared" si="1970"/>
        <v/>
      </c>
      <c r="BG875" s="232" t="str">
        <f t="shared" si="1971"/>
        <v/>
      </c>
      <c r="BH875" s="232" t="str">
        <f t="shared" si="1995"/>
        <v/>
      </c>
      <c r="BI875" s="371"/>
      <c r="BJ875" s="495"/>
      <c r="BK875" s="496"/>
      <c r="BL875" s="494" t="str">
        <f t="shared" si="1972"/>
        <v/>
      </c>
      <c r="BM875" s="371"/>
      <c r="BN875" s="232" t="str">
        <f t="shared" si="1973"/>
        <v/>
      </c>
      <c r="BO875" s="232" t="str">
        <f t="shared" si="1974"/>
        <v/>
      </c>
      <c r="BP875" s="232" t="str">
        <f t="shared" si="1975"/>
        <v/>
      </c>
      <c r="BQ875" s="232" t="str">
        <f t="shared" si="1996"/>
        <v/>
      </c>
      <c r="BR875" s="371"/>
      <c r="BS875" s="495"/>
      <c r="BT875" s="496"/>
      <c r="BU875" s="494" t="str">
        <f t="shared" si="1976"/>
        <v/>
      </c>
      <c r="BV875" s="371"/>
      <c r="BW875" s="232" t="str">
        <f t="shared" si="1977"/>
        <v/>
      </c>
      <c r="BX875" s="232" t="str">
        <f t="shared" si="1978"/>
        <v/>
      </c>
      <c r="BY875" s="232" t="str">
        <f t="shared" si="1979"/>
        <v/>
      </c>
      <c r="BZ875" s="232" t="str">
        <f t="shared" si="1997"/>
        <v/>
      </c>
      <c r="CA875" s="371"/>
      <c r="CB875" s="501" t="str">
        <f t="shared" si="1980"/>
        <v/>
      </c>
      <c r="CC875" s="502" t="str">
        <f t="shared" si="1981"/>
        <v/>
      </c>
      <c r="CD875" s="503" t="str">
        <f t="shared" si="1982"/>
        <v/>
      </c>
      <c r="CE875" s="371"/>
      <c r="CF875" s="232" t="str">
        <f t="shared" si="1983"/>
        <v/>
      </c>
      <c r="CG875" s="232" t="str">
        <f t="shared" si="1984"/>
        <v/>
      </c>
      <c r="CH875" s="232" t="str">
        <f t="shared" si="1985"/>
        <v/>
      </c>
      <c r="CI875" s="232" t="str">
        <f t="shared" si="1998"/>
        <v/>
      </c>
      <c r="CJ875" s="232"/>
      <c r="CK875" s="495"/>
      <c r="CL875" s="496"/>
      <c r="CM875" s="494" t="str">
        <f t="shared" si="1986"/>
        <v/>
      </c>
      <c r="CN875" s="371"/>
      <c r="CO875" s="232" t="str">
        <f t="shared" si="1987"/>
        <v/>
      </c>
      <c r="CP875" s="232" t="str">
        <f t="shared" si="1988"/>
        <v/>
      </c>
      <c r="CQ875" s="232" t="str">
        <f t="shared" si="1989"/>
        <v/>
      </c>
      <c r="CR875" s="232" t="str">
        <f t="shared" si="1999"/>
        <v/>
      </c>
      <c r="CS875" s="232"/>
      <c r="CT875" s="371"/>
      <c r="CU875" s="300"/>
      <c r="CV875" s="246"/>
      <c r="CW875" s="264"/>
    </row>
    <row r="876" spans="1:101" x14ac:dyDescent="0.2">
      <c r="A876" s="264"/>
      <c r="B876" s="264"/>
      <c r="C876" s="202"/>
      <c r="D876" s="271">
        <v>11</v>
      </c>
      <c r="E876" s="167"/>
      <c r="F876" s="469"/>
      <c r="G876" s="474" t="s">
        <v>49</v>
      </c>
      <c r="H876" s="475"/>
      <c r="I876" s="389" t="str">
        <f t="shared" si="1950"/>
        <v/>
      </c>
      <c r="J876" s="390" t="str">
        <f t="shared" si="1951"/>
        <v/>
      </c>
      <c r="K876" s="391" t="str">
        <f t="shared" si="1952"/>
        <v/>
      </c>
      <c r="L876" s="299"/>
      <c r="M876" s="375"/>
      <c r="N876" s="379"/>
      <c r="O876" s="236"/>
      <c r="P876" s="236"/>
      <c r="Q876" s="483"/>
      <c r="R876" s="484"/>
      <c r="S876" s="485" t="str">
        <f t="shared" si="1990"/>
        <v/>
      </c>
      <c r="T876" s="371"/>
      <c r="U876" s="232" t="str">
        <f t="shared" si="1953"/>
        <v/>
      </c>
      <c r="V876" s="232" t="str">
        <f t="shared" si="1954"/>
        <v/>
      </c>
      <c r="W876" s="232" t="str">
        <f t="shared" si="1955"/>
        <v/>
      </c>
      <c r="X876" s="232" t="str">
        <f t="shared" si="1991"/>
        <v/>
      </c>
      <c r="Y876" s="371"/>
      <c r="Z876" s="497"/>
      <c r="AA876" s="498"/>
      <c r="AB876" s="485" t="str">
        <f t="shared" si="1956"/>
        <v/>
      </c>
      <c r="AC876" s="371"/>
      <c r="AD876" s="232" t="str">
        <f t="shared" si="1957"/>
        <v/>
      </c>
      <c r="AE876" s="232" t="str">
        <f t="shared" si="1958"/>
        <v/>
      </c>
      <c r="AF876" s="232" t="str">
        <f t="shared" si="1959"/>
        <v/>
      </c>
      <c r="AG876" s="232" t="str">
        <f t="shared" si="1992"/>
        <v/>
      </c>
      <c r="AH876" s="371"/>
      <c r="AI876" s="497"/>
      <c r="AJ876" s="498"/>
      <c r="AK876" s="485" t="str">
        <f t="shared" si="1960"/>
        <v/>
      </c>
      <c r="AL876" s="371"/>
      <c r="AM876" s="232" t="str">
        <f t="shared" si="1961"/>
        <v/>
      </c>
      <c r="AN876" s="232" t="str">
        <f t="shared" si="1962"/>
        <v/>
      </c>
      <c r="AO876" s="232" t="str">
        <f t="shared" si="1963"/>
        <v/>
      </c>
      <c r="AP876" s="232" t="str">
        <f t="shared" si="1993"/>
        <v/>
      </c>
      <c r="AQ876" s="371"/>
      <c r="AR876" s="497"/>
      <c r="AS876" s="498"/>
      <c r="AT876" s="485" t="str">
        <f t="shared" si="1964"/>
        <v/>
      </c>
      <c r="AU876" s="371"/>
      <c r="AV876" s="232" t="str">
        <f t="shared" si="1965"/>
        <v/>
      </c>
      <c r="AW876" s="232" t="str">
        <f t="shared" si="1966"/>
        <v/>
      </c>
      <c r="AX876" s="232" t="str">
        <f t="shared" si="1967"/>
        <v/>
      </c>
      <c r="AY876" s="232" t="str">
        <f t="shared" si="1994"/>
        <v/>
      </c>
      <c r="AZ876" s="371"/>
      <c r="BA876" s="497"/>
      <c r="BB876" s="498"/>
      <c r="BC876" s="485" t="str">
        <f t="shared" si="1968"/>
        <v/>
      </c>
      <c r="BD876" s="371"/>
      <c r="BE876" s="232" t="str">
        <f t="shared" si="1969"/>
        <v/>
      </c>
      <c r="BF876" s="232" t="str">
        <f t="shared" si="1970"/>
        <v/>
      </c>
      <c r="BG876" s="232" t="str">
        <f t="shared" si="1971"/>
        <v/>
      </c>
      <c r="BH876" s="232" t="str">
        <f t="shared" si="1995"/>
        <v/>
      </c>
      <c r="BI876" s="371"/>
      <c r="BJ876" s="497"/>
      <c r="BK876" s="498"/>
      <c r="BL876" s="485" t="str">
        <f t="shared" si="1972"/>
        <v/>
      </c>
      <c r="BM876" s="371"/>
      <c r="BN876" s="232" t="str">
        <f t="shared" si="1973"/>
        <v/>
      </c>
      <c r="BO876" s="232" t="str">
        <f t="shared" si="1974"/>
        <v/>
      </c>
      <c r="BP876" s="232" t="str">
        <f t="shared" si="1975"/>
        <v/>
      </c>
      <c r="BQ876" s="232" t="str">
        <f t="shared" si="1996"/>
        <v/>
      </c>
      <c r="BR876" s="371"/>
      <c r="BS876" s="497"/>
      <c r="BT876" s="498"/>
      <c r="BU876" s="485" t="str">
        <f t="shared" si="1976"/>
        <v/>
      </c>
      <c r="BV876" s="371"/>
      <c r="BW876" s="232" t="str">
        <f t="shared" si="1977"/>
        <v/>
      </c>
      <c r="BX876" s="232" t="str">
        <f t="shared" si="1978"/>
        <v/>
      </c>
      <c r="BY876" s="232" t="str">
        <f t="shared" si="1979"/>
        <v/>
      </c>
      <c r="BZ876" s="232" t="str">
        <f t="shared" si="1997"/>
        <v/>
      </c>
      <c r="CA876" s="371"/>
      <c r="CB876" s="504" t="str">
        <f t="shared" si="1980"/>
        <v/>
      </c>
      <c r="CC876" s="505" t="str">
        <f t="shared" si="1981"/>
        <v/>
      </c>
      <c r="CD876" s="506" t="str">
        <f t="shared" si="1982"/>
        <v/>
      </c>
      <c r="CE876" s="371"/>
      <c r="CF876" s="232" t="str">
        <f t="shared" si="1983"/>
        <v/>
      </c>
      <c r="CG876" s="232" t="str">
        <f t="shared" si="1984"/>
        <v/>
      </c>
      <c r="CH876" s="232" t="str">
        <f t="shared" si="1985"/>
        <v/>
      </c>
      <c r="CI876" s="232" t="str">
        <f t="shared" si="1998"/>
        <v/>
      </c>
      <c r="CJ876" s="232"/>
      <c r="CK876" s="497"/>
      <c r="CL876" s="498"/>
      <c r="CM876" s="485" t="str">
        <f t="shared" si="1986"/>
        <v/>
      </c>
      <c r="CN876" s="371"/>
      <c r="CO876" s="232" t="str">
        <f t="shared" si="1987"/>
        <v/>
      </c>
      <c r="CP876" s="232" t="str">
        <f t="shared" si="1988"/>
        <v/>
      </c>
      <c r="CQ876" s="232" t="str">
        <f t="shared" si="1989"/>
        <v/>
      </c>
      <c r="CR876" s="232" t="str">
        <f t="shared" si="1999"/>
        <v/>
      </c>
      <c r="CS876" s="232"/>
      <c r="CT876" s="371"/>
      <c r="CU876" s="300"/>
      <c r="CV876" s="246"/>
      <c r="CW876" s="264"/>
    </row>
    <row r="877" spans="1:101" ht="13.5" thickBot="1" x14ac:dyDescent="0.25">
      <c r="A877" s="264"/>
      <c r="B877" s="264"/>
      <c r="C877" s="202"/>
      <c r="D877" s="271">
        <v>12</v>
      </c>
      <c r="E877" s="168"/>
      <c r="F877" s="470"/>
      <c r="G877" s="476" t="s">
        <v>49</v>
      </c>
      <c r="H877" s="477"/>
      <c r="I877" s="392" t="str">
        <f t="shared" si="1950"/>
        <v/>
      </c>
      <c r="J877" s="393" t="str">
        <f t="shared" si="1951"/>
        <v/>
      </c>
      <c r="K877" s="394" t="str">
        <f t="shared" si="1952"/>
        <v/>
      </c>
      <c r="L877" s="299"/>
      <c r="M877" s="375"/>
      <c r="N877" s="379"/>
      <c r="O877" s="236"/>
      <c r="P877" s="236"/>
      <c r="Q877" s="489"/>
      <c r="R877" s="490"/>
      <c r="S877" s="491" t="str">
        <f t="shared" si="1990"/>
        <v/>
      </c>
      <c r="T877" s="371"/>
      <c r="U877" s="232" t="str">
        <f t="shared" si="1953"/>
        <v/>
      </c>
      <c r="V877" s="232" t="str">
        <f t="shared" si="1954"/>
        <v/>
      </c>
      <c r="W877" s="232" t="str">
        <f t="shared" si="1955"/>
        <v/>
      </c>
      <c r="X877" s="232" t="str">
        <f t="shared" si="1991"/>
        <v/>
      </c>
      <c r="Y877" s="371"/>
      <c r="Z877" s="499"/>
      <c r="AA877" s="500"/>
      <c r="AB877" s="491" t="str">
        <f t="shared" si="1956"/>
        <v/>
      </c>
      <c r="AC877" s="371"/>
      <c r="AD877" s="232" t="str">
        <f t="shared" si="1957"/>
        <v/>
      </c>
      <c r="AE877" s="232" t="str">
        <f t="shared" si="1958"/>
        <v/>
      </c>
      <c r="AF877" s="232" t="str">
        <f t="shared" si="1959"/>
        <v/>
      </c>
      <c r="AG877" s="232" t="str">
        <f t="shared" si="1992"/>
        <v/>
      </c>
      <c r="AH877" s="371"/>
      <c r="AI877" s="499"/>
      <c r="AJ877" s="500"/>
      <c r="AK877" s="491" t="str">
        <f t="shared" si="1960"/>
        <v/>
      </c>
      <c r="AL877" s="371"/>
      <c r="AM877" s="232" t="str">
        <f t="shared" si="1961"/>
        <v/>
      </c>
      <c r="AN877" s="232" t="str">
        <f t="shared" si="1962"/>
        <v/>
      </c>
      <c r="AO877" s="232" t="str">
        <f t="shared" si="1963"/>
        <v/>
      </c>
      <c r="AP877" s="232" t="str">
        <f t="shared" si="1993"/>
        <v/>
      </c>
      <c r="AQ877" s="371"/>
      <c r="AR877" s="499"/>
      <c r="AS877" s="500"/>
      <c r="AT877" s="491" t="str">
        <f t="shared" si="1964"/>
        <v/>
      </c>
      <c r="AU877" s="371"/>
      <c r="AV877" s="232" t="str">
        <f t="shared" si="1965"/>
        <v/>
      </c>
      <c r="AW877" s="232" t="str">
        <f t="shared" si="1966"/>
        <v/>
      </c>
      <c r="AX877" s="232" t="str">
        <f t="shared" si="1967"/>
        <v/>
      </c>
      <c r="AY877" s="232" t="str">
        <f t="shared" si="1994"/>
        <v/>
      </c>
      <c r="AZ877" s="371"/>
      <c r="BA877" s="499"/>
      <c r="BB877" s="500"/>
      <c r="BC877" s="491" t="str">
        <f t="shared" si="1968"/>
        <v/>
      </c>
      <c r="BD877" s="371"/>
      <c r="BE877" s="232" t="str">
        <f t="shared" si="1969"/>
        <v/>
      </c>
      <c r="BF877" s="232" t="str">
        <f t="shared" si="1970"/>
        <v/>
      </c>
      <c r="BG877" s="232" t="str">
        <f t="shared" si="1971"/>
        <v/>
      </c>
      <c r="BH877" s="232" t="str">
        <f t="shared" si="1995"/>
        <v/>
      </c>
      <c r="BI877" s="371"/>
      <c r="BJ877" s="499"/>
      <c r="BK877" s="500"/>
      <c r="BL877" s="491" t="str">
        <f t="shared" si="1972"/>
        <v/>
      </c>
      <c r="BM877" s="371"/>
      <c r="BN877" s="232" t="str">
        <f t="shared" si="1973"/>
        <v/>
      </c>
      <c r="BO877" s="232" t="str">
        <f t="shared" si="1974"/>
        <v/>
      </c>
      <c r="BP877" s="232" t="str">
        <f t="shared" si="1975"/>
        <v/>
      </c>
      <c r="BQ877" s="232" t="str">
        <f t="shared" si="1996"/>
        <v/>
      </c>
      <c r="BR877" s="371"/>
      <c r="BS877" s="499"/>
      <c r="BT877" s="500"/>
      <c r="BU877" s="491" t="str">
        <f t="shared" si="1976"/>
        <v/>
      </c>
      <c r="BV877" s="371"/>
      <c r="BW877" s="232" t="str">
        <f t="shared" si="1977"/>
        <v/>
      </c>
      <c r="BX877" s="232" t="str">
        <f t="shared" si="1978"/>
        <v/>
      </c>
      <c r="BY877" s="232" t="str">
        <f t="shared" si="1979"/>
        <v/>
      </c>
      <c r="BZ877" s="232" t="str">
        <f t="shared" si="1997"/>
        <v/>
      </c>
      <c r="CA877" s="371"/>
      <c r="CB877" s="507" t="str">
        <f t="shared" si="1980"/>
        <v/>
      </c>
      <c r="CC877" s="508" t="str">
        <f t="shared" si="1981"/>
        <v/>
      </c>
      <c r="CD877" s="509" t="str">
        <f t="shared" si="1982"/>
        <v/>
      </c>
      <c r="CE877" s="371"/>
      <c r="CF877" s="232" t="str">
        <f t="shared" si="1983"/>
        <v/>
      </c>
      <c r="CG877" s="232" t="str">
        <f t="shared" si="1984"/>
        <v/>
      </c>
      <c r="CH877" s="232" t="str">
        <f t="shared" si="1985"/>
        <v/>
      </c>
      <c r="CI877" s="232" t="str">
        <f t="shared" si="1998"/>
        <v/>
      </c>
      <c r="CJ877" s="232"/>
      <c r="CK877" s="499"/>
      <c r="CL877" s="500"/>
      <c r="CM877" s="491" t="str">
        <f t="shared" si="1986"/>
        <v/>
      </c>
      <c r="CN877" s="371"/>
      <c r="CO877" s="232" t="str">
        <f t="shared" si="1987"/>
        <v/>
      </c>
      <c r="CP877" s="232" t="str">
        <f t="shared" si="1988"/>
        <v/>
      </c>
      <c r="CQ877" s="232" t="str">
        <f t="shared" si="1989"/>
        <v/>
      </c>
      <c r="CR877" s="232" t="str">
        <f t="shared" si="1999"/>
        <v/>
      </c>
      <c r="CS877" s="232"/>
      <c r="CT877" s="371"/>
      <c r="CU877" s="300"/>
      <c r="CV877" s="246"/>
      <c r="CW877" s="264"/>
    </row>
    <row r="878" spans="1:101" x14ac:dyDescent="0.2">
      <c r="A878" s="264"/>
      <c r="B878" s="264"/>
      <c r="C878" s="202"/>
      <c r="D878" s="272"/>
      <c r="E878" s="235"/>
      <c r="F878" s="395" t="str">
        <f>IF(SUM(F866:F877)=0,"",SUM(F866:F877))</f>
        <v/>
      </c>
      <c r="G878" s="370" t="s">
        <v>49</v>
      </c>
      <c r="H878" s="396" t="str">
        <f>IF(SUM(H866:H877)=0,"",SUM(H866:H877))</f>
        <v/>
      </c>
      <c r="I878" s="397" t="str">
        <f>IF(COUNTIF(I866:I877,"=x")=0,"",COUNTIF(I866:I877,"=x"))</f>
        <v/>
      </c>
      <c r="J878" s="398" t="str">
        <f>IF(COUNTIF(J866:J877,"=x")=0,"",COUNTIF(J866:J877,"=x"))</f>
        <v/>
      </c>
      <c r="K878" s="399" t="str">
        <f>IF(COUNTIF(K866:K877,"=x")=0,"",COUNTIF(K866:K877,"=x"))</f>
        <v/>
      </c>
      <c r="L878" s="299"/>
      <c r="M878" s="375"/>
      <c r="N878" s="379"/>
      <c r="O878" s="236"/>
      <c r="P878" s="369"/>
      <c r="Q878" s="466">
        <f>SUM(U866:U877)</f>
        <v>0</v>
      </c>
      <c r="R878" s="466">
        <f>SUM(V866:V877)</f>
        <v>0</v>
      </c>
      <c r="S878" s="466">
        <f>SUM(W866:W877)</f>
        <v>0</v>
      </c>
      <c r="T878" s="368"/>
      <c r="U878" s="232"/>
      <c r="V878" s="232"/>
      <c r="W878" s="232"/>
      <c r="X878" s="232"/>
      <c r="Y878" s="367"/>
      <c r="Z878" s="466">
        <f>SUM(AD866:AD877)</f>
        <v>0</v>
      </c>
      <c r="AA878" s="466">
        <f>SUM(AE866:AE877)</f>
        <v>0</v>
      </c>
      <c r="AB878" s="466">
        <f>SUM(AF866:AF877)</f>
        <v>0</v>
      </c>
      <c r="AC878" s="368"/>
      <c r="AD878" s="232"/>
      <c r="AE878" s="232"/>
      <c r="AF878" s="232"/>
      <c r="AG878" s="232"/>
      <c r="AH878" s="367"/>
      <c r="AI878" s="466">
        <f>SUM(AM866:AM877)</f>
        <v>0</v>
      </c>
      <c r="AJ878" s="466">
        <f>SUM(AN866:AN877)</f>
        <v>0</v>
      </c>
      <c r="AK878" s="466">
        <f>SUM(AO866:AO877)</f>
        <v>0</v>
      </c>
      <c r="AL878" s="368"/>
      <c r="AM878" s="232"/>
      <c r="AN878" s="232"/>
      <c r="AO878" s="232"/>
      <c r="AP878" s="232"/>
      <c r="AQ878" s="367"/>
      <c r="AR878" s="466">
        <f>SUM(AV866:AV877)</f>
        <v>0</v>
      </c>
      <c r="AS878" s="466">
        <f>SUM(AW866:AW877)</f>
        <v>0</v>
      </c>
      <c r="AT878" s="466">
        <f>SUM(AX866:AX877)</f>
        <v>0</v>
      </c>
      <c r="AU878" s="368"/>
      <c r="AV878" s="232"/>
      <c r="AW878" s="232"/>
      <c r="AX878" s="232"/>
      <c r="AY878" s="232"/>
      <c r="AZ878" s="367"/>
      <c r="BA878" s="466">
        <f>SUM(BE866:BE877)</f>
        <v>0</v>
      </c>
      <c r="BB878" s="466">
        <f>SUM(BF866:BF877)</f>
        <v>0</v>
      </c>
      <c r="BC878" s="466">
        <f>SUM(BG866:BG877)</f>
        <v>0</v>
      </c>
      <c r="BD878" s="368"/>
      <c r="BE878" s="232"/>
      <c r="BF878" s="232"/>
      <c r="BG878" s="232"/>
      <c r="BH878" s="232"/>
      <c r="BI878" s="367"/>
      <c r="BJ878" s="466">
        <f>SUM(BN866:BN877)</f>
        <v>0</v>
      </c>
      <c r="BK878" s="466">
        <f>SUM(BO866:BO877)</f>
        <v>0</v>
      </c>
      <c r="BL878" s="466">
        <f>SUM(BP866:BP877)</f>
        <v>0</v>
      </c>
      <c r="BM878" s="368"/>
      <c r="BN878" s="232"/>
      <c r="BO878" s="232"/>
      <c r="BP878" s="232"/>
      <c r="BQ878" s="232"/>
      <c r="BR878" s="367"/>
      <c r="BS878" s="466">
        <f>SUM(BW866:BW877)</f>
        <v>0</v>
      </c>
      <c r="BT878" s="466">
        <f>SUM(BX866:BX877)</f>
        <v>0</v>
      </c>
      <c r="BU878" s="466">
        <f>SUM(BY866:BY877)</f>
        <v>0</v>
      </c>
      <c r="BV878" s="368"/>
      <c r="BW878" s="232"/>
      <c r="BX878" s="232"/>
      <c r="BY878" s="232"/>
      <c r="BZ878" s="232"/>
      <c r="CA878" s="369"/>
      <c r="CB878" s="466">
        <f>SUM(CF866:CF877)</f>
        <v>0</v>
      </c>
      <c r="CC878" s="466">
        <f>SUM(CG866:CG877)</f>
        <v>0</v>
      </c>
      <c r="CD878" s="466">
        <f>SUM(CH866:CH877)</f>
        <v>0</v>
      </c>
      <c r="CE878" s="368"/>
      <c r="CF878" s="232"/>
      <c r="CG878" s="232"/>
      <c r="CH878" s="232"/>
      <c r="CI878" s="232"/>
      <c r="CJ878" s="232"/>
      <c r="CK878" s="466">
        <f>SUM(CO866:CO877)</f>
        <v>0</v>
      </c>
      <c r="CL878" s="466">
        <f>SUM(CP866:CP877)</f>
        <v>0</v>
      </c>
      <c r="CM878" s="466">
        <f>SUM(CQ866:CQ877)</f>
        <v>0</v>
      </c>
      <c r="CN878" s="368"/>
      <c r="CO878" s="232"/>
      <c r="CP878" s="232"/>
      <c r="CQ878" s="232"/>
      <c r="CR878" s="232"/>
      <c r="CS878" s="232"/>
      <c r="CT878" s="232"/>
      <c r="CU878" s="300"/>
      <c r="CV878" s="246"/>
      <c r="CW878" s="265"/>
    </row>
    <row r="879" spans="1:101" ht="13.5" thickBot="1" x14ac:dyDescent="0.25">
      <c r="A879" s="264"/>
      <c r="B879" s="264"/>
      <c r="C879" s="202"/>
      <c r="D879" s="289"/>
      <c r="E879" s="282"/>
      <c r="F879" s="283"/>
      <c r="G879" s="282"/>
      <c r="H879" s="282"/>
      <c r="I879" s="282"/>
      <c r="J879" s="282"/>
      <c r="K879" s="282"/>
      <c r="L879" s="293"/>
      <c r="M879" s="301"/>
      <c r="N879" s="380"/>
      <c r="O879" s="376"/>
      <c r="P879" s="284"/>
      <c r="Q879" s="285"/>
      <c r="R879" s="285"/>
      <c r="S879" s="285"/>
      <c r="T879" s="286"/>
      <c r="U879" s="287"/>
      <c r="V879" s="287"/>
      <c r="W879" s="287"/>
      <c r="X879" s="287"/>
      <c r="Y879" s="284"/>
      <c r="Z879" s="285"/>
      <c r="AA879" s="285"/>
      <c r="AB879" s="285"/>
      <c r="AC879" s="286"/>
      <c r="AD879" s="287"/>
      <c r="AE879" s="287"/>
      <c r="AF879" s="287"/>
      <c r="AG879" s="288"/>
      <c r="AH879" s="284"/>
      <c r="AI879" s="285"/>
      <c r="AJ879" s="285"/>
      <c r="AK879" s="285"/>
      <c r="AL879" s="286"/>
      <c r="AM879" s="287"/>
      <c r="AN879" s="287"/>
      <c r="AO879" s="287"/>
      <c r="AP879" s="288"/>
      <c r="AQ879" s="284"/>
      <c r="AR879" s="285"/>
      <c r="AS879" s="285"/>
      <c r="AT879" s="285"/>
      <c r="AU879" s="286"/>
      <c r="AV879" s="287"/>
      <c r="AW879" s="287"/>
      <c r="AX879" s="287"/>
      <c r="AY879" s="288"/>
      <c r="AZ879" s="284"/>
      <c r="BA879" s="285"/>
      <c r="BB879" s="285"/>
      <c r="BC879" s="285"/>
      <c r="BD879" s="286"/>
      <c r="BE879" s="287"/>
      <c r="BF879" s="287"/>
      <c r="BG879" s="287"/>
      <c r="BH879" s="288"/>
      <c r="BI879" s="284"/>
      <c r="BJ879" s="284"/>
      <c r="BK879" s="284"/>
      <c r="BL879" s="284"/>
      <c r="BM879" s="284"/>
      <c r="BN879" s="284"/>
      <c r="BO879" s="284"/>
      <c r="BP879" s="284"/>
      <c r="BQ879" s="284"/>
      <c r="BR879" s="284"/>
      <c r="BS879" s="284"/>
      <c r="BT879" s="284"/>
      <c r="BU879" s="284"/>
      <c r="BV879" s="284"/>
      <c r="BW879" s="284"/>
      <c r="BX879" s="284"/>
      <c r="BY879" s="284"/>
      <c r="BZ879" s="284"/>
      <c r="CA879" s="284"/>
      <c r="CB879" s="284"/>
      <c r="CC879" s="284"/>
      <c r="CD879" s="284"/>
      <c r="CE879" s="284"/>
      <c r="CF879" s="284"/>
      <c r="CG879" s="284"/>
      <c r="CH879" s="284"/>
      <c r="CI879" s="284"/>
      <c r="CJ879" s="288"/>
      <c r="CK879" s="288"/>
      <c r="CL879" s="288"/>
      <c r="CM879" s="288"/>
      <c r="CN879" s="288"/>
      <c r="CO879" s="288"/>
      <c r="CP879" s="288"/>
      <c r="CQ879" s="288"/>
      <c r="CR879" s="288"/>
      <c r="CS879" s="288"/>
      <c r="CT879" s="282"/>
      <c r="CU879" s="294"/>
      <c r="CV879" s="246"/>
      <c r="CW879" s="265"/>
    </row>
    <row r="880" spans="1:101" ht="14.25" thickTop="1" thickBot="1" x14ac:dyDescent="0.25">
      <c r="A880" s="256"/>
      <c r="B880" s="256"/>
      <c r="C880" s="210"/>
      <c r="D880" s="211"/>
      <c r="E880" s="247"/>
      <c r="F880" s="248"/>
      <c r="G880" s="247"/>
      <c r="H880" s="247"/>
      <c r="I880" s="247"/>
      <c r="J880" s="247"/>
      <c r="K880" s="247"/>
      <c r="L880" s="249"/>
      <c r="M880" s="250"/>
      <c r="N880" s="250"/>
      <c r="O880" s="250"/>
      <c r="P880" s="250"/>
      <c r="Q880" s="247"/>
      <c r="R880" s="247"/>
      <c r="S880" s="247"/>
      <c r="T880" s="251"/>
      <c r="U880" s="252"/>
      <c r="V880" s="252"/>
      <c r="W880" s="252"/>
      <c r="X880" s="252"/>
      <c r="Y880" s="250"/>
      <c r="Z880" s="247"/>
      <c r="AA880" s="247"/>
      <c r="AB880" s="247"/>
      <c r="AC880" s="251"/>
      <c r="AD880" s="252"/>
      <c r="AE880" s="252"/>
      <c r="AF880" s="252"/>
      <c r="AG880" s="247"/>
      <c r="AH880" s="250"/>
      <c r="AI880" s="247"/>
      <c r="AJ880" s="247"/>
      <c r="AK880" s="247"/>
      <c r="AL880" s="251"/>
      <c r="AM880" s="252"/>
      <c r="AN880" s="252"/>
      <c r="AO880" s="252"/>
      <c r="AP880" s="253"/>
      <c r="AQ880" s="250"/>
      <c r="AR880" s="247"/>
      <c r="AS880" s="247"/>
      <c r="AT880" s="247"/>
      <c r="AU880" s="251"/>
      <c r="AV880" s="252"/>
      <c r="AW880" s="252"/>
      <c r="AX880" s="252"/>
      <c r="AY880" s="247"/>
      <c r="AZ880" s="250"/>
      <c r="BA880" s="247"/>
      <c r="BB880" s="247"/>
      <c r="BC880" s="247"/>
      <c r="BD880" s="251"/>
      <c r="BE880" s="252"/>
      <c r="BF880" s="252"/>
      <c r="BG880" s="252"/>
      <c r="BH880" s="247"/>
      <c r="BI880" s="250"/>
      <c r="BJ880" s="247"/>
      <c r="BK880" s="247"/>
      <c r="BL880" s="247"/>
      <c r="BM880" s="251"/>
      <c r="BN880" s="252"/>
      <c r="BO880" s="252"/>
      <c r="BP880" s="252"/>
      <c r="BQ880" s="247"/>
      <c r="BR880" s="212"/>
      <c r="BS880" s="247"/>
      <c r="BT880" s="247"/>
      <c r="BU880" s="247"/>
      <c r="BV880" s="250"/>
      <c r="BW880" s="252"/>
      <c r="BX880" s="252"/>
      <c r="BY880" s="252"/>
      <c r="BZ880" s="247"/>
      <c r="CA880" s="247"/>
      <c r="CB880" s="253"/>
      <c r="CC880" s="253"/>
      <c r="CD880" s="253"/>
      <c r="CE880" s="253"/>
      <c r="CF880" s="247"/>
      <c r="CG880" s="247"/>
      <c r="CH880" s="247"/>
      <c r="CI880" s="247"/>
      <c r="CJ880" s="247"/>
      <c r="CK880" s="247"/>
      <c r="CL880" s="247"/>
      <c r="CM880" s="247"/>
      <c r="CN880" s="247"/>
      <c r="CO880" s="247"/>
      <c r="CP880" s="247"/>
      <c r="CQ880" s="247"/>
      <c r="CR880" s="247"/>
      <c r="CS880" s="247"/>
      <c r="CT880" s="247"/>
      <c r="CU880" s="247"/>
      <c r="CV880" s="254"/>
      <c r="CW880" s="255"/>
    </row>
    <row r="881" spans="1:101" ht="14.25" thickTop="1" thickBot="1" x14ac:dyDescent="0.25">
      <c r="A881" s="255"/>
      <c r="B881" s="255"/>
      <c r="C881" s="255"/>
      <c r="D881" s="255"/>
      <c r="E881" s="255"/>
      <c r="F881" s="255"/>
      <c r="G881" s="255"/>
      <c r="H881" s="255"/>
      <c r="I881" s="255"/>
      <c r="J881" s="255"/>
      <c r="K881" s="255"/>
      <c r="L881" s="255"/>
      <c r="M881" s="255"/>
      <c r="N881" s="255"/>
      <c r="O881" s="255"/>
      <c r="P881" s="255"/>
      <c r="Q881" s="255"/>
      <c r="R881" s="255"/>
      <c r="S881" s="255"/>
      <c r="T881" s="255"/>
      <c r="U881" s="255"/>
      <c r="V881" s="255"/>
      <c r="W881" s="255"/>
      <c r="X881" s="255"/>
      <c r="Y881" s="255"/>
      <c r="Z881" s="255"/>
      <c r="AA881" s="255"/>
      <c r="AB881" s="255"/>
      <c r="AC881" s="255"/>
      <c r="AD881" s="255"/>
      <c r="AE881" s="255"/>
      <c r="AF881" s="255"/>
      <c r="AG881" s="255"/>
      <c r="AH881" s="255"/>
      <c r="AI881" s="255"/>
      <c r="AJ881" s="255"/>
      <c r="AK881" s="255"/>
      <c r="AL881" s="255"/>
      <c r="AM881" s="255"/>
      <c r="AN881" s="255"/>
      <c r="AO881" s="255"/>
      <c r="AP881" s="255"/>
      <c r="AQ881" s="255"/>
      <c r="AR881" s="255"/>
      <c r="AS881" s="255"/>
      <c r="AT881" s="255"/>
      <c r="AU881" s="255"/>
      <c r="AV881" s="255"/>
      <c r="AW881" s="255"/>
      <c r="AX881" s="255"/>
      <c r="AY881" s="255"/>
      <c r="AZ881" s="255"/>
      <c r="BA881" s="255"/>
      <c r="BB881" s="255"/>
      <c r="BC881" s="255"/>
      <c r="BD881" s="255"/>
      <c r="BE881" s="255"/>
      <c r="BF881" s="255"/>
      <c r="BG881" s="255"/>
      <c r="BH881" s="255"/>
      <c r="BI881" s="255"/>
      <c r="BJ881" s="255"/>
      <c r="BK881" s="255"/>
      <c r="BL881" s="255"/>
      <c r="BM881" s="255"/>
      <c r="BN881" s="255"/>
      <c r="BO881" s="255"/>
      <c r="BP881" s="255"/>
      <c r="BQ881" s="255"/>
      <c r="BR881" s="255"/>
      <c r="BS881" s="255"/>
      <c r="BT881" s="255"/>
      <c r="BU881" s="255"/>
      <c r="BV881" s="255"/>
      <c r="BW881" s="255"/>
      <c r="BX881" s="255"/>
      <c r="BY881" s="255"/>
      <c r="BZ881" s="255"/>
      <c r="CA881" s="255"/>
      <c r="CB881" s="436"/>
      <c r="CC881" s="436"/>
      <c r="CD881" s="436"/>
      <c r="CE881" s="436"/>
      <c r="CF881" s="255"/>
      <c r="CG881" s="255"/>
      <c r="CH881" s="255"/>
      <c r="CI881" s="255"/>
      <c r="CJ881" s="255"/>
      <c r="CK881" s="255"/>
      <c r="CL881" s="255"/>
      <c r="CM881" s="255"/>
      <c r="CN881" s="255"/>
      <c r="CO881" s="255"/>
      <c r="CP881" s="255"/>
      <c r="CQ881" s="255"/>
      <c r="CR881" s="255"/>
      <c r="CS881" s="255"/>
      <c r="CT881" s="255"/>
      <c r="CU881" s="255"/>
      <c r="CV881" s="255"/>
      <c r="CW881" s="255"/>
    </row>
    <row r="882" spans="1:101" ht="21" thickTop="1" x14ac:dyDescent="0.3">
      <c r="A882" s="256"/>
      <c r="B882" s="256"/>
      <c r="C882" s="190"/>
      <c r="D882" s="191"/>
      <c r="E882" s="866" t="str">
        <f>E2</f>
        <v>STPS 2026</v>
      </c>
      <c r="F882" s="267"/>
      <c r="G882" s="267"/>
      <c r="H882" s="267"/>
      <c r="I882" s="192"/>
      <c r="J882" s="192"/>
      <c r="K882" s="192"/>
      <c r="L882" s="193"/>
      <c r="M882" s="192"/>
      <c r="N882" s="192"/>
      <c r="O882" s="192"/>
      <c r="P882" s="194"/>
      <c r="Q882" s="192"/>
      <c r="R882" s="192"/>
      <c r="S882" s="192"/>
      <c r="T882" s="195"/>
      <c r="U882" s="196"/>
      <c r="V882" s="196"/>
      <c r="W882" s="196"/>
      <c r="X882" s="196"/>
      <c r="Y882" s="194"/>
      <c r="Z882" s="192"/>
      <c r="AA882" s="192"/>
      <c r="AB882" s="192"/>
      <c r="AC882" s="195"/>
      <c r="AD882" s="196"/>
      <c r="AE882" s="196"/>
      <c r="AF882" s="196"/>
      <c r="AG882" s="197"/>
      <c r="AH882" s="194"/>
      <c r="AI882" s="192"/>
      <c r="AJ882" s="237"/>
      <c r="AK882" s="237"/>
      <c r="AL882" s="198"/>
      <c r="AM882" s="238"/>
      <c r="AN882" s="238"/>
      <c r="AO882" s="238"/>
      <c r="AP882" s="197"/>
      <c r="AQ882" s="239"/>
      <c r="AR882" s="240"/>
      <c r="AS882" s="199"/>
      <c r="AT882" s="200"/>
      <c r="AU882" s="198"/>
      <c r="AV882" s="196"/>
      <c r="AW882" s="196"/>
      <c r="AX882" s="196"/>
      <c r="AY882" s="197"/>
      <c r="AZ882" s="239"/>
      <c r="BA882" s="240"/>
      <c r="BB882" s="200"/>
      <c r="BC882" s="237"/>
      <c r="BD882" s="241"/>
      <c r="BE882" s="196"/>
      <c r="BF882" s="196"/>
      <c r="BG882" s="196"/>
      <c r="BH882" s="197"/>
      <c r="BI882" s="242"/>
      <c r="BJ882" s="237"/>
      <c r="BK882" s="237"/>
      <c r="BL882" s="237"/>
      <c r="BM882" s="241"/>
      <c r="BN882" s="196"/>
      <c r="BO882" s="196"/>
      <c r="BP882" s="196"/>
      <c r="BQ882" s="197"/>
      <c r="BR882" s="201"/>
      <c r="BS882" s="237"/>
      <c r="BT882" s="237"/>
      <c r="BU882" s="237"/>
      <c r="BV882" s="242"/>
      <c r="BW882" s="237"/>
      <c r="BX882" s="237"/>
      <c r="BY882" s="237"/>
      <c r="BZ882" s="237"/>
      <c r="CA882" s="237"/>
      <c r="CB882" s="437"/>
      <c r="CC882" s="437"/>
      <c r="CD882" s="437"/>
      <c r="CE882" s="437"/>
      <c r="CF882" s="237"/>
      <c r="CG882" s="237"/>
      <c r="CH882" s="237"/>
      <c r="CI882" s="237"/>
      <c r="CJ882" s="197"/>
      <c r="CK882" s="197"/>
      <c r="CL882" s="197"/>
      <c r="CM882" s="197"/>
      <c r="CN882" s="197"/>
      <c r="CO882" s="197"/>
      <c r="CP882" s="197"/>
      <c r="CQ882" s="197"/>
      <c r="CR882" s="197"/>
      <c r="CS882" s="197"/>
      <c r="CT882" s="401"/>
      <c r="CU882" s="237"/>
      <c r="CV882" s="243"/>
      <c r="CW882" s="255"/>
    </row>
    <row r="883" spans="1:101" ht="13.5" thickBot="1" x14ac:dyDescent="0.25">
      <c r="A883" s="256"/>
      <c r="B883" s="256"/>
      <c r="C883" s="202"/>
      <c r="D883" s="188"/>
      <c r="E883" s="266" t="str">
        <f>E3</f>
        <v>Skorgen Tippelag</v>
      </c>
      <c r="F883" s="406"/>
      <c r="G883" s="406"/>
      <c r="H883" s="406"/>
      <c r="I883" s="406"/>
      <c r="J883" s="406"/>
      <c r="K883" s="406"/>
      <c r="L883" s="406"/>
      <c r="M883" s="406"/>
      <c r="N883" s="406"/>
      <c r="O883" s="406"/>
      <c r="P883" s="406"/>
      <c r="Q883" s="406"/>
      <c r="R883" s="406"/>
      <c r="S883" s="406"/>
      <c r="T883" s="406"/>
      <c r="U883" s="406"/>
      <c r="V883" s="406"/>
      <c r="W883" s="406"/>
      <c r="X883" s="406"/>
      <c r="Y883" s="406"/>
      <c r="Z883" s="406"/>
      <c r="AA883" s="406"/>
      <c r="AB883" s="406"/>
      <c r="AC883" s="406"/>
      <c r="AD883" s="406"/>
      <c r="AE883" s="406"/>
      <c r="AF883" s="406"/>
      <c r="AG883" s="406"/>
      <c r="AH883" s="406"/>
      <c r="AI883" s="406"/>
      <c r="AJ883" s="406"/>
      <c r="AK883" s="406"/>
      <c r="AL883" s="406"/>
      <c r="AM883" s="406"/>
      <c r="AN883" s="406"/>
      <c r="AO883" s="406"/>
      <c r="AP883" s="406"/>
      <c r="AQ883" s="406"/>
      <c r="AR883" s="406"/>
      <c r="AS883" s="406"/>
      <c r="AT883" s="406"/>
      <c r="AU883" s="406"/>
      <c r="AV883" s="406"/>
      <c r="AW883" s="406"/>
      <c r="AX883" s="406"/>
      <c r="AY883" s="406"/>
      <c r="AZ883" s="406"/>
      <c r="BA883" s="406"/>
      <c r="BB883" s="406"/>
      <c r="BC883" s="406"/>
      <c r="BD883" s="406"/>
      <c r="BE883" s="406"/>
      <c r="BF883" s="406"/>
      <c r="BG883" s="406"/>
      <c r="BH883" s="406"/>
      <c r="BI883" s="406"/>
      <c r="BJ883" s="406"/>
      <c r="BK883" s="406"/>
      <c r="BL883" s="406"/>
      <c r="BM883" s="406"/>
      <c r="BN883" s="406"/>
      <c r="BO883" s="406"/>
      <c r="BP883" s="406"/>
      <c r="BQ883" s="406"/>
      <c r="BR883" s="406"/>
      <c r="BS883" s="406"/>
      <c r="BT883" s="406"/>
      <c r="BU883" s="406"/>
      <c r="BV883" s="406"/>
      <c r="BW883" s="406"/>
      <c r="BX883" s="406"/>
      <c r="BY883" s="406"/>
      <c r="BZ883" s="406"/>
      <c r="CA883" s="406"/>
      <c r="CB883" s="438"/>
      <c r="CC883" s="438"/>
      <c r="CD883" s="438"/>
      <c r="CE883" s="438"/>
      <c r="CF883" s="406"/>
      <c r="CG883" s="406"/>
      <c r="CH883" s="406"/>
      <c r="CI883" s="406"/>
      <c r="CJ883" s="406"/>
      <c r="CK883" s="406"/>
      <c r="CL883" s="406"/>
      <c r="CM883" s="406"/>
      <c r="CN883" s="366"/>
      <c r="CO883" s="366"/>
      <c r="CP883" s="366"/>
      <c r="CQ883" s="366"/>
      <c r="CR883" s="366"/>
      <c r="CS883" s="366"/>
      <c r="CT883" s="187"/>
      <c r="CU883" s="310"/>
      <c r="CV883" s="246"/>
      <c r="CW883" s="255"/>
    </row>
    <row r="884" spans="1:101" ht="18.75" thickTop="1" x14ac:dyDescent="0.2">
      <c r="A884" s="256"/>
      <c r="B884" s="256"/>
      <c r="C884" s="209"/>
      <c r="D884" s="290"/>
      <c r="E884" s="273"/>
      <c r="F884" s="274"/>
      <c r="G884" s="273"/>
      <c r="H884" s="273"/>
      <c r="I884" s="803" t="s">
        <v>39</v>
      </c>
      <c r="J884" s="805"/>
      <c r="K884" s="805"/>
      <c r="L884" s="291"/>
      <c r="M884" s="302"/>
      <c r="N884" s="242"/>
      <c r="O884" s="275"/>
      <c r="P884" s="275"/>
      <c r="Q884" s="808" t="str">
        <f>IF($F888="","",SUM(Q900:S900)-S886)</f>
        <v/>
      </c>
      <c r="R884" s="808"/>
      <c r="S884" s="808"/>
      <c r="T884" s="276"/>
      <c r="U884" s="277"/>
      <c r="V884" s="277"/>
      <c r="W884" s="277"/>
      <c r="X884" s="277"/>
      <c r="Y884" s="275"/>
      <c r="Z884" s="808" t="str">
        <f>IF($F888="","",SUM(Z900:AB900)-AB886)</f>
        <v/>
      </c>
      <c r="AA884" s="808"/>
      <c r="AB884" s="808"/>
      <c r="AC884" s="276"/>
      <c r="AD884" s="277"/>
      <c r="AE884" s="277"/>
      <c r="AF884" s="277"/>
      <c r="AG884" s="273"/>
      <c r="AH884" s="275"/>
      <c r="AI884" s="808" t="str">
        <f>IF($F888="","",SUM(AI900:AK900)-AK886)</f>
        <v/>
      </c>
      <c r="AJ884" s="808"/>
      <c r="AK884" s="808"/>
      <c r="AL884" s="276"/>
      <c r="AM884" s="277"/>
      <c r="AN884" s="277"/>
      <c r="AO884" s="277"/>
      <c r="AP884" s="273"/>
      <c r="AQ884" s="275"/>
      <c r="AR884" s="808" t="str">
        <f>IF($F888="","",SUM(AR900:AT900)-AT886)</f>
        <v/>
      </c>
      <c r="AS884" s="808"/>
      <c r="AT884" s="808"/>
      <c r="AU884" s="278"/>
      <c r="AV884" s="277"/>
      <c r="AW884" s="277"/>
      <c r="AX884" s="277"/>
      <c r="AY884" s="279"/>
      <c r="AZ884" s="280"/>
      <c r="BA884" s="808" t="str">
        <f>IF($F888="","",SUM(BA900:BC900)-BC886)</f>
        <v/>
      </c>
      <c r="BB884" s="808"/>
      <c r="BC884" s="808"/>
      <c r="BD884" s="278"/>
      <c r="BE884" s="277"/>
      <c r="BF884" s="277"/>
      <c r="BG884" s="277"/>
      <c r="BH884" s="279"/>
      <c r="BI884" s="280"/>
      <c r="BJ884" s="808" t="str">
        <f>IF($F888="","",SUM(BJ900:BL900)-BL886)</f>
        <v/>
      </c>
      <c r="BK884" s="808"/>
      <c r="BL884" s="808"/>
      <c r="BM884" s="278"/>
      <c r="BN884" s="277"/>
      <c r="BO884" s="277"/>
      <c r="BP884" s="277"/>
      <c r="BQ884" s="279"/>
      <c r="BR884" s="281"/>
      <c r="BS884" s="808" t="str">
        <f>IF($F888="","",SUM(BS900:BU900)-BU886)</f>
        <v/>
      </c>
      <c r="BT884" s="808"/>
      <c r="BU884" s="808"/>
      <c r="BV884" s="280"/>
      <c r="BW884" s="279"/>
      <c r="BX884" s="279"/>
      <c r="BY884" s="279"/>
      <c r="BZ884" s="279"/>
      <c r="CA884" s="281"/>
      <c r="CB884" s="808" t="str">
        <f>IF($F888="","",SUM(CB900:CD900)-CD886)</f>
        <v/>
      </c>
      <c r="CC884" s="808"/>
      <c r="CD884" s="808"/>
      <c r="CE884" s="280"/>
      <c r="CF884" s="279"/>
      <c r="CG884" s="279"/>
      <c r="CH884" s="279"/>
      <c r="CI884" s="279"/>
      <c r="CJ884" s="273"/>
      <c r="CK884" s="808" t="str">
        <f>IF($F888="","",SUM(CK900:CM900))</f>
        <v/>
      </c>
      <c r="CL884" s="808"/>
      <c r="CM884" s="808"/>
      <c r="CN884" s="280"/>
      <c r="CO884" s="279"/>
      <c r="CP884" s="279"/>
      <c r="CQ884" s="279"/>
      <c r="CR884" s="273"/>
      <c r="CS884" s="273"/>
      <c r="CT884" s="273"/>
      <c r="CU884" s="292"/>
      <c r="CV884" s="246"/>
      <c r="CW884" s="255"/>
    </row>
    <row r="885" spans="1:101" x14ac:dyDescent="0.2">
      <c r="A885" s="256"/>
      <c r="B885" s="256"/>
      <c r="C885" s="209"/>
      <c r="D885" s="916"/>
      <c r="E885" s="588" t="str">
        <f>IF(D885="","",DATE($D$3,1,1)+(D885-1)*7+(6-WEEKDAY(DATE($D$3,1,1),2)))</f>
        <v/>
      </c>
      <c r="F885" s="213"/>
      <c r="G885" s="214"/>
      <c r="H885" s="214"/>
      <c r="I885" s="804" t="str">
        <f>IF(ISERROR(AVERAGE(Q884,Z884,AI884,AR884,BA884,BJ884,BS884,CB884,CK884)),"",AVERAGE(Q884,Z884,AI884,AR884,BA884,BJ884,BS884,CB884,CK884))</f>
        <v/>
      </c>
      <c r="J885" s="806"/>
      <c r="K885" s="806"/>
      <c r="L885" s="295"/>
      <c r="M885" s="372"/>
      <c r="N885" s="245"/>
      <c r="O885" s="215"/>
      <c r="P885" s="215"/>
      <c r="Q885" s="710" t="str">
        <f>IF(Q884="","",Q884/Data!$X$1)</f>
        <v/>
      </c>
      <c r="R885" s="710"/>
      <c r="S885" s="711" t="str">
        <f>IF(SUM(X888:X899)=0,"",SUM(X888:X899))</f>
        <v/>
      </c>
      <c r="T885" s="216"/>
      <c r="U885" s="217"/>
      <c r="V885" s="217"/>
      <c r="W885" s="217"/>
      <c r="X885" s="217"/>
      <c r="Y885" s="215"/>
      <c r="Z885" s="710" t="str">
        <f>IF(Z884="","",Z884/Data!$X$1)</f>
        <v/>
      </c>
      <c r="AA885" s="710"/>
      <c r="AB885" s="711" t="str">
        <f>IF(SUM(AG888:AG899)=0,"",SUM(AG888:AG899))</f>
        <v/>
      </c>
      <c r="AC885" s="216"/>
      <c r="AD885" s="217"/>
      <c r="AE885" s="217"/>
      <c r="AF885" s="217"/>
      <c r="AG885" s="217"/>
      <c r="AH885" s="215"/>
      <c r="AI885" s="710" t="str">
        <f>IF(AI884="","",AI884/Data!$X$1)</f>
        <v/>
      </c>
      <c r="AJ885" s="710"/>
      <c r="AK885" s="711" t="str">
        <f>IF(SUM(AP888:AP899)=0,"",SUM(AP888:AP899))</f>
        <v/>
      </c>
      <c r="AL885" s="216"/>
      <c r="AM885" s="217"/>
      <c r="AN885" s="217"/>
      <c r="AO885" s="217"/>
      <c r="AP885" s="217"/>
      <c r="AQ885" s="215"/>
      <c r="AR885" s="710" t="str">
        <f>IF(AR884="","",AR884/Data!$X$1)</f>
        <v/>
      </c>
      <c r="AS885" s="710"/>
      <c r="AT885" s="711" t="str">
        <f>IF(SUM(AY888:AY899)=0,"",SUM(AY888:AY899))</f>
        <v/>
      </c>
      <c r="AU885" s="218"/>
      <c r="AV885" s="217"/>
      <c r="AW885" s="217"/>
      <c r="AX885" s="217"/>
      <c r="AY885" s="217"/>
      <c r="AZ885" s="219"/>
      <c r="BA885" s="710" t="str">
        <f>IF(BA884="","",BA884/Data!$X$1)</f>
        <v/>
      </c>
      <c r="BB885" s="710"/>
      <c r="BC885" s="711" t="str">
        <f>IF(SUM(BH888:BH899)=0,"",SUM(BH888:BH899))</f>
        <v/>
      </c>
      <c r="BD885" s="218"/>
      <c r="BE885" s="217"/>
      <c r="BF885" s="217"/>
      <c r="BG885" s="217"/>
      <c r="BH885" s="217"/>
      <c r="BI885" s="219"/>
      <c r="BJ885" s="710" t="str">
        <f>IF(BJ884="","",BJ884/Data!$X$1)</f>
        <v/>
      </c>
      <c r="BK885" s="710"/>
      <c r="BL885" s="711" t="str">
        <f>IF(SUM(BQ888:BQ899)=0,"",SUM(BQ888:BQ899))</f>
        <v/>
      </c>
      <c r="BM885" s="218"/>
      <c r="BN885" s="217"/>
      <c r="BO885" s="217"/>
      <c r="BP885" s="217"/>
      <c r="BQ885" s="217"/>
      <c r="BR885" s="220"/>
      <c r="BS885" s="710" t="str">
        <f>IF(BS884="","",BS884/Data!$X$1)</f>
        <v/>
      </c>
      <c r="BT885" s="710"/>
      <c r="BU885" s="711" t="str">
        <f>IF(SUM(BZ888:BZ899)=0,"",SUM(BZ888:BZ899))</f>
        <v/>
      </c>
      <c r="BV885" s="219"/>
      <c r="BW885" s="217"/>
      <c r="BX885" s="217"/>
      <c r="BY885" s="217"/>
      <c r="BZ885" s="217"/>
      <c r="CA885" s="220"/>
      <c r="CB885" s="710" t="str">
        <f>IF(CB884="","",CB884/Data!$X$1)</f>
        <v/>
      </c>
      <c r="CC885" s="710"/>
      <c r="CD885" s="711" t="str">
        <f>IF(SUM(CI888:CI899)=0,"",SUM(CI888:CI899))</f>
        <v/>
      </c>
      <c r="CE885" s="219"/>
      <c r="CF885" s="217"/>
      <c r="CG885" s="217"/>
      <c r="CH885" s="217"/>
      <c r="CI885" s="217"/>
      <c r="CJ885" s="217"/>
      <c r="CK885" s="710" t="str">
        <f>IF(CK884="","",CK884/Data!$X$1)</f>
        <v/>
      </c>
      <c r="CL885" s="710"/>
      <c r="CM885" s="711" t="str">
        <f>IF(SUM(CR888:CR899)=0,"",SUM(CR888:CR899))</f>
        <v/>
      </c>
      <c r="CN885" s="219"/>
      <c r="CO885" s="217"/>
      <c r="CP885" s="217"/>
      <c r="CQ885" s="217"/>
      <c r="CR885" s="217"/>
      <c r="CS885" s="217"/>
      <c r="CT885" s="217"/>
      <c r="CU885" s="296"/>
      <c r="CV885" s="246"/>
      <c r="CW885" s="255"/>
    </row>
    <row r="886" spans="1:101" ht="13.5" thickBot="1" x14ac:dyDescent="0.25">
      <c r="A886" s="256"/>
      <c r="B886" s="256"/>
      <c r="C886" s="209"/>
      <c r="D886" s="269">
        <f>D864+1</f>
        <v>41</v>
      </c>
      <c r="E886" s="402" t="str">
        <f>IF(E885="","Sett inn dato over her",TEXT(E885,"dddd"))</f>
        <v>Sett inn dato over her</v>
      </c>
      <c r="F886" s="221"/>
      <c r="G886" s="222"/>
      <c r="H886" s="222"/>
      <c r="I886" s="802"/>
      <c r="J886" s="807"/>
      <c r="K886" s="807"/>
      <c r="L886" s="297"/>
      <c r="M886" s="373"/>
      <c r="N886" s="377"/>
      <c r="O886" s="222"/>
      <c r="P886" s="222"/>
      <c r="Q886" s="385" t="str">
        <f>Data!$E$11</f>
        <v>AHH</v>
      </c>
      <c r="R886" s="386" t="str">
        <f>IF($F899="","",RANK(Q884,$Q884:$CL884))</f>
        <v/>
      </c>
      <c r="S886" s="510"/>
      <c r="T886" s="216">
        <v>0</v>
      </c>
      <c r="U886" s="217"/>
      <c r="V886" s="217"/>
      <c r="W886" s="217"/>
      <c r="X886" s="217"/>
      <c r="Y886" s="215"/>
      <c r="Z886" s="385" t="str">
        <f>Data!$E$12</f>
        <v>RB</v>
      </c>
      <c r="AA886" s="386" t="str">
        <f>IF($F899="","",RANK(Z884,$Q884:$CL884))</f>
        <v/>
      </c>
      <c r="AB886" s="510"/>
      <c r="AC886" s="216"/>
      <c r="AD886" s="217"/>
      <c r="AE886" s="217"/>
      <c r="AF886" s="217"/>
      <c r="AG886" s="217"/>
      <c r="AH886" s="215"/>
      <c r="AI886" s="385" t="str">
        <f>Data!$E$13</f>
        <v>EB</v>
      </c>
      <c r="AJ886" s="386" t="str">
        <f>IF($F899="","",RANK(AI884,$Q884:$CL884))</f>
        <v/>
      </c>
      <c r="AK886" s="510"/>
      <c r="AL886" s="216"/>
      <c r="AM886" s="217"/>
      <c r="AN886" s="217"/>
      <c r="AO886" s="217"/>
      <c r="AP886" s="217"/>
      <c r="AQ886" s="215"/>
      <c r="AR886" s="346" t="str">
        <f>Data!$E$14</f>
        <v>KAF</v>
      </c>
      <c r="AS886" s="386" t="str">
        <f>IF($F899="","",RANK(AR884,$Q884:$CL884))</f>
        <v/>
      </c>
      <c r="AT886" s="510"/>
      <c r="AU886" s="216"/>
      <c r="AV886" s="217"/>
      <c r="AW886" s="217"/>
      <c r="AX886" s="217"/>
      <c r="AY886" s="217"/>
      <c r="AZ886" s="215"/>
      <c r="BA886" s="346" t="str">
        <f>Data!$E$15</f>
        <v>ØG</v>
      </c>
      <c r="BB886" s="386" t="str">
        <f>IF($F899="","",RANK(BA884,$Q884:$CL884))</f>
        <v/>
      </c>
      <c r="BC886" s="510"/>
      <c r="BD886" s="216"/>
      <c r="BE886" s="217"/>
      <c r="BF886" s="217"/>
      <c r="BG886" s="217"/>
      <c r="BH886" s="217"/>
      <c r="BI886" s="215"/>
      <c r="BJ886" s="346" t="str">
        <f>Data!$E$16</f>
        <v>JH</v>
      </c>
      <c r="BK886" s="386" t="str">
        <f>IF($F899="","",RANK(BJ884,$Q884:$CL884))</f>
        <v/>
      </c>
      <c r="BL886" s="510"/>
      <c r="BM886" s="216"/>
      <c r="BN886" s="217"/>
      <c r="BO886" s="217"/>
      <c r="BP886" s="217"/>
      <c r="BQ886" s="217"/>
      <c r="BR886" s="223"/>
      <c r="BS886" s="346" t="str">
        <f>Data!$E$17</f>
        <v>TOH</v>
      </c>
      <c r="BT886" s="386" t="str">
        <f>IF($F899="","",RANK(BS884,$Q884:$CL884))</f>
        <v/>
      </c>
      <c r="BU886" s="510"/>
      <c r="BV886" s="215"/>
      <c r="BW886" s="217"/>
      <c r="BX886" s="217"/>
      <c r="BY886" s="217"/>
      <c r="BZ886" s="217"/>
      <c r="CA886" s="223"/>
      <c r="CB886" s="346" t="s">
        <v>26</v>
      </c>
      <c r="CC886" s="386" t="str">
        <f>IF($F899="","",RANK(CB884,$Q884:$CM884))</f>
        <v/>
      </c>
      <c r="CD886" s="511"/>
      <c r="CE886" s="215"/>
      <c r="CF886" s="217"/>
      <c r="CG886" s="217"/>
      <c r="CH886" s="217"/>
      <c r="CI886" s="217"/>
      <c r="CJ886" s="217"/>
      <c r="CK886" s="346" t="s">
        <v>27</v>
      </c>
      <c r="CL886" s="386" t="str">
        <f>IF($F899="","",RANK(CK884,$Q884:$CM884))</f>
        <v/>
      </c>
      <c r="CM886" s="798"/>
      <c r="CN886" s="215"/>
      <c r="CO886" s="217"/>
      <c r="CP886" s="217"/>
      <c r="CQ886" s="217"/>
      <c r="CR886" s="217"/>
      <c r="CS886" s="217"/>
      <c r="CT886" s="217"/>
      <c r="CU886" s="296"/>
      <c r="CV886" s="246"/>
      <c r="CW886" s="255"/>
    </row>
    <row r="887" spans="1:101" ht="13.5" thickBot="1" x14ac:dyDescent="0.25">
      <c r="A887" s="264"/>
      <c r="B887" s="264"/>
      <c r="C887" s="202"/>
      <c r="D887" s="270"/>
      <c r="E887" s="224"/>
      <c r="F887" s="225"/>
      <c r="G887" s="226"/>
      <c r="H887" s="226"/>
      <c r="I887" s="227" t="s">
        <v>45</v>
      </c>
      <c r="J887" s="228" t="s">
        <v>46</v>
      </c>
      <c r="K887" s="229" t="s">
        <v>47</v>
      </c>
      <c r="L887" s="298"/>
      <c r="M887" s="374"/>
      <c r="N887" s="378"/>
      <c r="O887" s="230"/>
      <c r="P887" s="230"/>
      <c r="Q887" s="227" t="s">
        <v>45</v>
      </c>
      <c r="R887" s="228" t="s">
        <v>46</v>
      </c>
      <c r="S887" s="229" t="s">
        <v>47</v>
      </c>
      <c r="T887" s="231"/>
      <c r="U887" s="232"/>
      <c r="V887" s="232"/>
      <c r="W887" s="232"/>
      <c r="X887" s="232"/>
      <c r="Y887" s="230"/>
      <c r="Z887" s="227" t="s">
        <v>45</v>
      </c>
      <c r="AA887" s="228" t="s">
        <v>46</v>
      </c>
      <c r="AB887" s="229" t="s">
        <v>47</v>
      </c>
      <c r="AC887" s="231"/>
      <c r="AD887" s="232"/>
      <c r="AE887" s="232"/>
      <c r="AF887" s="232"/>
      <c r="AG887" s="232"/>
      <c r="AH887" s="230"/>
      <c r="AI887" s="227" t="s">
        <v>45</v>
      </c>
      <c r="AJ887" s="228" t="s">
        <v>46</v>
      </c>
      <c r="AK887" s="229" t="s">
        <v>47</v>
      </c>
      <c r="AL887" s="231"/>
      <c r="AM887" s="232"/>
      <c r="AN887" s="232"/>
      <c r="AO887" s="232"/>
      <c r="AP887" s="232"/>
      <c r="AQ887" s="230"/>
      <c r="AR887" s="227" t="s">
        <v>45</v>
      </c>
      <c r="AS887" s="228" t="s">
        <v>46</v>
      </c>
      <c r="AT887" s="229" t="s">
        <v>47</v>
      </c>
      <c r="AU887" s="231"/>
      <c r="AV887" s="232"/>
      <c r="AW887" s="232"/>
      <c r="AX887" s="232"/>
      <c r="AY887" s="232"/>
      <c r="AZ887" s="230"/>
      <c r="BA887" s="227" t="s">
        <v>45</v>
      </c>
      <c r="BB887" s="228" t="s">
        <v>46</v>
      </c>
      <c r="BC887" s="229" t="s">
        <v>47</v>
      </c>
      <c r="BD887" s="231"/>
      <c r="BE887" s="232"/>
      <c r="BF887" s="232"/>
      <c r="BG887" s="232"/>
      <c r="BH887" s="232"/>
      <c r="BI887" s="230"/>
      <c r="BJ887" s="227" t="s">
        <v>45</v>
      </c>
      <c r="BK887" s="228" t="s">
        <v>46</v>
      </c>
      <c r="BL887" s="229" t="s">
        <v>47</v>
      </c>
      <c r="BM887" s="231"/>
      <c r="BN887" s="232"/>
      <c r="BO887" s="232"/>
      <c r="BP887" s="232"/>
      <c r="BQ887" s="232"/>
      <c r="BR887" s="230"/>
      <c r="BS887" s="227" t="s">
        <v>45</v>
      </c>
      <c r="BT887" s="228" t="s">
        <v>46</v>
      </c>
      <c r="BU887" s="229" t="s">
        <v>47</v>
      </c>
      <c r="BV887" s="231"/>
      <c r="BW887" s="232"/>
      <c r="BX887" s="232"/>
      <c r="BY887" s="232"/>
      <c r="BZ887" s="233"/>
      <c r="CA887" s="230"/>
      <c r="CB887" s="227" t="s">
        <v>45</v>
      </c>
      <c r="CC887" s="228" t="s">
        <v>46</v>
      </c>
      <c r="CD887" s="229" t="s">
        <v>47</v>
      </c>
      <c r="CE887" s="231"/>
      <c r="CF887" s="232"/>
      <c r="CG887" s="232"/>
      <c r="CH887" s="232"/>
      <c r="CI887" s="232"/>
      <c r="CJ887" s="232"/>
      <c r="CK887" s="227" t="s">
        <v>45</v>
      </c>
      <c r="CL887" s="228" t="s">
        <v>46</v>
      </c>
      <c r="CM887" s="229" t="s">
        <v>47</v>
      </c>
      <c r="CN887" s="231"/>
      <c r="CO887" s="232"/>
      <c r="CP887" s="232"/>
      <c r="CQ887" s="232"/>
      <c r="CR887" s="232"/>
      <c r="CS887" s="232"/>
      <c r="CT887" s="234"/>
      <c r="CU887" s="296"/>
      <c r="CV887" s="246"/>
      <c r="CW887" s="265"/>
    </row>
    <row r="888" spans="1:101" x14ac:dyDescent="0.2">
      <c r="A888" s="264"/>
      <c r="B888" s="264"/>
      <c r="C888" s="202"/>
      <c r="D888" s="271">
        <v>1</v>
      </c>
      <c r="E888" s="166"/>
      <c r="F888" s="468"/>
      <c r="G888" s="472" t="s">
        <v>49</v>
      </c>
      <c r="H888" s="473"/>
      <c r="I888" s="170" t="str">
        <f t="shared" ref="I888:I899" si="2000">IF($F888&gt;$H888,"x","")</f>
        <v/>
      </c>
      <c r="J888" s="387" t="str">
        <f t="shared" ref="J888:J899" si="2001">IF(F888&lt;&gt;"",IF(H888&lt;&gt;"",IF(F888=H888,"x",""),""),"")</f>
        <v/>
      </c>
      <c r="K888" s="388" t="str">
        <f t="shared" ref="K888:K899" si="2002">IF($F888&lt;$H888,"x","")</f>
        <v/>
      </c>
      <c r="L888" s="299"/>
      <c r="M888" s="375"/>
      <c r="N888" s="379"/>
      <c r="O888" s="236"/>
      <c r="P888" s="236"/>
      <c r="Q888" s="480"/>
      <c r="R888" s="481"/>
      <c r="S888" s="482" t="str">
        <f>IF(Q888="","",100-SUM(Q888:R888))</f>
        <v/>
      </c>
      <c r="T888" s="371"/>
      <c r="U888" s="232" t="str">
        <f t="shared" ref="U888:U899" si="2003">IF($I888="x",Q888,"")</f>
        <v/>
      </c>
      <c r="V888" s="232" t="str">
        <f t="shared" ref="V888:V899" si="2004">IF($J888="x",R888,"")</f>
        <v/>
      </c>
      <c r="W888" s="232" t="str">
        <f t="shared" ref="W888:W899" si="2005">IF($K888="x",S888,"")</f>
        <v/>
      </c>
      <c r="X888" s="232" t="str">
        <f>IF((MAX(U888,V888,W888))=0,"",IF((MAX(U888,V888,W888))=(MAX(Q888,R888,S888)),1,""))</f>
        <v/>
      </c>
      <c r="Y888" s="371"/>
      <c r="Z888" s="495"/>
      <c r="AA888" s="496"/>
      <c r="AB888" s="482" t="str">
        <f t="shared" ref="AB888:AB899" si="2006">IF(Z888="","",100-SUM(Z888:AA888))</f>
        <v/>
      </c>
      <c r="AC888" s="371"/>
      <c r="AD888" s="232" t="str">
        <f t="shared" ref="AD888:AD899" si="2007">IF($I888="x",Z888,"")</f>
        <v/>
      </c>
      <c r="AE888" s="232" t="str">
        <f t="shared" ref="AE888:AE899" si="2008">IF($J888="x",AA888,"")</f>
        <v/>
      </c>
      <c r="AF888" s="232" t="str">
        <f t="shared" ref="AF888:AF899" si="2009">IF($K888="x",AB888,"")</f>
        <v/>
      </c>
      <c r="AG888" s="232" t="str">
        <f>IF((MAX(AD888,AE888,AF888))=0,"",IF((MAX(AD888,AE888,AF888))=(MAX(Z888,AA888,AB888)),1,""))</f>
        <v/>
      </c>
      <c r="AH888" s="371"/>
      <c r="AI888" s="495"/>
      <c r="AJ888" s="496"/>
      <c r="AK888" s="482" t="str">
        <f t="shared" ref="AK888:AK899" si="2010">IF(AI888="","",100-SUM(AI888:AJ888))</f>
        <v/>
      </c>
      <c r="AL888" s="371"/>
      <c r="AM888" s="232" t="str">
        <f t="shared" ref="AM888:AM899" si="2011">IF($I888="x",AI888,"")</f>
        <v/>
      </c>
      <c r="AN888" s="232" t="str">
        <f t="shared" ref="AN888:AN899" si="2012">IF($J888="x",AJ888,"")</f>
        <v/>
      </c>
      <c r="AO888" s="232" t="str">
        <f t="shared" ref="AO888:AO899" si="2013">IF($K888="x",AK888,"")</f>
        <v/>
      </c>
      <c r="AP888" s="232" t="str">
        <f>IF((MAX(AM888,AN888,AO888))=0,"",IF((MAX(AM888,AN888,AO888))=(MAX(AI888,AJ888,AK888)),1,""))</f>
        <v/>
      </c>
      <c r="AQ888" s="371"/>
      <c r="AR888" s="495"/>
      <c r="AS888" s="496"/>
      <c r="AT888" s="482" t="str">
        <f t="shared" ref="AT888:AT899" si="2014">IF(AR888="","",100-SUM(AR888:AS888))</f>
        <v/>
      </c>
      <c r="AU888" s="371"/>
      <c r="AV888" s="232" t="str">
        <f t="shared" ref="AV888:AV899" si="2015">IF($I888="x",AR888,"")</f>
        <v/>
      </c>
      <c r="AW888" s="232" t="str">
        <f t="shared" ref="AW888:AW899" si="2016">IF($J888="x",AS888,"")</f>
        <v/>
      </c>
      <c r="AX888" s="232" t="str">
        <f t="shared" ref="AX888:AX899" si="2017">IF($K888="x",AT888,"")</f>
        <v/>
      </c>
      <c r="AY888" s="232" t="str">
        <f>IF((MAX(AV888,AW888,AX888))=0,"",IF((MAX(AV888,AW888,AX888))=(MAX(AR888,AS888,AT888)),1,""))</f>
        <v/>
      </c>
      <c r="AZ888" s="371"/>
      <c r="BA888" s="495"/>
      <c r="BB888" s="496"/>
      <c r="BC888" s="482" t="str">
        <f t="shared" ref="BC888:BC899" si="2018">IF(BA888="","",100-SUM(BA888:BB888))</f>
        <v/>
      </c>
      <c r="BD888" s="371"/>
      <c r="BE888" s="232" t="str">
        <f t="shared" ref="BE888:BE899" si="2019">IF($I888="x",BA888,"")</f>
        <v/>
      </c>
      <c r="BF888" s="232" t="str">
        <f t="shared" ref="BF888:BF899" si="2020">IF($J888="x",BB888,"")</f>
        <v/>
      </c>
      <c r="BG888" s="232" t="str">
        <f t="shared" ref="BG888:BG899" si="2021">IF($K888="x",BC888,"")</f>
        <v/>
      </c>
      <c r="BH888" s="232" t="str">
        <f>IF((MAX(BE888,BF888,BG888))=0,"",IF((MAX(BE888,BF888,BG888))=(MAX(BA888,BB888,BC888)),1,""))</f>
        <v/>
      </c>
      <c r="BI888" s="371"/>
      <c r="BJ888" s="495"/>
      <c r="BK888" s="496"/>
      <c r="BL888" s="482" t="str">
        <f t="shared" ref="BL888:BL899" si="2022">IF(BJ888="","",100-SUM(BJ888:BK888))</f>
        <v/>
      </c>
      <c r="BM888" s="371"/>
      <c r="BN888" s="232" t="str">
        <f t="shared" ref="BN888:BN899" si="2023">IF($I888="x",BJ888,"")</f>
        <v/>
      </c>
      <c r="BO888" s="232" t="str">
        <f t="shared" ref="BO888:BO899" si="2024">IF($J888="x",BK888,"")</f>
        <v/>
      </c>
      <c r="BP888" s="232" t="str">
        <f t="shared" ref="BP888:BP899" si="2025">IF($K888="x",BL888,"")</f>
        <v/>
      </c>
      <c r="BQ888" s="232" t="str">
        <f>IF((MAX(BN888,BO888,BP888))=0,"",IF((MAX(BN888,BO888,BP888))=(MAX(BJ888,BK888,BL888)),1,""))</f>
        <v/>
      </c>
      <c r="BR888" s="371"/>
      <c r="BS888" s="495"/>
      <c r="BT888" s="496"/>
      <c r="BU888" s="482" t="str">
        <f t="shared" ref="BU888:BU899" si="2026">IF(BS888="","",100-SUM(BS888:BT888))</f>
        <v/>
      </c>
      <c r="BV888" s="371"/>
      <c r="BW888" s="232" t="str">
        <f t="shared" ref="BW888:BW899" si="2027">IF($I888="x",BS888,"")</f>
        <v/>
      </c>
      <c r="BX888" s="232" t="str">
        <f t="shared" ref="BX888:BX899" si="2028">IF($J888="x",BT888,"")</f>
        <v/>
      </c>
      <c r="BY888" s="232" t="str">
        <f t="shared" ref="BY888:BY899" si="2029">IF($K888="x",BU888,"")</f>
        <v/>
      </c>
      <c r="BZ888" s="232" t="str">
        <f>IF((MAX(BW888,BX888,BY888))=0,"",IF((MAX(BW888,BX888,BY888))=(MAX(BS888,BT888,BU888)),1,""))</f>
        <v/>
      </c>
      <c r="CA888" s="371"/>
      <c r="CB888" s="501" t="str">
        <f t="shared" ref="CB888:CB899" si="2030">IFERROR(ROUNDUP((SUM(Q888,Z888,AI888,AR888,BA888,BJ888,BS888)/SUM($Q888:$S888,$Z888:$AB888,$AI888:$AK888,$AR888:$AT888,$BA888:$BC888,$BJ888:$BL888,$BS888:$BU888))*100,-1),"")</f>
        <v/>
      </c>
      <c r="CC888" s="502" t="str">
        <f t="shared" ref="CC888:CC899" si="2031">IFERROR(ROUNDDOWN((SUM(R888,AA888,AJ888,AS888,BB888,BK888,BT888)/SUM($Q888:$S888,$Z888:$AB888,$AI888:$AK888,$AR888:$AT888,$BA888:$BC888,$BJ888:$BL888,$BS888:$BU888))*100,-1),"")</f>
        <v/>
      </c>
      <c r="CD888" s="503" t="str">
        <f t="shared" ref="CD888:CD899" si="2032">IF(CB888="","",100-SUM(CB888:CC888))</f>
        <v/>
      </c>
      <c r="CE888" s="371"/>
      <c r="CF888" s="232" t="str">
        <f t="shared" ref="CF888:CF899" si="2033">IF($I888="x",CB888,"")</f>
        <v/>
      </c>
      <c r="CG888" s="232" t="str">
        <f t="shared" ref="CG888:CG899" si="2034">IF($J888="x",CC888,"")</f>
        <v/>
      </c>
      <c r="CH888" s="232" t="str">
        <f t="shared" ref="CH888:CH899" si="2035">IF($K888="x",CD888,"")</f>
        <v/>
      </c>
      <c r="CI888" s="232" t="str">
        <f>IF((MAX(CF888,CG888,CH888))=0,"",IF((MAX(CF888,CG888,CH888))=(MAX(CB888,CC888,CD888)),1,""))</f>
        <v/>
      </c>
      <c r="CJ888" s="232"/>
      <c r="CK888" s="495"/>
      <c r="CL888" s="496"/>
      <c r="CM888" s="482" t="str">
        <f t="shared" ref="CM888:CM899" si="2036">IF(CK888="","",100-SUM(CK888:CL888))</f>
        <v/>
      </c>
      <c r="CN888" s="371"/>
      <c r="CO888" s="232" t="str">
        <f t="shared" ref="CO888:CO899" si="2037">IF($I888="x",CK888,"")</f>
        <v/>
      </c>
      <c r="CP888" s="232" t="str">
        <f t="shared" ref="CP888:CP899" si="2038">IF($J888="x",CL888,"")</f>
        <v/>
      </c>
      <c r="CQ888" s="232" t="str">
        <f t="shared" ref="CQ888:CQ899" si="2039">IF($K888="x",CM888,"")</f>
        <v/>
      </c>
      <c r="CR888" s="232" t="str">
        <f>IF((MAX(CO888,CP888,CQ888))=0,"",IF((MAX(CO888,CP888,CQ888))=(MAX(CK888,CL888,CM888)),1,""))</f>
        <v/>
      </c>
      <c r="CS888" s="232"/>
      <c r="CT888" s="371"/>
      <c r="CU888" s="296"/>
      <c r="CV888" s="246"/>
      <c r="CW888" s="264"/>
    </row>
    <row r="889" spans="1:101" x14ac:dyDescent="0.2">
      <c r="A889" s="264"/>
      <c r="B889" s="264"/>
      <c r="C889" s="202"/>
      <c r="D889" s="271">
        <v>2</v>
      </c>
      <c r="E889" s="167"/>
      <c r="F889" s="469"/>
      <c r="G889" s="474" t="s">
        <v>49</v>
      </c>
      <c r="H889" s="475"/>
      <c r="I889" s="389" t="str">
        <f t="shared" si="2000"/>
        <v/>
      </c>
      <c r="J889" s="390" t="str">
        <f t="shared" si="2001"/>
        <v/>
      </c>
      <c r="K889" s="391" t="str">
        <f t="shared" si="2002"/>
        <v/>
      </c>
      <c r="L889" s="299"/>
      <c r="M889" s="375"/>
      <c r="N889" s="379"/>
      <c r="O889" s="236"/>
      <c r="P889" s="236"/>
      <c r="Q889" s="483"/>
      <c r="R889" s="484"/>
      <c r="S889" s="485" t="str">
        <f t="shared" ref="S889:S899" si="2040">IF(Q889="","",100-SUM(Q889:R889))</f>
        <v/>
      </c>
      <c r="T889" s="371"/>
      <c r="U889" s="232" t="str">
        <f t="shared" si="2003"/>
        <v/>
      </c>
      <c r="V889" s="232" t="str">
        <f t="shared" si="2004"/>
        <v/>
      </c>
      <c r="W889" s="232" t="str">
        <f t="shared" si="2005"/>
        <v/>
      </c>
      <c r="X889" s="232" t="str">
        <f t="shared" ref="X889:X899" si="2041">IF((MAX(U889,V889,W889))=0,"",IF((MAX(U889,V889,W889))=(MAX(Q889,R889,S889)),1,""))</f>
        <v/>
      </c>
      <c r="Y889" s="371"/>
      <c r="Z889" s="497"/>
      <c r="AA889" s="498"/>
      <c r="AB889" s="485" t="str">
        <f t="shared" si="2006"/>
        <v/>
      </c>
      <c r="AC889" s="371"/>
      <c r="AD889" s="232" t="str">
        <f t="shared" si="2007"/>
        <v/>
      </c>
      <c r="AE889" s="232" t="str">
        <f t="shared" si="2008"/>
        <v/>
      </c>
      <c r="AF889" s="232" t="str">
        <f t="shared" si="2009"/>
        <v/>
      </c>
      <c r="AG889" s="232" t="str">
        <f t="shared" ref="AG889:AG899" si="2042">IF((MAX(AD889,AE889,AF889))=0,"",IF((MAX(AD889,AE889,AF889))=(MAX(Z889,AA889,AB889)),1,""))</f>
        <v/>
      </c>
      <c r="AH889" s="371"/>
      <c r="AI889" s="497"/>
      <c r="AJ889" s="498"/>
      <c r="AK889" s="485" t="str">
        <f t="shared" si="2010"/>
        <v/>
      </c>
      <c r="AL889" s="371"/>
      <c r="AM889" s="232" t="str">
        <f t="shared" si="2011"/>
        <v/>
      </c>
      <c r="AN889" s="232" t="str">
        <f t="shared" si="2012"/>
        <v/>
      </c>
      <c r="AO889" s="232" t="str">
        <f t="shared" si="2013"/>
        <v/>
      </c>
      <c r="AP889" s="232" t="str">
        <f t="shared" ref="AP889:AP899" si="2043">IF((MAX(AM889,AN889,AO889))=0,"",IF((MAX(AM889,AN889,AO889))=(MAX(AI889,AJ889,AK889)),1,""))</f>
        <v/>
      </c>
      <c r="AQ889" s="371"/>
      <c r="AR889" s="497"/>
      <c r="AS889" s="498"/>
      <c r="AT889" s="485" t="str">
        <f t="shared" si="2014"/>
        <v/>
      </c>
      <c r="AU889" s="371"/>
      <c r="AV889" s="232" t="str">
        <f t="shared" si="2015"/>
        <v/>
      </c>
      <c r="AW889" s="232" t="str">
        <f t="shared" si="2016"/>
        <v/>
      </c>
      <c r="AX889" s="232" t="str">
        <f t="shared" si="2017"/>
        <v/>
      </c>
      <c r="AY889" s="232" t="str">
        <f t="shared" ref="AY889:AY899" si="2044">IF((MAX(AV889,AW889,AX889))=0,"",IF((MAX(AV889,AW889,AX889))=(MAX(AR889,AS889,AT889)),1,""))</f>
        <v/>
      </c>
      <c r="AZ889" s="371"/>
      <c r="BA889" s="497"/>
      <c r="BB889" s="498"/>
      <c r="BC889" s="485" t="str">
        <f t="shared" si="2018"/>
        <v/>
      </c>
      <c r="BD889" s="371"/>
      <c r="BE889" s="232" t="str">
        <f t="shared" si="2019"/>
        <v/>
      </c>
      <c r="BF889" s="232" t="str">
        <f t="shared" si="2020"/>
        <v/>
      </c>
      <c r="BG889" s="232" t="str">
        <f t="shared" si="2021"/>
        <v/>
      </c>
      <c r="BH889" s="232" t="str">
        <f t="shared" ref="BH889:BH899" si="2045">IF((MAX(BE889,BF889,BG889))=0,"",IF((MAX(BE889,BF889,BG889))=(MAX(BA889,BB889,BC889)),1,""))</f>
        <v/>
      </c>
      <c r="BI889" s="371"/>
      <c r="BJ889" s="497"/>
      <c r="BK889" s="498"/>
      <c r="BL889" s="485" t="str">
        <f t="shared" si="2022"/>
        <v/>
      </c>
      <c r="BM889" s="371"/>
      <c r="BN889" s="232" t="str">
        <f t="shared" si="2023"/>
        <v/>
      </c>
      <c r="BO889" s="232" t="str">
        <f t="shared" si="2024"/>
        <v/>
      </c>
      <c r="BP889" s="232" t="str">
        <f t="shared" si="2025"/>
        <v/>
      </c>
      <c r="BQ889" s="232" t="str">
        <f t="shared" ref="BQ889:BQ899" si="2046">IF((MAX(BN889,BO889,BP889))=0,"",IF((MAX(BN889,BO889,BP889))=(MAX(BJ889,BK889,BL889)),1,""))</f>
        <v/>
      </c>
      <c r="BR889" s="371"/>
      <c r="BS889" s="497"/>
      <c r="BT889" s="498"/>
      <c r="BU889" s="485" t="str">
        <f t="shared" si="2026"/>
        <v/>
      </c>
      <c r="BV889" s="371"/>
      <c r="BW889" s="232" t="str">
        <f t="shared" si="2027"/>
        <v/>
      </c>
      <c r="BX889" s="232" t="str">
        <f t="shared" si="2028"/>
        <v/>
      </c>
      <c r="BY889" s="232" t="str">
        <f t="shared" si="2029"/>
        <v/>
      </c>
      <c r="BZ889" s="232" t="str">
        <f t="shared" ref="BZ889:BZ899" si="2047">IF((MAX(BW889,BX889,BY889))=0,"",IF((MAX(BW889,BX889,BY889))=(MAX(BS889,BT889,BU889)),1,""))</f>
        <v/>
      </c>
      <c r="CA889" s="371"/>
      <c r="CB889" s="504" t="str">
        <f t="shared" si="2030"/>
        <v/>
      </c>
      <c r="CC889" s="505" t="str">
        <f t="shared" si="2031"/>
        <v/>
      </c>
      <c r="CD889" s="506" t="str">
        <f t="shared" si="2032"/>
        <v/>
      </c>
      <c r="CE889" s="371"/>
      <c r="CF889" s="232" t="str">
        <f t="shared" si="2033"/>
        <v/>
      </c>
      <c r="CG889" s="232" t="str">
        <f t="shared" si="2034"/>
        <v/>
      </c>
      <c r="CH889" s="232" t="str">
        <f t="shared" si="2035"/>
        <v/>
      </c>
      <c r="CI889" s="232" t="str">
        <f t="shared" ref="CI889:CI899" si="2048">IF((MAX(CF889,CG889,CH889))=0,"",IF((MAX(CF889,CG889,CH889))=(MAX(CB889,CC889,CD889)),1,""))</f>
        <v/>
      </c>
      <c r="CJ889" s="232"/>
      <c r="CK889" s="497"/>
      <c r="CL889" s="498"/>
      <c r="CM889" s="485" t="str">
        <f t="shared" si="2036"/>
        <v/>
      </c>
      <c r="CN889" s="371"/>
      <c r="CO889" s="232" t="str">
        <f t="shared" si="2037"/>
        <v/>
      </c>
      <c r="CP889" s="232" t="str">
        <f t="shared" si="2038"/>
        <v/>
      </c>
      <c r="CQ889" s="232" t="str">
        <f t="shared" si="2039"/>
        <v/>
      </c>
      <c r="CR889" s="232" t="str">
        <f t="shared" ref="CR889:CR899" si="2049">IF((MAX(CO889,CP889,CQ889))=0,"",IF((MAX(CO889,CP889,CQ889))=(MAX(CK889,CL889,CM889)),1,""))</f>
        <v/>
      </c>
      <c r="CS889" s="232"/>
      <c r="CT889" s="371"/>
      <c r="CU889" s="296"/>
      <c r="CV889" s="246"/>
      <c r="CW889" s="264"/>
    </row>
    <row r="890" spans="1:101" ht="13.5" thickBot="1" x14ac:dyDescent="0.25">
      <c r="A890" s="264"/>
      <c r="B890" s="264"/>
      <c r="C890" s="202"/>
      <c r="D890" s="271">
        <v>3</v>
      </c>
      <c r="E890" s="168"/>
      <c r="F890" s="470"/>
      <c r="G890" s="476" t="s">
        <v>49</v>
      </c>
      <c r="H890" s="477"/>
      <c r="I890" s="392" t="str">
        <f t="shared" si="2000"/>
        <v/>
      </c>
      <c r="J890" s="393" t="str">
        <f t="shared" si="2001"/>
        <v/>
      </c>
      <c r="K890" s="394" t="str">
        <f t="shared" si="2002"/>
        <v/>
      </c>
      <c r="L890" s="299"/>
      <c r="M890" s="375"/>
      <c r="N890" s="379"/>
      <c r="O890" s="236"/>
      <c r="P890" s="236"/>
      <c r="Q890" s="486"/>
      <c r="R890" s="487"/>
      <c r="S890" s="488" t="str">
        <f t="shared" si="2040"/>
        <v/>
      </c>
      <c r="T890" s="371"/>
      <c r="U890" s="232" t="str">
        <f t="shared" si="2003"/>
        <v/>
      </c>
      <c r="V890" s="232" t="str">
        <f t="shared" si="2004"/>
        <v/>
      </c>
      <c r="W890" s="232" t="str">
        <f t="shared" si="2005"/>
        <v/>
      </c>
      <c r="X890" s="232" t="str">
        <f t="shared" si="2041"/>
        <v/>
      </c>
      <c r="Y890" s="371"/>
      <c r="Z890" s="499"/>
      <c r="AA890" s="500"/>
      <c r="AB890" s="488" t="str">
        <f t="shared" si="2006"/>
        <v/>
      </c>
      <c r="AC890" s="371"/>
      <c r="AD890" s="232" t="str">
        <f t="shared" si="2007"/>
        <v/>
      </c>
      <c r="AE890" s="232" t="str">
        <f t="shared" si="2008"/>
        <v/>
      </c>
      <c r="AF890" s="232" t="str">
        <f t="shared" si="2009"/>
        <v/>
      </c>
      <c r="AG890" s="232" t="str">
        <f t="shared" si="2042"/>
        <v/>
      </c>
      <c r="AH890" s="371"/>
      <c r="AI890" s="499"/>
      <c r="AJ890" s="500"/>
      <c r="AK890" s="488" t="str">
        <f t="shared" si="2010"/>
        <v/>
      </c>
      <c r="AL890" s="371"/>
      <c r="AM890" s="232" t="str">
        <f t="shared" si="2011"/>
        <v/>
      </c>
      <c r="AN890" s="232" t="str">
        <f t="shared" si="2012"/>
        <v/>
      </c>
      <c r="AO890" s="232" t="str">
        <f t="shared" si="2013"/>
        <v/>
      </c>
      <c r="AP890" s="232" t="str">
        <f t="shared" si="2043"/>
        <v/>
      </c>
      <c r="AQ890" s="371"/>
      <c r="AR890" s="499"/>
      <c r="AS890" s="500"/>
      <c r="AT890" s="488" t="str">
        <f t="shared" si="2014"/>
        <v/>
      </c>
      <c r="AU890" s="371"/>
      <c r="AV890" s="232" t="str">
        <f t="shared" si="2015"/>
        <v/>
      </c>
      <c r="AW890" s="232" t="str">
        <f t="shared" si="2016"/>
        <v/>
      </c>
      <c r="AX890" s="232" t="str">
        <f t="shared" si="2017"/>
        <v/>
      </c>
      <c r="AY890" s="232" t="str">
        <f t="shared" si="2044"/>
        <v/>
      </c>
      <c r="AZ890" s="371"/>
      <c r="BA890" s="499"/>
      <c r="BB890" s="500"/>
      <c r="BC890" s="488" t="str">
        <f t="shared" si="2018"/>
        <v/>
      </c>
      <c r="BD890" s="371"/>
      <c r="BE890" s="232" t="str">
        <f t="shared" si="2019"/>
        <v/>
      </c>
      <c r="BF890" s="232" t="str">
        <f t="shared" si="2020"/>
        <v/>
      </c>
      <c r="BG890" s="232" t="str">
        <f t="shared" si="2021"/>
        <v/>
      </c>
      <c r="BH890" s="232" t="str">
        <f t="shared" si="2045"/>
        <v/>
      </c>
      <c r="BI890" s="371"/>
      <c r="BJ890" s="499"/>
      <c r="BK890" s="500"/>
      <c r="BL890" s="488" t="str">
        <f t="shared" si="2022"/>
        <v/>
      </c>
      <c r="BM890" s="371"/>
      <c r="BN890" s="232" t="str">
        <f t="shared" si="2023"/>
        <v/>
      </c>
      <c r="BO890" s="232" t="str">
        <f t="shared" si="2024"/>
        <v/>
      </c>
      <c r="BP890" s="232" t="str">
        <f t="shared" si="2025"/>
        <v/>
      </c>
      <c r="BQ890" s="232" t="str">
        <f t="shared" si="2046"/>
        <v/>
      </c>
      <c r="BR890" s="371"/>
      <c r="BS890" s="499"/>
      <c r="BT890" s="500"/>
      <c r="BU890" s="488" t="str">
        <f t="shared" si="2026"/>
        <v/>
      </c>
      <c r="BV890" s="371"/>
      <c r="BW890" s="232" t="str">
        <f t="shared" si="2027"/>
        <v/>
      </c>
      <c r="BX890" s="232" t="str">
        <f t="shared" si="2028"/>
        <v/>
      </c>
      <c r="BY890" s="232" t="str">
        <f t="shared" si="2029"/>
        <v/>
      </c>
      <c r="BZ890" s="232" t="str">
        <f t="shared" si="2047"/>
        <v/>
      </c>
      <c r="CA890" s="371"/>
      <c r="CB890" s="507" t="str">
        <f t="shared" si="2030"/>
        <v/>
      </c>
      <c r="CC890" s="508" t="str">
        <f t="shared" si="2031"/>
        <v/>
      </c>
      <c r="CD890" s="509" t="str">
        <f t="shared" si="2032"/>
        <v/>
      </c>
      <c r="CE890" s="371"/>
      <c r="CF890" s="232" t="str">
        <f t="shared" si="2033"/>
        <v/>
      </c>
      <c r="CG890" s="232" t="str">
        <f t="shared" si="2034"/>
        <v/>
      </c>
      <c r="CH890" s="232" t="str">
        <f t="shared" si="2035"/>
        <v/>
      </c>
      <c r="CI890" s="232" t="str">
        <f t="shared" si="2048"/>
        <v/>
      </c>
      <c r="CJ890" s="232"/>
      <c r="CK890" s="499"/>
      <c r="CL890" s="500"/>
      <c r="CM890" s="488" t="str">
        <f t="shared" si="2036"/>
        <v/>
      </c>
      <c r="CN890" s="371"/>
      <c r="CO890" s="232" t="str">
        <f t="shared" si="2037"/>
        <v/>
      </c>
      <c r="CP890" s="232" t="str">
        <f t="shared" si="2038"/>
        <v/>
      </c>
      <c r="CQ890" s="232" t="str">
        <f t="shared" si="2039"/>
        <v/>
      </c>
      <c r="CR890" s="232" t="str">
        <f t="shared" si="2049"/>
        <v/>
      </c>
      <c r="CS890" s="232"/>
      <c r="CT890" s="371"/>
      <c r="CU890" s="296"/>
      <c r="CV890" s="246"/>
      <c r="CW890" s="264"/>
    </row>
    <row r="891" spans="1:101" x14ac:dyDescent="0.2">
      <c r="A891" s="264"/>
      <c r="B891" s="264"/>
      <c r="C891" s="202"/>
      <c r="D891" s="271">
        <v>4</v>
      </c>
      <c r="E891" s="166"/>
      <c r="F891" s="468"/>
      <c r="G891" s="472" t="s">
        <v>49</v>
      </c>
      <c r="H891" s="473"/>
      <c r="I891" s="170" t="str">
        <f t="shared" si="2000"/>
        <v/>
      </c>
      <c r="J891" s="387" t="str">
        <f t="shared" si="2001"/>
        <v/>
      </c>
      <c r="K891" s="388" t="str">
        <f t="shared" si="2002"/>
        <v/>
      </c>
      <c r="L891" s="299"/>
      <c r="M891" s="375"/>
      <c r="N891" s="379"/>
      <c r="O891" s="236"/>
      <c r="P891" s="236"/>
      <c r="Q891" s="480"/>
      <c r="R891" s="481"/>
      <c r="S891" s="482" t="str">
        <f t="shared" si="2040"/>
        <v/>
      </c>
      <c r="T891" s="371"/>
      <c r="U891" s="232" t="str">
        <f t="shared" si="2003"/>
        <v/>
      </c>
      <c r="V891" s="232" t="str">
        <f t="shared" si="2004"/>
        <v/>
      </c>
      <c r="W891" s="232" t="str">
        <f t="shared" si="2005"/>
        <v/>
      </c>
      <c r="X891" s="232" t="str">
        <f t="shared" si="2041"/>
        <v/>
      </c>
      <c r="Y891" s="371"/>
      <c r="Z891" s="495"/>
      <c r="AA891" s="496"/>
      <c r="AB891" s="482" t="str">
        <f t="shared" si="2006"/>
        <v/>
      </c>
      <c r="AC891" s="371"/>
      <c r="AD891" s="232" t="str">
        <f t="shared" si="2007"/>
        <v/>
      </c>
      <c r="AE891" s="232" t="str">
        <f t="shared" si="2008"/>
        <v/>
      </c>
      <c r="AF891" s="232" t="str">
        <f t="shared" si="2009"/>
        <v/>
      </c>
      <c r="AG891" s="232" t="str">
        <f t="shared" si="2042"/>
        <v/>
      </c>
      <c r="AH891" s="371"/>
      <c r="AI891" s="495"/>
      <c r="AJ891" s="496"/>
      <c r="AK891" s="482" t="str">
        <f t="shared" si="2010"/>
        <v/>
      </c>
      <c r="AL891" s="371"/>
      <c r="AM891" s="232" t="str">
        <f t="shared" si="2011"/>
        <v/>
      </c>
      <c r="AN891" s="232" t="str">
        <f t="shared" si="2012"/>
        <v/>
      </c>
      <c r="AO891" s="232" t="str">
        <f t="shared" si="2013"/>
        <v/>
      </c>
      <c r="AP891" s="232" t="str">
        <f t="shared" si="2043"/>
        <v/>
      </c>
      <c r="AQ891" s="371"/>
      <c r="AR891" s="495"/>
      <c r="AS891" s="496"/>
      <c r="AT891" s="482" t="str">
        <f t="shared" si="2014"/>
        <v/>
      </c>
      <c r="AU891" s="371"/>
      <c r="AV891" s="232" t="str">
        <f t="shared" si="2015"/>
        <v/>
      </c>
      <c r="AW891" s="232" t="str">
        <f t="shared" si="2016"/>
        <v/>
      </c>
      <c r="AX891" s="232" t="str">
        <f t="shared" si="2017"/>
        <v/>
      </c>
      <c r="AY891" s="232" t="str">
        <f t="shared" si="2044"/>
        <v/>
      </c>
      <c r="AZ891" s="371"/>
      <c r="BA891" s="495"/>
      <c r="BB891" s="496"/>
      <c r="BC891" s="482" t="str">
        <f t="shared" si="2018"/>
        <v/>
      </c>
      <c r="BD891" s="371"/>
      <c r="BE891" s="232" t="str">
        <f t="shared" si="2019"/>
        <v/>
      </c>
      <c r="BF891" s="232" t="str">
        <f t="shared" si="2020"/>
        <v/>
      </c>
      <c r="BG891" s="232" t="str">
        <f t="shared" si="2021"/>
        <v/>
      </c>
      <c r="BH891" s="232" t="str">
        <f t="shared" si="2045"/>
        <v/>
      </c>
      <c r="BI891" s="371"/>
      <c r="BJ891" s="495"/>
      <c r="BK891" s="496"/>
      <c r="BL891" s="482" t="str">
        <f t="shared" si="2022"/>
        <v/>
      </c>
      <c r="BM891" s="371"/>
      <c r="BN891" s="232" t="str">
        <f t="shared" si="2023"/>
        <v/>
      </c>
      <c r="BO891" s="232" t="str">
        <f t="shared" si="2024"/>
        <v/>
      </c>
      <c r="BP891" s="232" t="str">
        <f t="shared" si="2025"/>
        <v/>
      </c>
      <c r="BQ891" s="232" t="str">
        <f t="shared" si="2046"/>
        <v/>
      </c>
      <c r="BR891" s="371"/>
      <c r="BS891" s="495"/>
      <c r="BT891" s="496"/>
      <c r="BU891" s="482" t="str">
        <f t="shared" si="2026"/>
        <v/>
      </c>
      <c r="BV891" s="371"/>
      <c r="BW891" s="232" t="str">
        <f t="shared" si="2027"/>
        <v/>
      </c>
      <c r="BX891" s="232" t="str">
        <f t="shared" si="2028"/>
        <v/>
      </c>
      <c r="BY891" s="232" t="str">
        <f t="shared" si="2029"/>
        <v/>
      </c>
      <c r="BZ891" s="232" t="str">
        <f t="shared" si="2047"/>
        <v/>
      </c>
      <c r="CA891" s="371"/>
      <c r="CB891" s="501" t="str">
        <f t="shared" si="2030"/>
        <v/>
      </c>
      <c r="CC891" s="502" t="str">
        <f t="shared" si="2031"/>
        <v/>
      </c>
      <c r="CD891" s="503" t="str">
        <f t="shared" si="2032"/>
        <v/>
      </c>
      <c r="CE891" s="371"/>
      <c r="CF891" s="232" t="str">
        <f t="shared" si="2033"/>
        <v/>
      </c>
      <c r="CG891" s="232" t="str">
        <f t="shared" si="2034"/>
        <v/>
      </c>
      <c r="CH891" s="232" t="str">
        <f t="shared" si="2035"/>
        <v/>
      </c>
      <c r="CI891" s="232" t="str">
        <f t="shared" si="2048"/>
        <v/>
      </c>
      <c r="CJ891" s="232"/>
      <c r="CK891" s="495"/>
      <c r="CL891" s="496"/>
      <c r="CM891" s="482" t="str">
        <f t="shared" si="2036"/>
        <v/>
      </c>
      <c r="CN891" s="371"/>
      <c r="CO891" s="232" t="str">
        <f t="shared" si="2037"/>
        <v/>
      </c>
      <c r="CP891" s="232" t="str">
        <f t="shared" si="2038"/>
        <v/>
      </c>
      <c r="CQ891" s="232" t="str">
        <f t="shared" si="2039"/>
        <v/>
      </c>
      <c r="CR891" s="232" t="str">
        <f t="shared" si="2049"/>
        <v/>
      </c>
      <c r="CS891" s="232"/>
      <c r="CT891" s="371"/>
      <c r="CU891" s="296"/>
      <c r="CV891" s="246"/>
      <c r="CW891" s="264"/>
    </row>
    <row r="892" spans="1:101" x14ac:dyDescent="0.2">
      <c r="A892" s="264"/>
      <c r="B892" s="264"/>
      <c r="C892" s="202"/>
      <c r="D892" s="271">
        <v>5</v>
      </c>
      <c r="E892" s="167"/>
      <c r="F892" s="469"/>
      <c r="G892" s="474" t="s">
        <v>49</v>
      </c>
      <c r="H892" s="475"/>
      <c r="I892" s="389" t="str">
        <f t="shared" si="2000"/>
        <v/>
      </c>
      <c r="J892" s="390" t="str">
        <f t="shared" si="2001"/>
        <v/>
      </c>
      <c r="K892" s="391" t="str">
        <f t="shared" si="2002"/>
        <v/>
      </c>
      <c r="L892" s="299"/>
      <c r="M892" s="375"/>
      <c r="N892" s="379"/>
      <c r="O892" s="236"/>
      <c r="P892" s="236"/>
      <c r="Q892" s="483"/>
      <c r="R892" s="484"/>
      <c r="S892" s="485" t="str">
        <f t="shared" si="2040"/>
        <v/>
      </c>
      <c r="T892" s="371"/>
      <c r="U892" s="232" t="str">
        <f t="shared" si="2003"/>
        <v/>
      </c>
      <c r="V892" s="232" t="str">
        <f t="shared" si="2004"/>
        <v/>
      </c>
      <c r="W892" s="232" t="str">
        <f t="shared" si="2005"/>
        <v/>
      </c>
      <c r="X892" s="232" t="str">
        <f t="shared" si="2041"/>
        <v/>
      </c>
      <c r="Y892" s="371"/>
      <c r="Z892" s="497"/>
      <c r="AA892" s="498"/>
      <c r="AB892" s="485" t="str">
        <f t="shared" si="2006"/>
        <v/>
      </c>
      <c r="AC892" s="371"/>
      <c r="AD892" s="232" t="str">
        <f t="shared" si="2007"/>
        <v/>
      </c>
      <c r="AE892" s="232" t="str">
        <f t="shared" si="2008"/>
        <v/>
      </c>
      <c r="AF892" s="232" t="str">
        <f t="shared" si="2009"/>
        <v/>
      </c>
      <c r="AG892" s="232" t="str">
        <f t="shared" si="2042"/>
        <v/>
      </c>
      <c r="AH892" s="371"/>
      <c r="AI892" s="497"/>
      <c r="AJ892" s="498"/>
      <c r="AK892" s="485" t="str">
        <f t="shared" si="2010"/>
        <v/>
      </c>
      <c r="AL892" s="371"/>
      <c r="AM892" s="232" t="str">
        <f t="shared" si="2011"/>
        <v/>
      </c>
      <c r="AN892" s="232" t="str">
        <f t="shared" si="2012"/>
        <v/>
      </c>
      <c r="AO892" s="232" t="str">
        <f t="shared" si="2013"/>
        <v/>
      </c>
      <c r="AP892" s="232" t="str">
        <f t="shared" si="2043"/>
        <v/>
      </c>
      <c r="AQ892" s="371"/>
      <c r="AR892" s="497"/>
      <c r="AS892" s="498"/>
      <c r="AT892" s="485" t="str">
        <f t="shared" si="2014"/>
        <v/>
      </c>
      <c r="AU892" s="371"/>
      <c r="AV892" s="232" t="str">
        <f t="shared" si="2015"/>
        <v/>
      </c>
      <c r="AW892" s="232" t="str">
        <f t="shared" si="2016"/>
        <v/>
      </c>
      <c r="AX892" s="232" t="str">
        <f t="shared" si="2017"/>
        <v/>
      </c>
      <c r="AY892" s="232" t="str">
        <f t="shared" si="2044"/>
        <v/>
      </c>
      <c r="AZ892" s="371"/>
      <c r="BA892" s="497"/>
      <c r="BB892" s="498"/>
      <c r="BC892" s="485" t="str">
        <f t="shared" si="2018"/>
        <v/>
      </c>
      <c r="BD892" s="371"/>
      <c r="BE892" s="232" t="str">
        <f t="shared" si="2019"/>
        <v/>
      </c>
      <c r="BF892" s="232" t="str">
        <f t="shared" si="2020"/>
        <v/>
      </c>
      <c r="BG892" s="232" t="str">
        <f t="shared" si="2021"/>
        <v/>
      </c>
      <c r="BH892" s="232" t="str">
        <f t="shared" si="2045"/>
        <v/>
      </c>
      <c r="BI892" s="371"/>
      <c r="BJ892" s="497"/>
      <c r="BK892" s="498"/>
      <c r="BL892" s="485" t="str">
        <f t="shared" si="2022"/>
        <v/>
      </c>
      <c r="BM892" s="371"/>
      <c r="BN892" s="232" t="str">
        <f t="shared" si="2023"/>
        <v/>
      </c>
      <c r="BO892" s="232" t="str">
        <f t="shared" si="2024"/>
        <v/>
      </c>
      <c r="BP892" s="232" t="str">
        <f t="shared" si="2025"/>
        <v/>
      </c>
      <c r="BQ892" s="232" t="str">
        <f t="shared" si="2046"/>
        <v/>
      </c>
      <c r="BR892" s="371"/>
      <c r="BS892" s="497"/>
      <c r="BT892" s="498"/>
      <c r="BU892" s="485" t="str">
        <f t="shared" si="2026"/>
        <v/>
      </c>
      <c r="BV892" s="371"/>
      <c r="BW892" s="232" t="str">
        <f t="shared" si="2027"/>
        <v/>
      </c>
      <c r="BX892" s="232" t="str">
        <f t="shared" si="2028"/>
        <v/>
      </c>
      <c r="BY892" s="232" t="str">
        <f t="shared" si="2029"/>
        <v/>
      </c>
      <c r="BZ892" s="232" t="str">
        <f t="shared" si="2047"/>
        <v/>
      </c>
      <c r="CA892" s="371"/>
      <c r="CB892" s="504" t="str">
        <f t="shared" si="2030"/>
        <v/>
      </c>
      <c r="CC892" s="505" t="str">
        <f t="shared" si="2031"/>
        <v/>
      </c>
      <c r="CD892" s="506" t="str">
        <f t="shared" si="2032"/>
        <v/>
      </c>
      <c r="CE892" s="371"/>
      <c r="CF892" s="232" t="str">
        <f t="shared" si="2033"/>
        <v/>
      </c>
      <c r="CG892" s="232" t="str">
        <f t="shared" si="2034"/>
        <v/>
      </c>
      <c r="CH892" s="232" t="str">
        <f t="shared" si="2035"/>
        <v/>
      </c>
      <c r="CI892" s="232" t="str">
        <f t="shared" si="2048"/>
        <v/>
      </c>
      <c r="CJ892" s="232"/>
      <c r="CK892" s="497"/>
      <c r="CL892" s="498"/>
      <c r="CM892" s="485" t="str">
        <f t="shared" si="2036"/>
        <v/>
      </c>
      <c r="CN892" s="371"/>
      <c r="CO892" s="232" t="str">
        <f t="shared" si="2037"/>
        <v/>
      </c>
      <c r="CP892" s="232" t="str">
        <f t="shared" si="2038"/>
        <v/>
      </c>
      <c r="CQ892" s="232" t="str">
        <f t="shared" si="2039"/>
        <v/>
      </c>
      <c r="CR892" s="232" t="str">
        <f t="shared" si="2049"/>
        <v/>
      </c>
      <c r="CS892" s="232"/>
      <c r="CT892" s="371"/>
      <c r="CU892" s="296"/>
      <c r="CV892" s="246"/>
      <c r="CW892" s="264"/>
    </row>
    <row r="893" spans="1:101" ht="13.5" thickBot="1" x14ac:dyDescent="0.25">
      <c r="A893" s="264"/>
      <c r="B893" s="264"/>
      <c r="C893" s="202"/>
      <c r="D893" s="271">
        <v>6</v>
      </c>
      <c r="E893" s="168"/>
      <c r="F893" s="470"/>
      <c r="G893" s="476" t="s">
        <v>49</v>
      </c>
      <c r="H893" s="477"/>
      <c r="I893" s="392" t="str">
        <f t="shared" si="2000"/>
        <v/>
      </c>
      <c r="J893" s="393" t="str">
        <f t="shared" si="2001"/>
        <v/>
      </c>
      <c r="K893" s="394" t="str">
        <f t="shared" si="2002"/>
        <v/>
      </c>
      <c r="L893" s="299"/>
      <c r="M893" s="375"/>
      <c r="N893" s="379"/>
      <c r="O893" s="236"/>
      <c r="P893" s="236"/>
      <c r="Q893" s="489"/>
      <c r="R893" s="490"/>
      <c r="S893" s="491" t="str">
        <f t="shared" si="2040"/>
        <v/>
      </c>
      <c r="T893" s="371"/>
      <c r="U893" s="232" t="str">
        <f t="shared" si="2003"/>
        <v/>
      </c>
      <c r="V893" s="232" t="str">
        <f t="shared" si="2004"/>
        <v/>
      </c>
      <c r="W893" s="232" t="str">
        <f t="shared" si="2005"/>
        <v/>
      </c>
      <c r="X893" s="232" t="str">
        <f t="shared" si="2041"/>
        <v/>
      </c>
      <c r="Y893" s="371"/>
      <c r="Z893" s="499"/>
      <c r="AA893" s="500"/>
      <c r="AB893" s="491" t="str">
        <f t="shared" si="2006"/>
        <v/>
      </c>
      <c r="AC893" s="371"/>
      <c r="AD893" s="232" t="str">
        <f t="shared" si="2007"/>
        <v/>
      </c>
      <c r="AE893" s="232" t="str">
        <f t="shared" si="2008"/>
        <v/>
      </c>
      <c r="AF893" s="232" t="str">
        <f t="shared" si="2009"/>
        <v/>
      </c>
      <c r="AG893" s="232" t="str">
        <f t="shared" si="2042"/>
        <v/>
      </c>
      <c r="AH893" s="371"/>
      <c r="AI893" s="499"/>
      <c r="AJ893" s="500"/>
      <c r="AK893" s="491" t="str">
        <f t="shared" si="2010"/>
        <v/>
      </c>
      <c r="AL893" s="371"/>
      <c r="AM893" s="232" t="str">
        <f t="shared" si="2011"/>
        <v/>
      </c>
      <c r="AN893" s="232" t="str">
        <f t="shared" si="2012"/>
        <v/>
      </c>
      <c r="AO893" s="232" t="str">
        <f t="shared" si="2013"/>
        <v/>
      </c>
      <c r="AP893" s="232" t="str">
        <f t="shared" si="2043"/>
        <v/>
      </c>
      <c r="AQ893" s="371"/>
      <c r="AR893" s="499"/>
      <c r="AS893" s="500"/>
      <c r="AT893" s="491" t="str">
        <f t="shared" si="2014"/>
        <v/>
      </c>
      <c r="AU893" s="371"/>
      <c r="AV893" s="232" t="str">
        <f t="shared" si="2015"/>
        <v/>
      </c>
      <c r="AW893" s="232" t="str">
        <f t="shared" si="2016"/>
        <v/>
      </c>
      <c r="AX893" s="232" t="str">
        <f t="shared" si="2017"/>
        <v/>
      </c>
      <c r="AY893" s="232" t="str">
        <f t="shared" si="2044"/>
        <v/>
      </c>
      <c r="AZ893" s="371"/>
      <c r="BA893" s="499"/>
      <c r="BB893" s="500"/>
      <c r="BC893" s="491" t="str">
        <f t="shared" si="2018"/>
        <v/>
      </c>
      <c r="BD893" s="371"/>
      <c r="BE893" s="232" t="str">
        <f t="shared" si="2019"/>
        <v/>
      </c>
      <c r="BF893" s="232" t="str">
        <f t="shared" si="2020"/>
        <v/>
      </c>
      <c r="BG893" s="232" t="str">
        <f t="shared" si="2021"/>
        <v/>
      </c>
      <c r="BH893" s="232" t="str">
        <f t="shared" si="2045"/>
        <v/>
      </c>
      <c r="BI893" s="371"/>
      <c r="BJ893" s="499"/>
      <c r="BK893" s="500"/>
      <c r="BL893" s="491" t="str">
        <f t="shared" si="2022"/>
        <v/>
      </c>
      <c r="BM893" s="371"/>
      <c r="BN893" s="232" t="str">
        <f t="shared" si="2023"/>
        <v/>
      </c>
      <c r="BO893" s="232" t="str">
        <f t="shared" si="2024"/>
        <v/>
      </c>
      <c r="BP893" s="232" t="str">
        <f t="shared" si="2025"/>
        <v/>
      </c>
      <c r="BQ893" s="232" t="str">
        <f t="shared" si="2046"/>
        <v/>
      </c>
      <c r="BR893" s="371"/>
      <c r="BS893" s="499"/>
      <c r="BT893" s="500"/>
      <c r="BU893" s="491" t="str">
        <f t="shared" si="2026"/>
        <v/>
      </c>
      <c r="BV893" s="371"/>
      <c r="BW893" s="232" t="str">
        <f t="shared" si="2027"/>
        <v/>
      </c>
      <c r="BX893" s="232" t="str">
        <f t="shared" si="2028"/>
        <v/>
      </c>
      <c r="BY893" s="232" t="str">
        <f t="shared" si="2029"/>
        <v/>
      </c>
      <c r="BZ893" s="232" t="str">
        <f t="shared" si="2047"/>
        <v/>
      </c>
      <c r="CA893" s="371"/>
      <c r="CB893" s="507" t="str">
        <f t="shared" si="2030"/>
        <v/>
      </c>
      <c r="CC893" s="508" t="str">
        <f t="shared" si="2031"/>
        <v/>
      </c>
      <c r="CD893" s="509" t="str">
        <f t="shared" si="2032"/>
        <v/>
      </c>
      <c r="CE893" s="371"/>
      <c r="CF893" s="232" t="str">
        <f t="shared" si="2033"/>
        <v/>
      </c>
      <c r="CG893" s="232" t="str">
        <f t="shared" si="2034"/>
        <v/>
      </c>
      <c r="CH893" s="232" t="str">
        <f t="shared" si="2035"/>
        <v/>
      </c>
      <c r="CI893" s="232" t="str">
        <f t="shared" si="2048"/>
        <v/>
      </c>
      <c r="CJ893" s="232"/>
      <c r="CK893" s="499"/>
      <c r="CL893" s="500"/>
      <c r="CM893" s="491" t="str">
        <f t="shared" si="2036"/>
        <v/>
      </c>
      <c r="CN893" s="371"/>
      <c r="CO893" s="232" t="str">
        <f t="shared" si="2037"/>
        <v/>
      </c>
      <c r="CP893" s="232" t="str">
        <f t="shared" si="2038"/>
        <v/>
      </c>
      <c r="CQ893" s="232" t="str">
        <f t="shared" si="2039"/>
        <v/>
      </c>
      <c r="CR893" s="232" t="str">
        <f t="shared" si="2049"/>
        <v/>
      </c>
      <c r="CS893" s="232"/>
      <c r="CT893" s="371"/>
      <c r="CU893" s="296"/>
      <c r="CV893" s="246"/>
      <c r="CW893" s="264"/>
    </row>
    <row r="894" spans="1:101" x14ac:dyDescent="0.2">
      <c r="A894" s="264"/>
      <c r="B894" s="264"/>
      <c r="C894" s="202"/>
      <c r="D894" s="271">
        <v>7</v>
      </c>
      <c r="E894" s="166"/>
      <c r="F894" s="468"/>
      <c r="G894" s="472" t="s">
        <v>49</v>
      </c>
      <c r="H894" s="473"/>
      <c r="I894" s="170" t="str">
        <f t="shared" si="2000"/>
        <v/>
      </c>
      <c r="J894" s="387" t="str">
        <f t="shared" si="2001"/>
        <v/>
      </c>
      <c r="K894" s="388" t="str">
        <f t="shared" si="2002"/>
        <v/>
      </c>
      <c r="L894" s="299"/>
      <c r="M894" s="375"/>
      <c r="N894" s="379"/>
      <c r="O894" s="236"/>
      <c r="P894" s="236"/>
      <c r="Q894" s="480"/>
      <c r="R894" s="481"/>
      <c r="S894" s="482" t="str">
        <f t="shared" si="2040"/>
        <v/>
      </c>
      <c r="T894" s="371"/>
      <c r="U894" s="232" t="str">
        <f t="shared" si="2003"/>
        <v/>
      </c>
      <c r="V894" s="232" t="str">
        <f t="shared" si="2004"/>
        <v/>
      </c>
      <c r="W894" s="232" t="str">
        <f t="shared" si="2005"/>
        <v/>
      </c>
      <c r="X894" s="232" t="str">
        <f t="shared" si="2041"/>
        <v/>
      </c>
      <c r="Y894" s="371"/>
      <c r="Z894" s="495"/>
      <c r="AA894" s="496"/>
      <c r="AB894" s="482" t="str">
        <f t="shared" si="2006"/>
        <v/>
      </c>
      <c r="AC894" s="371"/>
      <c r="AD894" s="232" t="str">
        <f t="shared" si="2007"/>
        <v/>
      </c>
      <c r="AE894" s="232" t="str">
        <f t="shared" si="2008"/>
        <v/>
      </c>
      <c r="AF894" s="232" t="str">
        <f t="shared" si="2009"/>
        <v/>
      </c>
      <c r="AG894" s="232" t="str">
        <f t="shared" si="2042"/>
        <v/>
      </c>
      <c r="AH894" s="371"/>
      <c r="AI894" s="495"/>
      <c r="AJ894" s="496"/>
      <c r="AK894" s="482" t="str">
        <f t="shared" si="2010"/>
        <v/>
      </c>
      <c r="AL894" s="371"/>
      <c r="AM894" s="232" t="str">
        <f t="shared" si="2011"/>
        <v/>
      </c>
      <c r="AN894" s="232" t="str">
        <f t="shared" si="2012"/>
        <v/>
      </c>
      <c r="AO894" s="232" t="str">
        <f t="shared" si="2013"/>
        <v/>
      </c>
      <c r="AP894" s="232" t="str">
        <f t="shared" si="2043"/>
        <v/>
      </c>
      <c r="AQ894" s="371"/>
      <c r="AR894" s="495"/>
      <c r="AS894" s="496"/>
      <c r="AT894" s="482" t="str">
        <f t="shared" si="2014"/>
        <v/>
      </c>
      <c r="AU894" s="371"/>
      <c r="AV894" s="232" t="str">
        <f t="shared" si="2015"/>
        <v/>
      </c>
      <c r="AW894" s="232" t="str">
        <f t="shared" si="2016"/>
        <v/>
      </c>
      <c r="AX894" s="232" t="str">
        <f t="shared" si="2017"/>
        <v/>
      </c>
      <c r="AY894" s="232" t="str">
        <f t="shared" si="2044"/>
        <v/>
      </c>
      <c r="AZ894" s="371"/>
      <c r="BA894" s="495"/>
      <c r="BB894" s="496"/>
      <c r="BC894" s="482" t="str">
        <f t="shared" si="2018"/>
        <v/>
      </c>
      <c r="BD894" s="371"/>
      <c r="BE894" s="232" t="str">
        <f t="shared" si="2019"/>
        <v/>
      </c>
      <c r="BF894" s="232" t="str">
        <f t="shared" si="2020"/>
        <v/>
      </c>
      <c r="BG894" s="232" t="str">
        <f t="shared" si="2021"/>
        <v/>
      </c>
      <c r="BH894" s="232" t="str">
        <f t="shared" si="2045"/>
        <v/>
      </c>
      <c r="BI894" s="371"/>
      <c r="BJ894" s="495"/>
      <c r="BK894" s="496"/>
      <c r="BL894" s="482" t="str">
        <f t="shared" si="2022"/>
        <v/>
      </c>
      <c r="BM894" s="371"/>
      <c r="BN894" s="232" t="str">
        <f t="shared" si="2023"/>
        <v/>
      </c>
      <c r="BO894" s="232" t="str">
        <f t="shared" si="2024"/>
        <v/>
      </c>
      <c r="BP894" s="232" t="str">
        <f t="shared" si="2025"/>
        <v/>
      </c>
      <c r="BQ894" s="232" t="str">
        <f t="shared" si="2046"/>
        <v/>
      </c>
      <c r="BR894" s="371"/>
      <c r="BS894" s="495"/>
      <c r="BT894" s="496"/>
      <c r="BU894" s="482" t="str">
        <f t="shared" si="2026"/>
        <v/>
      </c>
      <c r="BV894" s="371"/>
      <c r="BW894" s="232" t="str">
        <f t="shared" si="2027"/>
        <v/>
      </c>
      <c r="BX894" s="232" t="str">
        <f t="shared" si="2028"/>
        <v/>
      </c>
      <c r="BY894" s="232" t="str">
        <f t="shared" si="2029"/>
        <v/>
      </c>
      <c r="BZ894" s="232" t="str">
        <f t="shared" si="2047"/>
        <v/>
      </c>
      <c r="CA894" s="371"/>
      <c r="CB894" s="501" t="str">
        <f t="shared" si="2030"/>
        <v/>
      </c>
      <c r="CC894" s="502" t="str">
        <f t="shared" si="2031"/>
        <v/>
      </c>
      <c r="CD894" s="503" t="str">
        <f t="shared" si="2032"/>
        <v/>
      </c>
      <c r="CE894" s="371"/>
      <c r="CF894" s="232" t="str">
        <f t="shared" si="2033"/>
        <v/>
      </c>
      <c r="CG894" s="232" t="str">
        <f t="shared" si="2034"/>
        <v/>
      </c>
      <c r="CH894" s="232" t="str">
        <f t="shared" si="2035"/>
        <v/>
      </c>
      <c r="CI894" s="232" t="str">
        <f t="shared" si="2048"/>
        <v/>
      </c>
      <c r="CJ894" s="232"/>
      <c r="CK894" s="495"/>
      <c r="CL894" s="496"/>
      <c r="CM894" s="482" t="str">
        <f t="shared" si="2036"/>
        <v/>
      </c>
      <c r="CN894" s="371"/>
      <c r="CO894" s="232" t="str">
        <f t="shared" si="2037"/>
        <v/>
      </c>
      <c r="CP894" s="232" t="str">
        <f t="shared" si="2038"/>
        <v/>
      </c>
      <c r="CQ894" s="232" t="str">
        <f t="shared" si="2039"/>
        <v/>
      </c>
      <c r="CR894" s="232" t="str">
        <f t="shared" si="2049"/>
        <v/>
      </c>
      <c r="CS894" s="232"/>
      <c r="CT894" s="371"/>
      <c r="CU894" s="300"/>
      <c r="CV894" s="246"/>
      <c r="CW894" s="264"/>
    </row>
    <row r="895" spans="1:101" x14ac:dyDescent="0.2">
      <c r="A895" s="264"/>
      <c r="B895" s="264"/>
      <c r="C895" s="202"/>
      <c r="D895" s="271">
        <v>8</v>
      </c>
      <c r="E895" s="167"/>
      <c r="F895" s="469"/>
      <c r="G895" s="474" t="s">
        <v>49</v>
      </c>
      <c r="H895" s="475"/>
      <c r="I895" s="389" t="str">
        <f t="shared" si="2000"/>
        <v/>
      </c>
      <c r="J895" s="390" t="str">
        <f t="shared" si="2001"/>
        <v/>
      </c>
      <c r="K895" s="391" t="str">
        <f t="shared" si="2002"/>
        <v/>
      </c>
      <c r="L895" s="299"/>
      <c r="M895" s="375"/>
      <c r="N895" s="379"/>
      <c r="O895" s="236"/>
      <c r="P895" s="236"/>
      <c r="Q895" s="483"/>
      <c r="R895" s="484"/>
      <c r="S895" s="485" t="str">
        <f t="shared" si="2040"/>
        <v/>
      </c>
      <c r="T895" s="371"/>
      <c r="U895" s="232" t="str">
        <f t="shared" si="2003"/>
        <v/>
      </c>
      <c r="V895" s="232" t="str">
        <f t="shared" si="2004"/>
        <v/>
      </c>
      <c r="W895" s="232" t="str">
        <f t="shared" si="2005"/>
        <v/>
      </c>
      <c r="X895" s="232" t="str">
        <f t="shared" si="2041"/>
        <v/>
      </c>
      <c r="Y895" s="371"/>
      <c r="Z895" s="497"/>
      <c r="AA895" s="498"/>
      <c r="AB895" s="485" t="str">
        <f t="shared" si="2006"/>
        <v/>
      </c>
      <c r="AC895" s="371"/>
      <c r="AD895" s="232" t="str">
        <f t="shared" si="2007"/>
        <v/>
      </c>
      <c r="AE895" s="232" t="str">
        <f t="shared" si="2008"/>
        <v/>
      </c>
      <c r="AF895" s="232" t="str">
        <f t="shared" si="2009"/>
        <v/>
      </c>
      <c r="AG895" s="232" t="str">
        <f t="shared" si="2042"/>
        <v/>
      </c>
      <c r="AH895" s="371"/>
      <c r="AI895" s="497"/>
      <c r="AJ895" s="498"/>
      <c r="AK895" s="485" t="str">
        <f t="shared" si="2010"/>
        <v/>
      </c>
      <c r="AL895" s="371"/>
      <c r="AM895" s="232" t="str">
        <f t="shared" si="2011"/>
        <v/>
      </c>
      <c r="AN895" s="232" t="str">
        <f t="shared" si="2012"/>
        <v/>
      </c>
      <c r="AO895" s="232" t="str">
        <f t="shared" si="2013"/>
        <v/>
      </c>
      <c r="AP895" s="232" t="str">
        <f t="shared" si="2043"/>
        <v/>
      </c>
      <c r="AQ895" s="371"/>
      <c r="AR895" s="497"/>
      <c r="AS895" s="498"/>
      <c r="AT895" s="485" t="str">
        <f t="shared" si="2014"/>
        <v/>
      </c>
      <c r="AU895" s="371"/>
      <c r="AV895" s="232" t="str">
        <f t="shared" si="2015"/>
        <v/>
      </c>
      <c r="AW895" s="232" t="str">
        <f t="shared" si="2016"/>
        <v/>
      </c>
      <c r="AX895" s="232" t="str">
        <f t="shared" si="2017"/>
        <v/>
      </c>
      <c r="AY895" s="232" t="str">
        <f t="shared" si="2044"/>
        <v/>
      </c>
      <c r="AZ895" s="371"/>
      <c r="BA895" s="497"/>
      <c r="BB895" s="498"/>
      <c r="BC895" s="485" t="str">
        <f t="shared" si="2018"/>
        <v/>
      </c>
      <c r="BD895" s="371"/>
      <c r="BE895" s="232" t="str">
        <f t="shared" si="2019"/>
        <v/>
      </c>
      <c r="BF895" s="232" t="str">
        <f t="shared" si="2020"/>
        <v/>
      </c>
      <c r="BG895" s="232" t="str">
        <f t="shared" si="2021"/>
        <v/>
      </c>
      <c r="BH895" s="232" t="str">
        <f t="shared" si="2045"/>
        <v/>
      </c>
      <c r="BI895" s="371"/>
      <c r="BJ895" s="497"/>
      <c r="BK895" s="498"/>
      <c r="BL895" s="485" t="str">
        <f t="shared" si="2022"/>
        <v/>
      </c>
      <c r="BM895" s="371"/>
      <c r="BN895" s="232" t="str">
        <f t="shared" si="2023"/>
        <v/>
      </c>
      <c r="BO895" s="232" t="str">
        <f t="shared" si="2024"/>
        <v/>
      </c>
      <c r="BP895" s="232" t="str">
        <f t="shared" si="2025"/>
        <v/>
      </c>
      <c r="BQ895" s="232" t="str">
        <f t="shared" si="2046"/>
        <v/>
      </c>
      <c r="BR895" s="371"/>
      <c r="BS895" s="497"/>
      <c r="BT895" s="498"/>
      <c r="BU895" s="485" t="str">
        <f t="shared" si="2026"/>
        <v/>
      </c>
      <c r="BV895" s="371"/>
      <c r="BW895" s="232" t="str">
        <f t="shared" si="2027"/>
        <v/>
      </c>
      <c r="BX895" s="232" t="str">
        <f t="shared" si="2028"/>
        <v/>
      </c>
      <c r="BY895" s="232" t="str">
        <f t="shared" si="2029"/>
        <v/>
      </c>
      <c r="BZ895" s="232" t="str">
        <f t="shared" si="2047"/>
        <v/>
      </c>
      <c r="CA895" s="371"/>
      <c r="CB895" s="504" t="str">
        <f t="shared" si="2030"/>
        <v/>
      </c>
      <c r="CC895" s="505" t="str">
        <f t="shared" si="2031"/>
        <v/>
      </c>
      <c r="CD895" s="506" t="str">
        <f t="shared" si="2032"/>
        <v/>
      </c>
      <c r="CE895" s="371"/>
      <c r="CF895" s="232" t="str">
        <f t="shared" si="2033"/>
        <v/>
      </c>
      <c r="CG895" s="232" t="str">
        <f t="shared" si="2034"/>
        <v/>
      </c>
      <c r="CH895" s="232" t="str">
        <f t="shared" si="2035"/>
        <v/>
      </c>
      <c r="CI895" s="232" t="str">
        <f t="shared" si="2048"/>
        <v/>
      </c>
      <c r="CJ895" s="232"/>
      <c r="CK895" s="497"/>
      <c r="CL895" s="498"/>
      <c r="CM895" s="485" t="str">
        <f t="shared" si="2036"/>
        <v/>
      </c>
      <c r="CN895" s="371"/>
      <c r="CO895" s="232" t="str">
        <f t="shared" si="2037"/>
        <v/>
      </c>
      <c r="CP895" s="232" t="str">
        <f t="shared" si="2038"/>
        <v/>
      </c>
      <c r="CQ895" s="232" t="str">
        <f t="shared" si="2039"/>
        <v/>
      </c>
      <c r="CR895" s="232" t="str">
        <f t="shared" si="2049"/>
        <v/>
      </c>
      <c r="CS895" s="232"/>
      <c r="CT895" s="371"/>
      <c r="CU895" s="300"/>
      <c r="CV895" s="246"/>
      <c r="CW895" s="264"/>
    </row>
    <row r="896" spans="1:101" ht="13.5" thickBot="1" x14ac:dyDescent="0.25">
      <c r="A896" s="264"/>
      <c r="B896" s="264"/>
      <c r="C896" s="202"/>
      <c r="D896" s="271">
        <v>9</v>
      </c>
      <c r="E896" s="168"/>
      <c r="F896" s="470"/>
      <c r="G896" s="476" t="s">
        <v>49</v>
      </c>
      <c r="H896" s="477"/>
      <c r="I896" s="392" t="str">
        <f t="shared" si="2000"/>
        <v/>
      </c>
      <c r="J896" s="393" t="str">
        <f t="shared" si="2001"/>
        <v/>
      </c>
      <c r="K896" s="394" t="str">
        <f t="shared" si="2002"/>
        <v/>
      </c>
      <c r="L896" s="299"/>
      <c r="M896" s="375"/>
      <c r="N896" s="379"/>
      <c r="O896" s="236"/>
      <c r="P896" s="236"/>
      <c r="Q896" s="489"/>
      <c r="R896" s="490"/>
      <c r="S896" s="491" t="str">
        <f t="shared" si="2040"/>
        <v/>
      </c>
      <c r="T896" s="371"/>
      <c r="U896" s="232" t="str">
        <f t="shared" si="2003"/>
        <v/>
      </c>
      <c r="V896" s="232" t="str">
        <f t="shared" si="2004"/>
        <v/>
      </c>
      <c r="W896" s="232" t="str">
        <f t="shared" si="2005"/>
        <v/>
      </c>
      <c r="X896" s="232" t="str">
        <f t="shared" si="2041"/>
        <v/>
      </c>
      <c r="Y896" s="371"/>
      <c r="Z896" s="499"/>
      <c r="AA896" s="500"/>
      <c r="AB896" s="491" t="str">
        <f t="shared" si="2006"/>
        <v/>
      </c>
      <c r="AC896" s="371"/>
      <c r="AD896" s="232" t="str">
        <f t="shared" si="2007"/>
        <v/>
      </c>
      <c r="AE896" s="232" t="str">
        <f t="shared" si="2008"/>
        <v/>
      </c>
      <c r="AF896" s="232" t="str">
        <f t="shared" si="2009"/>
        <v/>
      </c>
      <c r="AG896" s="232" t="str">
        <f t="shared" si="2042"/>
        <v/>
      </c>
      <c r="AH896" s="371"/>
      <c r="AI896" s="499"/>
      <c r="AJ896" s="500"/>
      <c r="AK896" s="491" t="str">
        <f t="shared" si="2010"/>
        <v/>
      </c>
      <c r="AL896" s="371"/>
      <c r="AM896" s="232" t="str">
        <f t="shared" si="2011"/>
        <v/>
      </c>
      <c r="AN896" s="232" t="str">
        <f t="shared" si="2012"/>
        <v/>
      </c>
      <c r="AO896" s="232" t="str">
        <f t="shared" si="2013"/>
        <v/>
      </c>
      <c r="AP896" s="232" t="str">
        <f t="shared" si="2043"/>
        <v/>
      </c>
      <c r="AQ896" s="371"/>
      <c r="AR896" s="499"/>
      <c r="AS896" s="500"/>
      <c r="AT896" s="491" t="str">
        <f t="shared" si="2014"/>
        <v/>
      </c>
      <c r="AU896" s="371"/>
      <c r="AV896" s="232" t="str">
        <f t="shared" si="2015"/>
        <v/>
      </c>
      <c r="AW896" s="232" t="str">
        <f t="shared" si="2016"/>
        <v/>
      </c>
      <c r="AX896" s="232" t="str">
        <f t="shared" si="2017"/>
        <v/>
      </c>
      <c r="AY896" s="232" t="str">
        <f t="shared" si="2044"/>
        <v/>
      </c>
      <c r="AZ896" s="371"/>
      <c r="BA896" s="499"/>
      <c r="BB896" s="500"/>
      <c r="BC896" s="491" t="str">
        <f t="shared" si="2018"/>
        <v/>
      </c>
      <c r="BD896" s="371"/>
      <c r="BE896" s="232" t="str">
        <f t="shared" si="2019"/>
        <v/>
      </c>
      <c r="BF896" s="232" t="str">
        <f t="shared" si="2020"/>
        <v/>
      </c>
      <c r="BG896" s="232" t="str">
        <f t="shared" si="2021"/>
        <v/>
      </c>
      <c r="BH896" s="232" t="str">
        <f t="shared" si="2045"/>
        <v/>
      </c>
      <c r="BI896" s="371"/>
      <c r="BJ896" s="499"/>
      <c r="BK896" s="500"/>
      <c r="BL896" s="491" t="str">
        <f t="shared" si="2022"/>
        <v/>
      </c>
      <c r="BM896" s="371"/>
      <c r="BN896" s="232" t="str">
        <f t="shared" si="2023"/>
        <v/>
      </c>
      <c r="BO896" s="232" t="str">
        <f t="shared" si="2024"/>
        <v/>
      </c>
      <c r="BP896" s="232" t="str">
        <f t="shared" si="2025"/>
        <v/>
      </c>
      <c r="BQ896" s="232" t="str">
        <f t="shared" si="2046"/>
        <v/>
      </c>
      <c r="BR896" s="371"/>
      <c r="BS896" s="499"/>
      <c r="BT896" s="500"/>
      <c r="BU896" s="491" t="str">
        <f t="shared" si="2026"/>
        <v/>
      </c>
      <c r="BV896" s="371"/>
      <c r="BW896" s="232" t="str">
        <f t="shared" si="2027"/>
        <v/>
      </c>
      <c r="BX896" s="232" t="str">
        <f t="shared" si="2028"/>
        <v/>
      </c>
      <c r="BY896" s="232" t="str">
        <f t="shared" si="2029"/>
        <v/>
      </c>
      <c r="BZ896" s="232" t="str">
        <f t="shared" si="2047"/>
        <v/>
      </c>
      <c r="CA896" s="371"/>
      <c r="CB896" s="507" t="str">
        <f t="shared" si="2030"/>
        <v/>
      </c>
      <c r="CC896" s="508" t="str">
        <f t="shared" si="2031"/>
        <v/>
      </c>
      <c r="CD896" s="509" t="str">
        <f t="shared" si="2032"/>
        <v/>
      </c>
      <c r="CE896" s="371"/>
      <c r="CF896" s="232" t="str">
        <f t="shared" si="2033"/>
        <v/>
      </c>
      <c r="CG896" s="232" t="str">
        <f t="shared" si="2034"/>
        <v/>
      </c>
      <c r="CH896" s="232" t="str">
        <f t="shared" si="2035"/>
        <v/>
      </c>
      <c r="CI896" s="232" t="str">
        <f t="shared" si="2048"/>
        <v/>
      </c>
      <c r="CJ896" s="232"/>
      <c r="CK896" s="499"/>
      <c r="CL896" s="500"/>
      <c r="CM896" s="491" t="str">
        <f t="shared" si="2036"/>
        <v/>
      </c>
      <c r="CN896" s="371"/>
      <c r="CO896" s="232" t="str">
        <f t="shared" si="2037"/>
        <v/>
      </c>
      <c r="CP896" s="232" t="str">
        <f t="shared" si="2038"/>
        <v/>
      </c>
      <c r="CQ896" s="232" t="str">
        <f t="shared" si="2039"/>
        <v/>
      </c>
      <c r="CR896" s="232" t="str">
        <f t="shared" si="2049"/>
        <v/>
      </c>
      <c r="CS896" s="232"/>
      <c r="CT896" s="371"/>
      <c r="CU896" s="300"/>
      <c r="CV896" s="246"/>
      <c r="CW896" s="264"/>
    </row>
    <row r="897" spans="1:101" x14ac:dyDescent="0.2">
      <c r="A897" s="264"/>
      <c r="B897" s="264"/>
      <c r="C897" s="202"/>
      <c r="D897" s="271">
        <v>10</v>
      </c>
      <c r="E897" s="169"/>
      <c r="F897" s="471"/>
      <c r="G897" s="478" t="s">
        <v>49</v>
      </c>
      <c r="H897" s="479"/>
      <c r="I897" s="170" t="str">
        <f t="shared" si="2000"/>
        <v/>
      </c>
      <c r="J897" s="387" t="str">
        <f t="shared" si="2001"/>
        <v/>
      </c>
      <c r="K897" s="388" t="str">
        <f t="shared" si="2002"/>
        <v/>
      </c>
      <c r="L897" s="299"/>
      <c r="M897" s="375"/>
      <c r="N897" s="379"/>
      <c r="O897" s="236"/>
      <c r="P897" s="236"/>
      <c r="Q897" s="492"/>
      <c r="R897" s="493"/>
      <c r="S897" s="494" t="str">
        <f t="shared" si="2040"/>
        <v/>
      </c>
      <c r="T897" s="371"/>
      <c r="U897" s="232" t="str">
        <f t="shared" si="2003"/>
        <v/>
      </c>
      <c r="V897" s="232" t="str">
        <f t="shared" si="2004"/>
        <v/>
      </c>
      <c r="W897" s="232" t="str">
        <f t="shared" si="2005"/>
        <v/>
      </c>
      <c r="X897" s="232" t="str">
        <f t="shared" si="2041"/>
        <v/>
      </c>
      <c r="Y897" s="371"/>
      <c r="Z897" s="495"/>
      <c r="AA897" s="496"/>
      <c r="AB897" s="494" t="str">
        <f t="shared" si="2006"/>
        <v/>
      </c>
      <c r="AC897" s="371"/>
      <c r="AD897" s="232" t="str">
        <f t="shared" si="2007"/>
        <v/>
      </c>
      <c r="AE897" s="232" t="str">
        <f t="shared" si="2008"/>
        <v/>
      </c>
      <c r="AF897" s="232" t="str">
        <f t="shared" si="2009"/>
        <v/>
      </c>
      <c r="AG897" s="232" t="str">
        <f t="shared" si="2042"/>
        <v/>
      </c>
      <c r="AH897" s="371"/>
      <c r="AI897" s="495"/>
      <c r="AJ897" s="496"/>
      <c r="AK897" s="494" t="str">
        <f t="shared" si="2010"/>
        <v/>
      </c>
      <c r="AL897" s="371"/>
      <c r="AM897" s="232" t="str">
        <f t="shared" si="2011"/>
        <v/>
      </c>
      <c r="AN897" s="232" t="str">
        <f t="shared" si="2012"/>
        <v/>
      </c>
      <c r="AO897" s="232" t="str">
        <f t="shared" si="2013"/>
        <v/>
      </c>
      <c r="AP897" s="232" t="str">
        <f t="shared" si="2043"/>
        <v/>
      </c>
      <c r="AQ897" s="371"/>
      <c r="AR897" s="495"/>
      <c r="AS897" s="496"/>
      <c r="AT897" s="494" t="str">
        <f t="shared" si="2014"/>
        <v/>
      </c>
      <c r="AU897" s="371"/>
      <c r="AV897" s="232" t="str">
        <f t="shared" si="2015"/>
        <v/>
      </c>
      <c r="AW897" s="232" t="str">
        <f t="shared" si="2016"/>
        <v/>
      </c>
      <c r="AX897" s="232" t="str">
        <f t="shared" si="2017"/>
        <v/>
      </c>
      <c r="AY897" s="232" t="str">
        <f t="shared" si="2044"/>
        <v/>
      </c>
      <c r="AZ897" s="371"/>
      <c r="BA897" s="495"/>
      <c r="BB897" s="496"/>
      <c r="BC897" s="494" t="str">
        <f t="shared" si="2018"/>
        <v/>
      </c>
      <c r="BD897" s="371"/>
      <c r="BE897" s="232" t="str">
        <f t="shared" si="2019"/>
        <v/>
      </c>
      <c r="BF897" s="232" t="str">
        <f t="shared" si="2020"/>
        <v/>
      </c>
      <c r="BG897" s="232" t="str">
        <f t="shared" si="2021"/>
        <v/>
      </c>
      <c r="BH897" s="232" t="str">
        <f t="shared" si="2045"/>
        <v/>
      </c>
      <c r="BI897" s="371"/>
      <c r="BJ897" s="495"/>
      <c r="BK897" s="496"/>
      <c r="BL897" s="494" t="str">
        <f t="shared" si="2022"/>
        <v/>
      </c>
      <c r="BM897" s="371"/>
      <c r="BN897" s="232" t="str">
        <f t="shared" si="2023"/>
        <v/>
      </c>
      <c r="BO897" s="232" t="str">
        <f t="shared" si="2024"/>
        <v/>
      </c>
      <c r="BP897" s="232" t="str">
        <f t="shared" si="2025"/>
        <v/>
      </c>
      <c r="BQ897" s="232" t="str">
        <f t="shared" si="2046"/>
        <v/>
      </c>
      <c r="BR897" s="371"/>
      <c r="BS897" s="495"/>
      <c r="BT897" s="496"/>
      <c r="BU897" s="494" t="str">
        <f t="shared" si="2026"/>
        <v/>
      </c>
      <c r="BV897" s="371"/>
      <c r="BW897" s="232" t="str">
        <f t="shared" si="2027"/>
        <v/>
      </c>
      <c r="BX897" s="232" t="str">
        <f t="shared" si="2028"/>
        <v/>
      </c>
      <c r="BY897" s="232" t="str">
        <f t="shared" si="2029"/>
        <v/>
      </c>
      <c r="BZ897" s="232" t="str">
        <f t="shared" si="2047"/>
        <v/>
      </c>
      <c r="CA897" s="371"/>
      <c r="CB897" s="501" t="str">
        <f t="shared" si="2030"/>
        <v/>
      </c>
      <c r="CC897" s="502" t="str">
        <f t="shared" si="2031"/>
        <v/>
      </c>
      <c r="CD897" s="503" t="str">
        <f t="shared" si="2032"/>
        <v/>
      </c>
      <c r="CE897" s="371"/>
      <c r="CF897" s="232" t="str">
        <f t="shared" si="2033"/>
        <v/>
      </c>
      <c r="CG897" s="232" t="str">
        <f t="shared" si="2034"/>
        <v/>
      </c>
      <c r="CH897" s="232" t="str">
        <f t="shared" si="2035"/>
        <v/>
      </c>
      <c r="CI897" s="232" t="str">
        <f t="shared" si="2048"/>
        <v/>
      </c>
      <c r="CJ897" s="232"/>
      <c r="CK897" s="495"/>
      <c r="CL897" s="496"/>
      <c r="CM897" s="494" t="str">
        <f t="shared" si="2036"/>
        <v/>
      </c>
      <c r="CN897" s="371"/>
      <c r="CO897" s="232" t="str">
        <f t="shared" si="2037"/>
        <v/>
      </c>
      <c r="CP897" s="232" t="str">
        <f t="shared" si="2038"/>
        <v/>
      </c>
      <c r="CQ897" s="232" t="str">
        <f t="shared" si="2039"/>
        <v/>
      </c>
      <c r="CR897" s="232" t="str">
        <f t="shared" si="2049"/>
        <v/>
      </c>
      <c r="CS897" s="232"/>
      <c r="CT897" s="371"/>
      <c r="CU897" s="300"/>
      <c r="CV897" s="246"/>
      <c r="CW897" s="264"/>
    </row>
    <row r="898" spans="1:101" x14ac:dyDescent="0.2">
      <c r="A898" s="264"/>
      <c r="B898" s="264"/>
      <c r="C898" s="202"/>
      <c r="D898" s="271">
        <v>11</v>
      </c>
      <c r="E898" s="167"/>
      <c r="F898" s="469"/>
      <c r="G898" s="474" t="s">
        <v>49</v>
      </c>
      <c r="H898" s="475"/>
      <c r="I898" s="389" t="str">
        <f t="shared" si="2000"/>
        <v/>
      </c>
      <c r="J898" s="390" t="str">
        <f t="shared" si="2001"/>
        <v/>
      </c>
      <c r="K898" s="391" t="str">
        <f t="shared" si="2002"/>
        <v/>
      </c>
      <c r="L898" s="299"/>
      <c r="M898" s="375"/>
      <c r="N898" s="379"/>
      <c r="O898" s="236"/>
      <c r="P898" s="236"/>
      <c r="Q898" s="483"/>
      <c r="R898" s="484"/>
      <c r="S898" s="485" t="str">
        <f t="shared" si="2040"/>
        <v/>
      </c>
      <c r="T898" s="371"/>
      <c r="U898" s="232" t="str">
        <f t="shared" si="2003"/>
        <v/>
      </c>
      <c r="V898" s="232" t="str">
        <f t="shared" si="2004"/>
        <v/>
      </c>
      <c r="W898" s="232" t="str">
        <f t="shared" si="2005"/>
        <v/>
      </c>
      <c r="X898" s="232" t="str">
        <f t="shared" si="2041"/>
        <v/>
      </c>
      <c r="Y898" s="371"/>
      <c r="Z898" s="497"/>
      <c r="AA898" s="498"/>
      <c r="AB898" s="485" t="str">
        <f t="shared" si="2006"/>
        <v/>
      </c>
      <c r="AC898" s="371"/>
      <c r="AD898" s="232" t="str">
        <f t="shared" si="2007"/>
        <v/>
      </c>
      <c r="AE898" s="232" t="str">
        <f t="shared" si="2008"/>
        <v/>
      </c>
      <c r="AF898" s="232" t="str">
        <f t="shared" si="2009"/>
        <v/>
      </c>
      <c r="AG898" s="232" t="str">
        <f t="shared" si="2042"/>
        <v/>
      </c>
      <c r="AH898" s="371"/>
      <c r="AI898" s="497"/>
      <c r="AJ898" s="498"/>
      <c r="AK898" s="485" t="str">
        <f t="shared" si="2010"/>
        <v/>
      </c>
      <c r="AL898" s="371"/>
      <c r="AM898" s="232" t="str">
        <f t="shared" si="2011"/>
        <v/>
      </c>
      <c r="AN898" s="232" t="str">
        <f t="shared" si="2012"/>
        <v/>
      </c>
      <c r="AO898" s="232" t="str">
        <f t="shared" si="2013"/>
        <v/>
      </c>
      <c r="AP898" s="232" t="str">
        <f t="shared" si="2043"/>
        <v/>
      </c>
      <c r="AQ898" s="371"/>
      <c r="AR898" s="497"/>
      <c r="AS898" s="498"/>
      <c r="AT898" s="485" t="str">
        <f t="shared" si="2014"/>
        <v/>
      </c>
      <c r="AU898" s="371"/>
      <c r="AV898" s="232" t="str">
        <f t="shared" si="2015"/>
        <v/>
      </c>
      <c r="AW898" s="232" t="str">
        <f t="shared" si="2016"/>
        <v/>
      </c>
      <c r="AX898" s="232" t="str">
        <f t="shared" si="2017"/>
        <v/>
      </c>
      <c r="AY898" s="232" t="str">
        <f t="shared" si="2044"/>
        <v/>
      </c>
      <c r="AZ898" s="371"/>
      <c r="BA898" s="497"/>
      <c r="BB898" s="498"/>
      <c r="BC898" s="485" t="str">
        <f t="shared" si="2018"/>
        <v/>
      </c>
      <c r="BD898" s="371"/>
      <c r="BE898" s="232" t="str">
        <f t="shared" si="2019"/>
        <v/>
      </c>
      <c r="BF898" s="232" t="str">
        <f t="shared" si="2020"/>
        <v/>
      </c>
      <c r="BG898" s="232" t="str">
        <f t="shared" si="2021"/>
        <v/>
      </c>
      <c r="BH898" s="232" t="str">
        <f t="shared" si="2045"/>
        <v/>
      </c>
      <c r="BI898" s="371"/>
      <c r="BJ898" s="497"/>
      <c r="BK898" s="498"/>
      <c r="BL898" s="485" t="str">
        <f t="shared" si="2022"/>
        <v/>
      </c>
      <c r="BM898" s="371"/>
      <c r="BN898" s="232" t="str">
        <f t="shared" si="2023"/>
        <v/>
      </c>
      <c r="BO898" s="232" t="str">
        <f t="shared" si="2024"/>
        <v/>
      </c>
      <c r="BP898" s="232" t="str">
        <f t="shared" si="2025"/>
        <v/>
      </c>
      <c r="BQ898" s="232" t="str">
        <f t="shared" si="2046"/>
        <v/>
      </c>
      <c r="BR898" s="371"/>
      <c r="BS898" s="497"/>
      <c r="BT898" s="498"/>
      <c r="BU898" s="485" t="str">
        <f t="shared" si="2026"/>
        <v/>
      </c>
      <c r="BV898" s="371"/>
      <c r="BW898" s="232" t="str">
        <f t="shared" si="2027"/>
        <v/>
      </c>
      <c r="BX898" s="232" t="str">
        <f t="shared" si="2028"/>
        <v/>
      </c>
      <c r="BY898" s="232" t="str">
        <f t="shared" si="2029"/>
        <v/>
      </c>
      <c r="BZ898" s="232" t="str">
        <f t="shared" si="2047"/>
        <v/>
      </c>
      <c r="CA898" s="371"/>
      <c r="CB898" s="504" t="str">
        <f t="shared" si="2030"/>
        <v/>
      </c>
      <c r="CC898" s="505" t="str">
        <f t="shared" si="2031"/>
        <v/>
      </c>
      <c r="CD898" s="506" t="str">
        <f t="shared" si="2032"/>
        <v/>
      </c>
      <c r="CE898" s="371"/>
      <c r="CF898" s="232" t="str">
        <f t="shared" si="2033"/>
        <v/>
      </c>
      <c r="CG898" s="232" t="str">
        <f t="shared" si="2034"/>
        <v/>
      </c>
      <c r="CH898" s="232" t="str">
        <f t="shared" si="2035"/>
        <v/>
      </c>
      <c r="CI898" s="232" t="str">
        <f t="shared" si="2048"/>
        <v/>
      </c>
      <c r="CJ898" s="232"/>
      <c r="CK898" s="497"/>
      <c r="CL898" s="498"/>
      <c r="CM898" s="485" t="str">
        <f t="shared" si="2036"/>
        <v/>
      </c>
      <c r="CN898" s="371"/>
      <c r="CO898" s="232" t="str">
        <f t="shared" si="2037"/>
        <v/>
      </c>
      <c r="CP898" s="232" t="str">
        <f t="shared" si="2038"/>
        <v/>
      </c>
      <c r="CQ898" s="232" t="str">
        <f t="shared" si="2039"/>
        <v/>
      </c>
      <c r="CR898" s="232" t="str">
        <f t="shared" si="2049"/>
        <v/>
      </c>
      <c r="CS898" s="232"/>
      <c r="CT898" s="371"/>
      <c r="CU898" s="300"/>
      <c r="CV898" s="246"/>
      <c r="CW898" s="264"/>
    </row>
    <row r="899" spans="1:101" ht="13.5" thickBot="1" x14ac:dyDescent="0.25">
      <c r="A899" s="264"/>
      <c r="B899" s="264"/>
      <c r="C899" s="202"/>
      <c r="D899" s="271">
        <v>12</v>
      </c>
      <c r="E899" s="168"/>
      <c r="F899" s="470"/>
      <c r="G899" s="476" t="s">
        <v>49</v>
      </c>
      <c r="H899" s="477"/>
      <c r="I899" s="392" t="str">
        <f t="shared" si="2000"/>
        <v/>
      </c>
      <c r="J899" s="393" t="str">
        <f t="shared" si="2001"/>
        <v/>
      </c>
      <c r="K899" s="394" t="str">
        <f t="shared" si="2002"/>
        <v/>
      </c>
      <c r="L899" s="299"/>
      <c r="M899" s="375"/>
      <c r="N899" s="379"/>
      <c r="O899" s="236"/>
      <c r="P899" s="236"/>
      <c r="Q899" s="489"/>
      <c r="R899" s="490"/>
      <c r="S899" s="491" t="str">
        <f t="shared" si="2040"/>
        <v/>
      </c>
      <c r="T899" s="371"/>
      <c r="U899" s="232" t="str">
        <f t="shared" si="2003"/>
        <v/>
      </c>
      <c r="V899" s="232" t="str">
        <f t="shared" si="2004"/>
        <v/>
      </c>
      <c r="W899" s="232" t="str">
        <f t="shared" si="2005"/>
        <v/>
      </c>
      <c r="X899" s="232" t="str">
        <f t="shared" si="2041"/>
        <v/>
      </c>
      <c r="Y899" s="371"/>
      <c r="Z899" s="499"/>
      <c r="AA899" s="500"/>
      <c r="AB899" s="491" t="str">
        <f t="shared" si="2006"/>
        <v/>
      </c>
      <c r="AC899" s="371"/>
      <c r="AD899" s="232" t="str">
        <f t="shared" si="2007"/>
        <v/>
      </c>
      <c r="AE899" s="232" t="str">
        <f t="shared" si="2008"/>
        <v/>
      </c>
      <c r="AF899" s="232" t="str">
        <f t="shared" si="2009"/>
        <v/>
      </c>
      <c r="AG899" s="232" t="str">
        <f t="shared" si="2042"/>
        <v/>
      </c>
      <c r="AH899" s="371"/>
      <c r="AI899" s="499"/>
      <c r="AJ899" s="500"/>
      <c r="AK899" s="491" t="str">
        <f t="shared" si="2010"/>
        <v/>
      </c>
      <c r="AL899" s="371"/>
      <c r="AM899" s="232" t="str">
        <f t="shared" si="2011"/>
        <v/>
      </c>
      <c r="AN899" s="232" t="str">
        <f t="shared" si="2012"/>
        <v/>
      </c>
      <c r="AO899" s="232" t="str">
        <f t="shared" si="2013"/>
        <v/>
      </c>
      <c r="AP899" s="232" t="str">
        <f t="shared" si="2043"/>
        <v/>
      </c>
      <c r="AQ899" s="371"/>
      <c r="AR899" s="499"/>
      <c r="AS899" s="500"/>
      <c r="AT899" s="491" t="str">
        <f t="shared" si="2014"/>
        <v/>
      </c>
      <c r="AU899" s="371"/>
      <c r="AV899" s="232" t="str">
        <f t="shared" si="2015"/>
        <v/>
      </c>
      <c r="AW899" s="232" t="str">
        <f t="shared" si="2016"/>
        <v/>
      </c>
      <c r="AX899" s="232" t="str">
        <f t="shared" si="2017"/>
        <v/>
      </c>
      <c r="AY899" s="232" t="str">
        <f t="shared" si="2044"/>
        <v/>
      </c>
      <c r="AZ899" s="371"/>
      <c r="BA899" s="499"/>
      <c r="BB899" s="500"/>
      <c r="BC899" s="491" t="str">
        <f t="shared" si="2018"/>
        <v/>
      </c>
      <c r="BD899" s="371"/>
      <c r="BE899" s="232" t="str">
        <f t="shared" si="2019"/>
        <v/>
      </c>
      <c r="BF899" s="232" t="str">
        <f t="shared" si="2020"/>
        <v/>
      </c>
      <c r="BG899" s="232" t="str">
        <f t="shared" si="2021"/>
        <v/>
      </c>
      <c r="BH899" s="232" t="str">
        <f t="shared" si="2045"/>
        <v/>
      </c>
      <c r="BI899" s="371"/>
      <c r="BJ899" s="499"/>
      <c r="BK899" s="500"/>
      <c r="BL899" s="491" t="str">
        <f t="shared" si="2022"/>
        <v/>
      </c>
      <c r="BM899" s="371"/>
      <c r="BN899" s="232" t="str">
        <f t="shared" si="2023"/>
        <v/>
      </c>
      <c r="BO899" s="232" t="str">
        <f t="shared" si="2024"/>
        <v/>
      </c>
      <c r="BP899" s="232" t="str">
        <f t="shared" si="2025"/>
        <v/>
      </c>
      <c r="BQ899" s="232" t="str">
        <f t="shared" si="2046"/>
        <v/>
      </c>
      <c r="BR899" s="371"/>
      <c r="BS899" s="499"/>
      <c r="BT899" s="500"/>
      <c r="BU899" s="491" t="str">
        <f t="shared" si="2026"/>
        <v/>
      </c>
      <c r="BV899" s="371"/>
      <c r="BW899" s="232" t="str">
        <f t="shared" si="2027"/>
        <v/>
      </c>
      <c r="BX899" s="232" t="str">
        <f t="shared" si="2028"/>
        <v/>
      </c>
      <c r="BY899" s="232" t="str">
        <f t="shared" si="2029"/>
        <v/>
      </c>
      <c r="BZ899" s="232" t="str">
        <f t="shared" si="2047"/>
        <v/>
      </c>
      <c r="CA899" s="371"/>
      <c r="CB899" s="507" t="str">
        <f t="shared" si="2030"/>
        <v/>
      </c>
      <c r="CC899" s="508" t="str">
        <f t="shared" si="2031"/>
        <v/>
      </c>
      <c r="CD899" s="509" t="str">
        <f t="shared" si="2032"/>
        <v/>
      </c>
      <c r="CE899" s="371"/>
      <c r="CF899" s="232" t="str">
        <f t="shared" si="2033"/>
        <v/>
      </c>
      <c r="CG899" s="232" t="str">
        <f t="shared" si="2034"/>
        <v/>
      </c>
      <c r="CH899" s="232" t="str">
        <f t="shared" si="2035"/>
        <v/>
      </c>
      <c r="CI899" s="232" t="str">
        <f t="shared" si="2048"/>
        <v/>
      </c>
      <c r="CJ899" s="232"/>
      <c r="CK899" s="499"/>
      <c r="CL899" s="500"/>
      <c r="CM899" s="491" t="str">
        <f t="shared" si="2036"/>
        <v/>
      </c>
      <c r="CN899" s="371"/>
      <c r="CO899" s="232" t="str">
        <f t="shared" si="2037"/>
        <v/>
      </c>
      <c r="CP899" s="232" t="str">
        <f t="shared" si="2038"/>
        <v/>
      </c>
      <c r="CQ899" s="232" t="str">
        <f t="shared" si="2039"/>
        <v/>
      </c>
      <c r="CR899" s="232" t="str">
        <f t="shared" si="2049"/>
        <v/>
      </c>
      <c r="CS899" s="232"/>
      <c r="CT899" s="371"/>
      <c r="CU899" s="300"/>
      <c r="CV899" s="246"/>
      <c r="CW899" s="264"/>
    </row>
    <row r="900" spans="1:101" x14ac:dyDescent="0.2">
      <c r="A900" s="264"/>
      <c r="B900" s="264"/>
      <c r="C900" s="202"/>
      <c r="D900" s="272"/>
      <c r="E900" s="235"/>
      <c r="F900" s="395" t="str">
        <f>IF(SUM(F888:F899)=0,"",SUM(F888:F899))</f>
        <v/>
      </c>
      <c r="G900" s="370" t="s">
        <v>49</v>
      </c>
      <c r="H900" s="396" t="str">
        <f>IF(SUM(H888:H899)=0,"",SUM(H888:H899))</f>
        <v/>
      </c>
      <c r="I900" s="397" t="str">
        <f>IF(COUNTIF(I888:I899,"=x")=0,"",COUNTIF(I888:I899,"=x"))</f>
        <v/>
      </c>
      <c r="J900" s="398" t="str">
        <f>IF(COUNTIF(J888:J899,"=x")=0,"",COUNTIF(J888:J899,"=x"))</f>
        <v/>
      </c>
      <c r="K900" s="399" t="str">
        <f>IF(COUNTIF(K888:K899,"=x")=0,"",COUNTIF(K888:K899,"=x"))</f>
        <v/>
      </c>
      <c r="L900" s="299"/>
      <c r="M900" s="375"/>
      <c r="N900" s="379"/>
      <c r="O900" s="236"/>
      <c r="P900" s="369"/>
      <c r="Q900" s="466">
        <f>SUM(U888:U899)</f>
        <v>0</v>
      </c>
      <c r="R900" s="466">
        <f>SUM(V888:V899)</f>
        <v>0</v>
      </c>
      <c r="S900" s="466">
        <f>SUM(W888:W899)</f>
        <v>0</v>
      </c>
      <c r="T900" s="368"/>
      <c r="U900" s="232"/>
      <c r="V900" s="232"/>
      <c r="W900" s="232"/>
      <c r="X900" s="232"/>
      <c r="Y900" s="367"/>
      <c r="Z900" s="466">
        <f>SUM(AD888:AD899)</f>
        <v>0</v>
      </c>
      <c r="AA900" s="466">
        <f>SUM(AE888:AE899)</f>
        <v>0</v>
      </c>
      <c r="AB900" s="466">
        <f>SUM(AF888:AF899)</f>
        <v>0</v>
      </c>
      <c r="AC900" s="368"/>
      <c r="AD900" s="232"/>
      <c r="AE900" s="232"/>
      <c r="AF900" s="232"/>
      <c r="AG900" s="232"/>
      <c r="AH900" s="367"/>
      <c r="AI900" s="466">
        <f>SUM(AM888:AM899)</f>
        <v>0</v>
      </c>
      <c r="AJ900" s="466">
        <f>SUM(AN888:AN899)</f>
        <v>0</v>
      </c>
      <c r="AK900" s="466">
        <f>SUM(AO888:AO899)</f>
        <v>0</v>
      </c>
      <c r="AL900" s="368"/>
      <c r="AM900" s="232"/>
      <c r="AN900" s="232"/>
      <c r="AO900" s="232"/>
      <c r="AP900" s="232"/>
      <c r="AQ900" s="367"/>
      <c r="AR900" s="466">
        <f>SUM(AV888:AV899)</f>
        <v>0</v>
      </c>
      <c r="AS900" s="466">
        <f>SUM(AW888:AW899)</f>
        <v>0</v>
      </c>
      <c r="AT900" s="466">
        <f>SUM(AX888:AX899)</f>
        <v>0</v>
      </c>
      <c r="AU900" s="368"/>
      <c r="AV900" s="232"/>
      <c r="AW900" s="232"/>
      <c r="AX900" s="232"/>
      <c r="AY900" s="232"/>
      <c r="AZ900" s="367"/>
      <c r="BA900" s="466">
        <f>SUM(BE888:BE899)</f>
        <v>0</v>
      </c>
      <c r="BB900" s="466">
        <f>SUM(BF888:BF899)</f>
        <v>0</v>
      </c>
      <c r="BC900" s="466">
        <f>SUM(BG888:BG899)</f>
        <v>0</v>
      </c>
      <c r="BD900" s="368"/>
      <c r="BE900" s="232"/>
      <c r="BF900" s="232"/>
      <c r="BG900" s="232"/>
      <c r="BH900" s="232"/>
      <c r="BI900" s="367"/>
      <c r="BJ900" s="466">
        <f>SUM(BN888:BN899)</f>
        <v>0</v>
      </c>
      <c r="BK900" s="466">
        <f>SUM(BO888:BO899)</f>
        <v>0</v>
      </c>
      <c r="BL900" s="466">
        <f>SUM(BP888:BP899)</f>
        <v>0</v>
      </c>
      <c r="BM900" s="368"/>
      <c r="BN900" s="232"/>
      <c r="BO900" s="232"/>
      <c r="BP900" s="232"/>
      <c r="BQ900" s="232"/>
      <c r="BR900" s="367"/>
      <c r="BS900" s="466">
        <f>SUM(BW888:BW899)</f>
        <v>0</v>
      </c>
      <c r="BT900" s="466">
        <f>SUM(BX888:BX899)</f>
        <v>0</v>
      </c>
      <c r="BU900" s="466">
        <f>SUM(BY888:BY899)</f>
        <v>0</v>
      </c>
      <c r="BV900" s="368"/>
      <c r="BW900" s="232"/>
      <c r="BX900" s="232"/>
      <c r="BY900" s="232"/>
      <c r="BZ900" s="232"/>
      <c r="CA900" s="369"/>
      <c r="CB900" s="466">
        <f>SUM(CF888:CF899)</f>
        <v>0</v>
      </c>
      <c r="CC900" s="466">
        <f>SUM(CG888:CG899)</f>
        <v>0</v>
      </c>
      <c r="CD900" s="466">
        <f>SUM(CH888:CH899)</f>
        <v>0</v>
      </c>
      <c r="CE900" s="368"/>
      <c r="CF900" s="232"/>
      <c r="CG900" s="232"/>
      <c r="CH900" s="232"/>
      <c r="CI900" s="232"/>
      <c r="CJ900" s="232"/>
      <c r="CK900" s="466">
        <f>SUM(CO888:CO899)</f>
        <v>0</v>
      </c>
      <c r="CL900" s="466">
        <f>SUM(CP888:CP899)</f>
        <v>0</v>
      </c>
      <c r="CM900" s="466">
        <f>SUM(CQ888:CQ899)</f>
        <v>0</v>
      </c>
      <c r="CN900" s="368"/>
      <c r="CO900" s="232"/>
      <c r="CP900" s="232"/>
      <c r="CQ900" s="232"/>
      <c r="CR900" s="232"/>
      <c r="CS900" s="232"/>
      <c r="CT900" s="232"/>
      <c r="CU900" s="300"/>
      <c r="CV900" s="246"/>
      <c r="CW900" s="265"/>
    </row>
    <row r="901" spans="1:101" ht="13.5" thickBot="1" x14ac:dyDescent="0.25">
      <c r="A901" s="264"/>
      <c r="B901" s="264"/>
      <c r="C901" s="202"/>
      <c r="D901" s="289"/>
      <c r="E901" s="282"/>
      <c r="F901" s="283"/>
      <c r="G901" s="282"/>
      <c r="H901" s="282"/>
      <c r="I901" s="282"/>
      <c r="J901" s="282"/>
      <c r="K901" s="282"/>
      <c r="L901" s="293"/>
      <c r="M901" s="301"/>
      <c r="N901" s="380"/>
      <c r="O901" s="376"/>
      <c r="P901" s="284"/>
      <c r="Q901" s="285"/>
      <c r="R901" s="285"/>
      <c r="S901" s="285"/>
      <c r="T901" s="286"/>
      <c r="U901" s="287"/>
      <c r="V901" s="287"/>
      <c r="W901" s="287"/>
      <c r="X901" s="287"/>
      <c r="Y901" s="284"/>
      <c r="Z901" s="285"/>
      <c r="AA901" s="285"/>
      <c r="AB901" s="285"/>
      <c r="AC901" s="286"/>
      <c r="AD901" s="287"/>
      <c r="AE901" s="287"/>
      <c r="AF901" s="287"/>
      <c r="AG901" s="288"/>
      <c r="AH901" s="284"/>
      <c r="AI901" s="285"/>
      <c r="AJ901" s="285"/>
      <c r="AK901" s="285"/>
      <c r="AL901" s="286"/>
      <c r="AM901" s="287"/>
      <c r="AN901" s="287"/>
      <c r="AO901" s="287"/>
      <c r="AP901" s="288"/>
      <c r="AQ901" s="284"/>
      <c r="AR901" s="285"/>
      <c r="AS901" s="285"/>
      <c r="AT901" s="285"/>
      <c r="AU901" s="286"/>
      <c r="AV901" s="287"/>
      <c r="AW901" s="287"/>
      <c r="AX901" s="287"/>
      <c r="AY901" s="288"/>
      <c r="AZ901" s="284"/>
      <c r="BA901" s="285"/>
      <c r="BB901" s="285"/>
      <c r="BC901" s="285"/>
      <c r="BD901" s="286"/>
      <c r="BE901" s="287"/>
      <c r="BF901" s="287"/>
      <c r="BG901" s="287"/>
      <c r="BH901" s="288"/>
      <c r="BI901" s="284"/>
      <c r="BJ901" s="284"/>
      <c r="BK901" s="284"/>
      <c r="BL901" s="284"/>
      <c r="BM901" s="284"/>
      <c r="BN901" s="284"/>
      <c r="BO901" s="284"/>
      <c r="BP901" s="284"/>
      <c r="BQ901" s="284"/>
      <c r="BR901" s="284"/>
      <c r="BS901" s="284"/>
      <c r="BT901" s="284"/>
      <c r="BU901" s="284"/>
      <c r="BV901" s="284"/>
      <c r="BW901" s="284"/>
      <c r="BX901" s="284"/>
      <c r="BY901" s="284"/>
      <c r="BZ901" s="284"/>
      <c r="CA901" s="284"/>
      <c r="CB901" s="284"/>
      <c r="CC901" s="284"/>
      <c r="CD901" s="284"/>
      <c r="CE901" s="284"/>
      <c r="CF901" s="284"/>
      <c r="CG901" s="284"/>
      <c r="CH901" s="284"/>
      <c r="CI901" s="284"/>
      <c r="CJ901" s="288"/>
      <c r="CK901" s="288"/>
      <c r="CL901" s="288"/>
      <c r="CM901" s="288"/>
      <c r="CN901" s="288"/>
      <c r="CO901" s="288"/>
      <c r="CP901" s="288"/>
      <c r="CQ901" s="288"/>
      <c r="CR901" s="288"/>
      <c r="CS901" s="288"/>
      <c r="CT901" s="282"/>
      <c r="CU901" s="294"/>
      <c r="CV901" s="246"/>
      <c r="CW901" s="265"/>
    </row>
    <row r="902" spans="1:101" ht="14.25" thickTop="1" thickBot="1" x14ac:dyDescent="0.25">
      <c r="A902" s="256"/>
      <c r="B902" s="256"/>
      <c r="C902" s="210"/>
      <c r="D902" s="211"/>
      <c r="E902" s="247"/>
      <c r="F902" s="248"/>
      <c r="G902" s="247"/>
      <c r="H902" s="247"/>
      <c r="I902" s="247"/>
      <c r="J902" s="247"/>
      <c r="K902" s="247"/>
      <c r="L902" s="249"/>
      <c r="M902" s="250"/>
      <c r="N902" s="250"/>
      <c r="O902" s="250"/>
      <c r="P902" s="250"/>
      <c r="Q902" s="247"/>
      <c r="R902" s="247"/>
      <c r="S902" s="247"/>
      <c r="T902" s="251"/>
      <c r="U902" s="252"/>
      <c r="V902" s="252"/>
      <c r="W902" s="252"/>
      <c r="X902" s="252"/>
      <c r="Y902" s="250"/>
      <c r="Z902" s="247"/>
      <c r="AA902" s="247"/>
      <c r="AB902" s="247"/>
      <c r="AC902" s="251"/>
      <c r="AD902" s="252"/>
      <c r="AE902" s="252"/>
      <c r="AF902" s="252"/>
      <c r="AG902" s="247"/>
      <c r="AH902" s="250"/>
      <c r="AI902" s="247"/>
      <c r="AJ902" s="247"/>
      <c r="AK902" s="247"/>
      <c r="AL902" s="251"/>
      <c r="AM902" s="252"/>
      <c r="AN902" s="252"/>
      <c r="AO902" s="252"/>
      <c r="AP902" s="253"/>
      <c r="AQ902" s="250"/>
      <c r="AR902" s="247"/>
      <c r="AS902" s="247"/>
      <c r="AT902" s="247"/>
      <c r="AU902" s="251"/>
      <c r="AV902" s="252"/>
      <c r="AW902" s="252"/>
      <c r="AX902" s="252"/>
      <c r="AY902" s="247"/>
      <c r="AZ902" s="250"/>
      <c r="BA902" s="247"/>
      <c r="BB902" s="247"/>
      <c r="BC902" s="247"/>
      <c r="BD902" s="251"/>
      <c r="BE902" s="252"/>
      <c r="BF902" s="252"/>
      <c r="BG902" s="252"/>
      <c r="BH902" s="247"/>
      <c r="BI902" s="250"/>
      <c r="BJ902" s="247"/>
      <c r="BK902" s="247"/>
      <c r="BL902" s="247"/>
      <c r="BM902" s="251"/>
      <c r="BN902" s="252"/>
      <c r="BO902" s="252"/>
      <c r="BP902" s="252"/>
      <c r="BQ902" s="247"/>
      <c r="BR902" s="212"/>
      <c r="BS902" s="247"/>
      <c r="BT902" s="247"/>
      <c r="BU902" s="247"/>
      <c r="BV902" s="250"/>
      <c r="BW902" s="252"/>
      <c r="BX902" s="252"/>
      <c r="BY902" s="252"/>
      <c r="BZ902" s="247"/>
      <c r="CA902" s="247"/>
      <c r="CB902" s="253"/>
      <c r="CC902" s="253"/>
      <c r="CD902" s="253"/>
      <c r="CE902" s="253"/>
      <c r="CF902" s="247"/>
      <c r="CG902" s="247"/>
      <c r="CH902" s="247"/>
      <c r="CI902" s="247"/>
      <c r="CJ902" s="247"/>
      <c r="CK902" s="247"/>
      <c r="CL902" s="247"/>
      <c r="CM902" s="247"/>
      <c r="CN902" s="247"/>
      <c r="CO902" s="247"/>
      <c r="CP902" s="247"/>
      <c r="CQ902" s="247"/>
      <c r="CR902" s="247"/>
      <c r="CS902" s="247"/>
      <c r="CT902" s="247"/>
      <c r="CU902" s="247"/>
      <c r="CV902" s="254"/>
      <c r="CW902" s="255"/>
    </row>
    <row r="903" spans="1:101" ht="13.5" thickTop="1" x14ac:dyDescent="0.2">
      <c r="A903" s="255"/>
      <c r="B903" s="255"/>
      <c r="C903" s="255"/>
      <c r="D903" s="255"/>
      <c r="E903" s="255"/>
      <c r="F903" s="255"/>
      <c r="G903" s="255"/>
      <c r="H903" s="255"/>
      <c r="I903" s="255"/>
      <c r="J903" s="255"/>
      <c r="K903" s="255"/>
      <c r="L903" s="255"/>
      <c r="M903" s="255"/>
      <c r="N903" s="255"/>
      <c r="O903" s="255"/>
      <c r="P903" s="255"/>
      <c r="Q903" s="255"/>
      <c r="R903" s="255"/>
      <c r="S903" s="255"/>
      <c r="T903" s="255"/>
      <c r="U903" s="255"/>
      <c r="V903" s="255"/>
      <c r="W903" s="255"/>
      <c r="X903" s="255"/>
      <c r="Y903" s="255"/>
      <c r="Z903" s="255"/>
      <c r="AA903" s="255"/>
      <c r="AB903" s="255"/>
      <c r="AC903" s="255"/>
      <c r="AD903" s="255"/>
      <c r="AE903" s="255"/>
      <c r="AF903" s="255"/>
      <c r="AG903" s="255"/>
      <c r="AH903" s="255"/>
      <c r="AI903" s="255"/>
      <c r="AJ903" s="255"/>
      <c r="AK903" s="255"/>
      <c r="AL903" s="255"/>
      <c r="AM903" s="255"/>
      <c r="AN903" s="255"/>
      <c r="AO903" s="255"/>
      <c r="AP903" s="255"/>
      <c r="AQ903" s="255"/>
      <c r="AR903" s="255"/>
      <c r="AS903" s="255"/>
      <c r="AT903" s="255"/>
      <c r="AU903" s="255"/>
      <c r="AV903" s="255"/>
      <c r="AW903" s="255"/>
      <c r="AX903" s="255"/>
      <c r="AY903" s="255"/>
      <c r="AZ903" s="255"/>
      <c r="BA903" s="255"/>
      <c r="BB903" s="255"/>
      <c r="BC903" s="255"/>
      <c r="BD903" s="255"/>
      <c r="BE903" s="255"/>
      <c r="BF903" s="255"/>
      <c r="BG903" s="255"/>
      <c r="BH903" s="255"/>
      <c r="BI903" s="255"/>
      <c r="BJ903" s="255"/>
      <c r="BK903" s="255"/>
      <c r="BL903" s="255"/>
      <c r="BM903" s="255"/>
      <c r="BN903" s="255"/>
      <c r="BO903" s="255"/>
      <c r="BP903" s="255"/>
      <c r="BQ903" s="255"/>
      <c r="BR903" s="255"/>
      <c r="BS903" s="255"/>
      <c r="BT903" s="255"/>
      <c r="BU903" s="255"/>
      <c r="BV903" s="255"/>
      <c r="BW903" s="255"/>
      <c r="BX903" s="255"/>
      <c r="BY903" s="255"/>
      <c r="BZ903" s="255"/>
      <c r="CA903" s="255"/>
      <c r="CB903" s="436"/>
      <c r="CC903" s="436"/>
      <c r="CD903" s="436"/>
      <c r="CE903" s="436"/>
      <c r="CF903" s="255"/>
      <c r="CG903" s="255"/>
      <c r="CH903" s="255"/>
      <c r="CI903" s="255"/>
      <c r="CJ903" s="255"/>
      <c r="CK903" s="255"/>
      <c r="CL903" s="255"/>
      <c r="CM903" s="255"/>
      <c r="CN903" s="255"/>
      <c r="CO903" s="255"/>
      <c r="CP903" s="255"/>
      <c r="CQ903" s="255"/>
      <c r="CR903" s="255"/>
      <c r="CS903" s="255"/>
      <c r="CT903" s="255"/>
      <c r="CU903" s="255"/>
      <c r="CV903" s="255"/>
      <c r="CW903" s="255"/>
    </row>
  </sheetData>
  <phoneticPr fontId="6" type="noConversion"/>
  <conditionalFormatting sqref="Q8:Q19">
    <cfRule type="expression" dxfId="1783" priority="4636">
      <formula>AND($I8="x",Q8&gt;0)</formula>
    </cfRule>
  </conditionalFormatting>
  <conditionalFormatting sqref="Q30:Q41">
    <cfRule type="expression" dxfId="1782" priority="3853">
      <formula>AND($I30="x",Q30&gt;0)</formula>
    </cfRule>
  </conditionalFormatting>
  <conditionalFormatting sqref="Q52:Q63">
    <cfRule type="expression" dxfId="1781" priority="39">
      <formula>AND($I52="x",Q52&gt;0)</formula>
    </cfRule>
  </conditionalFormatting>
  <conditionalFormatting sqref="Q74:Q85">
    <cfRule type="expression" dxfId="1780" priority="2090">
      <formula>AND($I74="x",Q74&gt;0)</formula>
    </cfRule>
  </conditionalFormatting>
  <conditionalFormatting sqref="Q96:Q107">
    <cfRule type="expression" dxfId="1779" priority="2047">
      <formula>AND($I96="x",Q96&gt;0)</formula>
    </cfRule>
  </conditionalFormatting>
  <conditionalFormatting sqref="Q118:Q129">
    <cfRule type="expression" dxfId="1778" priority="2004">
      <formula>AND($I118="x",Q118&gt;0)</formula>
    </cfRule>
  </conditionalFormatting>
  <conditionalFormatting sqref="Q140:Q151">
    <cfRule type="expression" dxfId="1777" priority="1961">
      <formula>AND($I140="x",Q140&gt;0)</formula>
    </cfRule>
  </conditionalFormatting>
  <conditionalFormatting sqref="Q162:Q173">
    <cfRule type="expression" dxfId="1776" priority="1918">
      <formula>AND($I162="x",Q162&gt;0)</formula>
    </cfRule>
  </conditionalFormatting>
  <conditionalFormatting sqref="Q184:Q195">
    <cfRule type="expression" dxfId="1775" priority="1875">
      <formula>AND($I184="x",Q184&gt;0)</formula>
    </cfRule>
  </conditionalFormatting>
  <conditionalFormatting sqref="Q206:Q217">
    <cfRule type="expression" dxfId="1774" priority="1832">
      <formula>AND($I206="x",Q206&gt;0)</formula>
    </cfRule>
  </conditionalFormatting>
  <conditionalFormatting sqref="Q228:Q239">
    <cfRule type="expression" dxfId="1773" priority="1789">
      <formula>AND($I228="x",Q228&gt;0)</formula>
    </cfRule>
  </conditionalFormatting>
  <conditionalFormatting sqref="Q250:Q261">
    <cfRule type="expression" dxfId="1772" priority="1746">
      <formula>AND($I250="x",Q250&gt;0)</formula>
    </cfRule>
  </conditionalFormatting>
  <conditionalFormatting sqref="Q272:Q283">
    <cfRule type="expression" dxfId="1771" priority="1703">
      <formula>AND($I272="x",Q272&gt;0)</formula>
    </cfRule>
  </conditionalFormatting>
  <conditionalFormatting sqref="Q294:Q305">
    <cfRule type="expression" dxfId="1770" priority="1660">
      <formula>AND($I294="x",Q294&gt;0)</formula>
    </cfRule>
  </conditionalFormatting>
  <conditionalFormatting sqref="Q316:Q327">
    <cfRule type="expression" dxfId="1769" priority="1617">
      <formula>AND($I316="x",Q316&gt;0)</formula>
    </cfRule>
  </conditionalFormatting>
  <conditionalFormatting sqref="Q338:Q349">
    <cfRule type="expression" dxfId="1768" priority="1574">
      <formula>AND($I338="x",Q338&gt;0)</formula>
    </cfRule>
  </conditionalFormatting>
  <conditionalFormatting sqref="Q360:Q371">
    <cfRule type="expression" dxfId="1767" priority="1531">
      <formula>AND($I360="x",Q360&gt;0)</formula>
    </cfRule>
  </conditionalFormatting>
  <conditionalFormatting sqref="Q382:Q393">
    <cfRule type="expression" dxfId="1766" priority="1488">
      <formula>AND($I382="x",Q382&gt;0)</formula>
    </cfRule>
  </conditionalFormatting>
  <conditionalFormatting sqref="Q404:Q415">
    <cfRule type="expression" dxfId="1765" priority="1445">
      <formula>AND($I404="x",Q404&gt;0)</formula>
    </cfRule>
  </conditionalFormatting>
  <conditionalFormatting sqref="Q426:Q437">
    <cfRule type="expression" dxfId="1764" priority="1402">
      <formula>AND($I426="x",Q426&gt;0)</formula>
    </cfRule>
  </conditionalFormatting>
  <conditionalFormatting sqref="Q448:Q459">
    <cfRule type="expression" dxfId="1763" priority="1359">
      <formula>AND($I448="x",Q448&gt;0)</formula>
    </cfRule>
  </conditionalFormatting>
  <conditionalFormatting sqref="Q470:Q481">
    <cfRule type="expression" dxfId="1762" priority="1316">
      <formula>AND($I470="x",Q470&gt;0)</formula>
    </cfRule>
  </conditionalFormatting>
  <conditionalFormatting sqref="Q492:Q503">
    <cfRule type="expression" dxfId="1761" priority="1273">
      <formula>AND($I492="x",Q492&gt;0)</formula>
    </cfRule>
  </conditionalFormatting>
  <conditionalFormatting sqref="Q514:Q525">
    <cfRule type="expression" dxfId="1760" priority="1230">
      <formula>AND($I514="x",Q514&gt;0)</formula>
    </cfRule>
  </conditionalFormatting>
  <conditionalFormatting sqref="Q536:Q547">
    <cfRule type="expression" dxfId="1759" priority="1187">
      <formula>AND($I536="x",Q536&gt;0)</formula>
    </cfRule>
  </conditionalFormatting>
  <conditionalFormatting sqref="Q558:Q569">
    <cfRule type="expression" dxfId="1758" priority="1144">
      <formula>AND($I558="x",Q558&gt;0)</formula>
    </cfRule>
  </conditionalFormatting>
  <conditionalFormatting sqref="Q580:Q591">
    <cfRule type="expression" dxfId="1757" priority="1101">
      <formula>AND($I580="x",Q580&gt;0)</formula>
    </cfRule>
  </conditionalFormatting>
  <conditionalFormatting sqref="Q602:Q613">
    <cfRule type="expression" dxfId="1756" priority="1058">
      <formula>AND($I602="x",Q602&gt;0)</formula>
    </cfRule>
  </conditionalFormatting>
  <conditionalFormatting sqref="Q624:Q635">
    <cfRule type="expression" dxfId="1755" priority="1015">
      <formula>AND($I624="x",Q624&gt;0)</formula>
    </cfRule>
  </conditionalFormatting>
  <conditionalFormatting sqref="Q646:Q657">
    <cfRule type="expression" dxfId="1754" priority="972">
      <formula>AND($I646="x",Q646&gt;0)</formula>
    </cfRule>
  </conditionalFormatting>
  <conditionalFormatting sqref="Q668:Q679">
    <cfRule type="expression" dxfId="1753" priority="929">
      <formula>AND($I668="x",Q668&gt;0)</formula>
    </cfRule>
  </conditionalFormatting>
  <conditionalFormatting sqref="Q690:Q701">
    <cfRule type="expression" dxfId="1752" priority="886">
      <formula>AND($I690="x",Q690&gt;0)</formula>
    </cfRule>
  </conditionalFormatting>
  <conditionalFormatting sqref="Q712:Q723">
    <cfRule type="expression" dxfId="1751" priority="843">
      <formula>AND($I712="x",Q712&gt;0)</formula>
    </cfRule>
  </conditionalFormatting>
  <conditionalFormatting sqref="Q734:Q745">
    <cfRule type="expression" dxfId="1750" priority="800">
      <formula>AND($I734="x",Q734&gt;0)</formula>
    </cfRule>
  </conditionalFormatting>
  <conditionalFormatting sqref="Q756:Q767">
    <cfRule type="expression" dxfId="1749" priority="757">
      <formula>AND($I756="x",Q756&gt;0)</formula>
    </cfRule>
  </conditionalFormatting>
  <conditionalFormatting sqref="Q778:Q789">
    <cfRule type="expression" dxfId="1748" priority="714">
      <formula>AND($I778="x",Q778&gt;0)</formula>
    </cfRule>
  </conditionalFormatting>
  <conditionalFormatting sqref="Q800:Q811">
    <cfRule type="expression" dxfId="1747" priority="671">
      <formula>AND($I800="x",Q800&gt;0)</formula>
    </cfRule>
  </conditionalFormatting>
  <conditionalFormatting sqref="Q822:Q833">
    <cfRule type="expression" dxfId="1746" priority="628">
      <formula>AND($I822="x",Q822&gt;0)</formula>
    </cfRule>
  </conditionalFormatting>
  <conditionalFormatting sqref="Q844:Q855">
    <cfRule type="expression" dxfId="1745" priority="585">
      <formula>AND($I844="x",Q844&gt;0)</formula>
    </cfRule>
  </conditionalFormatting>
  <conditionalFormatting sqref="Q866:Q877">
    <cfRule type="expression" dxfId="1744" priority="542">
      <formula>AND($I866="x",Q866&gt;0)</formula>
    </cfRule>
  </conditionalFormatting>
  <conditionalFormatting sqref="Q888:Q899">
    <cfRule type="expression" dxfId="1743" priority="499">
      <formula>AND($I888="x",Q888&gt;0)</formula>
    </cfRule>
  </conditionalFormatting>
  <conditionalFormatting sqref="Q4:S4 Z4:AB4 AI4:AK4 AR4:AT4 BA4:BC4 BJ4:BL4 BS4:BU4 CB4:CD4 CK4:CM4">
    <cfRule type="top10" dxfId="1742" priority="3918" rank="1"/>
  </conditionalFormatting>
  <conditionalFormatting sqref="Q26:S26 Z26:AB26 AI26:AK26 AR26:AT26 BA26:BC26 BJ26:BL26 BS26:BU26 CB26:CD26 CK26:CM26">
    <cfRule type="top10" dxfId="1741" priority="126" rank="1"/>
  </conditionalFormatting>
  <conditionalFormatting sqref="Q48:S48 Z48:AB48 AI48:AK48 AR48:AT48 BA48:BC48 BJ48:BL48 BS48:BU48 CB48:CD48 CK48:CM48">
    <cfRule type="top10" dxfId="1740" priority="118" rank="1"/>
  </conditionalFormatting>
  <conditionalFormatting sqref="Q70:S70 Z70:AB70 AI70:AK70 AR70:AT70 BA70:BC70 BJ70:BL70 BS70:BU70 CB70:CD70 CK70:CM70">
    <cfRule type="top10" dxfId="1739" priority="110" rank="1"/>
  </conditionalFormatting>
  <conditionalFormatting sqref="Q92:S92 Z92:AB92 AI92:AK92 AR92:AT92 BA92:BC92 BJ92:BL92 BS92:BU92 CB92:CD92 CK92:CM92">
    <cfRule type="top10" dxfId="1738" priority="102" rank="1"/>
  </conditionalFormatting>
  <conditionalFormatting sqref="Q114:S114 Z114:AB114 AI114:AK114 AR114:AT114 BA114:BC114 BJ114:BL114 BS114:BU114 CB114:CD114 CK114:CM114">
    <cfRule type="top10" dxfId="1737" priority="94" rank="1"/>
  </conditionalFormatting>
  <conditionalFormatting sqref="Q136:S136 Z136:AB136 AI136:AK136 AR136:AT136 BA136:BC136 BJ136:BL136 BS136:BU136 CB136:CD136 CK136:CM136">
    <cfRule type="top10" dxfId="1736" priority="86" rank="1"/>
  </conditionalFormatting>
  <conditionalFormatting sqref="Q158:S158 Z158:AB158 AI158:AK158 AR158:AT158 BA158:BC158 BJ158:BL158 BS158:BU158 CB158:CD158 CK158:CM158">
    <cfRule type="top10" dxfId="1735" priority="78" rank="1"/>
  </conditionalFormatting>
  <conditionalFormatting sqref="Q180:S180 Z180:AB180 AI180:AK180 AR180:AT180 BA180:BC180 BJ180:BL180 BS180:BU180 CB180:CD180 CK180:CM180">
    <cfRule type="top10" dxfId="1734" priority="70" rank="1"/>
  </conditionalFormatting>
  <conditionalFormatting sqref="Q202:S202 Z202:AB202 AI202:AK202 AR202:AT202 BA202:BC202 BJ202:BL202 BS202:BU202 CB202:CD202 CK202:CM202">
    <cfRule type="top10" dxfId="1733" priority="62" rank="1"/>
  </conditionalFormatting>
  <conditionalFormatting sqref="Q224:S224 Z224:AB224 AI224:AK224 AR224:AT224 BA224:BC224 BJ224:BL224 BS224:BU224 CB224:CD224 CK224:CM224">
    <cfRule type="top10" dxfId="1732" priority="54" rank="1"/>
  </conditionalFormatting>
  <conditionalFormatting sqref="Q246:S246 Z246:AB246 AI246:AK246 AR246:AT246 BA246:BC246 BJ246:BL246 BS246:BU246 CB246:CD246 CK246:CM246">
    <cfRule type="top10" dxfId="1731" priority="46" rank="1"/>
  </conditionalFormatting>
  <conditionalFormatting sqref="Q268:S268 Z268:AB268 AI268:AK268 AR268:AT268 BA268:BC268 BJ268:BL268 BS268:BU268 CB268:CD268 CK268:CM268">
    <cfRule type="top10" dxfId="1730" priority="358" rank="1"/>
  </conditionalFormatting>
  <conditionalFormatting sqref="Q290:S290 Z290:AB290 AI290:AK290 AR290:AT290 BA290:BC290 BJ290:BL290 BS290:BU290 CB290:CD290 CK290:CM290">
    <cfRule type="top10" dxfId="1729" priority="350" rank="1"/>
  </conditionalFormatting>
  <conditionalFormatting sqref="Q312:S312 Z312:AB312 AI312:AK312 AR312:AT312 BA312:BC312 BJ312:BL312 BS312:BU312 CB312:CD312 CK312:CM312">
    <cfRule type="top10" dxfId="1728" priority="342" rank="1"/>
  </conditionalFormatting>
  <conditionalFormatting sqref="Q334:S334 Z334:AB334 AI334:AK334 AR334:AT334 BA334:BC334 BJ334:BL334 BS334:BU334 CB334:CD334 CK334:CM334">
    <cfRule type="top10" dxfId="1727" priority="334" rank="1"/>
  </conditionalFormatting>
  <conditionalFormatting sqref="Q356:S356 Z356:AB356 AI356:AK356 AR356:AT356 BA356:BC356 BJ356:BL356 BS356:BU356 CB356:CD356 CK356:CM356">
    <cfRule type="top10" dxfId="1726" priority="326" rank="1"/>
  </conditionalFormatting>
  <conditionalFormatting sqref="Q378:S378 Z378:AB378 AI378:AK378 AR378:AT378 BA378:BC378 BJ378:BL378 BS378:BU378 CB378:CD378 CK378:CM378">
    <cfRule type="top10" dxfId="1725" priority="318" rank="1"/>
  </conditionalFormatting>
  <conditionalFormatting sqref="Q400:S400 Z400:AB400 AI400:AK400 AR400:AT400 BA400:BC400 BJ400:BL400 BS400:BU400 CB400:CD400 CK400:CM400">
    <cfRule type="top10" dxfId="1724" priority="310" rank="1"/>
  </conditionalFormatting>
  <conditionalFormatting sqref="Q422:S422 Z422:AB422 AI422:AK422 AR422:AT422 BA422:BC422 BJ422:BL422 BS422:BU422 CB422:CD422 CK422:CM422">
    <cfRule type="top10" dxfId="1723" priority="302" rank="1"/>
  </conditionalFormatting>
  <conditionalFormatting sqref="Q444:S444 Z444:AB444 AI444:AK444 AR444:AT444 BA444:BC444 BJ444:BL444 BS444:BU444 CB444:CD444 CK444:CM444">
    <cfRule type="top10" dxfId="1722" priority="294" rank="1"/>
  </conditionalFormatting>
  <conditionalFormatting sqref="Q466:S466 Z466:AB466 AI466:AK466 AR466:AT466 BA466:BC466 BJ466:BL466 BS466:BU466 CB466:CD466 CK466:CM466">
    <cfRule type="top10" dxfId="1721" priority="286" rank="1"/>
  </conditionalFormatting>
  <conditionalFormatting sqref="Q488:S488 Z488:AB488 AI488:AK488 AR488:AT488 BA488:BC488 BJ488:BL488 BS488:BU488 CB488:CD488 CK488:CM488">
    <cfRule type="top10" dxfId="1720" priority="278" rank="1"/>
  </conditionalFormatting>
  <conditionalFormatting sqref="Q510:S510 Z510:AB510 AI510:AK510 AR510:AT510 BA510:BC510 BJ510:BL510 BS510:BU510 CB510:CD510 CK510:CM510">
    <cfRule type="top10" dxfId="1719" priority="270" rank="1"/>
  </conditionalFormatting>
  <conditionalFormatting sqref="Q532:S532 Z532:AB532 AI532:AK532 AR532:AT532 BA532:BC532 BJ532:BL532 BS532:BU532 CB532:CD532 CK532:CM532">
    <cfRule type="top10" dxfId="1718" priority="262" rank="1"/>
  </conditionalFormatting>
  <conditionalFormatting sqref="Q554:S554 Z554:AB554 AI554:AK554 AR554:AT554 BA554:BC554 BJ554:BL554 BS554:BU554 CB554:CD554 CK554:CM554">
    <cfRule type="top10" dxfId="1717" priority="254" rank="1"/>
  </conditionalFormatting>
  <conditionalFormatting sqref="Q576:S576 Z576:AB576 AI576:AK576 AR576:AT576 BA576:BC576 BJ576:BL576 BS576:BU576 CB576:CD576 CK576:CM576">
    <cfRule type="top10" dxfId="1716" priority="246" rank="1"/>
  </conditionalFormatting>
  <conditionalFormatting sqref="Q598:S598 Z598:AB598 AI598:AK598 AR598:AT598 BA598:BC598 BJ598:BL598 BS598:BU598 CB598:CD598 CK598:CM598">
    <cfRule type="top10" dxfId="1715" priority="238" rank="1"/>
  </conditionalFormatting>
  <conditionalFormatting sqref="Q620:S620 Z620:AB620 AI620:AK620 AR620:AT620 BA620:BC620 BJ620:BL620 BS620:BU620 CB620:CD620 CK620:CM620">
    <cfRule type="top10" dxfId="1714" priority="230" rank="1"/>
  </conditionalFormatting>
  <conditionalFormatting sqref="Q642:S642 Z642:AB642 AI642:AK642 AR642:AT642 BA642:BC642 BJ642:BL642 BS642:BU642 CB642:CD642 CK642:CM642">
    <cfRule type="top10" dxfId="1713" priority="222" rank="1"/>
  </conditionalFormatting>
  <conditionalFormatting sqref="Q664:S664 Z664:AB664 AI664:AK664 AR664:AT664 BA664:BC664 BJ664:BL664 BS664:BU664 CB664:CD664 CK664:CM664">
    <cfRule type="top10" dxfId="1712" priority="214" rank="1"/>
  </conditionalFormatting>
  <conditionalFormatting sqref="Q686:S686 Z686:AB686 AI686:AK686 AR686:AT686 BA686:BC686 BJ686:BL686 BS686:BU686 CB686:CD686 CK686:CM686">
    <cfRule type="top10" dxfId="1711" priority="206" rank="1"/>
  </conditionalFormatting>
  <conditionalFormatting sqref="Q708:S708 Z708:AB708 AI708:AK708 AR708:AT708 BA708:BC708 BJ708:BL708 BS708:BU708 CB708:CD708 CK708:CM708">
    <cfRule type="top10" dxfId="1710" priority="198" rank="1"/>
  </conditionalFormatting>
  <conditionalFormatting sqref="Q730:S730 Z730:AB730 AI730:AK730 AR730:AT730 BA730:BC730 BJ730:BL730 BS730:BU730 CB730:CD730 CK730:CM730">
    <cfRule type="top10" dxfId="1709" priority="190" rank="1"/>
  </conditionalFormatting>
  <conditionalFormatting sqref="Q752:S752 Z752:AB752 AI752:AK752 AR752:AT752 BA752:BC752 BJ752:BL752 BS752:BU752 CB752:CD752 CK752:CM752">
    <cfRule type="top10" dxfId="1708" priority="182" rank="1"/>
  </conditionalFormatting>
  <conditionalFormatting sqref="Q774:S774 Z774:AB774 AI774:AK774 AR774:AT774 BA774:BC774 BJ774:BL774 BS774:BU774 CB774:CD774 CK774:CM774">
    <cfRule type="top10" dxfId="1707" priority="174" rank="1"/>
  </conditionalFormatting>
  <conditionalFormatting sqref="Q796:S796 Z796:AB796 AI796:AK796 AR796:AT796 BA796:BC796 BJ796:BL796 BS796:BU796 CB796:CD796 CK796:CM796">
    <cfRule type="top10" dxfId="1706" priority="166" rank="1"/>
  </conditionalFormatting>
  <conditionalFormatting sqref="Q818:S818 Z818:AB818 AI818:AK818 AR818:AT818 BA818:BC818 BJ818:BL818 BS818:BU818 CB818:CD818 CK818:CM818">
    <cfRule type="top10" dxfId="1705" priority="158" rank="1"/>
  </conditionalFormatting>
  <conditionalFormatting sqref="Q840:S840 Z840:AB840 AI840:AK840 AR840:AT840 BA840:BC840 BJ840:BL840 BS840:BU840 CB840:CD840 CK840:CM840">
    <cfRule type="top10" dxfId="1704" priority="150" rank="1"/>
  </conditionalFormatting>
  <conditionalFormatting sqref="Q862:S862 Z862:AB862 AI862:AK862 AR862:AT862 BA862:BC862 BJ862:BL862 BS862:BU862 CB862:CD862 CK862:CM862">
    <cfRule type="top10" dxfId="1703" priority="142" rank="1"/>
  </conditionalFormatting>
  <conditionalFormatting sqref="Q884:S884 Z884:AB884 AI884:AK884 AR884:AT884 BA884:BC884 BJ884:BL884 BS884:BU884 CB884:CD884 CK884:CM884">
    <cfRule type="top10" dxfId="1702" priority="134" rank="1"/>
  </conditionalFormatting>
  <conditionalFormatting sqref="R8:R19">
    <cfRule type="expression" dxfId="1701" priority="4635">
      <formula>AND($J8="x",R8&gt;0)</formula>
    </cfRule>
  </conditionalFormatting>
  <conditionalFormatting sqref="R30:R41">
    <cfRule type="expression" dxfId="1700" priority="3852">
      <formula>AND($J30="x",R30&gt;0)</formula>
    </cfRule>
  </conditionalFormatting>
  <conditionalFormatting sqref="R52:R63">
    <cfRule type="expression" dxfId="1699" priority="38">
      <formula>AND($J52="x",R52&gt;0)</formula>
    </cfRule>
  </conditionalFormatting>
  <conditionalFormatting sqref="R74:R85">
    <cfRule type="expression" dxfId="1698" priority="2089">
      <formula>AND($J74="x",R74&gt;0)</formula>
    </cfRule>
  </conditionalFormatting>
  <conditionalFormatting sqref="R96:R107">
    <cfRule type="expression" dxfId="1697" priority="2046">
      <formula>AND($J96="x",R96&gt;0)</formula>
    </cfRule>
  </conditionalFormatting>
  <conditionalFormatting sqref="R118:R129">
    <cfRule type="expression" dxfId="1696" priority="2003">
      <formula>AND($J118="x",R118&gt;0)</formula>
    </cfRule>
  </conditionalFormatting>
  <conditionalFormatting sqref="R140:R151">
    <cfRule type="expression" dxfId="1695" priority="1960">
      <formula>AND($J140="x",R140&gt;0)</formula>
    </cfRule>
  </conditionalFormatting>
  <conditionalFormatting sqref="R162:R173">
    <cfRule type="expression" dxfId="1694" priority="1917">
      <formula>AND($J162="x",R162&gt;0)</formula>
    </cfRule>
  </conditionalFormatting>
  <conditionalFormatting sqref="R184:R195">
    <cfRule type="expression" dxfId="1693" priority="1874">
      <formula>AND($J184="x",R184&gt;0)</formula>
    </cfRule>
  </conditionalFormatting>
  <conditionalFormatting sqref="R206:R217">
    <cfRule type="expression" dxfId="1692" priority="1831">
      <formula>AND($J206="x",R206&gt;0)</formula>
    </cfRule>
  </conditionalFormatting>
  <conditionalFormatting sqref="R228:R239">
    <cfRule type="expression" dxfId="1691" priority="1788">
      <formula>AND($J228="x",R228&gt;0)</formula>
    </cfRule>
  </conditionalFormatting>
  <conditionalFormatting sqref="R250:R261">
    <cfRule type="expression" dxfId="1690" priority="1745">
      <formula>AND($J250="x",R250&gt;0)</formula>
    </cfRule>
  </conditionalFormatting>
  <conditionalFormatting sqref="R272:R283">
    <cfRule type="expression" dxfId="1689" priority="1702">
      <formula>AND($J272="x",R272&gt;0)</formula>
    </cfRule>
  </conditionalFormatting>
  <conditionalFormatting sqref="R294:R305">
    <cfRule type="expression" dxfId="1688" priority="1659">
      <formula>AND($J294="x",R294&gt;0)</formula>
    </cfRule>
  </conditionalFormatting>
  <conditionalFormatting sqref="R316:R327">
    <cfRule type="expression" dxfId="1687" priority="1616">
      <formula>AND($J316="x",R316&gt;0)</formula>
    </cfRule>
  </conditionalFormatting>
  <conditionalFormatting sqref="R338:R349">
    <cfRule type="expression" dxfId="1686" priority="1573">
      <formula>AND($J338="x",R338&gt;0)</formula>
    </cfRule>
  </conditionalFormatting>
  <conditionalFormatting sqref="R360:R371">
    <cfRule type="expression" dxfId="1685" priority="1530">
      <formula>AND($J360="x",R360&gt;0)</formula>
    </cfRule>
  </conditionalFormatting>
  <conditionalFormatting sqref="R382:R393">
    <cfRule type="expression" dxfId="1684" priority="1487">
      <formula>AND($J382="x",R382&gt;0)</formula>
    </cfRule>
  </conditionalFormatting>
  <conditionalFormatting sqref="R404:R415">
    <cfRule type="expression" dxfId="1683" priority="1444">
      <formula>AND($J404="x",R404&gt;0)</formula>
    </cfRule>
  </conditionalFormatting>
  <conditionalFormatting sqref="R426:R437">
    <cfRule type="expression" dxfId="1682" priority="1401">
      <formula>AND($J426="x",R426&gt;0)</formula>
    </cfRule>
  </conditionalFormatting>
  <conditionalFormatting sqref="R448:R459">
    <cfRule type="expression" dxfId="1681" priority="1358">
      <formula>AND($J448="x",R448&gt;0)</formula>
    </cfRule>
  </conditionalFormatting>
  <conditionalFormatting sqref="R470:R481">
    <cfRule type="expression" dxfId="1680" priority="1315">
      <formula>AND($J470="x",R470&gt;0)</formula>
    </cfRule>
  </conditionalFormatting>
  <conditionalFormatting sqref="R492:R503">
    <cfRule type="expression" dxfId="1679" priority="1272">
      <formula>AND($J492="x",R492&gt;0)</formula>
    </cfRule>
  </conditionalFormatting>
  <conditionalFormatting sqref="R514:R525">
    <cfRule type="expression" dxfId="1678" priority="1229">
      <formula>AND($J514="x",R514&gt;0)</formula>
    </cfRule>
  </conditionalFormatting>
  <conditionalFormatting sqref="R536:R547">
    <cfRule type="expression" dxfId="1677" priority="1186">
      <formula>AND($J536="x",R536&gt;0)</formula>
    </cfRule>
  </conditionalFormatting>
  <conditionalFormatting sqref="R558:R569">
    <cfRule type="expression" dxfId="1676" priority="1143">
      <formula>AND($J558="x",R558&gt;0)</formula>
    </cfRule>
  </conditionalFormatting>
  <conditionalFormatting sqref="R580:R591">
    <cfRule type="expression" dxfId="1675" priority="1100">
      <formula>AND($J580="x",R580&gt;0)</formula>
    </cfRule>
  </conditionalFormatting>
  <conditionalFormatting sqref="R602:R613">
    <cfRule type="expression" dxfId="1674" priority="1057">
      <formula>AND($J602="x",R602&gt;0)</formula>
    </cfRule>
  </conditionalFormatting>
  <conditionalFormatting sqref="R624:R635">
    <cfRule type="expression" dxfId="1673" priority="1014">
      <formula>AND($J624="x",R624&gt;0)</formula>
    </cfRule>
  </conditionalFormatting>
  <conditionalFormatting sqref="R646:R657">
    <cfRule type="expression" dxfId="1672" priority="971">
      <formula>AND($J646="x",R646&gt;0)</formula>
    </cfRule>
  </conditionalFormatting>
  <conditionalFormatting sqref="R668:R679">
    <cfRule type="expression" dxfId="1671" priority="928">
      <formula>AND($J668="x",R668&gt;0)</formula>
    </cfRule>
  </conditionalFormatting>
  <conditionalFormatting sqref="R690:R701">
    <cfRule type="expression" dxfId="1670" priority="885">
      <formula>AND($J690="x",R690&gt;0)</formula>
    </cfRule>
  </conditionalFormatting>
  <conditionalFormatting sqref="R712:R723">
    <cfRule type="expression" dxfId="1669" priority="842">
      <formula>AND($J712="x",R712&gt;0)</formula>
    </cfRule>
  </conditionalFormatting>
  <conditionalFormatting sqref="R734:R745">
    <cfRule type="expression" dxfId="1668" priority="799">
      <formula>AND($J734="x",R734&gt;0)</formula>
    </cfRule>
  </conditionalFormatting>
  <conditionalFormatting sqref="R756:R767">
    <cfRule type="expression" dxfId="1667" priority="756">
      <formula>AND($J756="x",R756&gt;0)</formula>
    </cfRule>
  </conditionalFormatting>
  <conditionalFormatting sqref="R778:R789">
    <cfRule type="expression" dxfId="1666" priority="713">
      <formula>AND($J778="x",R778&gt;0)</formula>
    </cfRule>
  </conditionalFormatting>
  <conditionalFormatting sqref="R800:R811">
    <cfRule type="expression" dxfId="1665" priority="670">
      <formula>AND($J800="x",R800&gt;0)</formula>
    </cfRule>
  </conditionalFormatting>
  <conditionalFormatting sqref="R822:R833">
    <cfRule type="expression" dxfId="1664" priority="627">
      <formula>AND($J822="x",R822&gt;0)</formula>
    </cfRule>
  </conditionalFormatting>
  <conditionalFormatting sqref="R844:R855">
    <cfRule type="expression" dxfId="1663" priority="584">
      <formula>AND($J844="x",R844&gt;0)</formula>
    </cfRule>
  </conditionalFormatting>
  <conditionalFormatting sqref="R866:R877">
    <cfRule type="expression" dxfId="1662" priority="541">
      <formula>AND($J866="x",R866&gt;0)</formula>
    </cfRule>
  </conditionalFormatting>
  <conditionalFormatting sqref="R888:R899">
    <cfRule type="expression" dxfId="1661" priority="498">
      <formula>AND($J888="x",R888&gt;0)</formula>
    </cfRule>
  </conditionalFormatting>
  <conditionalFormatting sqref="S6">
    <cfRule type="expression" dxfId="1660" priority="4643">
      <formula>S6&gt;0</formula>
    </cfRule>
  </conditionalFormatting>
  <conditionalFormatting sqref="S8:S19">
    <cfRule type="expression" dxfId="1659" priority="4616">
      <formula>OR(S8&gt;80,S8&lt;10)</formula>
    </cfRule>
    <cfRule type="expression" dxfId="1658" priority="4634">
      <formula>AND($K8="x",S8&gt;0)</formula>
    </cfRule>
  </conditionalFormatting>
  <conditionalFormatting sqref="S28">
    <cfRule type="expression" dxfId="1657" priority="133">
      <formula>S28&gt;0</formula>
    </cfRule>
  </conditionalFormatting>
  <conditionalFormatting sqref="S30:S41">
    <cfRule type="expression" dxfId="1656" priority="3833">
      <formula>OR(S30&gt;80,S30&lt;10)</formula>
    </cfRule>
    <cfRule type="expression" dxfId="1655" priority="3851">
      <formula>AND($K30="x",S30&gt;0)</formula>
    </cfRule>
  </conditionalFormatting>
  <conditionalFormatting sqref="S50">
    <cfRule type="expression" dxfId="1654" priority="125">
      <formula>S50&gt;0</formula>
    </cfRule>
  </conditionalFormatting>
  <conditionalFormatting sqref="S52:S63">
    <cfRule type="expression" dxfId="1653" priority="37">
      <formula>AND($K52="x",S52&gt;0)</formula>
    </cfRule>
    <cfRule type="expression" dxfId="1652" priority="21">
      <formula>OR(S52&gt;80,S52&lt;10)</formula>
    </cfRule>
  </conditionalFormatting>
  <conditionalFormatting sqref="S72">
    <cfRule type="expression" dxfId="1651" priority="117">
      <formula>S72&gt;0</formula>
    </cfRule>
  </conditionalFormatting>
  <conditionalFormatting sqref="S74:S85">
    <cfRule type="expression" dxfId="1650" priority="2070">
      <formula>OR(S74&gt;80,S74&lt;10)</formula>
    </cfRule>
    <cfRule type="expression" dxfId="1649" priority="2088">
      <formula>AND($K74="x",S74&gt;0)</formula>
    </cfRule>
  </conditionalFormatting>
  <conditionalFormatting sqref="S94">
    <cfRule type="expression" dxfId="1648" priority="109">
      <formula>S94&gt;0</formula>
    </cfRule>
  </conditionalFormatting>
  <conditionalFormatting sqref="S96:S107">
    <cfRule type="expression" dxfId="1647" priority="2027">
      <formula>OR(S96&gt;80,S96&lt;10)</formula>
    </cfRule>
    <cfRule type="expression" dxfId="1646" priority="2045">
      <formula>AND($K96="x",S96&gt;0)</formula>
    </cfRule>
  </conditionalFormatting>
  <conditionalFormatting sqref="S116">
    <cfRule type="expression" dxfId="1645" priority="101">
      <formula>S116&gt;0</formula>
    </cfRule>
  </conditionalFormatting>
  <conditionalFormatting sqref="S118:S129">
    <cfRule type="expression" dxfId="1644" priority="2002">
      <formula>AND($K118="x",S118&gt;0)</formula>
    </cfRule>
    <cfRule type="expression" dxfId="1643" priority="1984">
      <formula>OR(S118&gt;80,S118&lt;10)</formula>
    </cfRule>
  </conditionalFormatting>
  <conditionalFormatting sqref="S138">
    <cfRule type="expression" dxfId="1642" priority="93">
      <formula>S138&gt;0</formula>
    </cfRule>
  </conditionalFormatting>
  <conditionalFormatting sqref="S140:S151">
    <cfRule type="expression" dxfId="1641" priority="1941">
      <formula>OR(S140&gt;80,S140&lt;10)</formula>
    </cfRule>
    <cfRule type="expression" dxfId="1640" priority="1959">
      <formula>AND($K140="x",S140&gt;0)</formula>
    </cfRule>
  </conditionalFormatting>
  <conditionalFormatting sqref="S160">
    <cfRule type="expression" dxfId="1639" priority="85">
      <formula>S160&gt;0</formula>
    </cfRule>
  </conditionalFormatting>
  <conditionalFormatting sqref="S162:S173">
    <cfRule type="expression" dxfId="1638" priority="1916">
      <formula>AND($K162="x",S162&gt;0)</formula>
    </cfRule>
    <cfRule type="expression" dxfId="1637" priority="1898">
      <formula>OR(S162&gt;80,S162&lt;10)</formula>
    </cfRule>
  </conditionalFormatting>
  <conditionalFormatting sqref="S182">
    <cfRule type="expression" dxfId="1636" priority="77">
      <formula>S182&gt;0</formula>
    </cfRule>
  </conditionalFormatting>
  <conditionalFormatting sqref="S184:S195">
    <cfRule type="expression" dxfId="1635" priority="1873">
      <formula>AND($K184="x",S184&gt;0)</formula>
    </cfRule>
    <cfRule type="expression" dxfId="1634" priority="1855">
      <formula>OR(S184&gt;80,S184&lt;10)</formula>
    </cfRule>
  </conditionalFormatting>
  <conditionalFormatting sqref="S204">
    <cfRule type="expression" dxfId="1633" priority="69">
      <formula>S204&gt;0</formula>
    </cfRule>
  </conditionalFormatting>
  <conditionalFormatting sqref="S206:S217">
    <cfRule type="expression" dxfId="1632" priority="1830">
      <formula>AND($K206="x",S206&gt;0)</formula>
    </cfRule>
    <cfRule type="expression" dxfId="1631" priority="1812">
      <formula>OR(S206&gt;80,S206&lt;10)</formula>
    </cfRule>
  </conditionalFormatting>
  <conditionalFormatting sqref="S226">
    <cfRule type="expression" dxfId="1630" priority="61">
      <formula>S226&gt;0</formula>
    </cfRule>
  </conditionalFormatting>
  <conditionalFormatting sqref="S228:S239">
    <cfRule type="expression" dxfId="1629" priority="1769">
      <formula>OR(S228&gt;80,S228&lt;10)</formula>
    </cfRule>
    <cfRule type="expression" dxfId="1628" priority="1787">
      <formula>AND($K228="x",S228&gt;0)</formula>
    </cfRule>
  </conditionalFormatting>
  <conditionalFormatting sqref="S248">
    <cfRule type="expression" dxfId="1627" priority="53">
      <formula>S248&gt;0</formula>
    </cfRule>
  </conditionalFormatting>
  <conditionalFormatting sqref="S250:S261">
    <cfRule type="expression" dxfId="1626" priority="1726">
      <formula>OR(S250&gt;80,S250&lt;10)</formula>
    </cfRule>
    <cfRule type="expression" dxfId="1625" priority="1744">
      <formula>AND($K250="x",S250&gt;0)</formula>
    </cfRule>
  </conditionalFormatting>
  <conditionalFormatting sqref="S270">
    <cfRule type="expression" dxfId="1624" priority="365">
      <formula>S270&gt;0</formula>
    </cfRule>
  </conditionalFormatting>
  <conditionalFormatting sqref="S272:S283">
    <cfRule type="expression" dxfId="1623" priority="1683">
      <formula>OR(S272&gt;80,S272&lt;10)</formula>
    </cfRule>
    <cfRule type="expression" dxfId="1622" priority="1701">
      <formula>AND($K272="x",S272&gt;0)</formula>
    </cfRule>
  </conditionalFormatting>
  <conditionalFormatting sqref="S292">
    <cfRule type="expression" dxfId="1621" priority="357">
      <formula>S292&gt;0</formula>
    </cfRule>
  </conditionalFormatting>
  <conditionalFormatting sqref="S294:S305">
    <cfRule type="expression" dxfId="1620" priority="1658">
      <formula>AND($K294="x",S294&gt;0)</formula>
    </cfRule>
    <cfRule type="expression" dxfId="1619" priority="1640">
      <formula>OR(S294&gt;80,S294&lt;10)</formula>
    </cfRule>
  </conditionalFormatting>
  <conditionalFormatting sqref="S314">
    <cfRule type="expression" dxfId="1618" priority="349">
      <formula>S314&gt;0</formula>
    </cfRule>
  </conditionalFormatting>
  <conditionalFormatting sqref="S316:S327">
    <cfRule type="expression" dxfId="1617" priority="1615">
      <formula>AND($K316="x",S316&gt;0)</formula>
    </cfRule>
    <cfRule type="expression" dxfId="1616" priority="1597">
      <formula>OR(S316&gt;80,S316&lt;10)</formula>
    </cfRule>
  </conditionalFormatting>
  <conditionalFormatting sqref="S336">
    <cfRule type="expression" dxfId="1615" priority="341">
      <formula>S336&gt;0</formula>
    </cfRule>
  </conditionalFormatting>
  <conditionalFormatting sqref="S338:S349">
    <cfRule type="expression" dxfId="1614" priority="1572">
      <formula>AND($K338="x",S338&gt;0)</formula>
    </cfRule>
    <cfRule type="expression" dxfId="1613" priority="1554">
      <formula>OR(S338&gt;80,S338&lt;10)</formula>
    </cfRule>
  </conditionalFormatting>
  <conditionalFormatting sqref="S358">
    <cfRule type="expression" dxfId="1612" priority="333">
      <formula>S358&gt;0</formula>
    </cfRule>
  </conditionalFormatting>
  <conditionalFormatting sqref="S360:S371">
    <cfRule type="expression" dxfId="1611" priority="1529">
      <formula>AND($K360="x",S360&gt;0)</formula>
    </cfRule>
    <cfRule type="expression" dxfId="1610" priority="1511">
      <formula>OR(S360&gt;80,S360&lt;10)</formula>
    </cfRule>
  </conditionalFormatting>
  <conditionalFormatting sqref="S380">
    <cfRule type="expression" dxfId="1609" priority="325">
      <formula>S380&gt;0</formula>
    </cfRule>
  </conditionalFormatting>
  <conditionalFormatting sqref="S382:S393">
    <cfRule type="expression" dxfId="1608" priority="1486">
      <formula>AND($K382="x",S382&gt;0)</formula>
    </cfRule>
    <cfRule type="expression" dxfId="1607" priority="1468">
      <formula>OR(S382&gt;80,S382&lt;10)</formula>
    </cfRule>
  </conditionalFormatting>
  <conditionalFormatting sqref="S402">
    <cfRule type="expression" dxfId="1606" priority="317">
      <formula>S402&gt;0</formula>
    </cfRule>
  </conditionalFormatting>
  <conditionalFormatting sqref="S404:S415">
    <cfRule type="expression" dxfId="1605" priority="1443">
      <formula>AND($K404="x",S404&gt;0)</formula>
    </cfRule>
    <cfRule type="expression" dxfId="1604" priority="1425">
      <formula>OR(S404&gt;80,S404&lt;10)</formula>
    </cfRule>
  </conditionalFormatting>
  <conditionalFormatting sqref="S424">
    <cfRule type="expression" dxfId="1603" priority="309">
      <formula>S424&gt;0</formula>
    </cfRule>
  </conditionalFormatting>
  <conditionalFormatting sqref="S426:S437">
    <cfRule type="expression" dxfId="1602" priority="1382">
      <formula>OR(S426&gt;80,S426&lt;10)</formula>
    </cfRule>
    <cfRule type="expression" dxfId="1601" priority="1400">
      <formula>AND($K426="x",S426&gt;0)</formula>
    </cfRule>
  </conditionalFormatting>
  <conditionalFormatting sqref="S446">
    <cfRule type="expression" dxfId="1600" priority="301">
      <formula>S446&gt;0</formula>
    </cfRule>
  </conditionalFormatting>
  <conditionalFormatting sqref="S448:S459">
    <cfRule type="expression" dxfId="1599" priority="1357">
      <formula>AND($K448="x",S448&gt;0)</formula>
    </cfRule>
    <cfRule type="expression" dxfId="1598" priority="1339">
      <formula>OR(S448&gt;80,S448&lt;10)</formula>
    </cfRule>
  </conditionalFormatting>
  <conditionalFormatting sqref="S468">
    <cfRule type="expression" dxfId="1597" priority="293">
      <formula>S468&gt;0</formula>
    </cfRule>
  </conditionalFormatting>
  <conditionalFormatting sqref="S470:S481">
    <cfRule type="expression" dxfId="1596" priority="1314">
      <formula>AND($K470="x",S470&gt;0)</formula>
    </cfRule>
    <cfRule type="expression" dxfId="1595" priority="1296">
      <formula>OR(S470&gt;80,S470&lt;10)</formula>
    </cfRule>
  </conditionalFormatting>
  <conditionalFormatting sqref="S490">
    <cfRule type="expression" dxfId="1594" priority="285">
      <formula>S490&gt;0</formula>
    </cfRule>
  </conditionalFormatting>
  <conditionalFormatting sqref="S492:S503">
    <cfRule type="expression" dxfId="1593" priority="1271">
      <formula>AND($K492="x",S492&gt;0)</formula>
    </cfRule>
    <cfRule type="expression" dxfId="1592" priority="1253">
      <formula>OR(S492&gt;80,S492&lt;10)</formula>
    </cfRule>
  </conditionalFormatting>
  <conditionalFormatting sqref="S512">
    <cfRule type="expression" dxfId="1591" priority="277">
      <formula>S512&gt;0</formula>
    </cfRule>
  </conditionalFormatting>
  <conditionalFormatting sqref="S514:S525">
    <cfRule type="expression" dxfId="1590" priority="1210">
      <formula>OR(S514&gt;80,S514&lt;10)</formula>
    </cfRule>
    <cfRule type="expression" dxfId="1589" priority="1228">
      <formula>AND($K514="x",S514&gt;0)</formula>
    </cfRule>
  </conditionalFormatting>
  <conditionalFormatting sqref="S534">
    <cfRule type="expression" dxfId="1588" priority="269">
      <formula>S534&gt;0</formula>
    </cfRule>
  </conditionalFormatting>
  <conditionalFormatting sqref="S536:S547">
    <cfRule type="expression" dxfId="1587" priority="1167">
      <formula>OR(S536&gt;80,S536&lt;10)</formula>
    </cfRule>
    <cfRule type="expression" dxfId="1586" priority="1185">
      <formula>AND($K536="x",S536&gt;0)</formula>
    </cfRule>
  </conditionalFormatting>
  <conditionalFormatting sqref="S556">
    <cfRule type="expression" dxfId="1585" priority="261">
      <formula>S556&gt;0</formula>
    </cfRule>
  </conditionalFormatting>
  <conditionalFormatting sqref="S558:S569">
    <cfRule type="expression" dxfId="1584" priority="1124">
      <formula>OR(S558&gt;80,S558&lt;10)</formula>
    </cfRule>
    <cfRule type="expression" dxfId="1583" priority="1142">
      <formula>AND($K558="x",S558&gt;0)</formula>
    </cfRule>
  </conditionalFormatting>
  <conditionalFormatting sqref="S578">
    <cfRule type="expression" dxfId="1582" priority="253">
      <formula>S578&gt;0</formula>
    </cfRule>
  </conditionalFormatting>
  <conditionalFormatting sqref="S580:S591">
    <cfRule type="expression" dxfId="1581" priority="1081">
      <formula>OR(S580&gt;80,S580&lt;10)</formula>
    </cfRule>
    <cfRule type="expression" dxfId="1580" priority="1099">
      <formula>AND($K580="x",S580&gt;0)</formula>
    </cfRule>
  </conditionalFormatting>
  <conditionalFormatting sqref="S600">
    <cfRule type="expression" dxfId="1579" priority="245">
      <formula>S600&gt;0</formula>
    </cfRule>
  </conditionalFormatting>
  <conditionalFormatting sqref="S602:S613">
    <cfRule type="expression" dxfId="1578" priority="1056">
      <formula>AND($K602="x",S602&gt;0)</formula>
    </cfRule>
    <cfRule type="expression" dxfId="1577" priority="1038">
      <formula>OR(S602&gt;80,S602&lt;10)</formula>
    </cfRule>
  </conditionalFormatting>
  <conditionalFormatting sqref="S622">
    <cfRule type="expression" dxfId="1576" priority="237">
      <formula>S622&gt;0</formula>
    </cfRule>
  </conditionalFormatting>
  <conditionalFormatting sqref="S624:S635">
    <cfRule type="expression" dxfId="1575" priority="995">
      <formula>OR(S624&gt;80,S624&lt;10)</formula>
    </cfRule>
    <cfRule type="expression" dxfId="1574" priority="1013">
      <formula>AND($K624="x",S624&gt;0)</formula>
    </cfRule>
  </conditionalFormatting>
  <conditionalFormatting sqref="S644">
    <cfRule type="expression" dxfId="1573" priority="229">
      <formula>S644&gt;0</formula>
    </cfRule>
  </conditionalFormatting>
  <conditionalFormatting sqref="S646:S657">
    <cfRule type="expression" dxfId="1572" priority="952">
      <formula>OR(S646&gt;80,S646&lt;10)</formula>
    </cfRule>
    <cfRule type="expression" dxfId="1571" priority="970">
      <formula>AND($K646="x",S646&gt;0)</formula>
    </cfRule>
  </conditionalFormatting>
  <conditionalFormatting sqref="S666">
    <cfRule type="expression" dxfId="1570" priority="221">
      <formula>S666&gt;0</formula>
    </cfRule>
  </conditionalFormatting>
  <conditionalFormatting sqref="S668:S679">
    <cfRule type="expression" dxfId="1569" priority="909">
      <formula>OR(S668&gt;80,S668&lt;10)</formula>
    </cfRule>
    <cfRule type="expression" dxfId="1568" priority="927">
      <formula>AND($K668="x",S668&gt;0)</formula>
    </cfRule>
  </conditionalFormatting>
  <conditionalFormatting sqref="S688">
    <cfRule type="expression" dxfId="1567" priority="213">
      <formula>S688&gt;0</formula>
    </cfRule>
  </conditionalFormatting>
  <conditionalFormatting sqref="S690:S701">
    <cfRule type="expression" dxfId="1566" priority="866">
      <formula>OR(S690&gt;80,S690&lt;10)</formula>
    </cfRule>
    <cfRule type="expression" dxfId="1565" priority="884">
      <formula>AND($K690="x",S690&gt;0)</formula>
    </cfRule>
  </conditionalFormatting>
  <conditionalFormatting sqref="S710">
    <cfRule type="expression" dxfId="1564" priority="205">
      <formula>S710&gt;0</formula>
    </cfRule>
  </conditionalFormatting>
  <conditionalFormatting sqref="S712:S723">
    <cfRule type="expression" dxfId="1563" priority="823">
      <formula>OR(S712&gt;80,S712&lt;10)</formula>
    </cfRule>
    <cfRule type="expression" dxfId="1562" priority="841">
      <formula>AND($K712="x",S712&gt;0)</formula>
    </cfRule>
  </conditionalFormatting>
  <conditionalFormatting sqref="S732">
    <cfRule type="expression" dxfId="1561" priority="197">
      <formula>S732&gt;0</formula>
    </cfRule>
  </conditionalFormatting>
  <conditionalFormatting sqref="S734:S745">
    <cfRule type="expression" dxfId="1560" priority="780">
      <formula>OR(S734&gt;80,S734&lt;10)</formula>
    </cfRule>
    <cfRule type="expression" dxfId="1559" priority="798">
      <formula>AND($K734="x",S734&gt;0)</formula>
    </cfRule>
  </conditionalFormatting>
  <conditionalFormatting sqref="S754">
    <cfRule type="expression" dxfId="1558" priority="189">
      <formula>S754&gt;0</formula>
    </cfRule>
  </conditionalFormatting>
  <conditionalFormatting sqref="S756:S767">
    <cfRule type="expression" dxfId="1557" priority="737">
      <formula>OR(S756&gt;80,S756&lt;10)</formula>
    </cfRule>
    <cfRule type="expression" dxfId="1556" priority="755">
      <formula>AND($K756="x",S756&gt;0)</formula>
    </cfRule>
  </conditionalFormatting>
  <conditionalFormatting sqref="S776">
    <cfRule type="expression" dxfId="1555" priority="181">
      <formula>S776&gt;0</formula>
    </cfRule>
  </conditionalFormatting>
  <conditionalFormatting sqref="S778:S789">
    <cfRule type="expression" dxfId="1554" priority="694">
      <formula>OR(S778&gt;80,S778&lt;10)</formula>
    </cfRule>
    <cfRule type="expression" dxfId="1553" priority="712">
      <formula>AND($K778="x",S778&gt;0)</formula>
    </cfRule>
  </conditionalFormatting>
  <conditionalFormatting sqref="S798">
    <cfRule type="expression" dxfId="1552" priority="173">
      <formula>S798&gt;0</formula>
    </cfRule>
  </conditionalFormatting>
  <conditionalFormatting sqref="S800:S811">
    <cfRule type="expression" dxfId="1551" priority="651">
      <formula>OR(S800&gt;80,S800&lt;10)</formula>
    </cfRule>
    <cfRule type="expression" dxfId="1550" priority="669">
      <formula>AND($K800="x",S800&gt;0)</formula>
    </cfRule>
  </conditionalFormatting>
  <conditionalFormatting sqref="S820">
    <cfRule type="expression" dxfId="1549" priority="165">
      <formula>S820&gt;0</formula>
    </cfRule>
  </conditionalFormatting>
  <conditionalFormatting sqref="S822:S833">
    <cfRule type="expression" dxfId="1548" priority="626">
      <formula>AND($K822="x",S822&gt;0)</formula>
    </cfRule>
    <cfRule type="expression" dxfId="1547" priority="608">
      <formula>OR(S822&gt;80,S822&lt;10)</formula>
    </cfRule>
  </conditionalFormatting>
  <conditionalFormatting sqref="S842">
    <cfRule type="expression" dxfId="1546" priority="157">
      <formula>S842&gt;0</formula>
    </cfRule>
  </conditionalFormatting>
  <conditionalFormatting sqref="S844:S855">
    <cfRule type="expression" dxfId="1545" priority="565">
      <formula>OR(S844&gt;80,S844&lt;10)</formula>
    </cfRule>
    <cfRule type="expression" dxfId="1544" priority="583">
      <formula>AND($K844="x",S844&gt;0)</formula>
    </cfRule>
  </conditionalFormatting>
  <conditionalFormatting sqref="S864">
    <cfRule type="expression" dxfId="1543" priority="149">
      <formula>S864&gt;0</formula>
    </cfRule>
  </conditionalFormatting>
  <conditionalFormatting sqref="S866:S877">
    <cfRule type="expression" dxfId="1542" priority="540">
      <formula>AND($K866="x",S866&gt;0)</formula>
    </cfRule>
    <cfRule type="expression" dxfId="1541" priority="522">
      <formula>OR(S866&gt;80,S866&lt;10)</formula>
    </cfRule>
  </conditionalFormatting>
  <conditionalFormatting sqref="S886">
    <cfRule type="expression" dxfId="1540" priority="141">
      <formula>S886&gt;0</formula>
    </cfRule>
  </conditionalFormatting>
  <conditionalFormatting sqref="S888:S899">
    <cfRule type="expression" dxfId="1539" priority="479">
      <formula>OR(S888&gt;80,S888&lt;10)</formula>
    </cfRule>
    <cfRule type="expression" dxfId="1538" priority="497">
      <formula>AND($K888="x",S888&gt;0)</formula>
    </cfRule>
  </conditionalFormatting>
  <conditionalFormatting sqref="Z8:Z19">
    <cfRule type="expression" dxfId="1537" priority="4631">
      <formula>AND($I8="x",Z8&gt;0)</formula>
    </cfRule>
  </conditionalFormatting>
  <conditionalFormatting sqref="Z30:Z41">
    <cfRule type="expression" dxfId="1536" priority="3848">
      <formula>AND($I30="x",Z30&gt;0)</formula>
    </cfRule>
  </conditionalFormatting>
  <conditionalFormatting sqref="Z52:Z63">
    <cfRule type="expression" dxfId="1535" priority="34">
      <formula>AND($I52="x",Z52&gt;0)</formula>
    </cfRule>
  </conditionalFormatting>
  <conditionalFormatting sqref="Z74:Z85">
    <cfRule type="expression" dxfId="1534" priority="2085">
      <formula>AND($I74="x",Z74&gt;0)</formula>
    </cfRule>
  </conditionalFormatting>
  <conditionalFormatting sqref="Z96:Z107">
    <cfRule type="expression" dxfId="1533" priority="2042">
      <formula>AND($I96="x",Z96&gt;0)</formula>
    </cfRule>
  </conditionalFormatting>
  <conditionalFormatting sqref="Z118:Z129">
    <cfRule type="expression" dxfId="1532" priority="1999">
      <formula>AND($I118="x",Z118&gt;0)</formula>
    </cfRule>
  </conditionalFormatting>
  <conditionalFormatting sqref="Z140:Z151">
    <cfRule type="expression" dxfId="1531" priority="1956">
      <formula>AND($I140="x",Z140&gt;0)</formula>
    </cfRule>
  </conditionalFormatting>
  <conditionalFormatting sqref="Z162:Z173">
    <cfRule type="expression" dxfId="1530" priority="1913">
      <formula>AND($I162="x",Z162&gt;0)</formula>
    </cfRule>
  </conditionalFormatting>
  <conditionalFormatting sqref="Z184:Z195">
    <cfRule type="expression" dxfId="1529" priority="1870">
      <formula>AND($I184="x",Z184&gt;0)</formula>
    </cfRule>
  </conditionalFormatting>
  <conditionalFormatting sqref="Z206:Z217">
    <cfRule type="expression" dxfId="1528" priority="1827">
      <formula>AND($I206="x",Z206&gt;0)</formula>
    </cfRule>
  </conditionalFormatting>
  <conditionalFormatting sqref="Z228:Z239">
    <cfRule type="expression" dxfId="1527" priority="1784">
      <formula>AND($I228="x",Z228&gt;0)</formula>
    </cfRule>
  </conditionalFormatting>
  <conditionalFormatting sqref="Z250:Z261">
    <cfRule type="expression" dxfId="1526" priority="1741">
      <formula>AND($I250="x",Z250&gt;0)</formula>
    </cfRule>
  </conditionalFormatting>
  <conditionalFormatting sqref="Z272:Z283">
    <cfRule type="expression" dxfId="1525" priority="1698">
      <formula>AND($I272="x",Z272&gt;0)</formula>
    </cfRule>
  </conditionalFormatting>
  <conditionalFormatting sqref="Z294:Z305">
    <cfRule type="expression" dxfId="1524" priority="1655">
      <formula>AND($I294="x",Z294&gt;0)</formula>
    </cfRule>
  </conditionalFormatting>
  <conditionalFormatting sqref="Z316:Z327">
    <cfRule type="expression" dxfId="1523" priority="1612">
      <formula>AND($I316="x",Z316&gt;0)</formula>
    </cfRule>
  </conditionalFormatting>
  <conditionalFormatting sqref="Z338:Z349">
    <cfRule type="expression" dxfId="1522" priority="1569">
      <formula>AND($I338="x",Z338&gt;0)</formula>
    </cfRule>
  </conditionalFormatting>
  <conditionalFormatting sqref="Z360:Z371">
    <cfRule type="expression" dxfId="1521" priority="1526">
      <formula>AND($I360="x",Z360&gt;0)</formula>
    </cfRule>
  </conditionalFormatting>
  <conditionalFormatting sqref="Z382:Z393">
    <cfRule type="expression" dxfId="1520" priority="1483">
      <formula>AND($I382="x",Z382&gt;0)</formula>
    </cfRule>
  </conditionalFormatting>
  <conditionalFormatting sqref="Z404:Z415">
    <cfRule type="expression" dxfId="1519" priority="1440">
      <formula>AND($I404="x",Z404&gt;0)</formula>
    </cfRule>
  </conditionalFormatting>
  <conditionalFormatting sqref="Z426:Z437">
    <cfRule type="expression" dxfId="1518" priority="1397">
      <formula>AND($I426="x",Z426&gt;0)</formula>
    </cfRule>
  </conditionalFormatting>
  <conditionalFormatting sqref="Z448:Z459">
    <cfRule type="expression" dxfId="1517" priority="1354">
      <formula>AND($I448="x",Z448&gt;0)</formula>
    </cfRule>
  </conditionalFormatting>
  <conditionalFormatting sqref="Z470:Z481">
    <cfRule type="expression" dxfId="1516" priority="1311">
      <formula>AND($I470="x",Z470&gt;0)</formula>
    </cfRule>
  </conditionalFormatting>
  <conditionalFormatting sqref="Z492:Z503">
    <cfRule type="expression" dxfId="1515" priority="1268">
      <formula>AND($I492="x",Z492&gt;0)</formula>
    </cfRule>
  </conditionalFormatting>
  <conditionalFormatting sqref="Z514:Z525">
    <cfRule type="expression" dxfId="1514" priority="1225">
      <formula>AND($I514="x",Z514&gt;0)</formula>
    </cfRule>
  </conditionalFormatting>
  <conditionalFormatting sqref="Z536:Z547">
    <cfRule type="expression" dxfId="1513" priority="1182">
      <formula>AND($I536="x",Z536&gt;0)</formula>
    </cfRule>
  </conditionalFormatting>
  <conditionalFormatting sqref="Z558:Z569">
    <cfRule type="expression" dxfId="1512" priority="1139">
      <formula>AND($I558="x",Z558&gt;0)</formula>
    </cfRule>
  </conditionalFormatting>
  <conditionalFormatting sqref="Z580:Z591">
    <cfRule type="expression" dxfId="1511" priority="1096">
      <formula>AND($I580="x",Z580&gt;0)</formula>
    </cfRule>
  </conditionalFormatting>
  <conditionalFormatting sqref="Z602:Z613">
    <cfRule type="expression" dxfId="1510" priority="1053">
      <formula>AND($I602="x",Z602&gt;0)</formula>
    </cfRule>
  </conditionalFormatting>
  <conditionalFormatting sqref="Z624:Z635">
    <cfRule type="expression" dxfId="1509" priority="1010">
      <formula>AND($I624="x",Z624&gt;0)</formula>
    </cfRule>
  </conditionalFormatting>
  <conditionalFormatting sqref="Z646:Z657">
    <cfRule type="expression" dxfId="1508" priority="967">
      <formula>AND($I646="x",Z646&gt;0)</formula>
    </cfRule>
  </conditionalFormatting>
  <conditionalFormatting sqref="Z668:Z679">
    <cfRule type="expression" dxfId="1507" priority="924">
      <formula>AND($I668="x",Z668&gt;0)</formula>
    </cfRule>
  </conditionalFormatting>
  <conditionalFormatting sqref="Z690:Z701">
    <cfRule type="expression" dxfId="1506" priority="881">
      <formula>AND($I690="x",Z690&gt;0)</formula>
    </cfRule>
  </conditionalFormatting>
  <conditionalFormatting sqref="Z712:Z723">
    <cfRule type="expression" dxfId="1505" priority="838">
      <formula>AND($I712="x",Z712&gt;0)</formula>
    </cfRule>
  </conditionalFormatting>
  <conditionalFormatting sqref="Z734:Z745">
    <cfRule type="expression" dxfId="1504" priority="795">
      <formula>AND($I734="x",Z734&gt;0)</formula>
    </cfRule>
  </conditionalFormatting>
  <conditionalFormatting sqref="Z756:Z767">
    <cfRule type="expression" dxfId="1503" priority="752">
      <formula>AND($I756="x",Z756&gt;0)</formula>
    </cfRule>
  </conditionalFormatting>
  <conditionalFormatting sqref="Z778:Z789">
    <cfRule type="expression" dxfId="1502" priority="709">
      <formula>AND($I778="x",Z778&gt;0)</formula>
    </cfRule>
  </conditionalFormatting>
  <conditionalFormatting sqref="Z800:Z811">
    <cfRule type="expression" dxfId="1501" priority="666">
      <formula>AND($I800="x",Z800&gt;0)</formula>
    </cfRule>
  </conditionalFormatting>
  <conditionalFormatting sqref="Z822:Z833">
    <cfRule type="expression" dxfId="1500" priority="623">
      <formula>AND($I822="x",Z822&gt;0)</formula>
    </cfRule>
  </conditionalFormatting>
  <conditionalFormatting sqref="Z844:Z855">
    <cfRule type="expression" dxfId="1499" priority="580">
      <formula>AND($I844="x",Z844&gt;0)</formula>
    </cfRule>
  </conditionalFormatting>
  <conditionalFormatting sqref="Z866:Z877">
    <cfRule type="expression" dxfId="1498" priority="537">
      <formula>AND($I866="x",Z866&gt;0)</formula>
    </cfRule>
  </conditionalFormatting>
  <conditionalFormatting sqref="Z888:Z899">
    <cfRule type="expression" dxfId="1497" priority="494">
      <formula>AND($I888="x",Z888&gt;0)</formula>
    </cfRule>
  </conditionalFormatting>
  <conditionalFormatting sqref="AA8:AA19">
    <cfRule type="expression" dxfId="1496" priority="4630">
      <formula>AND($J8="x",AA8&gt;0)</formula>
    </cfRule>
  </conditionalFormatting>
  <conditionalFormatting sqref="AA30:AA41">
    <cfRule type="expression" dxfId="1495" priority="3847">
      <formula>AND($J30="x",AA30&gt;0)</formula>
    </cfRule>
  </conditionalFormatting>
  <conditionalFormatting sqref="AA52:AA63">
    <cfRule type="expression" dxfId="1494" priority="33">
      <formula>AND($J52="x",AA52&gt;0)</formula>
    </cfRule>
  </conditionalFormatting>
  <conditionalFormatting sqref="AA74:AA85">
    <cfRule type="expression" dxfId="1493" priority="2084">
      <formula>AND($J74="x",AA74&gt;0)</formula>
    </cfRule>
  </conditionalFormatting>
  <conditionalFormatting sqref="AA96:AA107">
    <cfRule type="expression" dxfId="1492" priority="2041">
      <formula>AND($J96="x",AA96&gt;0)</formula>
    </cfRule>
  </conditionalFormatting>
  <conditionalFormatting sqref="AA118:AA129">
    <cfRule type="expression" dxfId="1491" priority="1998">
      <formula>AND($J118="x",AA118&gt;0)</formula>
    </cfRule>
  </conditionalFormatting>
  <conditionalFormatting sqref="AA140:AA151">
    <cfRule type="expression" dxfId="1490" priority="1955">
      <formula>AND($J140="x",AA140&gt;0)</formula>
    </cfRule>
  </conditionalFormatting>
  <conditionalFormatting sqref="AA162:AA173">
    <cfRule type="expression" dxfId="1489" priority="1912">
      <formula>AND($J162="x",AA162&gt;0)</formula>
    </cfRule>
  </conditionalFormatting>
  <conditionalFormatting sqref="AA184:AA195">
    <cfRule type="expression" dxfId="1488" priority="1869">
      <formula>AND($J184="x",AA184&gt;0)</formula>
    </cfRule>
  </conditionalFormatting>
  <conditionalFormatting sqref="AA206:AA217">
    <cfRule type="expression" dxfId="1487" priority="1826">
      <formula>AND($J206="x",AA206&gt;0)</formula>
    </cfRule>
  </conditionalFormatting>
  <conditionalFormatting sqref="AA228:AA239">
    <cfRule type="expression" dxfId="1486" priority="1783">
      <formula>AND($J228="x",AA228&gt;0)</formula>
    </cfRule>
  </conditionalFormatting>
  <conditionalFormatting sqref="AA250:AA261">
    <cfRule type="expression" dxfId="1485" priority="1740">
      <formula>AND($J250="x",AA250&gt;0)</formula>
    </cfRule>
  </conditionalFormatting>
  <conditionalFormatting sqref="AA272:AA283">
    <cfRule type="expression" dxfId="1484" priority="1697">
      <formula>AND($J272="x",AA272&gt;0)</formula>
    </cfRule>
  </conditionalFormatting>
  <conditionalFormatting sqref="AA294:AA305">
    <cfRule type="expression" dxfId="1483" priority="1654">
      <formula>AND($J294="x",AA294&gt;0)</formula>
    </cfRule>
  </conditionalFormatting>
  <conditionalFormatting sqref="AA316:AA327">
    <cfRule type="expression" dxfId="1482" priority="1611">
      <formula>AND($J316="x",AA316&gt;0)</formula>
    </cfRule>
  </conditionalFormatting>
  <conditionalFormatting sqref="AA338:AA349">
    <cfRule type="expression" dxfId="1481" priority="1568">
      <formula>AND($J338="x",AA338&gt;0)</formula>
    </cfRule>
  </conditionalFormatting>
  <conditionalFormatting sqref="AA360:AA371">
    <cfRule type="expression" dxfId="1480" priority="1525">
      <formula>AND($J360="x",AA360&gt;0)</formula>
    </cfRule>
  </conditionalFormatting>
  <conditionalFormatting sqref="AA382:AA393">
    <cfRule type="expression" dxfId="1479" priority="1482">
      <formula>AND($J382="x",AA382&gt;0)</formula>
    </cfRule>
  </conditionalFormatting>
  <conditionalFormatting sqref="AA404:AA415">
    <cfRule type="expression" dxfId="1478" priority="1439">
      <formula>AND($J404="x",AA404&gt;0)</formula>
    </cfRule>
  </conditionalFormatting>
  <conditionalFormatting sqref="AA426:AA437">
    <cfRule type="expression" dxfId="1477" priority="1396">
      <formula>AND($J426="x",AA426&gt;0)</formula>
    </cfRule>
  </conditionalFormatting>
  <conditionalFormatting sqref="AA448:AA459">
    <cfRule type="expression" dxfId="1476" priority="1353">
      <formula>AND($J448="x",AA448&gt;0)</formula>
    </cfRule>
  </conditionalFormatting>
  <conditionalFormatting sqref="AA470:AA481">
    <cfRule type="expression" dxfId="1475" priority="1310">
      <formula>AND($J470="x",AA470&gt;0)</formula>
    </cfRule>
  </conditionalFormatting>
  <conditionalFormatting sqref="AA492:AA503">
    <cfRule type="expression" dxfId="1474" priority="1267">
      <formula>AND($J492="x",AA492&gt;0)</formula>
    </cfRule>
  </conditionalFormatting>
  <conditionalFormatting sqref="AA514:AA525">
    <cfRule type="expression" dxfId="1473" priority="1224">
      <formula>AND($J514="x",AA514&gt;0)</formula>
    </cfRule>
  </conditionalFormatting>
  <conditionalFormatting sqref="AA536:AA547">
    <cfRule type="expression" dxfId="1472" priority="1181">
      <formula>AND($J536="x",AA536&gt;0)</formula>
    </cfRule>
  </conditionalFormatting>
  <conditionalFormatting sqref="AA558:AA569">
    <cfRule type="expression" dxfId="1471" priority="1138">
      <formula>AND($J558="x",AA558&gt;0)</formula>
    </cfRule>
  </conditionalFormatting>
  <conditionalFormatting sqref="AA580:AA591">
    <cfRule type="expression" dxfId="1470" priority="1095">
      <formula>AND($J580="x",AA580&gt;0)</formula>
    </cfRule>
  </conditionalFormatting>
  <conditionalFormatting sqref="AA602:AA613">
    <cfRule type="expression" dxfId="1469" priority="1052">
      <formula>AND($J602="x",AA602&gt;0)</formula>
    </cfRule>
  </conditionalFormatting>
  <conditionalFormatting sqref="AA624:AA635">
    <cfRule type="expression" dxfId="1468" priority="1009">
      <formula>AND($J624="x",AA624&gt;0)</formula>
    </cfRule>
  </conditionalFormatting>
  <conditionalFormatting sqref="AA646:AA657">
    <cfRule type="expression" dxfId="1467" priority="966">
      <formula>AND($J646="x",AA646&gt;0)</formula>
    </cfRule>
  </conditionalFormatting>
  <conditionalFormatting sqref="AA668:AA679">
    <cfRule type="expression" dxfId="1466" priority="923">
      <formula>AND($J668="x",AA668&gt;0)</formula>
    </cfRule>
  </conditionalFormatting>
  <conditionalFormatting sqref="AA690:AA701">
    <cfRule type="expression" dxfId="1465" priority="880">
      <formula>AND($J690="x",AA690&gt;0)</formula>
    </cfRule>
  </conditionalFormatting>
  <conditionalFormatting sqref="AA712:AA723">
    <cfRule type="expression" dxfId="1464" priority="837">
      <formula>AND($J712="x",AA712&gt;0)</formula>
    </cfRule>
  </conditionalFormatting>
  <conditionalFormatting sqref="AA734:AA745">
    <cfRule type="expression" dxfId="1463" priority="794">
      <formula>AND($J734="x",AA734&gt;0)</formula>
    </cfRule>
  </conditionalFormatting>
  <conditionalFormatting sqref="AA756:AA767">
    <cfRule type="expression" dxfId="1462" priority="751">
      <formula>AND($J756="x",AA756&gt;0)</formula>
    </cfRule>
  </conditionalFormatting>
  <conditionalFormatting sqref="AA778:AA789">
    <cfRule type="expression" dxfId="1461" priority="708">
      <formula>AND($J778="x",AA778&gt;0)</formula>
    </cfRule>
  </conditionalFormatting>
  <conditionalFormatting sqref="AA800:AA811">
    <cfRule type="expression" dxfId="1460" priority="665">
      <formula>AND($J800="x",AA800&gt;0)</formula>
    </cfRule>
  </conditionalFormatting>
  <conditionalFormatting sqref="AA822:AA833">
    <cfRule type="expression" dxfId="1459" priority="622">
      <formula>AND($J822="x",AA822&gt;0)</formula>
    </cfRule>
  </conditionalFormatting>
  <conditionalFormatting sqref="AA844:AA855">
    <cfRule type="expression" dxfId="1458" priority="579">
      <formula>AND($J844="x",AA844&gt;0)</formula>
    </cfRule>
  </conditionalFormatting>
  <conditionalFormatting sqref="AA866:AA877">
    <cfRule type="expression" dxfId="1457" priority="536">
      <formula>AND($J866="x",AA866&gt;0)</formula>
    </cfRule>
  </conditionalFormatting>
  <conditionalFormatting sqref="AA888:AA899">
    <cfRule type="expression" dxfId="1456" priority="493">
      <formula>AND($J888="x",AA888&gt;0)</formula>
    </cfRule>
  </conditionalFormatting>
  <conditionalFormatting sqref="AB6">
    <cfRule type="expression" dxfId="1455" priority="4642">
      <formula>AB6&gt;0</formula>
    </cfRule>
  </conditionalFormatting>
  <conditionalFormatting sqref="AB8:AB19">
    <cfRule type="expression" dxfId="1454" priority="4615">
      <formula>AND($K8="x",AB8&gt;0)</formula>
    </cfRule>
    <cfRule type="expression" dxfId="1453" priority="4614">
      <formula>OR(AB8&gt;80,AB8&lt;10)</formula>
    </cfRule>
  </conditionalFormatting>
  <conditionalFormatting sqref="AB28">
    <cfRule type="expression" dxfId="1452" priority="132">
      <formula>AB28&gt;0</formula>
    </cfRule>
  </conditionalFormatting>
  <conditionalFormatting sqref="AB30:AB41">
    <cfRule type="expression" dxfId="1451" priority="3831">
      <formula>OR(AB30&gt;80,AB30&lt;10)</formula>
    </cfRule>
    <cfRule type="expression" dxfId="1450" priority="3832">
      <formula>AND($K30="x",AB30&gt;0)</formula>
    </cfRule>
  </conditionalFormatting>
  <conditionalFormatting sqref="AB50">
    <cfRule type="expression" dxfId="1449" priority="124">
      <formula>AB50&gt;0</formula>
    </cfRule>
  </conditionalFormatting>
  <conditionalFormatting sqref="AB52:AB63">
    <cfRule type="expression" dxfId="1448" priority="20">
      <formula>AND($K52="x",AB52&gt;0)</formula>
    </cfRule>
    <cfRule type="expression" dxfId="1447" priority="19">
      <formula>OR(AB52&gt;80,AB52&lt;10)</formula>
    </cfRule>
  </conditionalFormatting>
  <conditionalFormatting sqref="AB72">
    <cfRule type="expression" dxfId="1446" priority="116">
      <formula>AB72&gt;0</formula>
    </cfRule>
  </conditionalFormatting>
  <conditionalFormatting sqref="AB74:AB85">
    <cfRule type="expression" dxfId="1445" priority="2068">
      <formula>OR(AB74&gt;80,AB74&lt;10)</formula>
    </cfRule>
    <cfRule type="expression" dxfId="1444" priority="2069">
      <formula>AND($K74="x",AB74&gt;0)</formula>
    </cfRule>
  </conditionalFormatting>
  <conditionalFormatting sqref="AB94">
    <cfRule type="expression" dxfId="1443" priority="108">
      <formula>AB94&gt;0</formula>
    </cfRule>
  </conditionalFormatting>
  <conditionalFormatting sqref="AB96:AB107">
    <cfRule type="expression" dxfId="1442" priority="2026">
      <formula>AND($K96="x",AB96&gt;0)</formula>
    </cfRule>
    <cfRule type="expression" dxfId="1441" priority="2025">
      <formula>OR(AB96&gt;80,AB96&lt;10)</formula>
    </cfRule>
  </conditionalFormatting>
  <conditionalFormatting sqref="AB116">
    <cfRule type="expression" dxfId="1440" priority="100">
      <formula>AB116&gt;0</formula>
    </cfRule>
  </conditionalFormatting>
  <conditionalFormatting sqref="AB118:AB129">
    <cfRule type="expression" dxfId="1439" priority="1982">
      <formula>OR(AB118&gt;80,AB118&lt;10)</formula>
    </cfRule>
    <cfRule type="expression" dxfId="1438" priority="1983">
      <formula>AND($K118="x",AB118&gt;0)</formula>
    </cfRule>
  </conditionalFormatting>
  <conditionalFormatting sqref="AB138">
    <cfRule type="expression" dxfId="1437" priority="92">
      <formula>AB138&gt;0</formula>
    </cfRule>
  </conditionalFormatting>
  <conditionalFormatting sqref="AB140:AB151">
    <cfRule type="expression" dxfId="1436" priority="1940">
      <formula>AND($K140="x",AB140&gt;0)</formula>
    </cfRule>
    <cfRule type="expression" dxfId="1435" priority="1939">
      <formula>OR(AB140&gt;80,AB140&lt;10)</formula>
    </cfRule>
  </conditionalFormatting>
  <conditionalFormatting sqref="AB160">
    <cfRule type="expression" dxfId="1434" priority="84">
      <formula>AB160&gt;0</formula>
    </cfRule>
  </conditionalFormatting>
  <conditionalFormatting sqref="AB162:AB173">
    <cfRule type="expression" dxfId="1433" priority="1897">
      <formula>AND($K162="x",AB162&gt;0)</formula>
    </cfRule>
    <cfRule type="expression" dxfId="1432" priority="1896">
      <formula>OR(AB162&gt;80,AB162&lt;10)</formula>
    </cfRule>
  </conditionalFormatting>
  <conditionalFormatting sqref="AB182">
    <cfRule type="expression" dxfId="1431" priority="76">
      <formula>AB182&gt;0</formula>
    </cfRule>
  </conditionalFormatting>
  <conditionalFormatting sqref="AB184:AB195">
    <cfRule type="expression" dxfId="1430" priority="1853">
      <formula>OR(AB184&gt;80,AB184&lt;10)</formula>
    </cfRule>
    <cfRule type="expression" dxfId="1429" priority="1854">
      <formula>AND($K184="x",AB184&gt;0)</formula>
    </cfRule>
  </conditionalFormatting>
  <conditionalFormatting sqref="AB204">
    <cfRule type="expression" dxfId="1428" priority="68">
      <formula>AB204&gt;0</formula>
    </cfRule>
  </conditionalFormatting>
  <conditionalFormatting sqref="AB206:AB217">
    <cfRule type="expression" dxfId="1427" priority="1810">
      <formula>OR(AB206&gt;80,AB206&lt;10)</formula>
    </cfRule>
    <cfRule type="expression" dxfId="1426" priority="1811">
      <formula>AND($K206="x",AB206&gt;0)</formula>
    </cfRule>
  </conditionalFormatting>
  <conditionalFormatting sqref="AB226">
    <cfRule type="expression" dxfId="1425" priority="60">
      <formula>AB226&gt;0</formula>
    </cfRule>
  </conditionalFormatting>
  <conditionalFormatting sqref="AB228:AB239">
    <cfRule type="expression" dxfId="1424" priority="1768">
      <formula>AND($K228="x",AB228&gt;0)</formula>
    </cfRule>
    <cfRule type="expression" dxfId="1423" priority="1767">
      <formula>OR(AB228&gt;80,AB228&lt;10)</formula>
    </cfRule>
  </conditionalFormatting>
  <conditionalFormatting sqref="AB248">
    <cfRule type="expression" dxfId="1422" priority="52">
      <formula>AB248&gt;0</formula>
    </cfRule>
  </conditionalFormatting>
  <conditionalFormatting sqref="AB250:AB261">
    <cfRule type="expression" dxfId="1421" priority="1725">
      <formula>AND($K250="x",AB250&gt;0)</formula>
    </cfRule>
    <cfRule type="expression" dxfId="1420" priority="1724">
      <formula>OR(AB250&gt;80,AB250&lt;10)</formula>
    </cfRule>
  </conditionalFormatting>
  <conditionalFormatting sqref="AB270">
    <cfRule type="expression" dxfId="1419" priority="364">
      <formula>AB270&gt;0</formula>
    </cfRule>
  </conditionalFormatting>
  <conditionalFormatting sqref="AB272:AB283">
    <cfRule type="expression" dxfId="1418" priority="1682">
      <formula>AND($K272="x",AB272&gt;0)</formula>
    </cfRule>
    <cfRule type="expression" dxfId="1417" priority="1681">
      <formula>OR(AB272&gt;80,AB272&lt;10)</formula>
    </cfRule>
  </conditionalFormatting>
  <conditionalFormatting sqref="AB292">
    <cfRule type="expression" dxfId="1416" priority="356">
      <formula>AB292&gt;0</formula>
    </cfRule>
  </conditionalFormatting>
  <conditionalFormatting sqref="AB294:AB305">
    <cfRule type="expression" dxfId="1415" priority="1639">
      <formula>AND($K294="x",AB294&gt;0)</formula>
    </cfRule>
    <cfRule type="expression" dxfId="1414" priority="1638">
      <formula>OR(AB294&gt;80,AB294&lt;10)</formula>
    </cfRule>
  </conditionalFormatting>
  <conditionalFormatting sqref="AB314">
    <cfRule type="expression" dxfId="1413" priority="348">
      <formula>AB314&gt;0</formula>
    </cfRule>
  </conditionalFormatting>
  <conditionalFormatting sqref="AB316:AB327">
    <cfRule type="expression" dxfId="1412" priority="1595">
      <formula>OR(AB316&gt;80,AB316&lt;10)</formula>
    </cfRule>
    <cfRule type="expression" dxfId="1411" priority="1596">
      <formula>AND($K316="x",AB316&gt;0)</formula>
    </cfRule>
  </conditionalFormatting>
  <conditionalFormatting sqref="AB336">
    <cfRule type="expression" dxfId="1410" priority="340">
      <formula>AB336&gt;0</formula>
    </cfRule>
  </conditionalFormatting>
  <conditionalFormatting sqref="AB338:AB349">
    <cfRule type="expression" dxfId="1409" priority="1552">
      <formula>OR(AB338&gt;80,AB338&lt;10)</formula>
    </cfRule>
    <cfRule type="expression" dxfId="1408" priority="1553">
      <formula>AND($K338="x",AB338&gt;0)</formula>
    </cfRule>
  </conditionalFormatting>
  <conditionalFormatting sqref="AB358">
    <cfRule type="expression" dxfId="1407" priority="332">
      <formula>AB358&gt;0</formula>
    </cfRule>
  </conditionalFormatting>
  <conditionalFormatting sqref="AB360:AB371">
    <cfRule type="expression" dxfId="1406" priority="1510">
      <formula>AND($K360="x",AB360&gt;0)</formula>
    </cfRule>
    <cfRule type="expression" dxfId="1405" priority="1509">
      <formula>OR(AB360&gt;80,AB360&lt;10)</formula>
    </cfRule>
  </conditionalFormatting>
  <conditionalFormatting sqref="AB380">
    <cfRule type="expression" dxfId="1404" priority="324">
      <formula>AB380&gt;0</formula>
    </cfRule>
  </conditionalFormatting>
  <conditionalFormatting sqref="AB382:AB393">
    <cfRule type="expression" dxfId="1403" priority="1466">
      <formula>OR(AB382&gt;80,AB382&lt;10)</formula>
    </cfRule>
    <cfRule type="expression" dxfId="1402" priority="1467">
      <formula>AND($K382="x",AB382&gt;0)</formula>
    </cfRule>
  </conditionalFormatting>
  <conditionalFormatting sqref="AB402">
    <cfRule type="expression" dxfId="1401" priority="316">
      <formula>AB402&gt;0</formula>
    </cfRule>
  </conditionalFormatting>
  <conditionalFormatting sqref="AB404:AB415">
    <cfRule type="expression" dxfId="1400" priority="1423">
      <formula>OR(AB404&gt;80,AB404&lt;10)</formula>
    </cfRule>
    <cfRule type="expression" dxfId="1399" priority="1424">
      <formula>AND($K404="x",AB404&gt;0)</formula>
    </cfRule>
  </conditionalFormatting>
  <conditionalFormatting sqref="AB424">
    <cfRule type="expression" dxfId="1398" priority="308">
      <formula>AB424&gt;0</formula>
    </cfRule>
  </conditionalFormatting>
  <conditionalFormatting sqref="AB426:AB437">
    <cfRule type="expression" dxfId="1397" priority="1380">
      <formula>OR(AB426&gt;80,AB426&lt;10)</formula>
    </cfRule>
    <cfRule type="expression" dxfId="1396" priority="1381">
      <formula>AND($K426="x",AB426&gt;0)</formula>
    </cfRule>
  </conditionalFormatting>
  <conditionalFormatting sqref="AB446">
    <cfRule type="expression" dxfId="1395" priority="300">
      <formula>AB446&gt;0</formula>
    </cfRule>
  </conditionalFormatting>
  <conditionalFormatting sqref="AB448:AB459">
    <cfRule type="expression" dxfId="1394" priority="1337">
      <formula>OR(AB448&gt;80,AB448&lt;10)</formula>
    </cfRule>
    <cfRule type="expression" dxfId="1393" priority="1338">
      <formula>AND($K448="x",AB448&gt;0)</formula>
    </cfRule>
  </conditionalFormatting>
  <conditionalFormatting sqref="AB468">
    <cfRule type="expression" dxfId="1392" priority="292">
      <formula>AB468&gt;0</formula>
    </cfRule>
  </conditionalFormatting>
  <conditionalFormatting sqref="AB470:AB481">
    <cfRule type="expression" dxfId="1391" priority="1295">
      <formula>AND($K470="x",AB470&gt;0)</formula>
    </cfRule>
    <cfRule type="expression" dxfId="1390" priority="1294">
      <formula>OR(AB470&gt;80,AB470&lt;10)</formula>
    </cfRule>
  </conditionalFormatting>
  <conditionalFormatting sqref="AB490">
    <cfRule type="expression" dxfId="1389" priority="284">
      <formula>AB490&gt;0</formula>
    </cfRule>
  </conditionalFormatting>
  <conditionalFormatting sqref="AB492:AB503">
    <cfRule type="expression" dxfId="1388" priority="1252">
      <formula>AND($K492="x",AB492&gt;0)</formula>
    </cfRule>
    <cfRule type="expression" dxfId="1387" priority="1251">
      <formula>OR(AB492&gt;80,AB492&lt;10)</formula>
    </cfRule>
  </conditionalFormatting>
  <conditionalFormatting sqref="AB512">
    <cfRule type="expression" dxfId="1386" priority="276">
      <formula>AB512&gt;0</formula>
    </cfRule>
  </conditionalFormatting>
  <conditionalFormatting sqref="AB514:AB525">
    <cfRule type="expression" dxfId="1385" priority="1208">
      <formula>OR(AB514&gt;80,AB514&lt;10)</formula>
    </cfRule>
    <cfRule type="expression" dxfId="1384" priority="1209">
      <formula>AND($K514="x",AB514&gt;0)</formula>
    </cfRule>
  </conditionalFormatting>
  <conditionalFormatting sqref="AB534">
    <cfRule type="expression" dxfId="1383" priority="268">
      <formula>AB534&gt;0</formula>
    </cfRule>
  </conditionalFormatting>
  <conditionalFormatting sqref="AB536:AB547">
    <cfRule type="expression" dxfId="1382" priority="1165">
      <formula>OR(AB536&gt;80,AB536&lt;10)</formula>
    </cfRule>
    <cfRule type="expression" dxfId="1381" priority="1166">
      <formula>AND($K536="x",AB536&gt;0)</formula>
    </cfRule>
  </conditionalFormatting>
  <conditionalFormatting sqref="AB556">
    <cfRule type="expression" dxfId="1380" priority="260">
      <formula>AB556&gt;0</formula>
    </cfRule>
  </conditionalFormatting>
  <conditionalFormatting sqref="AB558:AB569">
    <cfRule type="expression" dxfId="1379" priority="1122">
      <formula>OR(AB558&gt;80,AB558&lt;10)</formula>
    </cfRule>
    <cfRule type="expression" dxfId="1378" priority="1123">
      <formula>AND($K558="x",AB558&gt;0)</formula>
    </cfRule>
  </conditionalFormatting>
  <conditionalFormatting sqref="AB578">
    <cfRule type="expression" dxfId="1377" priority="252">
      <formula>AB578&gt;0</formula>
    </cfRule>
  </conditionalFormatting>
  <conditionalFormatting sqref="AB580:AB591">
    <cfRule type="expression" dxfId="1376" priority="1079">
      <formula>OR(AB580&gt;80,AB580&lt;10)</formula>
    </cfRule>
    <cfRule type="expression" dxfId="1375" priority="1080">
      <formula>AND($K580="x",AB580&gt;0)</formula>
    </cfRule>
  </conditionalFormatting>
  <conditionalFormatting sqref="AB600">
    <cfRule type="expression" dxfId="1374" priority="244">
      <formula>AB600&gt;0</formula>
    </cfRule>
  </conditionalFormatting>
  <conditionalFormatting sqref="AB602:AB613">
    <cfRule type="expression" dxfId="1373" priority="1036">
      <formula>OR(AB602&gt;80,AB602&lt;10)</formula>
    </cfRule>
    <cfRule type="expression" dxfId="1372" priority="1037">
      <formula>AND($K602="x",AB602&gt;0)</formula>
    </cfRule>
  </conditionalFormatting>
  <conditionalFormatting sqref="AB622">
    <cfRule type="expression" dxfId="1371" priority="236">
      <formula>AB622&gt;0</formula>
    </cfRule>
  </conditionalFormatting>
  <conditionalFormatting sqref="AB624:AB635">
    <cfRule type="expression" dxfId="1370" priority="994">
      <formula>AND($K624="x",AB624&gt;0)</formula>
    </cfRule>
    <cfRule type="expression" dxfId="1369" priority="993">
      <formula>OR(AB624&gt;80,AB624&lt;10)</formula>
    </cfRule>
  </conditionalFormatting>
  <conditionalFormatting sqref="AB644">
    <cfRule type="expression" dxfId="1368" priority="228">
      <formula>AB644&gt;0</formula>
    </cfRule>
  </conditionalFormatting>
  <conditionalFormatting sqref="AB646:AB657">
    <cfRule type="expression" dxfId="1367" priority="951">
      <formula>AND($K646="x",AB646&gt;0)</formula>
    </cfRule>
    <cfRule type="expression" dxfId="1366" priority="950">
      <formula>OR(AB646&gt;80,AB646&lt;10)</formula>
    </cfRule>
  </conditionalFormatting>
  <conditionalFormatting sqref="AB666">
    <cfRule type="expression" dxfId="1365" priority="220">
      <formula>AB666&gt;0</formula>
    </cfRule>
  </conditionalFormatting>
  <conditionalFormatting sqref="AB668:AB679">
    <cfRule type="expression" dxfId="1364" priority="907">
      <formula>OR(AB668&gt;80,AB668&lt;10)</formula>
    </cfRule>
    <cfRule type="expression" dxfId="1363" priority="908">
      <formula>AND($K668="x",AB668&gt;0)</formula>
    </cfRule>
  </conditionalFormatting>
  <conditionalFormatting sqref="AB688">
    <cfRule type="expression" dxfId="1362" priority="212">
      <formula>AB688&gt;0</formula>
    </cfRule>
  </conditionalFormatting>
  <conditionalFormatting sqref="AB690:AB701">
    <cfRule type="expression" dxfId="1361" priority="865">
      <formula>AND($K690="x",AB690&gt;0)</formula>
    </cfRule>
    <cfRule type="expression" dxfId="1360" priority="864">
      <formula>OR(AB690&gt;80,AB690&lt;10)</formula>
    </cfRule>
  </conditionalFormatting>
  <conditionalFormatting sqref="AB710">
    <cfRule type="expression" dxfId="1359" priority="204">
      <formula>AB710&gt;0</formula>
    </cfRule>
  </conditionalFormatting>
  <conditionalFormatting sqref="AB712:AB723">
    <cfRule type="expression" dxfId="1358" priority="821">
      <formula>OR(AB712&gt;80,AB712&lt;10)</formula>
    </cfRule>
    <cfRule type="expression" dxfId="1357" priority="822">
      <formula>AND($K712="x",AB712&gt;0)</formula>
    </cfRule>
  </conditionalFormatting>
  <conditionalFormatting sqref="AB732">
    <cfRule type="expression" dxfId="1356" priority="196">
      <formula>AB732&gt;0</formula>
    </cfRule>
  </conditionalFormatting>
  <conditionalFormatting sqref="AB734:AB745">
    <cfRule type="expression" dxfId="1355" priority="778">
      <formula>OR(AB734&gt;80,AB734&lt;10)</formula>
    </cfRule>
    <cfRule type="expression" dxfId="1354" priority="779">
      <formula>AND($K734="x",AB734&gt;0)</formula>
    </cfRule>
  </conditionalFormatting>
  <conditionalFormatting sqref="AB754">
    <cfRule type="expression" dxfId="1353" priority="188">
      <formula>AB754&gt;0</formula>
    </cfRule>
  </conditionalFormatting>
  <conditionalFormatting sqref="AB756:AB767">
    <cfRule type="expression" dxfId="1352" priority="735">
      <formula>OR(AB756&gt;80,AB756&lt;10)</formula>
    </cfRule>
    <cfRule type="expression" dxfId="1351" priority="736">
      <formula>AND($K756="x",AB756&gt;0)</formula>
    </cfRule>
  </conditionalFormatting>
  <conditionalFormatting sqref="AB776">
    <cfRule type="expression" dxfId="1350" priority="180">
      <formula>AB776&gt;0</formula>
    </cfRule>
  </conditionalFormatting>
  <conditionalFormatting sqref="AB778:AB789">
    <cfRule type="expression" dxfId="1349" priority="692">
      <formula>OR(AB778&gt;80,AB778&lt;10)</formula>
    </cfRule>
    <cfRule type="expression" dxfId="1348" priority="693">
      <formula>AND($K778="x",AB778&gt;0)</formula>
    </cfRule>
  </conditionalFormatting>
  <conditionalFormatting sqref="AB798">
    <cfRule type="expression" dxfId="1347" priority="172">
      <formula>AB798&gt;0</formula>
    </cfRule>
  </conditionalFormatting>
  <conditionalFormatting sqref="AB800:AB811">
    <cfRule type="expression" dxfId="1346" priority="649">
      <formula>OR(AB800&gt;80,AB800&lt;10)</formula>
    </cfRule>
    <cfRule type="expression" dxfId="1345" priority="650">
      <formula>AND($K800="x",AB800&gt;0)</formula>
    </cfRule>
  </conditionalFormatting>
  <conditionalFormatting sqref="AB820">
    <cfRule type="expression" dxfId="1344" priority="164">
      <formula>AB820&gt;0</formula>
    </cfRule>
  </conditionalFormatting>
  <conditionalFormatting sqref="AB822:AB833">
    <cfRule type="expression" dxfId="1343" priority="606">
      <formula>OR(AB822&gt;80,AB822&lt;10)</formula>
    </cfRule>
    <cfRule type="expression" dxfId="1342" priority="607">
      <formula>AND($K822="x",AB822&gt;0)</formula>
    </cfRule>
  </conditionalFormatting>
  <conditionalFormatting sqref="AB842">
    <cfRule type="expression" dxfId="1341" priority="156">
      <formula>AB842&gt;0</formula>
    </cfRule>
  </conditionalFormatting>
  <conditionalFormatting sqref="AB844:AB855">
    <cfRule type="expression" dxfId="1340" priority="564">
      <formula>AND($K844="x",AB844&gt;0)</formula>
    </cfRule>
    <cfRule type="expression" dxfId="1339" priority="563">
      <formula>OR(AB844&gt;80,AB844&lt;10)</formula>
    </cfRule>
  </conditionalFormatting>
  <conditionalFormatting sqref="AB864">
    <cfRule type="expression" dxfId="1338" priority="148">
      <formula>AB864&gt;0</formula>
    </cfRule>
  </conditionalFormatting>
  <conditionalFormatting sqref="AB866:AB877">
    <cfRule type="expression" dxfId="1337" priority="521">
      <formula>AND($K866="x",AB866&gt;0)</formula>
    </cfRule>
    <cfRule type="expression" dxfId="1336" priority="520">
      <formula>OR(AB866&gt;80,AB866&lt;10)</formula>
    </cfRule>
  </conditionalFormatting>
  <conditionalFormatting sqref="AB886">
    <cfRule type="expression" dxfId="1335" priority="140">
      <formula>AB886&gt;0</formula>
    </cfRule>
  </conditionalFormatting>
  <conditionalFormatting sqref="AB888:AB899">
    <cfRule type="expression" dxfId="1334" priority="478">
      <formula>AND($K888="x",AB888&gt;0)</formula>
    </cfRule>
    <cfRule type="expression" dxfId="1333" priority="477">
      <formula>OR(AB888&gt;80,AB888&lt;10)</formula>
    </cfRule>
  </conditionalFormatting>
  <conditionalFormatting sqref="AI8:AI19">
    <cfRule type="expression" dxfId="1332" priority="4629">
      <formula>AND($I8="x",AI8&gt;0)</formula>
    </cfRule>
  </conditionalFormatting>
  <conditionalFormatting sqref="AI30:AI41">
    <cfRule type="expression" dxfId="1331" priority="3846">
      <formula>AND($I30="x",AI30&gt;0)</formula>
    </cfRule>
  </conditionalFormatting>
  <conditionalFormatting sqref="AI52:AI63">
    <cfRule type="expression" dxfId="1330" priority="32">
      <formula>AND($I52="x",AI52&gt;0)</formula>
    </cfRule>
  </conditionalFormatting>
  <conditionalFormatting sqref="AI74:AI85">
    <cfRule type="expression" dxfId="1329" priority="2083">
      <formula>AND($I74="x",AI74&gt;0)</formula>
    </cfRule>
  </conditionalFormatting>
  <conditionalFormatting sqref="AI96:AI107">
    <cfRule type="expression" dxfId="1328" priority="2040">
      <formula>AND($I96="x",AI96&gt;0)</formula>
    </cfRule>
  </conditionalFormatting>
  <conditionalFormatting sqref="AI118:AI129">
    <cfRule type="expression" dxfId="1327" priority="1997">
      <formula>AND($I118="x",AI118&gt;0)</formula>
    </cfRule>
  </conditionalFormatting>
  <conditionalFormatting sqref="AI140:AI151">
    <cfRule type="expression" dxfId="1326" priority="1954">
      <formula>AND($I140="x",AI140&gt;0)</formula>
    </cfRule>
  </conditionalFormatting>
  <conditionalFormatting sqref="AI162:AI173">
    <cfRule type="expression" dxfId="1325" priority="1911">
      <formula>AND($I162="x",AI162&gt;0)</formula>
    </cfRule>
  </conditionalFormatting>
  <conditionalFormatting sqref="AI184:AI195">
    <cfRule type="expression" dxfId="1324" priority="1868">
      <formula>AND($I184="x",AI184&gt;0)</formula>
    </cfRule>
  </conditionalFormatting>
  <conditionalFormatting sqref="AI206:AI217">
    <cfRule type="expression" dxfId="1323" priority="1825">
      <formula>AND($I206="x",AI206&gt;0)</formula>
    </cfRule>
  </conditionalFormatting>
  <conditionalFormatting sqref="AI228:AI239">
    <cfRule type="expression" dxfId="1322" priority="1782">
      <formula>AND($I228="x",AI228&gt;0)</formula>
    </cfRule>
  </conditionalFormatting>
  <conditionalFormatting sqref="AI250:AI261">
    <cfRule type="expression" dxfId="1321" priority="1739">
      <formula>AND($I250="x",AI250&gt;0)</formula>
    </cfRule>
  </conditionalFormatting>
  <conditionalFormatting sqref="AI272:AI283">
    <cfRule type="expression" dxfId="1320" priority="1696">
      <formula>AND($I272="x",AI272&gt;0)</formula>
    </cfRule>
  </conditionalFormatting>
  <conditionalFormatting sqref="AI294:AI305">
    <cfRule type="expression" dxfId="1319" priority="1653">
      <formula>AND($I294="x",AI294&gt;0)</formula>
    </cfRule>
  </conditionalFormatting>
  <conditionalFormatting sqref="AI316:AI327">
    <cfRule type="expression" dxfId="1318" priority="1610">
      <formula>AND($I316="x",AI316&gt;0)</formula>
    </cfRule>
  </conditionalFormatting>
  <conditionalFormatting sqref="AI338:AI349">
    <cfRule type="expression" dxfId="1317" priority="1567">
      <formula>AND($I338="x",AI338&gt;0)</formula>
    </cfRule>
  </conditionalFormatting>
  <conditionalFormatting sqref="AI360:AI371">
    <cfRule type="expression" dxfId="1316" priority="1524">
      <formula>AND($I360="x",AI360&gt;0)</formula>
    </cfRule>
  </conditionalFormatting>
  <conditionalFormatting sqref="AI382:AI393">
    <cfRule type="expression" dxfId="1315" priority="1481">
      <formula>AND($I382="x",AI382&gt;0)</formula>
    </cfRule>
  </conditionalFormatting>
  <conditionalFormatting sqref="AI404:AI415">
    <cfRule type="expression" dxfId="1314" priority="1438">
      <formula>AND($I404="x",AI404&gt;0)</formula>
    </cfRule>
  </conditionalFormatting>
  <conditionalFormatting sqref="AI426:AI437">
    <cfRule type="expression" dxfId="1313" priority="1395">
      <formula>AND($I426="x",AI426&gt;0)</formula>
    </cfRule>
  </conditionalFormatting>
  <conditionalFormatting sqref="AI448:AI459">
    <cfRule type="expression" dxfId="1312" priority="1352">
      <formula>AND($I448="x",AI448&gt;0)</formula>
    </cfRule>
  </conditionalFormatting>
  <conditionalFormatting sqref="AI470:AI481">
    <cfRule type="expression" dxfId="1311" priority="1309">
      <formula>AND($I470="x",AI470&gt;0)</formula>
    </cfRule>
  </conditionalFormatting>
  <conditionalFormatting sqref="AI492:AI503">
    <cfRule type="expression" dxfId="1310" priority="1266">
      <formula>AND($I492="x",AI492&gt;0)</formula>
    </cfRule>
  </conditionalFormatting>
  <conditionalFormatting sqref="AI514:AI525">
    <cfRule type="expression" dxfId="1309" priority="1223">
      <formula>AND($I514="x",AI514&gt;0)</formula>
    </cfRule>
  </conditionalFormatting>
  <conditionalFormatting sqref="AI536:AI547">
    <cfRule type="expression" dxfId="1308" priority="1180">
      <formula>AND($I536="x",AI536&gt;0)</formula>
    </cfRule>
  </conditionalFormatting>
  <conditionalFormatting sqref="AI558:AI569">
    <cfRule type="expression" dxfId="1307" priority="1137">
      <formula>AND($I558="x",AI558&gt;0)</formula>
    </cfRule>
  </conditionalFormatting>
  <conditionalFormatting sqref="AI580:AI591">
    <cfRule type="expression" dxfId="1306" priority="1094">
      <formula>AND($I580="x",AI580&gt;0)</formula>
    </cfRule>
  </conditionalFormatting>
  <conditionalFormatting sqref="AI602:AI613">
    <cfRule type="expression" dxfId="1305" priority="1051">
      <formula>AND($I602="x",AI602&gt;0)</formula>
    </cfRule>
  </conditionalFormatting>
  <conditionalFormatting sqref="AI624:AI635">
    <cfRule type="expression" dxfId="1304" priority="1008">
      <formula>AND($I624="x",AI624&gt;0)</formula>
    </cfRule>
  </conditionalFormatting>
  <conditionalFormatting sqref="AI646:AI657">
    <cfRule type="expression" dxfId="1303" priority="965">
      <formula>AND($I646="x",AI646&gt;0)</formula>
    </cfRule>
  </conditionalFormatting>
  <conditionalFormatting sqref="AI668:AI679">
    <cfRule type="expression" dxfId="1302" priority="922">
      <formula>AND($I668="x",AI668&gt;0)</formula>
    </cfRule>
  </conditionalFormatting>
  <conditionalFormatting sqref="AI690:AI701">
    <cfRule type="expression" dxfId="1301" priority="879">
      <formula>AND($I690="x",AI690&gt;0)</formula>
    </cfRule>
  </conditionalFormatting>
  <conditionalFormatting sqref="AI712:AI723">
    <cfRule type="expression" dxfId="1300" priority="836">
      <formula>AND($I712="x",AI712&gt;0)</formula>
    </cfRule>
  </conditionalFormatting>
  <conditionalFormatting sqref="AI734:AI745">
    <cfRule type="expression" dxfId="1299" priority="793">
      <formula>AND($I734="x",AI734&gt;0)</formula>
    </cfRule>
  </conditionalFormatting>
  <conditionalFormatting sqref="AI756:AI767">
    <cfRule type="expression" dxfId="1298" priority="750">
      <formula>AND($I756="x",AI756&gt;0)</formula>
    </cfRule>
  </conditionalFormatting>
  <conditionalFormatting sqref="AI778:AI789">
    <cfRule type="expression" dxfId="1297" priority="707">
      <formula>AND($I778="x",AI778&gt;0)</formula>
    </cfRule>
  </conditionalFormatting>
  <conditionalFormatting sqref="AI800:AI811">
    <cfRule type="expression" dxfId="1296" priority="664">
      <formula>AND($I800="x",AI800&gt;0)</formula>
    </cfRule>
  </conditionalFormatting>
  <conditionalFormatting sqref="AI822:AI833">
    <cfRule type="expression" dxfId="1295" priority="621">
      <formula>AND($I822="x",AI822&gt;0)</formula>
    </cfRule>
  </conditionalFormatting>
  <conditionalFormatting sqref="AI844:AI855">
    <cfRule type="expression" dxfId="1294" priority="578">
      <formula>AND($I844="x",AI844&gt;0)</formula>
    </cfRule>
  </conditionalFormatting>
  <conditionalFormatting sqref="AI866:AI877">
    <cfRule type="expression" dxfId="1293" priority="535">
      <formula>AND($I866="x",AI866&gt;0)</formula>
    </cfRule>
  </conditionalFormatting>
  <conditionalFormatting sqref="AI888:AI899">
    <cfRule type="expression" dxfId="1292" priority="492">
      <formula>AND($I888="x",AI888&gt;0)</formula>
    </cfRule>
  </conditionalFormatting>
  <conditionalFormatting sqref="AJ8:AJ19">
    <cfRule type="expression" dxfId="1291" priority="4628">
      <formula>AND($J8="x",AJ8&gt;0)</formula>
    </cfRule>
  </conditionalFormatting>
  <conditionalFormatting sqref="AJ30:AJ41">
    <cfRule type="expression" dxfId="1290" priority="3845">
      <formula>AND($J30="x",AJ30&gt;0)</formula>
    </cfRule>
  </conditionalFormatting>
  <conditionalFormatting sqref="AJ52:AJ63">
    <cfRule type="expression" dxfId="1289" priority="31">
      <formula>AND($J52="x",AJ52&gt;0)</formula>
    </cfRule>
  </conditionalFormatting>
  <conditionalFormatting sqref="AJ74:AJ85">
    <cfRule type="expression" dxfId="1288" priority="2082">
      <formula>AND($J74="x",AJ74&gt;0)</formula>
    </cfRule>
  </conditionalFormatting>
  <conditionalFormatting sqref="AJ96:AJ107">
    <cfRule type="expression" dxfId="1287" priority="2039">
      <formula>AND($J96="x",AJ96&gt;0)</formula>
    </cfRule>
  </conditionalFormatting>
  <conditionalFormatting sqref="AJ118:AJ129">
    <cfRule type="expression" dxfId="1286" priority="1996">
      <formula>AND($J118="x",AJ118&gt;0)</formula>
    </cfRule>
  </conditionalFormatting>
  <conditionalFormatting sqref="AJ140:AJ151">
    <cfRule type="expression" dxfId="1285" priority="1953">
      <formula>AND($J140="x",AJ140&gt;0)</formula>
    </cfRule>
  </conditionalFormatting>
  <conditionalFormatting sqref="AJ162:AJ173">
    <cfRule type="expression" dxfId="1284" priority="1910">
      <formula>AND($J162="x",AJ162&gt;0)</formula>
    </cfRule>
  </conditionalFormatting>
  <conditionalFormatting sqref="AJ184:AJ195">
    <cfRule type="expression" dxfId="1283" priority="1867">
      <formula>AND($J184="x",AJ184&gt;0)</formula>
    </cfRule>
  </conditionalFormatting>
  <conditionalFormatting sqref="AJ206:AJ217">
    <cfRule type="expression" dxfId="1282" priority="1824">
      <formula>AND($J206="x",AJ206&gt;0)</formula>
    </cfRule>
  </conditionalFormatting>
  <conditionalFormatting sqref="AJ228:AJ239">
    <cfRule type="expression" dxfId="1281" priority="1781">
      <formula>AND($J228="x",AJ228&gt;0)</formula>
    </cfRule>
  </conditionalFormatting>
  <conditionalFormatting sqref="AJ250:AJ261">
    <cfRule type="expression" dxfId="1280" priority="1738">
      <formula>AND($J250="x",AJ250&gt;0)</formula>
    </cfRule>
  </conditionalFormatting>
  <conditionalFormatting sqref="AJ272:AJ283">
    <cfRule type="expression" dxfId="1279" priority="1695">
      <formula>AND($J272="x",AJ272&gt;0)</formula>
    </cfRule>
  </conditionalFormatting>
  <conditionalFormatting sqref="AJ294:AJ305">
    <cfRule type="expression" dxfId="1278" priority="1652">
      <formula>AND($J294="x",AJ294&gt;0)</formula>
    </cfRule>
  </conditionalFormatting>
  <conditionalFormatting sqref="AJ316:AJ327">
    <cfRule type="expression" dxfId="1277" priority="1609">
      <formula>AND($J316="x",AJ316&gt;0)</formula>
    </cfRule>
  </conditionalFormatting>
  <conditionalFormatting sqref="AJ338:AJ349">
    <cfRule type="expression" dxfId="1276" priority="1566">
      <formula>AND($J338="x",AJ338&gt;0)</formula>
    </cfRule>
  </conditionalFormatting>
  <conditionalFormatting sqref="AJ360:AJ371">
    <cfRule type="expression" dxfId="1275" priority="1523">
      <formula>AND($J360="x",AJ360&gt;0)</formula>
    </cfRule>
  </conditionalFormatting>
  <conditionalFormatting sqref="AJ382:AJ393">
    <cfRule type="expression" dxfId="1274" priority="1480">
      <formula>AND($J382="x",AJ382&gt;0)</formula>
    </cfRule>
  </conditionalFormatting>
  <conditionalFormatting sqref="AJ404:AJ415">
    <cfRule type="expression" dxfId="1273" priority="1437">
      <formula>AND($J404="x",AJ404&gt;0)</formula>
    </cfRule>
  </conditionalFormatting>
  <conditionalFormatting sqref="AJ426:AJ437">
    <cfRule type="expression" dxfId="1272" priority="1394">
      <formula>AND($J426="x",AJ426&gt;0)</formula>
    </cfRule>
  </conditionalFormatting>
  <conditionalFormatting sqref="AJ448:AJ459">
    <cfRule type="expression" dxfId="1271" priority="1351">
      <formula>AND($J448="x",AJ448&gt;0)</formula>
    </cfRule>
  </conditionalFormatting>
  <conditionalFormatting sqref="AJ470:AJ481">
    <cfRule type="expression" dxfId="1270" priority="1308">
      <formula>AND($J470="x",AJ470&gt;0)</formula>
    </cfRule>
  </conditionalFormatting>
  <conditionalFormatting sqref="AJ492:AJ503">
    <cfRule type="expression" dxfId="1269" priority="1265">
      <formula>AND($J492="x",AJ492&gt;0)</formula>
    </cfRule>
  </conditionalFormatting>
  <conditionalFormatting sqref="AJ514:AJ525">
    <cfRule type="expression" dxfId="1268" priority="1222">
      <formula>AND($J514="x",AJ514&gt;0)</formula>
    </cfRule>
  </conditionalFormatting>
  <conditionalFormatting sqref="AJ536:AJ547">
    <cfRule type="expression" dxfId="1267" priority="1179">
      <formula>AND($J536="x",AJ536&gt;0)</formula>
    </cfRule>
  </conditionalFormatting>
  <conditionalFormatting sqref="AJ558:AJ569">
    <cfRule type="expression" dxfId="1266" priority="1136">
      <formula>AND($J558="x",AJ558&gt;0)</formula>
    </cfRule>
  </conditionalFormatting>
  <conditionalFormatting sqref="AJ580:AJ591">
    <cfRule type="expression" dxfId="1265" priority="1093">
      <formula>AND($J580="x",AJ580&gt;0)</formula>
    </cfRule>
  </conditionalFormatting>
  <conditionalFormatting sqref="AJ602:AJ613">
    <cfRule type="expression" dxfId="1264" priority="1050">
      <formula>AND($J602="x",AJ602&gt;0)</formula>
    </cfRule>
  </conditionalFormatting>
  <conditionalFormatting sqref="AJ624:AJ635">
    <cfRule type="expression" dxfId="1263" priority="1007">
      <formula>AND($J624="x",AJ624&gt;0)</formula>
    </cfRule>
  </conditionalFormatting>
  <conditionalFormatting sqref="AJ646:AJ657">
    <cfRule type="expression" dxfId="1262" priority="964">
      <formula>AND($J646="x",AJ646&gt;0)</formula>
    </cfRule>
  </conditionalFormatting>
  <conditionalFormatting sqref="AJ668:AJ679">
    <cfRule type="expression" dxfId="1261" priority="921">
      <formula>AND($J668="x",AJ668&gt;0)</formula>
    </cfRule>
  </conditionalFormatting>
  <conditionalFormatting sqref="AJ690:AJ701">
    <cfRule type="expression" dxfId="1260" priority="878">
      <formula>AND($J690="x",AJ690&gt;0)</formula>
    </cfRule>
  </conditionalFormatting>
  <conditionalFormatting sqref="AJ712:AJ723">
    <cfRule type="expression" dxfId="1259" priority="835">
      <formula>AND($J712="x",AJ712&gt;0)</formula>
    </cfRule>
  </conditionalFormatting>
  <conditionalFormatting sqref="AJ734:AJ745">
    <cfRule type="expression" dxfId="1258" priority="792">
      <formula>AND($J734="x",AJ734&gt;0)</formula>
    </cfRule>
  </conditionalFormatting>
  <conditionalFormatting sqref="AJ756:AJ767">
    <cfRule type="expression" dxfId="1257" priority="749">
      <formula>AND($J756="x",AJ756&gt;0)</formula>
    </cfRule>
  </conditionalFormatting>
  <conditionalFormatting sqref="AJ778:AJ789">
    <cfRule type="expression" dxfId="1256" priority="706">
      <formula>AND($J778="x",AJ778&gt;0)</formula>
    </cfRule>
  </conditionalFormatting>
  <conditionalFormatting sqref="AJ800:AJ811">
    <cfRule type="expression" dxfId="1255" priority="663">
      <formula>AND($J800="x",AJ800&gt;0)</formula>
    </cfRule>
  </conditionalFormatting>
  <conditionalFormatting sqref="AJ822:AJ833">
    <cfRule type="expression" dxfId="1254" priority="620">
      <formula>AND($J822="x",AJ822&gt;0)</formula>
    </cfRule>
  </conditionalFormatting>
  <conditionalFormatting sqref="AJ844:AJ855">
    <cfRule type="expression" dxfId="1253" priority="577">
      <formula>AND($J844="x",AJ844&gt;0)</formula>
    </cfRule>
  </conditionalFormatting>
  <conditionalFormatting sqref="AJ866:AJ877">
    <cfRule type="expression" dxfId="1252" priority="534">
      <formula>AND($J866="x",AJ866&gt;0)</formula>
    </cfRule>
  </conditionalFormatting>
  <conditionalFormatting sqref="AJ888:AJ899">
    <cfRule type="expression" dxfId="1251" priority="491">
      <formula>AND($J888="x",AJ888&gt;0)</formula>
    </cfRule>
  </conditionalFormatting>
  <conditionalFormatting sqref="AK6">
    <cfRule type="expression" dxfId="1250" priority="4641">
      <formula>AK6&gt;0</formula>
    </cfRule>
  </conditionalFormatting>
  <conditionalFormatting sqref="AK8:AK19">
    <cfRule type="expression" dxfId="1249" priority="4612">
      <formula>OR(AK8&gt;80,AK8&lt;10)</formula>
    </cfRule>
    <cfRule type="expression" dxfId="1248" priority="4613">
      <formula>AND($K8="x",AK8&gt;0)</formula>
    </cfRule>
  </conditionalFormatting>
  <conditionalFormatting sqref="AK28">
    <cfRule type="expression" dxfId="1247" priority="131">
      <formula>AK28&gt;0</formula>
    </cfRule>
  </conditionalFormatting>
  <conditionalFormatting sqref="AK30:AK41">
    <cfRule type="expression" dxfId="1246" priority="3830">
      <formula>AND($K30="x",AK30&gt;0)</formula>
    </cfRule>
    <cfRule type="expression" dxfId="1245" priority="3829">
      <formula>OR(AK30&gt;80,AK30&lt;10)</formula>
    </cfRule>
  </conditionalFormatting>
  <conditionalFormatting sqref="AK50">
    <cfRule type="expression" dxfId="1244" priority="123">
      <formula>AK50&gt;0</formula>
    </cfRule>
  </conditionalFormatting>
  <conditionalFormatting sqref="AK52:AK63">
    <cfRule type="expression" dxfId="1243" priority="18">
      <formula>AND($K52="x",AK52&gt;0)</formula>
    </cfRule>
    <cfRule type="expression" dxfId="1242" priority="17">
      <formula>OR(AK52&gt;80,AK52&lt;10)</formula>
    </cfRule>
  </conditionalFormatting>
  <conditionalFormatting sqref="AK72">
    <cfRule type="expression" dxfId="1241" priority="115">
      <formula>AK72&gt;0</formula>
    </cfRule>
  </conditionalFormatting>
  <conditionalFormatting sqref="AK74:AK85">
    <cfRule type="expression" dxfId="1240" priority="2067">
      <formula>AND($K74="x",AK74&gt;0)</formula>
    </cfRule>
    <cfRule type="expression" dxfId="1239" priority="2066">
      <formula>OR(AK74&gt;80,AK74&lt;10)</formula>
    </cfRule>
  </conditionalFormatting>
  <conditionalFormatting sqref="AK94">
    <cfRule type="expression" dxfId="1238" priority="107">
      <formula>AK94&gt;0</formula>
    </cfRule>
  </conditionalFormatting>
  <conditionalFormatting sqref="AK96:AK107">
    <cfRule type="expression" dxfId="1237" priority="2024">
      <formula>AND($K96="x",AK96&gt;0)</formula>
    </cfRule>
    <cfRule type="expression" dxfId="1236" priority="2023">
      <formula>OR(AK96&gt;80,AK96&lt;10)</formula>
    </cfRule>
  </conditionalFormatting>
  <conditionalFormatting sqref="AK116">
    <cfRule type="expression" dxfId="1235" priority="99">
      <formula>AK116&gt;0</formula>
    </cfRule>
  </conditionalFormatting>
  <conditionalFormatting sqref="AK118:AK129">
    <cfRule type="expression" dxfId="1234" priority="1980">
      <formula>OR(AK118&gt;80,AK118&lt;10)</formula>
    </cfRule>
    <cfRule type="expression" dxfId="1233" priority="1981">
      <formula>AND($K118="x",AK118&gt;0)</formula>
    </cfRule>
  </conditionalFormatting>
  <conditionalFormatting sqref="AK138">
    <cfRule type="expression" dxfId="1232" priority="91">
      <formula>AK138&gt;0</formula>
    </cfRule>
  </conditionalFormatting>
  <conditionalFormatting sqref="AK140:AK151">
    <cfRule type="expression" dxfId="1231" priority="1937">
      <formula>OR(AK140&gt;80,AK140&lt;10)</formula>
    </cfRule>
    <cfRule type="expression" dxfId="1230" priority="1938">
      <formula>AND($K140="x",AK140&gt;0)</formula>
    </cfRule>
  </conditionalFormatting>
  <conditionalFormatting sqref="AK160">
    <cfRule type="expression" dxfId="1229" priority="83">
      <formula>AK160&gt;0</formula>
    </cfRule>
  </conditionalFormatting>
  <conditionalFormatting sqref="AK162:AK173">
    <cfRule type="expression" dxfId="1228" priority="1895">
      <formula>AND($K162="x",AK162&gt;0)</formula>
    </cfRule>
    <cfRule type="expression" dxfId="1227" priority="1894">
      <formula>OR(AK162&gt;80,AK162&lt;10)</formula>
    </cfRule>
  </conditionalFormatting>
  <conditionalFormatting sqref="AK182">
    <cfRule type="expression" dxfId="1226" priority="75">
      <formula>AK182&gt;0</formula>
    </cfRule>
  </conditionalFormatting>
  <conditionalFormatting sqref="AK184:AK195">
    <cfRule type="expression" dxfId="1225" priority="1852">
      <formula>AND($K184="x",AK184&gt;0)</formula>
    </cfRule>
    <cfRule type="expression" dxfId="1224" priority="1851">
      <formula>OR(AK184&gt;80,AK184&lt;10)</formula>
    </cfRule>
  </conditionalFormatting>
  <conditionalFormatting sqref="AK204">
    <cfRule type="expression" dxfId="1223" priority="67">
      <formula>AK204&gt;0</formula>
    </cfRule>
  </conditionalFormatting>
  <conditionalFormatting sqref="AK206:AK217">
    <cfRule type="expression" dxfId="1222" priority="1808">
      <formula>OR(AK206&gt;80,AK206&lt;10)</formula>
    </cfRule>
    <cfRule type="expression" dxfId="1221" priority="1809">
      <formula>AND($K206="x",AK206&gt;0)</formula>
    </cfRule>
  </conditionalFormatting>
  <conditionalFormatting sqref="AK226">
    <cfRule type="expression" dxfId="1220" priority="59">
      <formula>AK226&gt;0</formula>
    </cfRule>
  </conditionalFormatting>
  <conditionalFormatting sqref="AK228:AK239">
    <cfRule type="expression" dxfId="1219" priority="1765">
      <formula>OR(AK228&gt;80,AK228&lt;10)</formula>
    </cfRule>
    <cfRule type="expression" dxfId="1218" priority="1766">
      <formula>AND($K228="x",AK228&gt;0)</formula>
    </cfRule>
  </conditionalFormatting>
  <conditionalFormatting sqref="AK248">
    <cfRule type="expression" dxfId="1217" priority="51">
      <formula>AK248&gt;0</formula>
    </cfRule>
  </conditionalFormatting>
  <conditionalFormatting sqref="AK250:AK261">
    <cfRule type="expression" dxfId="1216" priority="1722">
      <formula>OR(AK250&gt;80,AK250&lt;10)</formula>
    </cfRule>
    <cfRule type="expression" dxfId="1215" priority="1723">
      <formula>AND($K250="x",AK250&gt;0)</formula>
    </cfRule>
  </conditionalFormatting>
  <conditionalFormatting sqref="AK270">
    <cfRule type="expression" dxfId="1214" priority="363">
      <formula>AK270&gt;0</formula>
    </cfRule>
  </conditionalFormatting>
  <conditionalFormatting sqref="AK272:AK283">
    <cfRule type="expression" dxfId="1213" priority="1679">
      <formula>OR(AK272&gt;80,AK272&lt;10)</formula>
    </cfRule>
    <cfRule type="expression" dxfId="1212" priority="1680">
      <formula>AND($K272="x",AK272&gt;0)</formula>
    </cfRule>
  </conditionalFormatting>
  <conditionalFormatting sqref="AK292">
    <cfRule type="expression" dxfId="1211" priority="355">
      <formula>AK292&gt;0</formula>
    </cfRule>
  </conditionalFormatting>
  <conditionalFormatting sqref="AK294:AK305">
    <cfRule type="expression" dxfId="1210" priority="1636">
      <formula>OR(AK294&gt;80,AK294&lt;10)</formula>
    </cfRule>
    <cfRule type="expression" dxfId="1209" priority="1637">
      <formula>AND($K294="x",AK294&gt;0)</formula>
    </cfRule>
  </conditionalFormatting>
  <conditionalFormatting sqref="AK314">
    <cfRule type="expression" dxfId="1208" priority="347">
      <formula>AK314&gt;0</formula>
    </cfRule>
  </conditionalFormatting>
  <conditionalFormatting sqref="AK316:AK327">
    <cfRule type="expression" dxfId="1207" priority="1594">
      <formula>AND($K316="x",AK316&gt;0)</formula>
    </cfRule>
    <cfRule type="expression" dxfId="1206" priority="1593">
      <formula>OR(AK316&gt;80,AK316&lt;10)</formula>
    </cfRule>
  </conditionalFormatting>
  <conditionalFormatting sqref="AK336">
    <cfRule type="expression" dxfId="1205" priority="339">
      <formula>AK336&gt;0</formula>
    </cfRule>
  </conditionalFormatting>
  <conditionalFormatting sqref="AK338:AK349">
    <cfRule type="expression" dxfId="1204" priority="1551">
      <formula>AND($K338="x",AK338&gt;0)</formula>
    </cfRule>
    <cfRule type="expression" dxfId="1203" priority="1550">
      <formula>OR(AK338&gt;80,AK338&lt;10)</formula>
    </cfRule>
  </conditionalFormatting>
  <conditionalFormatting sqref="AK358">
    <cfRule type="expression" dxfId="1202" priority="331">
      <formula>AK358&gt;0</formula>
    </cfRule>
  </conditionalFormatting>
  <conditionalFormatting sqref="AK360:AK371">
    <cfRule type="expression" dxfId="1201" priority="1508">
      <formula>AND($K360="x",AK360&gt;0)</formula>
    </cfRule>
    <cfRule type="expression" dxfId="1200" priority="1507">
      <formula>OR(AK360&gt;80,AK360&lt;10)</formula>
    </cfRule>
  </conditionalFormatting>
  <conditionalFormatting sqref="AK380">
    <cfRule type="expression" dxfId="1199" priority="323">
      <formula>AK380&gt;0</formula>
    </cfRule>
  </conditionalFormatting>
  <conditionalFormatting sqref="AK382:AK393">
    <cfRule type="expression" dxfId="1198" priority="1464">
      <formula>OR(AK382&gt;80,AK382&lt;10)</formula>
    </cfRule>
    <cfRule type="expression" dxfId="1197" priority="1465">
      <formula>AND($K382="x",AK382&gt;0)</formula>
    </cfRule>
  </conditionalFormatting>
  <conditionalFormatting sqref="AK402">
    <cfRule type="expression" dxfId="1196" priority="315">
      <formula>AK402&gt;0</formula>
    </cfRule>
  </conditionalFormatting>
  <conditionalFormatting sqref="AK404:AK415">
    <cfRule type="expression" dxfId="1195" priority="1422">
      <formula>AND($K404="x",AK404&gt;0)</formula>
    </cfRule>
    <cfRule type="expression" dxfId="1194" priority="1421">
      <formula>OR(AK404&gt;80,AK404&lt;10)</formula>
    </cfRule>
  </conditionalFormatting>
  <conditionalFormatting sqref="AK424">
    <cfRule type="expression" dxfId="1193" priority="307">
      <formula>AK424&gt;0</formula>
    </cfRule>
  </conditionalFormatting>
  <conditionalFormatting sqref="AK426:AK437">
    <cfRule type="expression" dxfId="1192" priority="1379">
      <formula>AND($K426="x",AK426&gt;0)</formula>
    </cfRule>
    <cfRule type="expression" dxfId="1191" priority="1378">
      <formula>OR(AK426&gt;80,AK426&lt;10)</formula>
    </cfRule>
  </conditionalFormatting>
  <conditionalFormatting sqref="AK446">
    <cfRule type="expression" dxfId="1190" priority="299">
      <formula>AK446&gt;0</formula>
    </cfRule>
  </conditionalFormatting>
  <conditionalFormatting sqref="AK448:AK459">
    <cfRule type="expression" dxfId="1189" priority="1336">
      <formula>AND($K448="x",AK448&gt;0)</formula>
    </cfRule>
    <cfRule type="expression" dxfId="1188" priority="1335">
      <formula>OR(AK448&gt;80,AK448&lt;10)</formula>
    </cfRule>
  </conditionalFormatting>
  <conditionalFormatting sqref="AK468">
    <cfRule type="expression" dxfId="1187" priority="291">
      <formula>AK468&gt;0</formula>
    </cfRule>
  </conditionalFormatting>
  <conditionalFormatting sqref="AK470:AK481">
    <cfRule type="expression" dxfId="1186" priority="1292">
      <formula>OR(AK470&gt;80,AK470&lt;10)</formula>
    </cfRule>
    <cfRule type="expression" dxfId="1185" priority="1293">
      <formula>AND($K470="x",AK470&gt;0)</formula>
    </cfRule>
  </conditionalFormatting>
  <conditionalFormatting sqref="AK490">
    <cfRule type="expression" dxfId="1184" priority="283">
      <formula>AK490&gt;0</formula>
    </cfRule>
  </conditionalFormatting>
  <conditionalFormatting sqref="AK492:AK503">
    <cfRule type="expression" dxfId="1183" priority="1249">
      <formula>OR(AK492&gt;80,AK492&lt;10)</formula>
    </cfRule>
    <cfRule type="expression" dxfId="1182" priority="1250">
      <formula>AND($K492="x",AK492&gt;0)</formula>
    </cfRule>
  </conditionalFormatting>
  <conditionalFormatting sqref="AK512">
    <cfRule type="expression" dxfId="1181" priority="275">
      <formula>AK512&gt;0</formula>
    </cfRule>
  </conditionalFormatting>
  <conditionalFormatting sqref="AK514:AK525">
    <cfRule type="expression" dxfId="1180" priority="1206">
      <formula>OR(AK514&gt;80,AK514&lt;10)</formula>
    </cfRule>
    <cfRule type="expression" dxfId="1179" priority="1207">
      <formula>AND($K514="x",AK514&gt;0)</formula>
    </cfRule>
  </conditionalFormatting>
  <conditionalFormatting sqref="AK534">
    <cfRule type="expression" dxfId="1178" priority="267">
      <formula>AK534&gt;0</formula>
    </cfRule>
  </conditionalFormatting>
  <conditionalFormatting sqref="AK536:AK547">
    <cfRule type="expression" dxfId="1177" priority="1163">
      <formula>OR(AK536&gt;80,AK536&lt;10)</formula>
    </cfRule>
    <cfRule type="expression" dxfId="1176" priority="1164">
      <formula>AND($K536="x",AK536&gt;0)</formula>
    </cfRule>
  </conditionalFormatting>
  <conditionalFormatting sqref="AK556">
    <cfRule type="expression" dxfId="1175" priority="259">
      <formula>AK556&gt;0</formula>
    </cfRule>
  </conditionalFormatting>
  <conditionalFormatting sqref="AK558:AK569">
    <cfRule type="expression" dxfId="1174" priority="1120">
      <formula>OR(AK558&gt;80,AK558&lt;10)</formula>
    </cfRule>
    <cfRule type="expression" dxfId="1173" priority="1121">
      <formula>AND($K558="x",AK558&gt;0)</formula>
    </cfRule>
  </conditionalFormatting>
  <conditionalFormatting sqref="AK578">
    <cfRule type="expression" dxfId="1172" priority="251">
      <formula>AK578&gt;0</formula>
    </cfRule>
  </conditionalFormatting>
  <conditionalFormatting sqref="AK580:AK591">
    <cfRule type="expression" dxfId="1171" priority="1077">
      <formula>OR(AK580&gt;80,AK580&lt;10)</formula>
    </cfRule>
    <cfRule type="expression" dxfId="1170" priority="1078">
      <formula>AND($K580="x",AK580&gt;0)</formula>
    </cfRule>
  </conditionalFormatting>
  <conditionalFormatting sqref="AK600">
    <cfRule type="expression" dxfId="1169" priority="243">
      <formula>AK600&gt;0</formula>
    </cfRule>
  </conditionalFormatting>
  <conditionalFormatting sqref="AK602:AK613">
    <cfRule type="expression" dxfId="1168" priority="1034">
      <formula>OR(AK602&gt;80,AK602&lt;10)</formula>
    </cfRule>
    <cfRule type="expression" dxfId="1167" priority="1035">
      <formula>AND($K602="x",AK602&gt;0)</formula>
    </cfRule>
  </conditionalFormatting>
  <conditionalFormatting sqref="AK622">
    <cfRule type="expression" dxfId="1166" priority="235">
      <formula>AK622&gt;0</formula>
    </cfRule>
  </conditionalFormatting>
  <conditionalFormatting sqref="AK624:AK635">
    <cfRule type="expression" dxfId="1165" priority="991">
      <formula>OR(AK624&gt;80,AK624&lt;10)</formula>
    </cfRule>
    <cfRule type="expression" dxfId="1164" priority="992">
      <formula>AND($K624="x",AK624&gt;0)</formula>
    </cfRule>
  </conditionalFormatting>
  <conditionalFormatting sqref="AK644">
    <cfRule type="expression" dxfId="1163" priority="227">
      <formula>AK644&gt;0</formula>
    </cfRule>
  </conditionalFormatting>
  <conditionalFormatting sqref="AK646:AK657">
    <cfRule type="expression" dxfId="1162" priority="949">
      <formula>AND($K646="x",AK646&gt;0)</formula>
    </cfRule>
    <cfRule type="expression" dxfId="1161" priority="948">
      <formula>OR(AK646&gt;80,AK646&lt;10)</formula>
    </cfRule>
  </conditionalFormatting>
  <conditionalFormatting sqref="AK666">
    <cfRule type="expression" dxfId="1160" priority="219">
      <formula>AK666&gt;0</formula>
    </cfRule>
  </conditionalFormatting>
  <conditionalFormatting sqref="AK668:AK679">
    <cfRule type="expression" dxfId="1159" priority="905">
      <formula>OR(AK668&gt;80,AK668&lt;10)</formula>
    </cfRule>
    <cfRule type="expression" dxfId="1158" priority="906">
      <formula>AND($K668="x",AK668&gt;0)</formula>
    </cfRule>
  </conditionalFormatting>
  <conditionalFormatting sqref="AK688">
    <cfRule type="expression" dxfId="1157" priority="211">
      <formula>AK688&gt;0</formula>
    </cfRule>
  </conditionalFormatting>
  <conditionalFormatting sqref="AK690:AK701">
    <cfRule type="expression" dxfId="1156" priority="862">
      <formula>OR(AK690&gt;80,AK690&lt;10)</formula>
    </cfRule>
    <cfRule type="expression" dxfId="1155" priority="863">
      <formula>AND($K690="x",AK690&gt;0)</formula>
    </cfRule>
  </conditionalFormatting>
  <conditionalFormatting sqref="AK710">
    <cfRule type="expression" dxfId="1154" priority="203">
      <formula>AK710&gt;0</formula>
    </cfRule>
  </conditionalFormatting>
  <conditionalFormatting sqref="AK712:AK723">
    <cfRule type="expression" dxfId="1153" priority="820">
      <formula>AND($K712="x",AK712&gt;0)</formula>
    </cfRule>
    <cfRule type="expression" dxfId="1152" priority="819">
      <formula>OR(AK712&gt;80,AK712&lt;10)</formula>
    </cfRule>
  </conditionalFormatting>
  <conditionalFormatting sqref="AK732">
    <cfRule type="expression" dxfId="1151" priority="195">
      <formula>AK732&gt;0</formula>
    </cfRule>
  </conditionalFormatting>
  <conditionalFormatting sqref="AK734:AK745">
    <cfRule type="expression" dxfId="1150" priority="777">
      <formula>AND($K734="x",AK734&gt;0)</formula>
    </cfRule>
    <cfRule type="expression" dxfId="1149" priority="776">
      <formula>OR(AK734&gt;80,AK734&lt;10)</formula>
    </cfRule>
  </conditionalFormatting>
  <conditionalFormatting sqref="AK754">
    <cfRule type="expression" dxfId="1148" priority="187">
      <formula>AK754&gt;0</formula>
    </cfRule>
  </conditionalFormatting>
  <conditionalFormatting sqref="AK756:AK767">
    <cfRule type="expression" dxfId="1147" priority="733">
      <formula>OR(AK756&gt;80,AK756&lt;10)</formula>
    </cfRule>
    <cfRule type="expression" dxfId="1146" priority="734">
      <formula>AND($K756="x",AK756&gt;0)</formula>
    </cfRule>
  </conditionalFormatting>
  <conditionalFormatting sqref="AK776">
    <cfRule type="expression" dxfId="1145" priority="179">
      <formula>AK776&gt;0</formula>
    </cfRule>
  </conditionalFormatting>
  <conditionalFormatting sqref="AK778:AK789">
    <cfRule type="expression" dxfId="1144" priority="690">
      <formula>OR(AK778&gt;80,AK778&lt;10)</formula>
    </cfRule>
    <cfRule type="expression" dxfId="1143" priority="691">
      <formula>AND($K778="x",AK778&gt;0)</formula>
    </cfRule>
  </conditionalFormatting>
  <conditionalFormatting sqref="AK798">
    <cfRule type="expression" dxfId="1142" priority="171">
      <formula>AK798&gt;0</formula>
    </cfRule>
  </conditionalFormatting>
  <conditionalFormatting sqref="AK800:AK811">
    <cfRule type="expression" dxfId="1141" priority="647">
      <formula>OR(AK800&gt;80,AK800&lt;10)</formula>
    </cfRule>
    <cfRule type="expression" dxfId="1140" priority="648">
      <formula>AND($K800="x",AK800&gt;0)</formula>
    </cfRule>
  </conditionalFormatting>
  <conditionalFormatting sqref="AK820">
    <cfRule type="expression" dxfId="1139" priority="163">
      <formula>AK820&gt;0</formula>
    </cfRule>
  </conditionalFormatting>
  <conditionalFormatting sqref="AK822:AK833">
    <cfRule type="expression" dxfId="1138" priority="604">
      <formula>OR(AK822&gt;80,AK822&lt;10)</formula>
    </cfRule>
    <cfRule type="expression" dxfId="1137" priority="605">
      <formula>AND($K822="x",AK822&gt;0)</formula>
    </cfRule>
  </conditionalFormatting>
  <conditionalFormatting sqref="AK842">
    <cfRule type="expression" dxfId="1136" priority="155">
      <formula>AK842&gt;0</formula>
    </cfRule>
  </conditionalFormatting>
  <conditionalFormatting sqref="AK844:AK855">
    <cfRule type="expression" dxfId="1135" priority="561">
      <formula>OR(AK844&gt;80,AK844&lt;10)</formula>
    </cfRule>
    <cfRule type="expression" dxfId="1134" priority="562">
      <formula>AND($K844="x",AK844&gt;0)</formula>
    </cfRule>
  </conditionalFormatting>
  <conditionalFormatting sqref="AK864">
    <cfRule type="expression" dxfId="1133" priority="147">
      <formula>AK864&gt;0</formula>
    </cfRule>
  </conditionalFormatting>
  <conditionalFormatting sqref="AK866:AK877">
    <cfRule type="expression" dxfId="1132" priority="518">
      <formula>OR(AK866&gt;80,AK866&lt;10)</formula>
    </cfRule>
    <cfRule type="expression" dxfId="1131" priority="519">
      <formula>AND($K866="x",AK866&gt;0)</formula>
    </cfRule>
  </conditionalFormatting>
  <conditionalFormatting sqref="AK886">
    <cfRule type="expression" dxfId="1130" priority="139">
      <formula>AK886&gt;0</formula>
    </cfRule>
  </conditionalFormatting>
  <conditionalFormatting sqref="AK888:AK899">
    <cfRule type="expression" dxfId="1129" priority="476">
      <formula>AND($K888="x",AK888&gt;0)</formula>
    </cfRule>
    <cfRule type="expression" dxfId="1128" priority="475">
      <formula>OR(AK888&gt;80,AK888&lt;10)</formula>
    </cfRule>
  </conditionalFormatting>
  <conditionalFormatting sqref="AR8:AR19">
    <cfRule type="expression" dxfId="1127" priority="4627">
      <formula>AND($I8="x",AR8&gt;0)</formula>
    </cfRule>
  </conditionalFormatting>
  <conditionalFormatting sqref="AR30:AR41">
    <cfRule type="expression" dxfId="1126" priority="3844">
      <formula>AND($I30="x",AR30&gt;0)</formula>
    </cfRule>
  </conditionalFormatting>
  <conditionalFormatting sqref="AR52:AR63">
    <cfRule type="expression" dxfId="1125" priority="30">
      <formula>AND($I52="x",AR52&gt;0)</formula>
    </cfRule>
  </conditionalFormatting>
  <conditionalFormatting sqref="AR74:AR85">
    <cfRule type="expression" dxfId="1124" priority="2081">
      <formula>AND($I74="x",AR74&gt;0)</formula>
    </cfRule>
  </conditionalFormatting>
  <conditionalFormatting sqref="AR96:AR107">
    <cfRule type="expression" dxfId="1123" priority="2038">
      <formula>AND($I96="x",AR96&gt;0)</formula>
    </cfRule>
  </conditionalFormatting>
  <conditionalFormatting sqref="AR118:AR129">
    <cfRule type="expression" dxfId="1122" priority="1995">
      <formula>AND($I118="x",AR118&gt;0)</formula>
    </cfRule>
  </conditionalFormatting>
  <conditionalFormatting sqref="AR140:AR151">
    <cfRule type="expression" dxfId="1121" priority="1952">
      <formula>AND($I140="x",AR140&gt;0)</formula>
    </cfRule>
  </conditionalFormatting>
  <conditionalFormatting sqref="AR162:AR173">
    <cfRule type="expression" dxfId="1120" priority="1909">
      <formula>AND($I162="x",AR162&gt;0)</formula>
    </cfRule>
  </conditionalFormatting>
  <conditionalFormatting sqref="AR184:AR195">
    <cfRule type="expression" dxfId="1119" priority="1866">
      <formula>AND($I184="x",AR184&gt;0)</formula>
    </cfRule>
  </conditionalFormatting>
  <conditionalFormatting sqref="AR206:AR217">
    <cfRule type="expression" dxfId="1118" priority="1823">
      <formula>AND($I206="x",AR206&gt;0)</formula>
    </cfRule>
  </conditionalFormatting>
  <conditionalFormatting sqref="AR228:AR239">
    <cfRule type="expression" dxfId="1117" priority="1780">
      <formula>AND($I228="x",AR228&gt;0)</formula>
    </cfRule>
  </conditionalFormatting>
  <conditionalFormatting sqref="AR250:AR261">
    <cfRule type="expression" dxfId="1116" priority="1737">
      <formula>AND($I250="x",AR250&gt;0)</formula>
    </cfRule>
  </conditionalFormatting>
  <conditionalFormatting sqref="AR272:AR283">
    <cfRule type="expression" dxfId="1115" priority="1694">
      <formula>AND($I272="x",AR272&gt;0)</formula>
    </cfRule>
  </conditionalFormatting>
  <conditionalFormatting sqref="AR294:AR305">
    <cfRule type="expression" dxfId="1114" priority="1651">
      <formula>AND($I294="x",AR294&gt;0)</formula>
    </cfRule>
  </conditionalFormatting>
  <conditionalFormatting sqref="AR316:AR327">
    <cfRule type="expression" dxfId="1113" priority="1608">
      <formula>AND($I316="x",AR316&gt;0)</formula>
    </cfRule>
  </conditionalFormatting>
  <conditionalFormatting sqref="AR338:AR349">
    <cfRule type="expression" dxfId="1112" priority="1565">
      <formula>AND($I338="x",AR338&gt;0)</formula>
    </cfRule>
  </conditionalFormatting>
  <conditionalFormatting sqref="AR360:AR371">
    <cfRule type="expression" dxfId="1111" priority="1522">
      <formula>AND($I360="x",AR360&gt;0)</formula>
    </cfRule>
  </conditionalFormatting>
  <conditionalFormatting sqref="AR382:AR393">
    <cfRule type="expression" dxfId="1110" priority="1479">
      <formula>AND($I382="x",AR382&gt;0)</formula>
    </cfRule>
  </conditionalFormatting>
  <conditionalFormatting sqref="AR404:AR415">
    <cfRule type="expression" dxfId="1109" priority="1436">
      <formula>AND($I404="x",AR404&gt;0)</formula>
    </cfRule>
  </conditionalFormatting>
  <conditionalFormatting sqref="AR426:AR437">
    <cfRule type="expression" dxfId="1108" priority="1393">
      <formula>AND($I426="x",AR426&gt;0)</formula>
    </cfRule>
  </conditionalFormatting>
  <conditionalFormatting sqref="AR448:AR459">
    <cfRule type="expression" dxfId="1107" priority="1350">
      <formula>AND($I448="x",AR448&gt;0)</formula>
    </cfRule>
  </conditionalFormatting>
  <conditionalFormatting sqref="AR470:AR481">
    <cfRule type="expression" dxfId="1106" priority="1307">
      <formula>AND($I470="x",AR470&gt;0)</formula>
    </cfRule>
  </conditionalFormatting>
  <conditionalFormatting sqref="AR492:AR503">
    <cfRule type="expression" dxfId="1105" priority="1264">
      <formula>AND($I492="x",AR492&gt;0)</formula>
    </cfRule>
  </conditionalFormatting>
  <conditionalFormatting sqref="AR514:AR525">
    <cfRule type="expression" dxfId="1104" priority="1221">
      <formula>AND($I514="x",AR514&gt;0)</formula>
    </cfRule>
  </conditionalFormatting>
  <conditionalFormatting sqref="AR536:AR547">
    <cfRule type="expression" dxfId="1103" priority="1178">
      <formula>AND($I536="x",AR536&gt;0)</formula>
    </cfRule>
  </conditionalFormatting>
  <conditionalFormatting sqref="AR558:AR569">
    <cfRule type="expression" dxfId="1102" priority="1135">
      <formula>AND($I558="x",AR558&gt;0)</formula>
    </cfRule>
  </conditionalFormatting>
  <conditionalFormatting sqref="AR580:AR591">
    <cfRule type="expression" dxfId="1101" priority="1092">
      <formula>AND($I580="x",AR580&gt;0)</formula>
    </cfRule>
  </conditionalFormatting>
  <conditionalFormatting sqref="AR602:AR613">
    <cfRule type="expression" dxfId="1100" priority="1049">
      <formula>AND($I602="x",AR602&gt;0)</formula>
    </cfRule>
  </conditionalFormatting>
  <conditionalFormatting sqref="AR624:AR635">
    <cfRule type="expression" dxfId="1099" priority="1006">
      <formula>AND($I624="x",AR624&gt;0)</formula>
    </cfRule>
  </conditionalFormatting>
  <conditionalFormatting sqref="AR646:AR657">
    <cfRule type="expression" dxfId="1098" priority="963">
      <formula>AND($I646="x",AR646&gt;0)</formula>
    </cfRule>
  </conditionalFormatting>
  <conditionalFormatting sqref="AR668:AR679">
    <cfRule type="expression" dxfId="1097" priority="920">
      <formula>AND($I668="x",AR668&gt;0)</formula>
    </cfRule>
  </conditionalFormatting>
  <conditionalFormatting sqref="AR690:AR701">
    <cfRule type="expression" dxfId="1096" priority="877">
      <formula>AND($I690="x",AR690&gt;0)</formula>
    </cfRule>
  </conditionalFormatting>
  <conditionalFormatting sqref="AR712:AR723">
    <cfRule type="expression" dxfId="1095" priority="834">
      <formula>AND($I712="x",AR712&gt;0)</formula>
    </cfRule>
  </conditionalFormatting>
  <conditionalFormatting sqref="AR734:AR745">
    <cfRule type="expression" dxfId="1094" priority="791">
      <formula>AND($I734="x",AR734&gt;0)</formula>
    </cfRule>
  </conditionalFormatting>
  <conditionalFormatting sqref="AR756:AR767">
    <cfRule type="expression" dxfId="1093" priority="748">
      <formula>AND($I756="x",AR756&gt;0)</formula>
    </cfRule>
  </conditionalFormatting>
  <conditionalFormatting sqref="AR778:AR789">
    <cfRule type="expression" dxfId="1092" priority="705">
      <formula>AND($I778="x",AR778&gt;0)</formula>
    </cfRule>
  </conditionalFormatting>
  <conditionalFormatting sqref="AR800:AR811">
    <cfRule type="expression" dxfId="1091" priority="662">
      <formula>AND($I800="x",AR800&gt;0)</formula>
    </cfRule>
  </conditionalFormatting>
  <conditionalFormatting sqref="AR822:AR833">
    <cfRule type="expression" dxfId="1090" priority="619">
      <formula>AND($I822="x",AR822&gt;0)</formula>
    </cfRule>
  </conditionalFormatting>
  <conditionalFormatting sqref="AR844:AR855">
    <cfRule type="expression" dxfId="1089" priority="576">
      <formula>AND($I844="x",AR844&gt;0)</formula>
    </cfRule>
  </conditionalFormatting>
  <conditionalFormatting sqref="AR866:AR877">
    <cfRule type="expression" dxfId="1088" priority="533">
      <formula>AND($I866="x",AR866&gt;0)</formula>
    </cfRule>
  </conditionalFormatting>
  <conditionalFormatting sqref="AR888:AR899">
    <cfRule type="expression" dxfId="1087" priority="490">
      <formula>AND($I888="x",AR888&gt;0)</formula>
    </cfRule>
  </conditionalFormatting>
  <conditionalFormatting sqref="AS8:AS19">
    <cfRule type="expression" dxfId="1086" priority="4626">
      <formula>AND($J8="x",AS8&gt;0)</formula>
    </cfRule>
  </conditionalFormatting>
  <conditionalFormatting sqref="AS30:AS41">
    <cfRule type="expression" dxfId="1085" priority="3843">
      <formula>AND($J30="x",AS30&gt;0)</formula>
    </cfRule>
  </conditionalFormatting>
  <conditionalFormatting sqref="AS52:AS63">
    <cfRule type="expression" dxfId="1084" priority="29">
      <formula>AND($J52="x",AS52&gt;0)</formula>
    </cfRule>
  </conditionalFormatting>
  <conditionalFormatting sqref="AS74:AS85">
    <cfRule type="expression" dxfId="1083" priority="2080">
      <formula>AND($J74="x",AS74&gt;0)</formula>
    </cfRule>
  </conditionalFormatting>
  <conditionalFormatting sqref="AS96:AS107">
    <cfRule type="expression" dxfId="1082" priority="2037">
      <formula>AND($J96="x",AS96&gt;0)</formula>
    </cfRule>
  </conditionalFormatting>
  <conditionalFormatting sqref="AS118:AS129">
    <cfRule type="expression" dxfId="1081" priority="1994">
      <formula>AND($J118="x",AS118&gt;0)</formula>
    </cfRule>
  </conditionalFormatting>
  <conditionalFormatting sqref="AS140:AS151">
    <cfRule type="expression" dxfId="1080" priority="1951">
      <formula>AND($J140="x",AS140&gt;0)</formula>
    </cfRule>
  </conditionalFormatting>
  <conditionalFormatting sqref="AS162:AS173">
    <cfRule type="expression" dxfId="1079" priority="1908">
      <formula>AND($J162="x",AS162&gt;0)</formula>
    </cfRule>
  </conditionalFormatting>
  <conditionalFormatting sqref="AS184:AS195">
    <cfRule type="expression" dxfId="1078" priority="1865">
      <formula>AND($J184="x",AS184&gt;0)</formula>
    </cfRule>
  </conditionalFormatting>
  <conditionalFormatting sqref="AS206:AS217">
    <cfRule type="expression" dxfId="1077" priority="1822">
      <formula>AND($J206="x",AS206&gt;0)</formula>
    </cfRule>
  </conditionalFormatting>
  <conditionalFormatting sqref="AS228:AS239">
    <cfRule type="expression" dxfId="1076" priority="1779">
      <formula>AND($J228="x",AS228&gt;0)</formula>
    </cfRule>
  </conditionalFormatting>
  <conditionalFormatting sqref="AS250:AS261">
    <cfRule type="expression" dxfId="1075" priority="1736">
      <formula>AND($J250="x",AS250&gt;0)</formula>
    </cfRule>
  </conditionalFormatting>
  <conditionalFormatting sqref="AS272:AS283">
    <cfRule type="expression" dxfId="1074" priority="1693">
      <formula>AND($J272="x",AS272&gt;0)</formula>
    </cfRule>
  </conditionalFormatting>
  <conditionalFormatting sqref="AS294:AS305">
    <cfRule type="expression" dxfId="1073" priority="1650">
      <formula>AND($J294="x",AS294&gt;0)</formula>
    </cfRule>
  </conditionalFormatting>
  <conditionalFormatting sqref="AS316:AS327">
    <cfRule type="expression" dxfId="1072" priority="1607">
      <formula>AND($J316="x",AS316&gt;0)</formula>
    </cfRule>
  </conditionalFormatting>
  <conditionalFormatting sqref="AS338:AS349">
    <cfRule type="expression" dxfId="1071" priority="1564">
      <formula>AND($J338="x",AS338&gt;0)</formula>
    </cfRule>
  </conditionalFormatting>
  <conditionalFormatting sqref="AS360:AS371">
    <cfRule type="expression" dxfId="1070" priority="1521">
      <formula>AND($J360="x",AS360&gt;0)</formula>
    </cfRule>
  </conditionalFormatting>
  <conditionalFormatting sqref="AS382:AS393">
    <cfRule type="expression" dxfId="1069" priority="1478">
      <formula>AND($J382="x",AS382&gt;0)</formula>
    </cfRule>
  </conditionalFormatting>
  <conditionalFormatting sqref="AS404:AS415">
    <cfRule type="expression" dxfId="1068" priority="1435">
      <formula>AND($J404="x",AS404&gt;0)</formula>
    </cfRule>
  </conditionalFormatting>
  <conditionalFormatting sqref="AS426:AS437">
    <cfRule type="expression" dxfId="1067" priority="1392">
      <formula>AND($J426="x",AS426&gt;0)</formula>
    </cfRule>
  </conditionalFormatting>
  <conditionalFormatting sqref="AS448:AS459">
    <cfRule type="expression" dxfId="1066" priority="1349">
      <formula>AND($J448="x",AS448&gt;0)</formula>
    </cfRule>
  </conditionalFormatting>
  <conditionalFormatting sqref="AS470:AS481">
    <cfRule type="expression" dxfId="1065" priority="1306">
      <formula>AND($J470="x",AS470&gt;0)</formula>
    </cfRule>
  </conditionalFormatting>
  <conditionalFormatting sqref="AS492:AS503">
    <cfRule type="expression" dxfId="1064" priority="1263">
      <formula>AND($J492="x",AS492&gt;0)</formula>
    </cfRule>
  </conditionalFormatting>
  <conditionalFormatting sqref="AS514:AS525">
    <cfRule type="expression" dxfId="1063" priority="1220">
      <formula>AND($J514="x",AS514&gt;0)</formula>
    </cfRule>
  </conditionalFormatting>
  <conditionalFormatting sqref="AS536:AS547">
    <cfRule type="expression" dxfId="1062" priority="1177">
      <formula>AND($J536="x",AS536&gt;0)</formula>
    </cfRule>
  </conditionalFormatting>
  <conditionalFormatting sqref="AS558:AS569">
    <cfRule type="expression" dxfId="1061" priority="1134">
      <formula>AND($J558="x",AS558&gt;0)</formula>
    </cfRule>
  </conditionalFormatting>
  <conditionalFormatting sqref="AS580:AS591">
    <cfRule type="expression" dxfId="1060" priority="1091">
      <formula>AND($J580="x",AS580&gt;0)</formula>
    </cfRule>
  </conditionalFormatting>
  <conditionalFormatting sqref="AS602:AS613">
    <cfRule type="expression" dxfId="1059" priority="1048">
      <formula>AND($J602="x",AS602&gt;0)</formula>
    </cfRule>
  </conditionalFormatting>
  <conditionalFormatting sqref="AS624:AS635">
    <cfRule type="expression" dxfId="1058" priority="1005">
      <formula>AND($J624="x",AS624&gt;0)</formula>
    </cfRule>
  </conditionalFormatting>
  <conditionalFormatting sqref="AS646:AS657">
    <cfRule type="expression" dxfId="1057" priority="962">
      <formula>AND($J646="x",AS646&gt;0)</formula>
    </cfRule>
  </conditionalFormatting>
  <conditionalFormatting sqref="AS668:AS679">
    <cfRule type="expression" dxfId="1056" priority="919">
      <formula>AND($J668="x",AS668&gt;0)</formula>
    </cfRule>
  </conditionalFormatting>
  <conditionalFormatting sqref="AS690:AS701">
    <cfRule type="expression" dxfId="1055" priority="876">
      <formula>AND($J690="x",AS690&gt;0)</formula>
    </cfRule>
  </conditionalFormatting>
  <conditionalFormatting sqref="AS712:AS723">
    <cfRule type="expression" dxfId="1054" priority="833">
      <formula>AND($J712="x",AS712&gt;0)</formula>
    </cfRule>
  </conditionalFormatting>
  <conditionalFormatting sqref="AS734:AS745">
    <cfRule type="expression" dxfId="1053" priority="790">
      <formula>AND($J734="x",AS734&gt;0)</formula>
    </cfRule>
  </conditionalFormatting>
  <conditionalFormatting sqref="AS756:AS767">
    <cfRule type="expression" dxfId="1052" priority="747">
      <formula>AND($J756="x",AS756&gt;0)</formula>
    </cfRule>
  </conditionalFormatting>
  <conditionalFormatting sqref="AS778:AS789">
    <cfRule type="expression" dxfId="1051" priority="704">
      <formula>AND($J778="x",AS778&gt;0)</formula>
    </cfRule>
  </conditionalFormatting>
  <conditionalFormatting sqref="AS800:AS811">
    <cfRule type="expression" dxfId="1050" priority="661">
      <formula>AND($J800="x",AS800&gt;0)</formula>
    </cfRule>
  </conditionalFormatting>
  <conditionalFormatting sqref="AS822:AS833">
    <cfRule type="expression" dxfId="1049" priority="618">
      <formula>AND($J822="x",AS822&gt;0)</formula>
    </cfRule>
  </conditionalFormatting>
  <conditionalFormatting sqref="AS844:AS855">
    <cfRule type="expression" dxfId="1048" priority="575">
      <formula>AND($J844="x",AS844&gt;0)</formula>
    </cfRule>
  </conditionalFormatting>
  <conditionalFormatting sqref="AS866:AS877">
    <cfRule type="expression" dxfId="1047" priority="532">
      <formula>AND($J866="x",AS866&gt;0)</formula>
    </cfRule>
  </conditionalFormatting>
  <conditionalFormatting sqref="AS888:AS899">
    <cfRule type="expression" dxfId="1046" priority="489">
      <formula>AND($J888="x",AS888&gt;0)</formula>
    </cfRule>
  </conditionalFormatting>
  <conditionalFormatting sqref="AT6">
    <cfRule type="expression" dxfId="1045" priority="4640">
      <formula>AT6&gt;0</formula>
    </cfRule>
  </conditionalFormatting>
  <conditionalFormatting sqref="AT8:AT19">
    <cfRule type="expression" dxfId="1044" priority="4611">
      <formula>AND($K8="x",AT8&gt;0)</formula>
    </cfRule>
    <cfRule type="expression" dxfId="1043" priority="4610">
      <formula>OR(AT8&gt;80,AT8&lt;10)</formula>
    </cfRule>
  </conditionalFormatting>
  <conditionalFormatting sqref="AT28">
    <cfRule type="expression" dxfId="1042" priority="130">
      <formula>AT28&gt;0</formula>
    </cfRule>
  </conditionalFormatting>
  <conditionalFormatting sqref="AT30:AT41">
    <cfRule type="expression" dxfId="1041" priority="3827">
      <formula>OR(AT30&gt;80,AT30&lt;10)</formula>
    </cfRule>
    <cfRule type="expression" dxfId="1040" priority="3828">
      <formula>AND($K30="x",AT30&gt;0)</formula>
    </cfRule>
  </conditionalFormatting>
  <conditionalFormatting sqref="AT50">
    <cfRule type="expression" dxfId="1039" priority="122">
      <formula>AT50&gt;0</formula>
    </cfRule>
  </conditionalFormatting>
  <conditionalFormatting sqref="AT52:AT63">
    <cfRule type="expression" dxfId="1038" priority="15">
      <formula>OR(AT52&gt;80,AT52&lt;10)</formula>
    </cfRule>
    <cfRule type="expression" dxfId="1037" priority="16">
      <formula>AND($K52="x",AT52&gt;0)</formula>
    </cfRule>
  </conditionalFormatting>
  <conditionalFormatting sqref="AT72">
    <cfRule type="expression" dxfId="1036" priority="114">
      <formula>AT72&gt;0</formula>
    </cfRule>
  </conditionalFormatting>
  <conditionalFormatting sqref="AT74:AT85">
    <cfRule type="expression" dxfId="1035" priority="2064">
      <formula>OR(AT74&gt;80,AT74&lt;10)</formula>
    </cfRule>
    <cfRule type="expression" dxfId="1034" priority="2065">
      <formula>AND($K74="x",AT74&gt;0)</formula>
    </cfRule>
  </conditionalFormatting>
  <conditionalFormatting sqref="AT94">
    <cfRule type="expression" dxfId="1033" priority="106">
      <formula>AT94&gt;0</formula>
    </cfRule>
  </conditionalFormatting>
  <conditionalFormatting sqref="AT96:AT107">
    <cfRule type="expression" dxfId="1032" priority="2022">
      <formula>AND($K96="x",AT96&gt;0)</formula>
    </cfRule>
    <cfRule type="expression" dxfId="1031" priority="2021">
      <formula>OR(AT96&gt;80,AT96&lt;10)</formula>
    </cfRule>
  </conditionalFormatting>
  <conditionalFormatting sqref="AT116">
    <cfRule type="expression" dxfId="1030" priority="98">
      <formula>AT116&gt;0</formula>
    </cfRule>
  </conditionalFormatting>
  <conditionalFormatting sqref="AT118:AT129">
    <cfRule type="expression" dxfId="1029" priority="1979">
      <formula>AND($K118="x",AT118&gt;0)</formula>
    </cfRule>
    <cfRule type="expression" dxfId="1028" priority="1978">
      <formula>OR(AT118&gt;80,AT118&lt;10)</formula>
    </cfRule>
  </conditionalFormatting>
  <conditionalFormatting sqref="AT138">
    <cfRule type="expression" dxfId="1027" priority="90">
      <formula>AT138&gt;0</formula>
    </cfRule>
  </conditionalFormatting>
  <conditionalFormatting sqref="AT140:AT151">
    <cfRule type="expression" dxfId="1026" priority="1935">
      <formula>OR(AT140&gt;80,AT140&lt;10)</formula>
    </cfRule>
    <cfRule type="expression" dxfId="1025" priority="1936">
      <formula>AND($K140="x",AT140&gt;0)</formula>
    </cfRule>
  </conditionalFormatting>
  <conditionalFormatting sqref="AT160">
    <cfRule type="expression" dxfId="1024" priority="82">
      <formula>AT160&gt;0</formula>
    </cfRule>
  </conditionalFormatting>
  <conditionalFormatting sqref="AT162:AT173">
    <cfRule type="expression" dxfId="1023" priority="1892">
      <formula>OR(AT162&gt;80,AT162&lt;10)</formula>
    </cfRule>
    <cfRule type="expression" dxfId="1022" priority="1893">
      <formula>AND($K162="x",AT162&gt;0)</formula>
    </cfRule>
  </conditionalFormatting>
  <conditionalFormatting sqref="AT182">
    <cfRule type="expression" dxfId="1021" priority="74">
      <formula>AT182&gt;0</formula>
    </cfRule>
  </conditionalFormatting>
  <conditionalFormatting sqref="AT184:AT195">
    <cfRule type="expression" dxfId="1020" priority="1849">
      <formula>OR(AT184&gt;80,AT184&lt;10)</formula>
    </cfRule>
    <cfRule type="expression" dxfId="1019" priority="1850">
      <formula>AND($K184="x",AT184&gt;0)</formula>
    </cfRule>
  </conditionalFormatting>
  <conditionalFormatting sqref="AT204">
    <cfRule type="expression" dxfId="1018" priority="66">
      <formula>AT204&gt;0</formula>
    </cfRule>
  </conditionalFormatting>
  <conditionalFormatting sqref="AT206:AT217">
    <cfRule type="expression" dxfId="1017" priority="1806">
      <formula>OR(AT206&gt;80,AT206&lt;10)</formula>
    </cfRule>
    <cfRule type="expression" dxfId="1016" priority="1807">
      <formula>AND($K206="x",AT206&gt;0)</formula>
    </cfRule>
  </conditionalFormatting>
  <conditionalFormatting sqref="AT226">
    <cfRule type="expression" dxfId="1015" priority="58">
      <formula>AT226&gt;0</formula>
    </cfRule>
  </conditionalFormatting>
  <conditionalFormatting sqref="AT228:AT239">
    <cfRule type="expression" dxfId="1014" priority="1764">
      <formula>AND($K228="x",AT228&gt;0)</formula>
    </cfRule>
    <cfRule type="expression" dxfId="1013" priority="1763">
      <formula>OR(AT228&gt;80,AT228&lt;10)</formula>
    </cfRule>
  </conditionalFormatting>
  <conditionalFormatting sqref="AT248">
    <cfRule type="expression" dxfId="1012" priority="50">
      <formula>AT248&gt;0</formula>
    </cfRule>
  </conditionalFormatting>
  <conditionalFormatting sqref="AT250:AT261">
    <cfRule type="expression" dxfId="1011" priority="1720">
      <formula>OR(AT250&gt;80,AT250&lt;10)</formula>
    </cfRule>
    <cfRule type="expression" dxfId="1010" priority="1721">
      <formula>AND($K250="x",AT250&gt;0)</formula>
    </cfRule>
  </conditionalFormatting>
  <conditionalFormatting sqref="AT270">
    <cfRule type="expression" dxfId="1009" priority="362">
      <formula>AT270&gt;0</formula>
    </cfRule>
  </conditionalFormatting>
  <conditionalFormatting sqref="AT272:AT283">
    <cfRule type="expression" dxfId="1008" priority="1677">
      <formula>OR(AT272&gt;80,AT272&lt;10)</formula>
    </cfRule>
    <cfRule type="expression" dxfId="1007" priority="1678">
      <formula>AND($K272="x",AT272&gt;0)</formula>
    </cfRule>
  </conditionalFormatting>
  <conditionalFormatting sqref="AT292">
    <cfRule type="expression" dxfId="1006" priority="354">
      <formula>AT292&gt;0</formula>
    </cfRule>
  </conditionalFormatting>
  <conditionalFormatting sqref="AT294:AT305">
    <cfRule type="expression" dxfId="1005" priority="1635">
      <formula>AND($K294="x",AT294&gt;0)</formula>
    </cfRule>
    <cfRule type="expression" dxfId="1004" priority="1634">
      <formula>OR(AT294&gt;80,AT294&lt;10)</formula>
    </cfRule>
  </conditionalFormatting>
  <conditionalFormatting sqref="AT314">
    <cfRule type="expression" dxfId="1003" priority="346">
      <formula>AT314&gt;0</formula>
    </cfRule>
  </conditionalFormatting>
  <conditionalFormatting sqref="AT316:AT327">
    <cfRule type="expression" dxfId="1002" priority="1591">
      <formula>OR(AT316&gt;80,AT316&lt;10)</formula>
    </cfRule>
    <cfRule type="expression" dxfId="1001" priority="1592">
      <formula>AND($K316="x",AT316&gt;0)</formula>
    </cfRule>
  </conditionalFormatting>
  <conditionalFormatting sqref="AT336">
    <cfRule type="expression" dxfId="1000" priority="338">
      <formula>AT336&gt;0</formula>
    </cfRule>
  </conditionalFormatting>
  <conditionalFormatting sqref="AT338:AT349">
    <cfRule type="expression" dxfId="999" priority="1549">
      <formula>AND($K338="x",AT338&gt;0)</formula>
    </cfRule>
    <cfRule type="expression" dxfId="998" priority="1548">
      <formula>OR(AT338&gt;80,AT338&lt;10)</formula>
    </cfRule>
  </conditionalFormatting>
  <conditionalFormatting sqref="AT358">
    <cfRule type="expression" dxfId="997" priority="330">
      <formula>AT358&gt;0</formula>
    </cfRule>
  </conditionalFormatting>
  <conditionalFormatting sqref="AT360:AT371">
    <cfRule type="expression" dxfId="996" priority="1505">
      <formula>OR(AT360&gt;80,AT360&lt;10)</formula>
    </cfRule>
    <cfRule type="expression" dxfId="995" priority="1506">
      <formula>AND($K360="x",AT360&gt;0)</formula>
    </cfRule>
  </conditionalFormatting>
  <conditionalFormatting sqref="AT380">
    <cfRule type="expression" dxfId="994" priority="322">
      <formula>AT380&gt;0</formula>
    </cfRule>
  </conditionalFormatting>
  <conditionalFormatting sqref="AT382:AT393">
    <cfRule type="expression" dxfId="993" priority="1462">
      <formula>OR(AT382&gt;80,AT382&lt;10)</formula>
    </cfRule>
    <cfRule type="expression" dxfId="992" priority="1463">
      <formula>AND($K382="x",AT382&gt;0)</formula>
    </cfRule>
  </conditionalFormatting>
  <conditionalFormatting sqref="AT402">
    <cfRule type="expression" dxfId="991" priority="314">
      <formula>AT402&gt;0</formula>
    </cfRule>
  </conditionalFormatting>
  <conditionalFormatting sqref="AT404:AT415">
    <cfRule type="expression" dxfId="990" priority="1420">
      <formula>AND($K404="x",AT404&gt;0)</formula>
    </cfRule>
    <cfRule type="expression" dxfId="989" priority="1419">
      <formula>OR(AT404&gt;80,AT404&lt;10)</formula>
    </cfRule>
  </conditionalFormatting>
  <conditionalFormatting sqref="AT424">
    <cfRule type="expression" dxfId="988" priority="306">
      <formula>AT424&gt;0</formula>
    </cfRule>
  </conditionalFormatting>
  <conditionalFormatting sqref="AT426:AT437">
    <cfRule type="expression" dxfId="987" priority="1376">
      <formula>OR(AT426&gt;80,AT426&lt;10)</formula>
    </cfRule>
    <cfRule type="expression" dxfId="986" priority="1377">
      <formula>AND($K426="x",AT426&gt;0)</formula>
    </cfRule>
  </conditionalFormatting>
  <conditionalFormatting sqref="AT446">
    <cfRule type="expression" dxfId="985" priority="298">
      <formula>AT446&gt;0</formula>
    </cfRule>
  </conditionalFormatting>
  <conditionalFormatting sqref="AT448:AT459">
    <cfRule type="expression" dxfId="984" priority="1334">
      <formula>AND($K448="x",AT448&gt;0)</formula>
    </cfRule>
    <cfRule type="expression" dxfId="983" priority="1333">
      <formula>OR(AT448&gt;80,AT448&lt;10)</formula>
    </cfRule>
  </conditionalFormatting>
  <conditionalFormatting sqref="AT468">
    <cfRule type="expression" dxfId="982" priority="290">
      <formula>AT468&gt;0</formula>
    </cfRule>
  </conditionalFormatting>
  <conditionalFormatting sqref="AT470:AT481">
    <cfRule type="expression" dxfId="981" priority="1291">
      <formula>AND($K470="x",AT470&gt;0)</formula>
    </cfRule>
    <cfRule type="expression" dxfId="980" priority="1290">
      <formula>OR(AT470&gt;80,AT470&lt;10)</formula>
    </cfRule>
  </conditionalFormatting>
  <conditionalFormatting sqref="AT490">
    <cfRule type="expression" dxfId="979" priority="282">
      <formula>AT490&gt;0</formula>
    </cfRule>
  </conditionalFormatting>
  <conditionalFormatting sqref="AT492:AT503">
    <cfRule type="expression" dxfId="978" priority="1247">
      <formula>OR(AT492&gt;80,AT492&lt;10)</formula>
    </cfRule>
    <cfRule type="expression" dxfId="977" priority="1248">
      <formula>AND($K492="x",AT492&gt;0)</formula>
    </cfRule>
  </conditionalFormatting>
  <conditionalFormatting sqref="AT512">
    <cfRule type="expression" dxfId="976" priority="274">
      <formula>AT512&gt;0</formula>
    </cfRule>
  </conditionalFormatting>
  <conditionalFormatting sqref="AT514:AT525">
    <cfRule type="expression" dxfId="975" priority="1205">
      <formula>AND($K514="x",AT514&gt;0)</formula>
    </cfRule>
    <cfRule type="expression" dxfId="974" priority="1204">
      <formula>OR(AT514&gt;80,AT514&lt;10)</formula>
    </cfRule>
  </conditionalFormatting>
  <conditionalFormatting sqref="AT534">
    <cfRule type="expression" dxfId="973" priority="266">
      <formula>AT534&gt;0</formula>
    </cfRule>
  </conditionalFormatting>
  <conditionalFormatting sqref="AT536:AT547">
    <cfRule type="expression" dxfId="972" priority="1161">
      <formula>OR(AT536&gt;80,AT536&lt;10)</formula>
    </cfRule>
    <cfRule type="expression" dxfId="971" priority="1162">
      <formula>AND($K536="x",AT536&gt;0)</formula>
    </cfRule>
  </conditionalFormatting>
  <conditionalFormatting sqref="AT556">
    <cfRule type="expression" dxfId="970" priority="258">
      <formula>AT556&gt;0</formula>
    </cfRule>
  </conditionalFormatting>
  <conditionalFormatting sqref="AT558:AT569">
    <cfRule type="expression" dxfId="969" priority="1118">
      <formula>OR(AT558&gt;80,AT558&lt;10)</formula>
    </cfRule>
    <cfRule type="expression" dxfId="968" priority="1119">
      <formula>AND($K558="x",AT558&gt;0)</formula>
    </cfRule>
  </conditionalFormatting>
  <conditionalFormatting sqref="AT578">
    <cfRule type="expression" dxfId="967" priority="250">
      <formula>AT578&gt;0</formula>
    </cfRule>
  </conditionalFormatting>
  <conditionalFormatting sqref="AT580:AT591">
    <cfRule type="expression" dxfId="966" priority="1075">
      <formula>OR(AT580&gt;80,AT580&lt;10)</formula>
    </cfRule>
    <cfRule type="expression" dxfId="965" priority="1076">
      <formula>AND($K580="x",AT580&gt;0)</formula>
    </cfRule>
  </conditionalFormatting>
  <conditionalFormatting sqref="AT600">
    <cfRule type="expression" dxfId="964" priority="242">
      <formula>AT600&gt;0</formula>
    </cfRule>
  </conditionalFormatting>
  <conditionalFormatting sqref="AT602:AT613">
    <cfRule type="expression" dxfId="963" priority="1033">
      <formula>AND($K602="x",AT602&gt;0)</formula>
    </cfRule>
    <cfRule type="expression" dxfId="962" priority="1032">
      <formula>OR(AT602&gt;80,AT602&lt;10)</formula>
    </cfRule>
  </conditionalFormatting>
  <conditionalFormatting sqref="AT622">
    <cfRule type="expression" dxfId="961" priority="234">
      <formula>AT622&gt;0</formula>
    </cfRule>
  </conditionalFormatting>
  <conditionalFormatting sqref="AT624:AT635">
    <cfRule type="expression" dxfId="960" priority="990">
      <formula>AND($K624="x",AT624&gt;0)</formula>
    </cfRule>
    <cfRule type="expression" dxfId="959" priority="989">
      <formula>OR(AT624&gt;80,AT624&lt;10)</formula>
    </cfRule>
  </conditionalFormatting>
  <conditionalFormatting sqref="AT644">
    <cfRule type="expression" dxfId="958" priority="226">
      <formula>AT644&gt;0</formula>
    </cfRule>
  </conditionalFormatting>
  <conditionalFormatting sqref="AT646:AT657">
    <cfRule type="expression" dxfId="957" priority="946">
      <formula>OR(AT646&gt;80,AT646&lt;10)</formula>
    </cfRule>
    <cfRule type="expression" dxfId="956" priority="947">
      <formula>AND($K646="x",AT646&gt;0)</formula>
    </cfRule>
  </conditionalFormatting>
  <conditionalFormatting sqref="AT666">
    <cfRule type="expression" dxfId="955" priority="218">
      <formula>AT666&gt;0</formula>
    </cfRule>
  </conditionalFormatting>
  <conditionalFormatting sqref="AT668:AT679">
    <cfRule type="expression" dxfId="954" priority="903">
      <formula>OR(AT668&gt;80,AT668&lt;10)</formula>
    </cfRule>
    <cfRule type="expression" dxfId="953" priority="904">
      <formula>AND($K668="x",AT668&gt;0)</formula>
    </cfRule>
  </conditionalFormatting>
  <conditionalFormatting sqref="AT688">
    <cfRule type="expression" dxfId="952" priority="210">
      <formula>AT688&gt;0</formula>
    </cfRule>
  </conditionalFormatting>
  <conditionalFormatting sqref="AT690:AT701">
    <cfRule type="expression" dxfId="951" priority="861">
      <formula>AND($K690="x",AT690&gt;0)</formula>
    </cfRule>
    <cfRule type="expression" dxfId="950" priority="860">
      <formula>OR(AT690&gt;80,AT690&lt;10)</formula>
    </cfRule>
  </conditionalFormatting>
  <conditionalFormatting sqref="AT710">
    <cfRule type="expression" dxfId="949" priority="202">
      <formula>AT710&gt;0</formula>
    </cfRule>
  </conditionalFormatting>
  <conditionalFormatting sqref="AT712:AT723">
    <cfRule type="expression" dxfId="948" priority="817">
      <formula>OR(AT712&gt;80,AT712&lt;10)</formula>
    </cfRule>
    <cfRule type="expression" dxfId="947" priority="818">
      <formula>AND($K712="x",AT712&gt;0)</formula>
    </cfRule>
  </conditionalFormatting>
  <conditionalFormatting sqref="AT732">
    <cfRule type="expression" dxfId="946" priority="194">
      <formula>AT732&gt;0</formula>
    </cfRule>
  </conditionalFormatting>
  <conditionalFormatting sqref="AT734:AT745">
    <cfRule type="expression" dxfId="945" priority="774">
      <formula>OR(AT734&gt;80,AT734&lt;10)</formula>
    </cfRule>
    <cfRule type="expression" dxfId="944" priority="775">
      <formula>AND($K734="x",AT734&gt;0)</formula>
    </cfRule>
  </conditionalFormatting>
  <conditionalFormatting sqref="AT754">
    <cfRule type="expression" dxfId="943" priority="186">
      <formula>AT754&gt;0</formula>
    </cfRule>
  </conditionalFormatting>
  <conditionalFormatting sqref="AT756:AT767">
    <cfRule type="expression" dxfId="942" priority="731">
      <formula>OR(AT756&gt;80,AT756&lt;10)</formula>
    </cfRule>
    <cfRule type="expression" dxfId="941" priority="732">
      <formula>AND($K756="x",AT756&gt;0)</formula>
    </cfRule>
  </conditionalFormatting>
  <conditionalFormatting sqref="AT776">
    <cfRule type="expression" dxfId="940" priority="178">
      <formula>AT776&gt;0</formula>
    </cfRule>
  </conditionalFormatting>
  <conditionalFormatting sqref="AT778:AT789">
    <cfRule type="expression" dxfId="939" priority="688">
      <formula>OR(AT778&gt;80,AT778&lt;10)</formula>
    </cfRule>
    <cfRule type="expression" dxfId="938" priority="689">
      <formula>AND($K778="x",AT778&gt;0)</formula>
    </cfRule>
  </conditionalFormatting>
  <conditionalFormatting sqref="AT798">
    <cfRule type="expression" dxfId="937" priority="170">
      <formula>AT798&gt;0</formula>
    </cfRule>
  </conditionalFormatting>
  <conditionalFormatting sqref="AT800:AT811">
    <cfRule type="expression" dxfId="936" priority="645">
      <formula>OR(AT800&gt;80,AT800&lt;10)</formula>
    </cfRule>
    <cfRule type="expression" dxfId="935" priority="646">
      <formula>AND($K800="x",AT800&gt;0)</formula>
    </cfRule>
  </conditionalFormatting>
  <conditionalFormatting sqref="AT820">
    <cfRule type="expression" dxfId="934" priority="162">
      <formula>AT820&gt;0</formula>
    </cfRule>
  </conditionalFormatting>
  <conditionalFormatting sqref="AT822:AT833">
    <cfRule type="expression" dxfId="933" priority="602">
      <formula>OR(AT822&gt;80,AT822&lt;10)</formula>
    </cfRule>
    <cfRule type="expression" dxfId="932" priority="603">
      <formula>AND($K822="x",AT822&gt;0)</formula>
    </cfRule>
  </conditionalFormatting>
  <conditionalFormatting sqref="AT842">
    <cfRule type="expression" dxfId="931" priority="154">
      <formula>AT842&gt;0</formula>
    </cfRule>
  </conditionalFormatting>
  <conditionalFormatting sqref="AT844:AT855">
    <cfRule type="expression" dxfId="930" priority="559">
      <formula>OR(AT844&gt;80,AT844&lt;10)</formula>
    </cfRule>
    <cfRule type="expression" dxfId="929" priority="560">
      <formula>AND($K844="x",AT844&gt;0)</formula>
    </cfRule>
  </conditionalFormatting>
  <conditionalFormatting sqref="AT864">
    <cfRule type="expression" dxfId="928" priority="146">
      <formula>AT864&gt;0</formula>
    </cfRule>
  </conditionalFormatting>
  <conditionalFormatting sqref="AT866:AT877">
    <cfRule type="expression" dxfId="927" priority="516">
      <formula>OR(AT866&gt;80,AT866&lt;10)</formula>
    </cfRule>
    <cfRule type="expression" dxfId="926" priority="517">
      <formula>AND($K866="x",AT866&gt;0)</formula>
    </cfRule>
  </conditionalFormatting>
  <conditionalFormatting sqref="AT886">
    <cfRule type="expression" dxfId="925" priority="138">
      <formula>AT886&gt;0</formula>
    </cfRule>
  </conditionalFormatting>
  <conditionalFormatting sqref="AT888:AT899">
    <cfRule type="expression" dxfId="924" priority="474">
      <formula>AND($K888="x",AT888&gt;0)</formula>
    </cfRule>
    <cfRule type="expression" dxfId="923" priority="473">
      <formula>OR(AT888&gt;80,AT888&lt;10)</formula>
    </cfRule>
  </conditionalFormatting>
  <conditionalFormatting sqref="BA8:BA19">
    <cfRule type="expression" dxfId="922" priority="4633">
      <formula>AND($I8="x",BA8&gt;0)</formula>
    </cfRule>
  </conditionalFormatting>
  <conditionalFormatting sqref="BA30:BA41">
    <cfRule type="expression" dxfId="921" priority="3850">
      <formula>AND($I30="x",BA30&gt;0)</formula>
    </cfRule>
  </conditionalFormatting>
  <conditionalFormatting sqref="BA52:BA63">
    <cfRule type="expression" dxfId="920" priority="36">
      <formula>AND($I52="x",BA52&gt;0)</formula>
    </cfRule>
  </conditionalFormatting>
  <conditionalFormatting sqref="BA74:BA85">
    <cfRule type="expression" dxfId="919" priority="2087">
      <formula>AND($I74="x",BA74&gt;0)</formula>
    </cfRule>
  </conditionalFormatting>
  <conditionalFormatting sqref="BA96:BA107">
    <cfRule type="expression" dxfId="918" priority="2044">
      <formula>AND($I96="x",BA96&gt;0)</formula>
    </cfRule>
  </conditionalFormatting>
  <conditionalFormatting sqref="BA118:BA129">
    <cfRule type="expression" dxfId="917" priority="2001">
      <formula>AND($I118="x",BA118&gt;0)</formula>
    </cfRule>
  </conditionalFormatting>
  <conditionalFormatting sqref="BA140:BA151">
    <cfRule type="expression" dxfId="916" priority="1958">
      <formula>AND($I140="x",BA140&gt;0)</formula>
    </cfRule>
  </conditionalFormatting>
  <conditionalFormatting sqref="BA162:BA173">
    <cfRule type="expression" dxfId="915" priority="1915">
      <formula>AND($I162="x",BA162&gt;0)</formula>
    </cfRule>
  </conditionalFormatting>
  <conditionalFormatting sqref="BA184:BA195">
    <cfRule type="expression" dxfId="914" priority="1872">
      <formula>AND($I184="x",BA184&gt;0)</formula>
    </cfRule>
  </conditionalFormatting>
  <conditionalFormatting sqref="BA206:BA217">
    <cfRule type="expression" dxfId="913" priority="1829">
      <formula>AND($I206="x",BA206&gt;0)</formula>
    </cfRule>
  </conditionalFormatting>
  <conditionalFormatting sqref="BA228:BA239">
    <cfRule type="expression" dxfId="912" priority="1786">
      <formula>AND($I228="x",BA228&gt;0)</formula>
    </cfRule>
  </conditionalFormatting>
  <conditionalFormatting sqref="BA250:BA261">
    <cfRule type="expression" dxfId="911" priority="1743">
      <formula>AND($I250="x",BA250&gt;0)</formula>
    </cfRule>
  </conditionalFormatting>
  <conditionalFormatting sqref="BA272:BA283">
    <cfRule type="expression" dxfId="910" priority="1700">
      <formula>AND($I272="x",BA272&gt;0)</formula>
    </cfRule>
  </conditionalFormatting>
  <conditionalFormatting sqref="BA294:BA305">
    <cfRule type="expression" dxfId="909" priority="1657">
      <formula>AND($I294="x",BA294&gt;0)</formula>
    </cfRule>
  </conditionalFormatting>
  <conditionalFormatting sqref="BA316:BA327">
    <cfRule type="expression" dxfId="908" priority="1614">
      <formula>AND($I316="x",BA316&gt;0)</formula>
    </cfRule>
  </conditionalFormatting>
  <conditionalFormatting sqref="BA338:BA349">
    <cfRule type="expression" dxfId="907" priority="1571">
      <formula>AND($I338="x",BA338&gt;0)</formula>
    </cfRule>
  </conditionalFormatting>
  <conditionalFormatting sqref="BA360:BA371">
    <cfRule type="expression" dxfId="906" priority="1528">
      <formula>AND($I360="x",BA360&gt;0)</formula>
    </cfRule>
  </conditionalFormatting>
  <conditionalFormatting sqref="BA382:BA393">
    <cfRule type="expression" dxfId="905" priority="1485">
      <formula>AND($I382="x",BA382&gt;0)</formula>
    </cfRule>
  </conditionalFormatting>
  <conditionalFormatting sqref="BA404:BA415">
    <cfRule type="expression" dxfId="904" priority="1442">
      <formula>AND($I404="x",BA404&gt;0)</formula>
    </cfRule>
  </conditionalFormatting>
  <conditionalFormatting sqref="BA426:BA437">
    <cfRule type="expression" dxfId="903" priority="1399">
      <formula>AND($I426="x",BA426&gt;0)</formula>
    </cfRule>
  </conditionalFormatting>
  <conditionalFormatting sqref="BA448:BA459">
    <cfRule type="expression" dxfId="902" priority="1356">
      <formula>AND($I448="x",BA448&gt;0)</formula>
    </cfRule>
  </conditionalFormatting>
  <conditionalFormatting sqref="BA470:BA481">
    <cfRule type="expression" dxfId="901" priority="1313">
      <formula>AND($I470="x",BA470&gt;0)</formula>
    </cfRule>
  </conditionalFormatting>
  <conditionalFormatting sqref="BA492:BA503">
    <cfRule type="expression" dxfId="900" priority="1270">
      <formula>AND($I492="x",BA492&gt;0)</formula>
    </cfRule>
  </conditionalFormatting>
  <conditionalFormatting sqref="BA514:BA525">
    <cfRule type="expression" dxfId="899" priority="1227">
      <formula>AND($I514="x",BA514&gt;0)</formula>
    </cfRule>
  </conditionalFormatting>
  <conditionalFormatting sqref="BA536:BA547">
    <cfRule type="expression" dxfId="898" priority="1184">
      <formula>AND($I536="x",BA536&gt;0)</formula>
    </cfRule>
  </conditionalFormatting>
  <conditionalFormatting sqref="BA558:BA569">
    <cfRule type="expression" dxfId="897" priority="1141">
      <formula>AND($I558="x",BA558&gt;0)</formula>
    </cfRule>
  </conditionalFormatting>
  <conditionalFormatting sqref="BA580:BA591">
    <cfRule type="expression" dxfId="896" priority="1098">
      <formula>AND($I580="x",BA580&gt;0)</formula>
    </cfRule>
  </conditionalFormatting>
  <conditionalFormatting sqref="BA602:BA613">
    <cfRule type="expression" dxfId="895" priority="1055">
      <formula>AND($I602="x",BA602&gt;0)</formula>
    </cfRule>
  </conditionalFormatting>
  <conditionalFormatting sqref="BA624:BA635">
    <cfRule type="expression" dxfId="894" priority="1012">
      <formula>AND($I624="x",BA624&gt;0)</formula>
    </cfRule>
  </conditionalFormatting>
  <conditionalFormatting sqref="BA646:BA657">
    <cfRule type="expression" dxfId="893" priority="969">
      <formula>AND($I646="x",BA646&gt;0)</formula>
    </cfRule>
  </conditionalFormatting>
  <conditionalFormatting sqref="BA668:BA679">
    <cfRule type="expression" dxfId="892" priority="2">
      <formula>AND($I668="x",BA668&gt;0)</formula>
    </cfRule>
  </conditionalFormatting>
  <conditionalFormatting sqref="BA690:BA701">
    <cfRule type="expression" dxfId="891" priority="45">
      <formula>AND($I690="x",BA690&gt;0)</formula>
    </cfRule>
  </conditionalFormatting>
  <conditionalFormatting sqref="BA712:BA723">
    <cfRule type="expression" dxfId="890" priority="840">
      <formula>AND($I712="x",BA712&gt;0)</formula>
    </cfRule>
  </conditionalFormatting>
  <conditionalFormatting sqref="BA734:BA745">
    <cfRule type="expression" dxfId="889" priority="797">
      <formula>AND($I734="x",BA734&gt;0)</formula>
    </cfRule>
  </conditionalFormatting>
  <conditionalFormatting sqref="BA756:BA767">
    <cfRule type="expression" dxfId="888" priority="754">
      <formula>AND($I756="x",BA756&gt;0)</formula>
    </cfRule>
  </conditionalFormatting>
  <conditionalFormatting sqref="BA778:BA789">
    <cfRule type="expression" dxfId="887" priority="711">
      <formula>AND($I778="x",BA778&gt;0)</formula>
    </cfRule>
  </conditionalFormatting>
  <conditionalFormatting sqref="BA800:BA811">
    <cfRule type="expression" dxfId="886" priority="668">
      <formula>AND($I800="x",BA800&gt;0)</formula>
    </cfRule>
  </conditionalFormatting>
  <conditionalFormatting sqref="BA822:BA833">
    <cfRule type="expression" dxfId="885" priority="625">
      <formula>AND($I822="x",BA822&gt;0)</formula>
    </cfRule>
  </conditionalFormatting>
  <conditionalFormatting sqref="BA844:BA855">
    <cfRule type="expression" dxfId="884" priority="582">
      <formula>AND($I844="x",BA844&gt;0)</formula>
    </cfRule>
  </conditionalFormatting>
  <conditionalFormatting sqref="BA866:BA877">
    <cfRule type="expression" dxfId="883" priority="539">
      <formula>AND($I866="x",BA866&gt;0)</formula>
    </cfRule>
  </conditionalFormatting>
  <conditionalFormatting sqref="BA888:BA899">
    <cfRule type="expression" dxfId="882" priority="496">
      <formula>AND($I888="x",BA888&gt;0)</formula>
    </cfRule>
  </conditionalFormatting>
  <conditionalFormatting sqref="BB8:BB19">
    <cfRule type="expression" dxfId="881" priority="4632">
      <formula>AND($J8="x",BB8&gt;0)</formula>
    </cfRule>
  </conditionalFormatting>
  <conditionalFormatting sqref="BB30:BB41">
    <cfRule type="expression" dxfId="880" priority="3849">
      <formula>AND($J30="x",BB30&gt;0)</formula>
    </cfRule>
  </conditionalFormatting>
  <conditionalFormatting sqref="BB52:BB63">
    <cfRule type="expression" dxfId="879" priority="35">
      <formula>AND($J52="x",BB52&gt;0)</formula>
    </cfRule>
  </conditionalFormatting>
  <conditionalFormatting sqref="BB74:BB85">
    <cfRule type="expression" dxfId="878" priority="2086">
      <formula>AND($J74="x",BB74&gt;0)</formula>
    </cfRule>
  </conditionalFormatting>
  <conditionalFormatting sqref="BB96:BB107">
    <cfRule type="expression" dxfId="877" priority="2043">
      <formula>AND($J96="x",BB96&gt;0)</formula>
    </cfRule>
  </conditionalFormatting>
  <conditionalFormatting sqref="BB118:BB129">
    <cfRule type="expression" dxfId="876" priority="2000">
      <formula>AND($J118="x",BB118&gt;0)</formula>
    </cfRule>
  </conditionalFormatting>
  <conditionalFormatting sqref="BB140:BB151">
    <cfRule type="expression" dxfId="875" priority="1957">
      <formula>AND($J140="x",BB140&gt;0)</formula>
    </cfRule>
  </conditionalFormatting>
  <conditionalFormatting sqref="BB162:BB173">
    <cfRule type="expression" dxfId="874" priority="1914">
      <formula>AND($J162="x",BB162&gt;0)</formula>
    </cfRule>
  </conditionalFormatting>
  <conditionalFormatting sqref="BB184:BB195">
    <cfRule type="expression" dxfId="873" priority="1871">
      <formula>AND($J184="x",BB184&gt;0)</formula>
    </cfRule>
  </conditionalFormatting>
  <conditionalFormatting sqref="BB206:BB217">
    <cfRule type="expression" dxfId="872" priority="1828">
      <formula>AND($J206="x",BB206&gt;0)</formula>
    </cfRule>
  </conditionalFormatting>
  <conditionalFormatting sqref="BB228:BB239">
    <cfRule type="expression" dxfId="871" priority="1785">
      <formula>AND($J228="x",BB228&gt;0)</formula>
    </cfRule>
  </conditionalFormatting>
  <conditionalFormatting sqref="BB250:BB261">
    <cfRule type="expression" dxfId="870" priority="1742">
      <formula>AND($J250="x",BB250&gt;0)</formula>
    </cfRule>
  </conditionalFormatting>
  <conditionalFormatting sqref="BB272:BB283">
    <cfRule type="expression" dxfId="869" priority="1699">
      <formula>AND($J272="x",BB272&gt;0)</formula>
    </cfRule>
  </conditionalFormatting>
  <conditionalFormatting sqref="BB294:BB305">
    <cfRule type="expression" dxfId="868" priority="1656">
      <formula>AND($J294="x",BB294&gt;0)</formula>
    </cfRule>
  </conditionalFormatting>
  <conditionalFormatting sqref="BB316:BB327">
    <cfRule type="expression" dxfId="867" priority="1613">
      <formula>AND($J316="x",BB316&gt;0)</formula>
    </cfRule>
  </conditionalFormatting>
  <conditionalFormatting sqref="BB338:BB349">
    <cfRule type="expression" dxfId="866" priority="1570">
      <formula>AND($J338="x",BB338&gt;0)</formula>
    </cfRule>
  </conditionalFormatting>
  <conditionalFormatting sqref="BB360:BB371">
    <cfRule type="expression" dxfId="865" priority="1527">
      <formula>AND($J360="x",BB360&gt;0)</formula>
    </cfRule>
  </conditionalFormatting>
  <conditionalFormatting sqref="BB382:BB393">
    <cfRule type="expression" dxfId="864" priority="1484">
      <formula>AND($J382="x",BB382&gt;0)</formula>
    </cfRule>
  </conditionalFormatting>
  <conditionalFormatting sqref="BB404:BB415">
    <cfRule type="expression" dxfId="863" priority="1441">
      <formula>AND($J404="x",BB404&gt;0)</formula>
    </cfRule>
  </conditionalFormatting>
  <conditionalFormatting sqref="BB426:BB437">
    <cfRule type="expression" dxfId="862" priority="1398">
      <formula>AND($J426="x",BB426&gt;0)</formula>
    </cfRule>
  </conditionalFormatting>
  <conditionalFormatting sqref="BB448:BB459">
    <cfRule type="expression" dxfId="861" priority="1355">
      <formula>AND($J448="x",BB448&gt;0)</formula>
    </cfRule>
  </conditionalFormatting>
  <conditionalFormatting sqref="BB470:BB481">
    <cfRule type="expression" dxfId="860" priority="1312">
      <formula>AND($J470="x",BB470&gt;0)</formula>
    </cfRule>
  </conditionalFormatting>
  <conditionalFormatting sqref="BB492:BB503">
    <cfRule type="expression" dxfId="859" priority="1269">
      <formula>AND($J492="x",BB492&gt;0)</formula>
    </cfRule>
  </conditionalFormatting>
  <conditionalFormatting sqref="BB514:BB525">
    <cfRule type="expression" dxfId="858" priority="1226">
      <formula>AND($J514="x",BB514&gt;0)</formula>
    </cfRule>
  </conditionalFormatting>
  <conditionalFormatting sqref="BB536:BB547">
    <cfRule type="expression" dxfId="857" priority="1183">
      <formula>AND($J536="x",BB536&gt;0)</formula>
    </cfRule>
  </conditionalFormatting>
  <conditionalFormatting sqref="BB558:BB569">
    <cfRule type="expression" dxfId="856" priority="1140">
      <formula>AND($J558="x",BB558&gt;0)</formula>
    </cfRule>
  </conditionalFormatting>
  <conditionalFormatting sqref="BB580:BB591">
    <cfRule type="expression" dxfId="855" priority="1097">
      <formula>AND($J580="x",BB580&gt;0)</formula>
    </cfRule>
  </conditionalFormatting>
  <conditionalFormatting sqref="BB602:BB613">
    <cfRule type="expression" dxfId="854" priority="1054">
      <formula>AND($J602="x",BB602&gt;0)</formula>
    </cfRule>
  </conditionalFormatting>
  <conditionalFormatting sqref="BB624:BB635">
    <cfRule type="expression" dxfId="853" priority="1011">
      <formula>AND($J624="x",BB624&gt;0)</formula>
    </cfRule>
  </conditionalFormatting>
  <conditionalFormatting sqref="BB646:BB657">
    <cfRule type="expression" dxfId="852" priority="968">
      <formula>AND($J646="x",BB646&gt;0)</formula>
    </cfRule>
  </conditionalFormatting>
  <conditionalFormatting sqref="BB668:BB679">
    <cfRule type="expression" dxfId="851" priority="1">
      <formula>AND($J668="x",BB668&gt;0)</formula>
    </cfRule>
  </conditionalFormatting>
  <conditionalFormatting sqref="BB690:BB701">
    <cfRule type="expression" dxfId="850" priority="44">
      <formula>AND($J690="x",BB690&gt;0)</formula>
    </cfRule>
  </conditionalFormatting>
  <conditionalFormatting sqref="BB712:BB723">
    <cfRule type="expression" dxfId="849" priority="839">
      <formula>AND($J712="x",BB712&gt;0)</formula>
    </cfRule>
  </conditionalFormatting>
  <conditionalFormatting sqref="BB734:BB745">
    <cfRule type="expression" dxfId="848" priority="796">
      <formula>AND($J734="x",BB734&gt;0)</formula>
    </cfRule>
  </conditionalFormatting>
  <conditionalFormatting sqref="BB756:BB767">
    <cfRule type="expression" dxfId="847" priority="753">
      <formula>AND($J756="x",BB756&gt;0)</formula>
    </cfRule>
  </conditionalFormatting>
  <conditionalFormatting sqref="BB778:BB789">
    <cfRule type="expression" dxfId="846" priority="710">
      <formula>AND($J778="x",BB778&gt;0)</formula>
    </cfRule>
  </conditionalFormatting>
  <conditionalFormatting sqref="BB800:BB811">
    <cfRule type="expression" dxfId="845" priority="667">
      <formula>AND($J800="x",BB800&gt;0)</formula>
    </cfRule>
  </conditionalFormatting>
  <conditionalFormatting sqref="BB822:BB833">
    <cfRule type="expression" dxfId="844" priority="624">
      <formula>AND($J822="x",BB822&gt;0)</formula>
    </cfRule>
  </conditionalFormatting>
  <conditionalFormatting sqref="BB844:BB855">
    <cfRule type="expression" dxfId="843" priority="581">
      <formula>AND($J844="x",BB844&gt;0)</formula>
    </cfRule>
  </conditionalFormatting>
  <conditionalFormatting sqref="BB866:BB877">
    <cfRule type="expression" dxfId="842" priority="538">
      <formula>AND($J866="x",BB866&gt;0)</formula>
    </cfRule>
  </conditionalFormatting>
  <conditionalFormatting sqref="BB888:BB899">
    <cfRule type="expression" dxfId="841" priority="495">
      <formula>AND($J888="x",BB888&gt;0)</formula>
    </cfRule>
  </conditionalFormatting>
  <conditionalFormatting sqref="BC6">
    <cfRule type="expression" dxfId="840" priority="4639">
      <formula>BC6&gt;0</formula>
    </cfRule>
  </conditionalFormatting>
  <conditionalFormatting sqref="BC8:BC19">
    <cfRule type="expression" dxfId="839" priority="4609">
      <formula>AND($K8="x",BC8&gt;0)</formula>
    </cfRule>
    <cfRule type="expression" dxfId="838" priority="4608">
      <formula>OR(BC8&gt;80,BC8&lt;10)</formula>
    </cfRule>
  </conditionalFormatting>
  <conditionalFormatting sqref="BC28">
    <cfRule type="expression" dxfId="837" priority="129">
      <formula>BC28&gt;0</formula>
    </cfRule>
  </conditionalFormatting>
  <conditionalFormatting sqref="BC30:BC41">
    <cfRule type="expression" dxfId="836" priority="3825">
      <formula>OR(BC30&gt;80,BC30&lt;10)</formula>
    </cfRule>
    <cfRule type="expression" dxfId="835" priority="3826">
      <formula>AND($K30="x",BC30&gt;0)</formula>
    </cfRule>
  </conditionalFormatting>
  <conditionalFormatting sqref="BC50">
    <cfRule type="expression" dxfId="834" priority="121">
      <formula>BC50&gt;0</formula>
    </cfRule>
  </conditionalFormatting>
  <conditionalFormatting sqref="BC52:BC63">
    <cfRule type="expression" dxfId="833" priority="13">
      <formula>OR(BC52&gt;80,BC52&lt;10)</formula>
    </cfRule>
    <cfRule type="expression" dxfId="832" priority="14">
      <formula>AND($K52="x",BC52&gt;0)</formula>
    </cfRule>
  </conditionalFormatting>
  <conditionalFormatting sqref="BC72">
    <cfRule type="expression" dxfId="831" priority="113">
      <formula>BC72&gt;0</formula>
    </cfRule>
  </conditionalFormatting>
  <conditionalFormatting sqref="BC74:BC85">
    <cfRule type="expression" dxfId="830" priority="2063">
      <formula>AND($K74="x",BC74&gt;0)</formula>
    </cfRule>
    <cfRule type="expression" dxfId="829" priority="2062">
      <formula>OR(BC74&gt;80,BC74&lt;10)</formula>
    </cfRule>
  </conditionalFormatting>
  <conditionalFormatting sqref="BC94">
    <cfRule type="expression" dxfId="828" priority="105">
      <formula>BC94&gt;0</formula>
    </cfRule>
  </conditionalFormatting>
  <conditionalFormatting sqref="BC96:BC107">
    <cfRule type="expression" dxfId="827" priority="2020">
      <formula>AND($K96="x",BC96&gt;0)</formula>
    </cfRule>
    <cfRule type="expression" dxfId="826" priority="2019">
      <formula>OR(BC96&gt;80,BC96&lt;10)</formula>
    </cfRule>
  </conditionalFormatting>
  <conditionalFormatting sqref="BC116">
    <cfRule type="expression" dxfId="825" priority="97">
      <formula>BC116&gt;0</formula>
    </cfRule>
  </conditionalFormatting>
  <conditionalFormatting sqref="BC118:BC129">
    <cfRule type="expression" dxfId="824" priority="1977">
      <formula>AND($K118="x",BC118&gt;0)</formula>
    </cfRule>
    <cfRule type="expression" dxfId="823" priority="1976">
      <formula>OR(BC118&gt;80,BC118&lt;10)</formula>
    </cfRule>
  </conditionalFormatting>
  <conditionalFormatting sqref="BC138">
    <cfRule type="expression" dxfId="822" priority="89">
      <formula>BC138&gt;0</formula>
    </cfRule>
  </conditionalFormatting>
  <conditionalFormatting sqref="BC140:BC151">
    <cfRule type="expression" dxfId="821" priority="1933">
      <formula>OR(BC140&gt;80,BC140&lt;10)</formula>
    </cfRule>
    <cfRule type="expression" dxfId="820" priority="1934">
      <formula>AND($K140="x",BC140&gt;0)</formula>
    </cfRule>
  </conditionalFormatting>
  <conditionalFormatting sqref="BC160">
    <cfRule type="expression" dxfId="819" priority="81">
      <formula>BC160&gt;0</formula>
    </cfRule>
  </conditionalFormatting>
  <conditionalFormatting sqref="BC162:BC173">
    <cfRule type="expression" dxfId="818" priority="1890">
      <formula>OR(BC162&gt;80,BC162&lt;10)</formula>
    </cfRule>
    <cfRule type="expression" dxfId="817" priority="1891">
      <formula>AND($K162="x",BC162&gt;0)</formula>
    </cfRule>
  </conditionalFormatting>
  <conditionalFormatting sqref="BC182">
    <cfRule type="expression" dxfId="816" priority="73">
      <formula>BC182&gt;0</formula>
    </cfRule>
  </conditionalFormatting>
  <conditionalFormatting sqref="BC184:BC195">
    <cfRule type="expression" dxfId="815" priority="1848">
      <formula>AND($K184="x",BC184&gt;0)</formula>
    </cfRule>
    <cfRule type="expression" dxfId="814" priority="1847">
      <formula>OR(BC184&gt;80,BC184&lt;10)</formula>
    </cfRule>
  </conditionalFormatting>
  <conditionalFormatting sqref="BC204">
    <cfRule type="expression" dxfId="813" priority="65">
      <formula>BC204&gt;0</formula>
    </cfRule>
  </conditionalFormatting>
  <conditionalFormatting sqref="BC206:BC217">
    <cfRule type="expression" dxfId="812" priority="1805">
      <formula>AND($K206="x",BC206&gt;0)</formula>
    </cfRule>
    <cfRule type="expression" dxfId="811" priority="1804">
      <formula>OR(BC206&gt;80,BC206&lt;10)</formula>
    </cfRule>
  </conditionalFormatting>
  <conditionalFormatting sqref="BC226">
    <cfRule type="expression" dxfId="810" priority="57">
      <formula>BC226&gt;0</formula>
    </cfRule>
  </conditionalFormatting>
  <conditionalFormatting sqref="BC228:BC239">
    <cfRule type="expression" dxfId="809" priority="1761">
      <formula>OR(BC228&gt;80,BC228&lt;10)</formula>
    </cfRule>
    <cfRule type="expression" dxfId="808" priority="1762">
      <formula>AND($K228="x",BC228&gt;0)</formula>
    </cfRule>
  </conditionalFormatting>
  <conditionalFormatting sqref="BC248">
    <cfRule type="expression" dxfId="807" priority="49">
      <formula>BC248&gt;0</formula>
    </cfRule>
  </conditionalFormatting>
  <conditionalFormatting sqref="BC250:BC261">
    <cfRule type="expression" dxfId="806" priority="1718">
      <formula>OR(BC250&gt;80,BC250&lt;10)</formula>
    </cfRule>
    <cfRule type="expression" dxfId="805" priority="1719">
      <formula>AND($K250="x",BC250&gt;0)</formula>
    </cfRule>
  </conditionalFormatting>
  <conditionalFormatting sqref="BC270">
    <cfRule type="expression" dxfId="804" priority="361">
      <formula>BC270&gt;0</formula>
    </cfRule>
  </conditionalFormatting>
  <conditionalFormatting sqref="BC272:BC283">
    <cfRule type="expression" dxfId="803" priority="1675">
      <formula>OR(BC272&gt;80,BC272&lt;10)</formula>
    </cfRule>
    <cfRule type="expression" dxfId="802" priority="1676">
      <formula>AND($K272="x",BC272&gt;0)</formula>
    </cfRule>
  </conditionalFormatting>
  <conditionalFormatting sqref="BC292">
    <cfRule type="expression" dxfId="801" priority="353">
      <formula>BC292&gt;0</formula>
    </cfRule>
  </conditionalFormatting>
  <conditionalFormatting sqref="BC294:BC305">
    <cfRule type="expression" dxfId="800" priority="1633">
      <formula>AND($K294="x",BC294&gt;0)</formula>
    </cfRule>
    <cfRule type="expression" dxfId="799" priority="1632">
      <formula>OR(BC294&gt;80,BC294&lt;10)</formula>
    </cfRule>
  </conditionalFormatting>
  <conditionalFormatting sqref="BC314">
    <cfRule type="expression" dxfId="798" priority="345">
      <formula>BC314&gt;0</formula>
    </cfRule>
  </conditionalFormatting>
  <conditionalFormatting sqref="BC316:BC327">
    <cfRule type="expression" dxfId="797" priority="1590">
      <formula>AND($K316="x",BC316&gt;0)</formula>
    </cfRule>
    <cfRule type="expression" dxfId="796" priority="1589">
      <formula>OR(BC316&gt;80,BC316&lt;10)</formula>
    </cfRule>
  </conditionalFormatting>
  <conditionalFormatting sqref="BC336">
    <cfRule type="expression" dxfId="795" priority="337">
      <formula>BC336&gt;0</formula>
    </cfRule>
  </conditionalFormatting>
  <conditionalFormatting sqref="BC338:BC349">
    <cfRule type="expression" dxfId="794" priority="1546">
      <formula>OR(BC338&gt;80,BC338&lt;10)</formula>
    </cfRule>
    <cfRule type="expression" dxfId="793" priority="1547">
      <formula>AND($K338="x",BC338&gt;0)</formula>
    </cfRule>
  </conditionalFormatting>
  <conditionalFormatting sqref="BC358">
    <cfRule type="expression" dxfId="792" priority="329">
      <formula>BC358&gt;0</formula>
    </cfRule>
  </conditionalFormatting>
  <conditionalFormatting sqref="BC360:BC371">
    <cfRule type="expression" dxfId="791" priority="1503">
      <formula>OR(BC360&gt;80,BC360&lt;10)</formula>
    </cfRule>
    <cfRule type="expression" dxfId="790" priority="1504">
      <formula>AND($K360="x",BC360&gt;0)</formula>
    </cfRule>
  </conditionalFormatting>
  <conditionalFormatting sqref="BC380">
    <cfRule type="expression" dxfId="789" priority="321">
      <formula>BC380&gt;0</formula>
    </cfRule>
  </conditionalFormatting>
  <conditionalFormatting sqref="BC382:BC393">
    <cfRule type="expression" dxfId="788" priority="1460">
      <formula>OR(BC382&gt;80,BC382&lt;10)</formula>
    </cfRule>
    <cfRule type="expression" dxfId="787" priority="1461">
      <formula>AND($K382="x",BC382&gt;0)</formula>
    </cfRule>
  </conditionalFormatting>
  <conditionalFormatting sqref="BC402">
    <cfRule type="expression" dxfId="786" priority="313">
      <formula>BC402&gt;0</formula>
    </cfRule>
  </conditionalFormatting>
  <conditionalFormatting sqref="BC404:BC415">
    <cfRule type="expression" dxfId="785" priority="1417">
      <formula>OR(BC404&gt;80,BC404&lt;10)</formula>
    </cfRule>
    <cfRule type="expression" dxfId="784" priority="1418">
      <formula>AND($K404="x",BC404&gt;0)</formula>
    </cfRule>
  </conditionalFormatting>
  <conditionalFormatting sqref="BC424">
    <cfRule type="expression" dxfId="783" priority="305">
      <formula>BC424&gt;0</formula>
    </cfRule>
  </conditionalFormatting>
  <conditionalFormatting sqref="BC426:BC437">
    <cfRule type="expression" dxfId="782" priority="1374">
      <formula>OR(BC426&gt;80,BC426&lt;10)</formula>
    </cfRule>
    <cfRule type="expression" dxfId="781" priority="1375">
      <formula>AND($K426="x",BC426&gt;0)</formula>
    </cfRule>
  </conditionalFormatting>
  <conditionalFormatting sqref="BC446">
    <cfRule type="expression" dxfId="780" priority="297">
      <formula>BC446&gt;0</formula>
    </cfRule>
  </conditionalFormatting>
  <conditionalFormatting sqref="BC448:BC459">
    <cfRule type="expression" dxfId="779" priority="1331">
      <formula>OR(BC448&gt;80,BC448&lt;10)</formula>
    </cfRule>
    <cfRule type="expression" dxfId="778" priority="1332">
      <formula>AND($K448="x",BC448&gt;0)</formula>
    </cfRule>
  </conditionalFormatting>
  <conditionalFormatting sqref="BC468">
    <cfRule type="expression" dxfId="777" priority="289">
      <formula>BC468&gt;0</formula>
    </cfRule>
  </conditionalFormatting>
  <conditionalFormatting sqref="BC470:BC481">
    <cfRule type="expression" dxfId="776" priority="1289">
      <formula>AND($K470="x",BC470&gt;0)</formula>
    </cfRule>
    <cfRule type="expression" dxfId="775" priority="1288">
      <formula>OR(BC470&gt;80,BC470&lt;10)</formula>
    </cfRule>
  </conditionalFormatting>
  <conditionalFormatting sqref="BC490">
    <cfRule type="expression" dxfId="774" priority="281">
      <formula>BC490&gt;0</formula>
    </cfRule>
  </conditionalFormatting>
  <conditionalFormatting sqref="BC492:BC503">
    <cfRule type="expression" dxfId="773" priority="1246">
      <formula>AND($K492="x",BC492&gt;0)</formula>
    </cfRule>
    <cfRule type="expression" dxfId="772" priority="1245">
      <formula>OR(BC492&gt;80,BC492&lt;10)</formula>
    </cfRule>
  </conditionalFormatting>
  <conditionalFormatting sqref="BC512">
    <cfRule type="expression" dxfId="771" priority="273">
      <formula>BC512&gt;0</formula>
    </cfRule>
  </conditionalFormatting>
  <conditionalFormatting sqref="BC514:BC525">
    <cfRule type="expression" dxfId="770" priority="1202">
      <formula>OR(BC514&gt;80,BC514&lt;10)</formula>
    </cfRule>
    <cfRule type="expression" dxfId="769" priority="1203">
      <formula>AND($K514="x",BC514&gt;0)</formula>
    </cfRule>
  </conditionalFormatting>
  <conditionalFormatting sqref="BC534">
    <cfRule type="expression" dxfId="768" priority="265">
      <formula>BC534&gt;0</formula>
    </cfRule>
  </conditionalFormatting>
  <conditionalFormatting sqref="BC536:BC547">
    <cfRule type="expression" dxfId="767" priority="1159">
      <formula>OR(BC536&gt;80,BC536&lt;10)</formula>
    </cfRule>
    <cfRule type="expression" dxfId="766" priority="1160">
      <formula>AND($K536="x",BC536&gt;0)</formula>
    </cfRule>
  </conditionalFormatting>
  <conditionalFormatting sqref="BC556">
    <cfRule type="expression" dxfId="765" priority="257">
      <formula>BC556&gt;0</formula>
    </cfRule>
  </conditionalFormatting>
  <conditionalFormatting sqref="BC558:BC569">
    <cfRule type="expression" dxfId="764" priority="1117">
      <formula>AND($K558="x",BC558&gt;0)</formula>
    </cfRule>
    <cfRule type="expression" dxfId="763" priority="1116">
      <formula>OR(BC558&gt;80,BC558&lt;10)</formula>
    </cfRule>
  </conditionalFormatting>
  <conditionalFormatting sqref="BC578">
    <cfRule type="expression" dxfId="762" priority="249">
      <formula>BC578&gt;0</formula>
    </cfRule>
  </conditionalFormatting>
  <conditionalFormatting sqref="BC580:BC591">
    <cfRule type="expression" dxfId="761" priority="1074">
      <formula>AND($K580="x",BC580&gt;0)</formula>
    </cfRule>
    <cfRule type="expression" dxfId="760" priority="1073">
      <formula>OR(BC580&gt;80,BC580&lt;10)</formula>
    </cfRule>
  </conditionalFormatting>
  <conditionalFormatting sqref="BC600">
    <cfRule type="expression" dxfId="759" priority="241">
      <formula>BC600&gt;0</formula>
    </cfRule>
  </conditionalFormatting>
  <conditionalFormatting sqref="BC602:BC613">
    <cfRule type="expression" dxfId="758" priority="1030">
      <formula>OR(BC602&gt;80,BC602&lt;10)</formula>
    </cfRule>
    <cfRule type="expression" dxfId="757" priority="1031">
      <formula>AND($K602="x",BC602&gt;0)</formula>
    </cfRule>
  </conditionalFormatting>
  <conditionalFormatting sqref="BC622">
    <cfRule type="expression" dxfId="756" priority="233">
      <formula>BC622&gt;0</formula>
    </cfRule>
  </conditionalFormatting>
  <conditionalFormatting sqref="BC624:BC635">
    <cfRule type="expression" dxfId="755" priority="987">
      <formula>OR(BC624&gt;80,BC624&lt;10)</formula>
    </cfRule>
    <cfRule type="expression" dxfId="754" priority="988">
      <formula>AND($K624="x",BC624&gt;0)</formula>
    </cfRule>
  </conditionalFormatting>
  <conditionalFormatting sqref="BC644">
    <cfRule type="expression" dxfId="753" priority="225">
      <formula>BC644&gt;0</formula>
    </cfRule>
  </conditionalFormatting>
  <conditionalFormatting sqref="BC646:BC657">
    <cfRule type="expression" dxfId="752" priority="944">
      <formula>OR(BC646&gt;80,BC646&lt;10)</formula>
    </cfRule>
    <cfRule type="expression" dxfId="751" priority="945">
      <formula>AND($K646="x",BC646&gt;0)</formula>
    </cfRule>
  </conditionalFormatting>
  <conditionalFormatting sqref="BC666">
    <cfRule type="expression" dxfId="750" priority="217">
      <formula>BC666&gt;0</formula>
    </cfRule>
  </conditionalFormatting>
  <conditionalFormatting sqref="BC668:BC679">
    <cfRule type="expression" dxfId="749" priority="902">
      <formula>AND($K668="x",BC668&gt;0)</formula>
    </cfRule>
    <cfRule type="expression" dxfId="748" priority="901">
      <formula>OR(BC668&gt;80,BC668&lt;10)</formula>
    </cfRule>
  </conditionalFormatting>
  <conditionalFormatting sqref="BC688">
    <cfRule type="expression" dxfId="747" priority="209">
      <formula>BC688&gt;0</formula>
    </cfRule>
  </conditionalFormatting>
  <conditionalFormatting sqref="BC690:BC701">
    <cfRule type="expression" dxfId="746" priority="42">
      <formula>OR(BC690&gt;80,BC690&lt;10)</formula>
    </cfRule>
    <cfRule type="expression" dxfId="745" priority="43">
      <formula>AND($K690="x",BC690&gt;0)</formula>
    </cfRule>
  </conditionalFormatting>
  <conditionalFormatting sqref="BC710">
    <cfRule type="expression" dxfId="744" priority="201">
      <formula>BC710&gt;0</formula>
    </cfRule>
  </conditionalFormatting>
  <conditionalFormatting sqref="BC712:BC723">
    <cfRule type="expression" dxfId="743" priority="816">
      <formula>AND($K712="x",BC712&gt;0)</formula>
    </cfRule>
    <cfRule type="expression" dxfId="742" priority="815">
      <formula>OR(BC712&gt;80,BC712&lt;10)</formula>
    </cfRule>
  </conditionalFormatting>
  <conditionalFormatting sqref="BC732">
    <cfRule type="expression" dxfId="741" priority="193">
      <formula>BC732&gt;0</formula>
    </cfRule>
  </conditionalFormatting>
  <conditionalFormatting sqref="BC734:BC745">
    <cfRule type="expression" dxfId="740" priority="773">
      <formula>AND($K734="x",BC734&gt;0)</formula>
    </cfRule>
    <cfRule type="expression" dxfId="739" priority="772">
      <formula>OR(BC734&gt;80,BC734&lt;10)</formula>
    </cfRule>
  </conditionalFormatting>
  <conditionalFormatting sqref="BC754">
    <cfRule type="expression" dxfId="738" priority="185">
      <formula>BC754&gt;0</formula>
    </cfRule>
  </conditionalFormatting>
  <conditionalFormatting sqref="BC756:BC767">
    <cfRule type="expression" dxfId="737" priority="729">
      <formula>OR(BC756&gt;80,BC756&lt;10)</formula>
    </cfRule>
    <cfRule type="expression" dxfId="736" priority="730">
      <formula>AND($K756="x",BC756&gt;0)</formula>
    </cfRule>
  </conditionalFormatting>
  <conditionalFormatting sqref="BC776">
    <cfRule type="expression" dxfId="735" priority="177">
      <formula>BC776&gt;0</formula>
    </cfRule>
  </conditionalFormatting>
  <conditionalFormatting sqref="BC778:BC789">
    <cfRule type="expression" dxfId="734" priority="686">
      <formula>OR(BC778&gt;80,BC778&lt;10)</formula>
    </cfRule>
    <cfRule type="expression" dxfId="733" priority="687">
      <formula>AND($K778="x",BC778&gt;0)</formula>
    </cfRule>
  </conditionalFormatting>
  <conditionalFormatting sqref="BC798">
    <cfRule type="expression" dxfId="732" priority="169">
      <formula>BC798&gt;0</formula>
    </cfRule>
  </conditionalFormatting>
  <conditionalFormatting sqref="BC800:BC811">
    <cfRule type="expression" dxfId="731" priority="644">
      <formula>AND($K800="x",BC800&gt;0)</formula>
    </cfRule>
    <cfRule type="expression" dxfId="730" priority="643">
      <formula>OR(BC800&gt;80,BC800&lt;10)</formula>
    </cfRule>
  </conditionalFormatting>
  <conditionalFormatting sqref="BC820">
    <cfRule type="expression" dxfId="729" priority="161">
      <formula>BC820&gt;0</formula>
    </cfRule>
  </conditionalFormatting>
  <conditionalFormatting sqref="BC822:BC833">
    <cfRule type="expression" dxfId="728" priority="600">
      <formula>OR(BC822&gt;80,BC822&lt;10)</formula>
    </cfRule>
    <cfRule type="expression" dxfId="727" priority="601">
      <formula>AND($K822="x",BC822&gt;0)</formula>
    </cfRule>
  </conditionalFormatting>
  <conditionalFormatting sqref="BC842">
    <cfRule type="expression" dxfId="726" priority="153">
      <formula>BC842&gt;0</formula>
    </cfRule>
  </conditionalFormatting>
  <conditionalFormatting sqref="BC844:BC855">
    <cfRule type="expression" dxfId="725" priority="558">
      <formula>AND($K844="x",BC844&gt;0)</formula>
    </cfRule>
    <cfRule type="expression" dxfId="724" priority="557">
      <formula>OR(BC844&gt;80,BC844&lt;10)</formula>
    </cfRule>
  </conditionalFormatting>
  <conditionalFormatting sqref="BC864">
    <cfRule type="expression" dxfId="723" priority="145">
      <formula>BC864&gt;0</formula>
    </cfRule>
  </conditionalFormatting>
  <conditionalFormatting sqref="BC866:BC877">
    <cfRule type="expression" dxfId="722" priority="515">
      <formula>AND($K866="x",BC866&gt;0)</formula>
    </cfRule>
    <cfRule type="expression" dxfId="721" priority="514">
      <formula>OR(BC866&gt;80,BC866&lt;10)</formula>
    </cfRule>
  </conditionalFormatting>
  <conditionalFormatting sqref="BC886">
    <cfRule type="expression" dxfId="720" priority="137">
      <formula>BC886&gt;0</formula>
    </cfRule>
  </conditionalFormatting>
  <conditionalFormatting sqref="BC888:BC899">
    <cfRule type="expression" dxfId="719" priority="471">
      <formula>OR(BC888&gt;80,BC888&lt;10)</formula>
    </cfRule>
    <cfRule type="expression" dxfId="718" priority="472">
      <formula>AND($K888="x",BC888&gt;0)</formula>
    </cfRule>
  </conditionalFormatting>
  <conditionalFormatting sqref="BJ8:BJ19">
    <cfRule type="expression" dxfId="717" priority="4625">
      <formula>AND($I8="x",BJ8&gt;0)</formula>
    </cfRule>
  </conditionalFormatting>
  <conditionalFormatting sqref="BJ30:BJ41">
    <cfRule type="expression" dxfId="716" priority="3842">
      <formula>AND($I30="x",BJ30&gt;0)</formula>
    </cfRule>
  </conditionalFormatting>
  <conditionalFormatting sqref="BJ52:BJ63">
    <cfRule type="expression" dxfId="715" priority="28">
      <formula>AND($I52="x",BJ52&gt;0)</formula>
    </cfRule>
  </conditionalFormatting>
  <conditionalFormatting sqref="BJ74:BJ85">
    <cfRule type="expression" dxfId="714" priority="2079">
      <formula>AND($I74="x",BJ74&gt;0)</formula>
    </cfRule>
  </conditionalFormatting>
  <conditionalFormatting sqref="BJ96:BJ107">
    <cfRule type="expression" dxfId="713" priority="2036">
      <formula>AND($I96="x",BJ96&gt;0)</formula>
    </cfRule>
  </conditionalFormatting>
  <conditionalFormatting sqref="BJ118:BJ129">
    <cfRule type="expression" dxfId="712" priority="1993">
      <formula>AND($I118="x",BJ118&gt;0)</formula>
    </cfRule>
  </conditionalFormatting>
  <conditionalFormatting sqref="BJ140:BJ151">
    <cfRule type="expression" dxfId="711" priority="1950">
      <formula>AND($I140="x",BJ140&gt;0)</formula>
    </cfRule>
  </conditionalFormatting>
  <conditionalFormatting sqref="BJ162:BJ173">
    <cfRule type="expression" dxfId="710" priority="1907">
      <formula>AND($I162="x",BJ162&gt;0)</formula>
    </cfRule>
  </conditionalFormatting>
  <conditionalFormatting sqref="BJ184:BJ195">
    <cfRule type="expression" dxfId="709" priority="1864">
      <formula>AND($I184="x",BJ184&gt;0)</formula>
    </cfRule>
  </conditionalFormatting>
  <conditionalFormatting sqref="BJ206:BJ217">
    <cfRule type="expression" dxfId="708" priority="1821">
      <formula>AND($I206="x",BJ206&gt;0)</formula>
    </cfRule>
  </conditionalFormatting>
  <conditionalFormatting sqref="BJ228:BJ239">
    <cfRule type="expression" dxfId="707" priority="1778">
      <formula>AND($I228="x",BJ228&gt;0)</formula>
    </cfRule>
  </conditionalFormatting>
  <conditionalFormatting sqref="BJ250:BJ261">
    <cfRule type="expression" dxfId="706" priority="1735">
      <formula>AND($I250="x",BJ250&gt;0)</formula>
    </cfRule>
  </conditionalFormatting>
  <conditionalFormatting sqref="BJ272:BJ283">
    <cfRule type="expression" dxfId="705" priority="1692">
      <formula>AND($I272="x",BJ272&gt;0)</formula>
    </cfRule>
  </conditionalFormatting>
  <conditionalFormatting sqref="BJ294:BJ305">
    <cfRule type="expression" dxfId="704" priority="1649">
      <formula>AND($I294="x",BJ294&gt;0)</formula>
    </cfRule>
  </conditionalFormatting>
  <conditionalFormatting sqref="BJ316:BJ327">
    <cfRule type="expression" dxfId="703" priority="1606">
      <formula>AND($I316="x",BJ316&gt;0)</formula>
    </cfRule>
  </conditionalFormatting>
  <conditionalFormatting sqref="BJ338:BJ349">
    <cfRule type="expression" dxfId="702" priority="1563">
      <formula>AND($I338="x",BJ338&gt;0)</formula>
    </cfRule>
  </conditionalFormatting>
  <conditionalFormatting sqref="BJ360:BJ371">
    <cfRule type="expression" dxfId="701" priority="1520">
      <formula>AND($I360="x",BJ360&gt;0)</formula>
    </cfRule>
  </conditionalFormatting>
  <conditionalFormatting sqref="BJ382:BJ393">
    <cfRule type="expression" dxfId="700" priority="1477">
      <formula>AND($I382="x",BJ382&gt;0)</formula>
    </cfRule>
  </conditionalFormatting>
  <conditionalFormatting sqref="BJ404:BJ415">
    <cfRule type="expression" dxfId="699" priority="1434">
      <formula>AND($I404="x",BJ404&gt;0)</formula>
    </cfRule>
  </conditionalFormatting>
  <conditionalFormatting sqref="BJ426:BJ437">
    <cfRule type="expression" dxfId="698" priority="1391">
      <formula>AND($I426="x",BJ426&gt;0)</formula>
    </cfRule>
  </conditionalFormatting>
  <conditionalFormatting sqref="BJ448:BJ459">
    <cfRule type="expression" dxfId="697" priority="1348">
      <formula>AND($I448="x",BJ448&gt;0)</formula>
    </cfRule>
  </conditionalFormatting>
  <conditionalFormatting sqref="BJ470:BJ481">
    <cfRule type="expression" dxfId="696" priority="1305">
      <formula>AND($I470="x",BJ470&gt;0)</formula>
    </cfRule>
  </conditionalFormatting>
  <conditionalFormatting sqref="BJ492:BJ503">
    <cfRule type="expression" dxfId="695" priority="1262">
      <formula>AND($I492="x",BJ492&gt;0)</formula>
    </cfRule>
  </conditionalFormatting>
  <conditionalFormatting sqref="BJ514:BJ525">
    <cfRule type="expression" dxfId="694" priority="1219">
      <formula>AND($I514="x",BJ514&gt;0)</formula>
    </cfRule>
  </conditionalFormatting>
  <conditionalFormatting sqref="BJ536:BJ547">
    <cfRule type="expression" dxfId="693" priority="1176">
      <formula>AND($I536="x",BJ536&gt;0)</formula>
    </cfRule>
  </conditionalFormatting>
  <conditionalFormatting sqref="BJ558:BJ569">
    <cfRule type="expression" dxfId="692" priority="1133">
      <formula>AND($I558="x",BJ558&gt;0)</formula>
    </cfRule>
  </conditionalFormatting>
  <conditionalFormatting sqref="BJ580:BJ591">
    <cfRule type="expression" dxfId="691" priority="1090">
      <formula>AND($I580="x",BJ580&gt;0)</formula>
    </cfRule>
  </conditionalFormatting>
  <conditionalFormatting sqref="BJ602:BJ613">
    <cfRule type="expression" dxfId="690" priority="1047">
      <formula>AND($I602="x",BJ602&gt;0)</formula>
    </cfRule>
  </conditionalFormatting>
  <conditionalFormatting sqref="BJ624:BJ635">
    <cfRule type="expression" dxfId="689" priority="1004">
      <formula>AND($I624="x",BJ624&gt;0)</formula>
    </cfRule>
  </conditionalFormatting>
  <conditionalFormatting sqref="BJ646:BJ657">
    <cfRule type="expression" dxfId="688" priority="961">
      <formula>AND($I646="x",BJ646&gt;0)</formula>
    </cfRule>
  </conditionalFormatting>
  <conditionalFormatting sqref="BJ668:BJ679">
    <cfRule type="expression" dxfId="687" priority="918">
      <formula>AND($I668="x",BJ668&gt;0)</formula>
    </cfRule>
  </conditionalFormatting>
  <conditionalFormatting sqref="BJ690:BJ701">
    <cfRule type="expression" dxfId="686" priority="875">
      <formula>AND($I690="x",BJ690&gt;0)</formula>
    </cfRule>
  </conditionalFormatting>
  <conditionalFormatting sqref="BJ712:BJ723">
    <cfRule type="expression" dxfId="685" priority="832">
      <formula>AND($I712="x",BJ712&gt;0)</formula>
    </cfRule>
  </conditionalFormatting>
  <conditionalFormatting sqref="BJ734:BJ745">
    <cfRule type="expression" dxfId="684" priority="789">
      <formula>AND($I734="x",BJ734&gt;0)</formula>
    </cfRule>
  </conditionalFormatting>
  <conditionalFormatting sqref="BJ756:BJ767">
    <cfRule type="expression" dxfId="683" priority="746">
      <formula>AND($I756="x",BJ756&gt;0)</formula>
    </cfRule>
  </conditionalFormatting>
  <conditionalFormatting sqref="BJ778:BJ789">
    <cfRule type="expression" dxfId="682" priority="703">
      <formula>AND($I778="x",BJ778&gt;0)</formula>
    </cfRule>
  </conditionalFormatting>
  <conditionalFormatting sqref="BJ800:BJ811">
    <cfRule type="expression" dxfId="681" priority="660">
      <formula>AND($I800="x",BJ800&gt;0)</formula>
    </cfRule>
  </conditionalFormatting>
  <conditionalFormatting sqref="BJ822:BJ833">
    <cfRule type="expression" dxfId="680" priority="617">
      <formula>AND($I822="x",BJ822&gt;0)</formula>
    </cfRule>
  </conditionalFormatting>
  <conditionalFormatting sqref="BJ844:BJ855">
    <cfRule type="expression" dxfId="679" priority="574">
      <formula>AND($I844="x",BJ844&gt;0)</formula>
    </cfRule>
  </conditionalFormatting>
  <conditionalFormatting sqref="BJ866:BJ877">
    <cfRule type="expression" dxfId="678" priority="531">
      <formula>AND($I866="x",BJ866&gt;0)</formula>
    </cfRule>
  </conditionalFormatting>
  <conditionalFormatting sqref="BJ888:BJ899">
    <cfRule type="expression" dxfId="677" priority="488">
      <formula>AND($I888="x",BJ888&gt;0)</formula>
    </cfRule>
  </conditionalFormatting>
  <conditionalFormatting sqref="BK8:BK19">
    <cfRule type="expression" dxfId="676" priority="4624">
      <formula>AND($J8="x",BK8&gt;0)</formula>
    </cfRule>
  </conditionalFormatting>
  <conditionalFormatting sqref="BK30:BK41">
    <cfRule type="expression" dxfId="675" priority="3841">
      <formula>AND($J30="x",BK30&gt;0)</formula>
    </cfRule>
  </conditionalFormatting>
  <conditionalFormatting sqref="BK52:BK63">
    <cfRule type="expression" dxfId="674" priority="27">
      <formula>AND($J52="x",BK52&gt;0)</formula>
    </cfRule>
  </conditionalFormatting>
  <conditionalFormatting sqref="BK74:BK85">
    <cfRule type="expression" dxfId="673" priority="2078">
      <formula>AND($J74="x",BK74&gt;0)</formula>
    </cfRule>
  </conditionalFormatting>
  <conditionalFormatting sqref="BK96:BK107">
    <cfRule type="expression" dxfId="672" priority="2035">
      <formula>AND($J96="x",BK96&gt;0)</formula>
    </cfRule>
  </conditionalFormatting>
  <conditionalFormatting sqref="BK118:BK129">
    <cfRule type="expression" dxfId="671" priority="1992">
      <formula>AND($J118="x",BK118&gt;0)</formula>
    </cfRule>
  </conditionalFormatting>
  <conditionalFormatting sqref="BK140:BK151">
    <cfRule type="expression" dxfId="670" priority="1949">
      <formula>AND($J140="x",BK140&gt;0)</formula>
    </cfRule>
  </conditionalFormatting>
  <conditionalFormatting sqref="BK162:BK173">
    <cfRule type="expression" dxfId="669" priority="1906">
      <formula>AND($J162="x",BK162&gt;0)</formula>
    </cfRule>
  </conditionalFormatting>
  <conditionalFormatting sqref="BK184:BK195">
    <cfRule type="expression" dxfId="668" priority="1863">
      <formula>AND($J184="x",BK184&gt;0)</formula>
    </cfRule>
  </conditionalFormatting>
  <conditionalFormatting sqref="BK206:BK217">
    <cfRule type="expression" dxfId="667" priority="1820">
      <formula>AND($J206="x",BK206&gt;0)</formula>
    </cfRule>
  </conditionalFormatting>
  <conditionalFormatting sqref="BK228:BK239">
    <cfRule type="expression" dxfId="666" priority="1777">
      <formula>AND($J228="x",BK228&gt;0)</formula>
    </cfRule>
  </conditionalFormatting>
  <conditionalFormatting sqref="BK250:BK261">
    <cfRule type="expression" dxfId="665" priority="1734">
      <formula>AND($J250="x",BK250&gt;0)</formula>
    </cfRule>
  </conditionalFormatting>
  <conditionalFormatting sqref="BK272:BK283">
    <cfRule type="expression" dxfId="664" priority="1691">
      <formula>AND($J272="x",BK272&gt;0)</formula>
    </cfRule>
  </conditionalFormatting>
  <conditionalFormatting sqref="BK294:BK305">
    <cfRule type="expression" dxfId="663" priority="1648">
      <formula>AND($J294="x",BK294&gt;0)</formula>
    </cfRule>
  </conditionalFormatting>
  <conditionalFormatting sqref="BK316:BK327">
    <cfRule type="expression" dxfId="662" priority="1605">
      <formula>AND($J316="x",BK316&gt;0)</formula>
    </cfRule>
  </conditionalFormatting>
  <conditionalFormatting sqref="BK338:BK349">
    <cfRule type="expression" dxfId="661" priority="1562">
      <formula>AND($J338="x",BK338&gt;0)</formula>
    </cfRule>
  </conditionalFormatting>
  <conditionalFormatting sqref="BK360:BK371">
    <cfRule type="expression" dxfId="660" priority="1519">
      <formula>AND($J360="x",BK360&gt;0)</formula>
    </cfRule>
  </conditionalFormatting>
  <conditionalFormatting sqref="BK382:BK393">
    <cfRule type="expression" dxfId="659" priority="1476">
      <formula>AND($J382="x",BK382&gt;0)</formula>
    </cfRule>
  </conditionalFormatting>
  <conditionalFormatting sqref="BK404:BK415">
    <cfRule type="expression" dxfId="658" priority="1433">
      <formula>AND($J404="x",BK404&gt;0)</formula>
    </cfRule>
  </conditionalFormatting>
  <conditionalFormatting sqref="BK426:BK437">
    <cfRule type="expression" dxfId="657" priority="1390">
      <formula>AND($J426="x",BK426&gt;0)</formula>
    </cfRule>
  </conditionalFormatting>
  <conditionalFormatting sqref="BK448:BK459">
    <cfRule type="expression" dxfId="656" priority="1347">
      <formula>AND($J448="x",BK448&gt;0)</formula>
    </cfRule>
  </conditionalFormatting>
  <conditionalFormatting sqref="BK470:BK481">
    <cfRule type="expression" dxfId="655" priority="1304">
      <formula>AND($J470="x",BK470&gt;0)</formula>
    </cfRule>
  </conditionalFormatting>
  <conditionalFormatting sqref="BK492:BK503">
    <cfRule type="expression" dxfId="654" priority="1261">
      <formula>AND($J492="x",BK492&gt;0)</formula>
    </cfRule>
  </conditionalFormatting>
  <conditionalFormatting sqref="BK514:BK525">
    <cfRule type="expression" dxfId="653" priority="1218">
      <formula>AND($J514="x",BK514&gt;0)</formula>
    </cfRule>
  </conditionalFormatting>
  <conditionalFormatting sqref="BK536:BK547">
    <cfRule type="expression" dxfId="652" priority="1175">
      <formula>AND($J536="x",BK536&gt;0)</formula>
    </cfRule>
  </conditionalFormatting>
  <conditionalFormatting sqref="BK558:BK569">
    <cfRule type="expression" dxfId="651" priority="1132">
      <formula>AND($J558="x",BK558&gt;0)</formula>
    </cfRule>
  </conditionalFormatting>
  <conditionalFormatting sqref="BK580:BK591">
    <cfRule type="expression" dxfId="650" priority="1089">
      <formula>AND($J580="x",BK580&gt;0)</formula>
    </cfRule>
  </conditionalFormatting>
  <conditionalFormatting sqref="BK602:BK613">
    <cfRule type="expression" dxfId="649" priority="1046">
      <formula>AND($J602="x",BK602&gt;0)</formula>
    </cfRule>
  </conditionalFormatting>
  <conditionalFormatting sqref="BK624:BK635">
    <cfRule type="expression" dxfId="648" priority="1003">
      <formula>AND($J624="x",BK624&gt;0)</formula>
    </cfRule>
  </conditionalFormatting>
  <conditionalFormatting sqref="BK646:BK657">
    <cfRule type="expression" dxfId="647" priority="960">
      <formula>AND($J646="x",BK646&gt;0)</formula>
    </cfRule>
  </conditionalFormatting>
  <conditionalFormatting sqref="BK668:BK679">
    <cfRule type="expression" dxfId="646" priority="917">
      <formula>AND($J668="x",BK668&gt;0)</formula>
    </cfRule>
  </conditionalFormatting>
  <conditionalFormatting sqref="BK690:BK701">
    <cfRule type="expression" dxfId="645" priority="874">
      <formula>AND($J690="x",BK690&gt;0)</formula>
    </cfRule>
  </conditionalFormatting>
  <conditionalFormatting sqref="BK712:BK723">
    <cfRule type="expression" dxfId="644" priority="831">
      <formula>AND($J712="x",BK712&gt;0)</formula>
    </cfRule>
  </conditionalFormatting>
  <conditionalFormatting sqref="BK734:BK745">
    <cfRule type="expression" dxfId="643" priority="788">
      <formula>AND($J734="x",BK734&gt;0)</formula>
    </cfRule>
  </conditionalFormatting>
  <conditionalFormatting sqref="BK756:BK767">
    <cfRule type="expression" dxfId="642" priority="745">
      <formula>AND($J756="x",BK756&gt;0)</formula>
    </cfRule>
  </conditionalFormatting>
  <conditionalFormatting sqref="BK778:BK789">
    <cfRule type="expression" dxfId="641" priority="702">
      <formula>AND($J778="x",BK778&gt;0)</formula>
    </cfRule>
  </conditionalFormatting>
  <conditionalFormatting sqref="BK800:BK811">
    <cfRule type="expression" dxfId="640" priority="659">
      <formula>AND($J800="x",BK800&gt;0)</formula>
    </cfRule>
  </conditionalFormatting>
  <conditionalFormatting sqref="BK822:BK833">
    <cfRule type="expression" dxfId="639" priority="616">
      <formula>AND($J822="x",BK822&gt;0)</formula>
    </cfRule>
  </conditionalFormatting>
  <conditionalFormatting sqref="BK844:BK855">
    <cfRule type="expression" dxfId="638" priority="573">
      <formula>AND($J844="x",BK844&gt;0)</formula>
    </cfRule>
  </conditionalFormatting>
  <conditionalFormatting sqref="BK866:BK877">
    <cfRule type="expression" dxfId="637" priority="530">
      <formula>AND($J866="x",BK866&gt;0)</formula>
    </cfRule>
  </conditionalFormatting>
  <conditionalFormatting sqref="BK888:BK899">
    <cfRule type="expression" dxfId="636" priority="487">
      <formula>AND($J888="x",BK888&gt;0)</formula>
    </cfRule>
  </conditionalFormatting>
  <conditionalFormatting sqref="BL6">
    <cfRule type="expression" dxfId="635" priority="4638">
      <formula>BL6&gt;0</formula>
    </cfRule>
  </conditionalFormatting>
  <conditionalFormatting sqref="BL8:BL19">
    <cfRule type="expression" dxfId="634" priority="4607">
      <formula>AND($K8="x",BL8&gt;0)</formula>
    </cfRule>
    <cfRule type="expression" dxfId="633" priority="4606">
      <formula>OR(BL8&gt;80,BL8&lt;10)</formula>
    </cfRule>
  </conditionalFormatting>
  <conditionalFormatting sqref="BL28">
    <cfRule type="expression" dxfId="632" priority="128">
      <formula>BL28&gt;0</formula>
    </cfRule>
  </conditionalFormatting>
  <conditionalFormatting sqref="BL30:BL41">
    <cfRule type="expression" dxfId="631" priority="3824">
      <formula>AND($K30="x",BL30&gt;0)</formula>
    </cfRule>
    <cfRule type="expression" dxfId="630" priority="3823">
      <formula>OR(BL30&gt;80,BL30&lt;10)</formula>
    </cfRule>
  </conditionalFormatting>
  <conditionalFormatting sqref="BL50">
    <cfRule type="expression" dxfId="629" priority="120">
      <formula>BL50&gt;0</formula>
    </cfRule>
  </conditionalFormatting>
  <conditionalFormatting sqref="BL52:BL63">
    <cfRule type="expression" dxfId="628" priority="12">
      <formula>AND($K52="x",BL52&gt;0)</formula>
    </cfRule>
    <cfRule type="expression" dxfId="627" priority="11">
      <formula>OR(BL52&gt;80,BL52&lt;10)</formula>
    </cfRule>
  </conditionalFormatting>
  <conditionalFormatting sqref="BL72">
    <cfRule type="expression" dxfId="626" priority="112">
      <formula>BL72&gt;0</formula>
    </cfRule>
  </conditionalFormatting>
  <conditionalFormatting sqref="BL74:BL85">
    <cfRule type="expression" dxfId="625" priority="2060">
      <formula>OR(BL74&gt;80,BL74&lt;10)</formula>
    </cfRule>
    <cfRule type="expression" dxfId="624" priority="2061">
      <formula>AND($K74="x",BL74&gt;0)</formula>
    </cfRule>
  </conditionalFormatting>
  <conditionalFormatting sqref="BL94">
    <cfRule type="expression" dxfId="623" priority="104">
      <formula>BL94&gt;0</formula>
    </cfRule>
  </conditionalFormatting>
  <conditionalFormatting sqref="BL96:BL107">
    <cfRule type="expression" dxfId="622" priority="2017">
      <formula>OR(BL96&gt;80,BL96&lt;10)</formula>
    </cfRule>
    <cfRule type="expression" dxfId="621" priority="2018">
      <formula>AND($K96="x",BL96&gt;0)</formula>
    </cfRule>
  </conditionalFormatting>
  <conditionalFormatting sqref="BL116">
    <cfRule type="expression" dxfId="620" priority="96">
      <formula>BL116&gt;0</formula>
    </cfRule>
  </conditionalFormatting>
  <conditionalFormatting sqref="BL118:BL129">
    <cfRule type="expression" dxfId="619" priority="1974">
      <formula>OR(BL118&gt;80,BL118&lt;10)</formula>
    </cfRule>
    <cfRule type="expression" dxfId="618" priority="1975">
      <formula>AND($K118="x",BL118&gt;0)</formula>
    </cfRule>
  </conditionalFormatting>
  <conditionalFormatting sqref="BL138">
    <cfRule type="expression" dxfId="617" priority="88">
      <formula>BL138&gt;0</formula>
    </cfRule>
  </conditionalFormatting>
  <conditionalFormatting sqref="BL140:BL151">
    <cfRule type="expression" dxfId="616" priority="1932">
      <formula>AND($K140="x",BL140&gt;0)</formula>
    </cfRule>
    <cfRule type="expression" dxfId="615" priority="1931">
      <formula>OR(BL140&gt;80,BL140&lt;10)</formula>
    </cfRule>
  </conditionalFormatting>
  <conditionalFormatting sqref="BL160">
    <cfRule type="expression" dxfId="614" priority="80">
      <formula>BL160&gt;0</formula>
    </cfRule>
  </conditionalFormatting>
  <conditionalFormatting sqref="BL162:BL173">
    <cfRule type="expression" dxfId="613" priority="1889">
      <formula>AND($K162="x",BL162&gt;0)</formula>
    </cfRule>
    <cfRule type="expression" dxfId="612" priority="1888">
      <formula>OR(BL162&gt;80,BL162&lt;10)</formula>
    </cfRule>
  </conditionalFormatting>
  <conditionalFormatting sqref="BL182">
    <cfRule type="expression" dxfId="611" priority="72">
      <formula>BL182&gt;0</formula>
    </cfRule>
  </conditionalFormatting>
  <conditionalFormatting sqref="BL184:BL195">
    <cfRule type="expression" dxfId="610" priority="1846">
      <formula>AND($K184="x",BL184&gt;0)</formula>
    </cfRule>
    <cfRule type="expression" dxfId="609" priority="1845">
      <formula>OR(BL184&gt;80,BL184&lt;10)</formula>
    </cfRule>
  </conditionalFormatting>
  <conditionalFormatting sqref="BL204">
    <cfRule type="expression" dxfId="608" priority="64">
      <formula>BL204&gt;0</formula>
    </cfRule>
  </conditionalFormatting>
  <conditionalFormatting sqref="BL206:BL217">
    <cfRule type="expression" dxfId="607" priority="1802">
      <formula>OR(BL206&gt;80,BL206&lt;10)</formula>
    </cfRule>
    <cfRule type="expression" dxfId="606" priority="1803">
      <formula>AND($K206="x",BL206&gt;0)</formula>
    </cfRule>
  </conditionalFormatting>
  <conditionalFormatting sqref="BL226">
    <cfRule type="expression" dxfId="605" priority="56">
      <formula>BL226&gt;0</formula>
    </cfRule>
  </conditionalFormatting>
  <conditionalFormatting sqref="BL228:BL239">
    <cfRule type="expression" dxfId="604" priority="1759">
      <formula>OR(BL228&gt;80,BL228&lt;10)</formula>
    </cfRule>
    <cfRule type="expression" dxfId="603" priority="1760">
      <formula>AND($K228="x",BL228&gt;0)</formula>
    </cfRule>
  </conditionalFormatting>
  <conditionalFormatting sqref="BL248">
    <cfRule type="expression" dxfId="602" priority="48">
      <formula>BL248&gt;0</formula>
    </cfRule>
  </conditionalFormatting>
  <conditionalFormatting sqref="BL250:BL261">
    <cfRule type="expression" dxfId="601" priority="1716">
      <formula>OR(BL250&gt;80,BL250&lt;10)</formula>
    </cfRule>
    <cfRule type="expression" dxfId="600" priority="1717">
      <formula>AND($K250="x",BL250&gt;0)</formula>
    </cfRule>
  </conditionalFormatting>
  <conditionalFormatting sqref="BL270">
    <cfRule type="expression" dxfId="599" priority="360">
      <formula>BL270&gt;0</formula>
    </cfRule>
  </conditionalFormatting>
  <conditionalFormatting sqref="BL272:BL283">
    <cfRule type="expression" dxfId="598" priority="1674">
      <formula>AND($K272="x",BL272&gt;0)</formula>
    </cfRule>
    <cfRule type="expression" dxfId="597" priority="1673">
      <formula>OR(BL272&gt;80,BL272&lt;10)</formula>
    </cfRule>
  </conditionalFormatting>
  <conditionalFormatting sqref="BL292">
    <cfRule type="expression" dxfId="596" priority="352">
      <formula>BL292&gt;0</formula>
    </cfRule>
  </conditionalFormatting>
  <conditionalFormatting sqref="BL294:BL305">
    <cfRule type="expression" dxfId="595" priority="1630">
      <formula>OR(BL294&gt;80,BL294&lt;10)</formula>
    </cfRule>
    <cfRule type="expression" dxfId="594" priority="1631">
      <formula>AND($K294="x",BL294&gt;0)</formula>
    </cfRule>
  </conditionalFormatting>
  <conditionalFormatting sqref="BL314">
    <cfRule type="expression" dxfId="593" priority="344">
      <formula>BL314&gt;0</formula>
    </cfRule>
  </conditionalFormatting>
  <conditionalFormatting sqref="BL316:BL327">
    <cfRule type="expression" dxfId="592" priority="1588">
      <formula>AND($K316="x",BL316&gt;0)</formula>
    </cfRule>
    <cfRule type="expression" dxfId="591" priority="1587">
      <formula>OR(BL316&gt;80,BL316&lt;10)</formula>
    </cfRule>
  </conditionalFormatting>
  <conditionalFormatting sqref="BL336">
    <cfRule type="expression" dxfId="590" priority="336">
      <formula>BL336&gt;0</formula>
    </cfRule>
  </conditionalFormatting>
  <conditionalFormatting sqref="BL338:BL349">
    <cfRule type="expression" dxfId="589" priority="1544">
      <formula>OR(BL338&gt;80,BL338&lt;10)</formula>
    </cfRule>
    <cfRule type="expression" dxfId="588" priority="1545">
      <formula>AND($K338="x",BL338&gt;0)</formula>
    </cfRule>
  </conditionalFormatting>
  <conditionalFormatting sqref="BL358">
    <cfRule type="expression" dxfId="587" priority="328">
      <formula>BL358&gt;0</formula>
    </cfRule>
  </conditionalFormatting>
  <conditionalFormatting sqref="BL360:BL371">
    <cfRule type="expression" dxfId="586" priority="1501">
      <formula>OR(BL360&gt;80,BL360&lt;10)</formula>
    </cfRule>
    <cfRule type="expression" dxfId="585" priority="1502">
      <formula>AND($K360="x",BL360&gt;0)</formula>
    </cfRule>
  </conditionalFormatting>
  <conditionalFormatting sqref="BL380">
    <cfRule type="expression" dxfId="584" priority="320">
      <formula>BL380&gt;0</formula>
    </cfRule>
  </conditionalFormatting>
  <conditionalFormatting sqref="BL382:BL393">
    <cfRule type="expression" dxfId="583" priority="1458">
      <formula>OR(BL382&gt;80,BL382&lt;10)</formula>
    </cfRule>
    <cfRule type="expression" dxfId="582" priority="1459">
      <formula>AND($K382="x",BL382&gt;0)</formula>
    </cfRule>
  </conditionalFormatting>
  <conditionalFormatting sqref="BL402">
    <cfRule type="expression" dxfId="581" priority="312">
      <formula>BL402&gt;0</formula>
    </cfRule>
  </conditionalFormatting>
  <conditionalFormatting sqref="BL404:BL415">
    <cfRule type="expression" dxfId="580" priority="1415">
      <formula>OR(BL404&gt;80,BL404&lt;10)</formula>
    </cfRule>
    <cfRule type="expression" dxfId="579" priority="1416">
      <formula>AND($K404="x",BL404&gt;0)</formula>
    </cfRule>
  </conditionalFormatting>
  <conditionalFormatting sqref="BL424">
    <cfRule type="expression" dxfId="578" priority="304">
      <formula>BL424&gt;0</formula>
    </cfRule>
  </conditionalFormatting>
  <conditionalFormatting sqref="BL426:BL437">
    <cfRule type="expression" dxfId="577" priority="1372">
      <formula>OR(BL426&gt;80,BL426&lt;10)</formula>
    </cfRule>
    <cfRule type="expression" dxfId="576" priority="1373">
      <formula>AND($K426="x",BL426&gt;0)</formula>
    </cfRule>
  </conditionalFormatting>
  <conditionalFormatting sqref="BL446">
    <cfRule type="expression" dxfId="575" priority="296">
      <formula>BL446&gt;0</formula>
    </cfRule>
  </conditionalFormatting>
  <conditionalFormatting sqref="BL448:BL459">
    <cfRule type="expression" dxfId="574" priority="1330">
      <formula>AND($K448="x",BL448&gt;0)</formula>
    </cfRule>
    <cfRule type="expression" dxfId="573" priority="1329">
      <formula>OR(BL448&gt;80,BL448&lt;10)</formula>
    </cfRule>
  </conditionalFormatting>
  <conditionalFormatting sqref="BL468">
    <cfRule type="expression" dxfId="572" priority="288">
      <formula>BL468&gt;0</formula>
    </cfRule>
  </conditionalFormatting>
  <conditionalFormatting sqref="BL470:BL481">
    <cfRule type="expression" dxfId="571" priority="1287">
      <formula>AND($K470="x",BL470&gt;0)</formula>
    </cfRule>
    <cfRule type="expression" dxfId="570" priority="1286">
      <formula>OR(BL470&gt;80,BL470&lt;10)</formula>
    </cfRule>
  </conditionalFormatting>
  <conditionalFormatting sqref="BL490">
    <cfRule type="expression" dxfId="569" priority="280">
      <formula>BL490&gt;0</formula>
    </cfRule>
  </conditionalFormatting>
  <conditionalFormatting sqref="BL492:BL503">
    <cfRule type="expression" dxfId="568" priority="1244">
      <formula>AND($K492="x",BL492&gt;0)</formula>
    </cfRule>
    <cfRule type="expression" dxfId="567" priority="1243">
      <formula>OR(BL492&gt;80,BL492&lt;10)</formula>
    </cfRule>
  </conditionalFormatting>
  <conditionalFormatting sqref="BL512">
    <cfRule type="expression" dxfId="566" priority="272">
      <formula>BL512&gt;0</formula>
    </cfRule>
  </conditionalFormatting>
  <conditionalFormatting sqref="BL514:BL525">
    <cfRule type="expression" dxfId="565" priority="1200">
      <formula>OR(BL514&gt;80,BL514&lt;10)</formula>
    </cfRule>
    <cfRule type="expression" dxfId="564" priority="1201">
      <formula>AND($K514="x",BL514&gt;0)</formula>
    </cfRule>
  </conditionalFormatting>
  <conditionalFormatting sqref="BL534">
    <cfRule type="expression" dxfId="563" priority="264">
      <formula>BL534&gt;0</formula>
    </cfRule>
  </conditionalFormatting>
  <conditionalFormatting sqref="BL536:BL547">
    <cfRule type="expression" dxfId="562" priority="1158">
      <formula>AND($K536="x",BL536&gt;0)</formula>
    </cfRule>
    <cfRule type="expression" dxfId="561" priority="1157">
      <formula>OR(BL536&gt;80,BL536&lt;10)</formula>
    </cfRule>
  </conditionalFormatting>
  <conditionalFormatting sqref="BL556">
    <cfRule type="expression" dxfId="560" priority="256">
      <formula>BL556&gt;0</formula>
    </cfRule>
  </conditionalFormatting>
  <conditionalFormatting sqref="BL558:BL569">
    <cfRule type="expression" dxfId="559" priority="1114">
      <formula>OR(BL558&gt;80,BL558&lt;10)</formula>
    </cfRule>
    <cfRule type="expression" dxfId="558" priority="1115">
      <formula>AND($K558="x",BL558&gt;0)</formula>
    </cfRule>
  </conditionalFormatting>
  <conditionalFormatting sqref="BL578">
    <cfRule type="expression" dxfId="557" priority="248">
      <formula>BL578&gt;0</formula>
    </cfRule>
  </conditionalFormatting>
  <conditionalFormatting sqref="BL580:BL591">
    <cfRule type="expression" dxfId="556" priority="1071">
      <formula>OR(BL580&gt;80,BL580&lt;10)</formula>
    </cfRule>
    <cfRule type="expression" dxfId="555" priority="1072">
      <formula>AND($K580="x",BL580&gt;0)</formula>
    </cfRule>
  </conditionalFormatting>
  <conditionalFormatting sqref="BL600">
    <cfRule type="expression" dxfId="554" priority="240">
      <formula>BL600&gt;0</formula>
    </cfRule>
  </conditionalFormatting>
  <conditionalFormatting sqref="BL602:BL613">
    <cfRule type="expression" dxfId="553" priority="1029">
      <formula>AND($K602="x",BL602&gt;0)</formula>
    </cfRule>
    <cfRule type="expression" dxfId="552" priority="1028">
      <formula>OR(BL602&gt;80,BL602&lt;10)</formula>
    </cfRule>
  </conditionalFormatting>
  <conditionalFormatting sqref="BL622">
    <cfRule type="expression" dxfId="551" priority="232">
      <formula>BL622&gt;0</formula>
    </cfRule>
  </conditionalFormatting>
  <conditionalFormatting sqref="BL624:BL635">
    <cfRule type="expression" dxfId="550" priority="985">
      <formula>OR(BL624&gt;80,BL624&lt;10)</formula>
    </cfRule>
    <cfRule type="expression" dxfId="549" priority="986">
      <formula>AND($K624="x",BL624&gt;0)</formula>
    </cfRule>
  </conditionalFormatting>
  <conditionalFormatting sqref="BL644">
    <cfRule type="expression" dxfId="548" priority="224">
      <formula>BL644&gt;0</formula>
    </cfRule>
  </conditionalFormatting>
  <conditionalFormatting sqref="BL646:BL657">
    <cfRule type="expression" dxfId="547" priority="943">
      <formula>AND($K646="x",BL646&gt;0)</formula>
    </cfRule>
    <cfRule type="expression" dxfId="546" priority="942">
      <formula>OR(BL646&gt;80,BL646&lt;10)</formula>
    </cfRule>
  </conditionalFormatting>
  <conditionalFormatting sqref="BL666">
    <cfRule type="expression" dxfId="545" priority="216">
      <formula>BL666&gt;0</formula>
    </cfRule>
  </conditionalFormatting>
  <conditionalFormatting sqref="BL668:BL679">
    <cfRule type="expression" dxfId="544" priority="899">
      <formula>OR(BL668&gt;80,BL668&lt;10)</formula>
    </cfRule>
    <cfRule type="expression" dxfId="543" priority="900">
      <formula>AND($K668="x",BL668&gt;0)</formula>
    </cfRule>
  </conditionalFormatting>
  <conditionalFormatting sqref="BL688">
    <cfRule type="expression" dxfId="542" priority="208">
      <formula>BL688&gt;0</formula>
    </cfRule>
  </conditionalFormatting>
  <conditionalFormatting sqref="BL690:BL701">
    <cfRule type="expression" dxfId="541" priority="856">
      <formula>OR(BL690&gt;80,BL690&lt;10)</formula>
    </cfRule>
    <cfRule type="expression" dxfId="540" priority="857">
      <formula>AND($K690="x",BL690&gt;0)</formula>
    </cfRule>
  </conditionalFormatting>
  <conditionalFormatting sqref="BL710">
    <cfRule type="expression" dxfId="539" priority="200">
      <formula>BL710&gt;0</formula>
    </cfRule>
  </conditionalFormatting>
  <conditionalFormatting sqref="BL712:BL723">
    <cfRule type="expression" dxfId="538" priority="813">
      <formula>OR(BL712&gt;80,BL712&lt;10)</formula>
    </cfRule>
    <cfRule type="expression" dxfId="537" priority="814">
      <formula>AND($K712="x",BL712&gt;0)</formula>
    </cfRule>
  </conditionalFormatting>
  <conditionalFormatting sqref="BL732">
    <cfRule type="expression" dxfId="536" priority="192">
      <formula>BL732&gt;0</formula>
    </cfRule>
  </conditionalFormatting>
  <conditionalFormatting sqref="BL734:BL745">
    <cfRule type="expression" dxfId="535" priority="771">
      <formula>AND($K734="x",BL734&gt;0)</formula>
    </cfRule>
    <cfRule type="expression" dxfId="534" priority="770">
      <formula>OR(BL734&gt;80,BL734&lt;10)</formula>
    </cfRule>
  </conditionalFormatting>
  <conditionalFormatting sqref="BL754">
    <cfRule type="expression" dxfId="533" priority="184">
      <formula>BL754&gt;0</formula>
    </cfRule>
  </conditionalFormatting>
  <conditionalFormatting sqref="BL756:BL767">
    <cfRule type="expression" dxfId="532" priority="727">
      <formula>OR(BL756&gt;80,BL756&lt;10)</formula>
    </cfRule>
    <cfRule type="expression" dxfId="531" priority="728">
      <formula>AND($K756="x",BL756&gt;0)</formula>
    </cfRule>
  </conditionalFormatting>
  <conditionalFormatting sqref="BL776">
    <cfRule type="expression" dxfId="530" priority="176">
      <formula>BL776&gt;0</formula>
    </cfRule>
  </conditionalFormatting>
  <conditionalFormatting sqref="BL778:BL789">
    <cfRule type="expression" dxfId="529" priority="685">
      <formula>AND($K778="x",BL778&gt;0)</formula>
    </cfRule>
    <cfRule type="expression" dxfId="528" priority="684">
      <formula>OR(BL778&gt;80,BL778&lt;10)</formula>
    </cfRule>
  </conditionalFormatting>
  <conditionalFormatting sqref="BL798">
    <cfRule type="expression" dxfId="527" priority="168">
      <formula>BL798&gt;0</formula>
    </cfRule>
  </conditionalFormatting>
  <conditionalFormatting sqref="BL800:BL811">
    <cfRule type="expression" dxfId="526" priority="642">
      <formula>AND($K800="x",BL800&gt;0)</formula>
    </cfRule>
    <cfRule type="expression" dxfId="525" priority="641">
      <formula>OR(BL800&gt;80,BL800&lt;10)</formula>
    </cfRule>
  </conditionalFormatting>
  <conditionalFormatting sqref="BL820">
    <cfRule type="expression" dxfId="524" priority="160">
      <formula>BL820&gt;0</formula>
    </cfRule>
  </conditionalFormatting>
  <conditionalFormatting sqref="BL822:BL833">
    <cfRule type="expression" dxfId="523" priority="599">
      <formula>AND($K822="x",BL822&gt;0)</formula>
    </cfRule>
    <cfRule type="expression" dxfId="522" priority="598">
      <formula>OR(BL822&gt;80,BL822&lt;10)</formula>
    </cfRule>
  </conditionalFormatting>
  <conditionalFormatting sqref="BL842">
    <cfRule type="expression" dxfId="521" priority="152">
      <formula>BL842&gt;0</formula>
    </cfRule>
  </conditionalFormatting>
  <conditionalFormatting sqref="BL844:BL855">
    <cfRule type="expression" dxfId="520" priority="555">
      <formula>OR(BL844&gt;80,BL844&lt;10)</formula>
    </cfRule>
    <cfRule type="expression" dxfId="519" priority="556">
      <formula>AND($K844="x",BL844&gt;0)</formula>
    </cfRule>
  </conditionalFormatting>
  <conditionalFormatting sqref="BL864">
    <cfRule type="expression" dxfId="518" priority="144">
      <formula>BL864&gt;0</formula>
    </cfRule>
  </conditionalFormatting>
  <conditionalFormatting sqref="BL866:BL877">
    <cfRule type="expression" dxfId="517" priority="512">
      <formula>OR(BL866&gt;80,BL866&lt;10)</formula>
    </cfRule>
    <cfRule type="expression" dxfId="516" priority="513">
      <formula>AND($K866="x",BL866&gt;0)</formula>
    </cfRule>
  </conditionalFormatting>
  <conditionalFormatting sqref="BL886">
    <cfRule type="expression" dxfId="515" priority="136">
      <formula>BL886&gt;0</formula>
    </cfRule>
  </conditionalFormatting>
  <conditionalFormatting sqref="BL888:BL899">
    <cfRule type="expression" dxfId="514" priority="469">
      <formula>OR(BL888&gt;80,BL888&lt;10)</formula>
    </cfRule>
    <cfRule type="expression" dxfId="513" priority="470">
      <formula>AND($K888="x",BL888&gt;0)</formula>
    </cfRule>
  </conditionalFormatting>
  <conditionalFormatting sqref="BS8:BS19">
    <cfRule type="expression" dxfId="512" priority="4623">
      <formula>AND($I8="x",BS8&gt;0)</formula>
    </cfRule>
  </conditionalFormatting>
  <conditionalFormatting sqref="BS30:BS41">
    <cfRule type="expression" dxfId="511" priority="3840">
      <formula>AND($I30="x",BS30&gt;0)</formula>
    </cfRule>
  </conditionalFormatting>
  <conditionalFormatting sqref="BS52:BS63">
    <cfRule type="expression" dxfId="510" priority="26">
      <formula>AND($I52="x",BS52&gt;0)</formula>
    </cfRule>
  </conditionalFormatting>
  <conditionalFormatting sqref="BS74:BS85">
    <cfRule type="expression" dxfId="509" priority="2077">
      <formula>AND($I74="x",BS74&gt;0)</formula>
    </cfRule>
  </conditionalFormatting>
  <conditionalFormatting sqref="BS96:BS107">
    <cfRule type="expression" dxfId="508" priority="2034">
      <formula>AND($I96="x",BS96&gt;0)</formula>
    </cfRule>
  </conditionalFormatting>
  <conditionalFormatting sqref="BS118:BS129">
    <cfRule type="expression" dxfId="507" priority="1991">
      <formula>AND($I118="x",BS118&gt;0)</formula>
    </cfRule>
  </conditionalFormatting>
  <conditionalFormatting sqref="BS140:BS151">
    <cfRule type="expression" dxfId="506" priority="1948">
      <formula>AND($I140="x",BS140&gt;0)</formula>
    </cfRule>
  </conditionalFormatting>
  <conditionalFormatting sqref="BS162:BS173">
    <cfRule type="expression" dxfId="505" priority="1905">
      <formula>AND($I162="x",BS162&gt;0)</formula>
    </cfRule>
  </conditionalFormatting>
  <conditionalFormatting sqref="BS184:BS195">
    <cfRule type="expression" dxfId="504" priority="1862">
      <formula>AND($I184="x",BS184&gt;0)</formula>
    </cfRule>
  </conditionalFormatting>
  <conditionalFormatting sqref="BS206:BS217">
    <cfRule type="expression" dxfId="503" priority="1819">
      <formula>AND($I206="x",BS206&gt;0)</formula>
    </cfRule>
  </conditionalFormatting>
  <conditionalFormatting sqref="BS228:BS239">
    <cfRule type="expression" dxfId="502" priority="1776">
      <formula>AND($I228="x",BS228&gt;0)</formula>
    </cfRule>
  </conditionalFormatting>
  <conditionalFormatting sqref="BS250:BS261">
    <cfRule type="expression" dxfId="501" priority="1733">
      <formula>AND($I250="x",BS250&gt;0)</formula>
    </cfRule>
  </conditionalFormatting>
  <conditionalFormatting sqref="BS272:BS283">
    <cfRule type="expression" dxfId="500" priority="1690">
      <formula>AND($I272="x",BS272&gt;0)</formula>
    </cfRule>
  </conditionalFormatting>
  <conditionalFormatting sqref="BS294:BS305">
    <cfRule type="expression" dxfId="499" priority="1647">
      <formula>AND($I294="x",BS294&gt;0)</formula>
    </cfRule>
  </conditionalFormatting>
  <conditionalFormatting sqref="BS316:BS327">
    <cfRule type="expression" dxfId="498" priority="1604">
      <formula>AND($I316="x",BS316&gt;0)</formula>
    </cfRule>
  </conditionalFormatting>
  <conditionalFormatting sqref="BS338:BS349">
    <cfRule type="expression" dxfId="497" priority="1561">
      <formula>AND($I338="x",BS338&gt;0)</formula>
    </cfRule>
  </conditionalFormatting>
  <conditionalFormatting sqref="BS360:BS371">
    <cfRule type="expression" dxfId="496" priority="1518">
      <formula>AND($I360="x",BS360&gt;0)</formula>
    </cfRule>
  </conditionalFormatting>
  <conditionalFormatting sqref="BS382:BS393">
    <cfRule type="expression" dxfId="495" priority="1475">
      <formula>AND($I382="x",BS382&gt;0)</formula>
    </cfRule>
  </conditionalFormatting>
  <conditionalFormatting sqref="BS404:BS415">
    <cfRule type="expression" dxfId="494" priority="1432">
      <formula>AND($I404="x",BS404&gt;0)</formula>
    </cfRule>
  </conditionalFormatting>
  <conditionalFormatting sqref="BS426:BS437">
    <cfRule type="expression" dxfId="493" priority="1389">
      <formula>AND($I426="x",BS426&gt;0)</formula>
    </cfRule>
  </conditionalFormatting>
  <conditionalFormatting sqref="BS448:BS459">
    <cfRule type="expression" dxfId="492" priority="1346">
      <formula>AND($I448="x",BS448&gt;0)</formula>
    </cfRule>
  </conditionalFormatting>
  <conditionalFormatting sqref="BS470:BS481">
    <cfRule type="expression" dxfId="491" priority="1303">
      <formula>AND($I470="x",BS470&gt;0)</formula>
    </cfRule>
  </conditionalFormatting>
  <conditionalFormatting sqref="BS492:BS503">
    <cfRule type="expression" dxfId="490" priority="1260">
      <formula>AND($I492="x",BS492&gt;0)</formula>
    </cfRule>
  </conditionalFormatting>
  <conditionalFormatting sqref="BS514:BS525">
    <cfRule type="expression" dxfId="489" priority="1217">
      <formula>AND($I514="x",BS514&gt;0)</formula>
    </cfRule>
  </conditionalFormatting>
  <conditionalFormatting sqref="BS536:BS547">
    <cfRule type="expression" dxfId="488" priority="1174">
      <formula>AND($I536="x",BS536&gt;0)</formula>
    </cfRule>
  </conditionalFormatting>
  <conditionalFormatting sqref="BS558:BS569">
    <cfRule type="expression" dxfId="487" priority="1131">
      <formula>AND($I558="x",BS558&gt;0)</formula>
    </cfRule>
  </conditionalFormatting>
  <conditionalFormatting sqref="BS580:BS591">
    <cfRule type="expression" dxfId="486" priority="1088">
      <formula>AND($I580="x",BS580&gt;0)</formula>
    </cfRule>
  </conditionalFormatting>
  <conditionalFormatting sqref="BS602:BS613">
    <cfRule type="expression" dxfId="485" priority="1045">
      <formula>AND($I602="x",BS602&gt;0)</formula>
    </cfRule>
  </conditionalFormatting>
  <conditionalFormatting sqref="BS624:BS635">
    <cfRule type="expression" dxfId="484" priority="1002">
      <formula>AND($I624="x",BS624&gt;0)</formula>
    </cfRule>
  </conditionalFormatting>
  <conditionalFormatting sqref="BS646:BS657">
    <cfRule type="expression" dxfId="483" priority="959">
      <formula>AND($I646="x",BS646&gt;0)</formula>
    </cfRule>
  </conditionalFormatting>
  <conditionalFormatting sqref="BS668:BS679">
    <cfRule type="expression" dxfId="482" priority="916">
      <formula>AND($I668="x",BS668&gt;0)</formula>
    </cfRule>
  </conditionalFormatting>
  <conditionalFormatting sqref="BS690:BS701">
    <cfRule type="expression" dxfId="481" priority="873">
      <formula>AND($I690="x",BS690&gt;0)</formula>
    </cfRule>
  </conditionalFormatting>
  <conditionalFormatting sqref="BS712:BS723">
    <cfRule type="expression" dxfId="480" priority="830">
      <formula>AND($I712="x",BS712&gt;0)</formula>
    </cfRule>
  </conditionalFormatting>
  <conditionalFormatting sqref="BS734:BS745">
    <cfRule type="expression" dxfId="479" priority="787">
      <formula>AND($I734="x",BS734&gt;0)</formula>
    </cfRule>
  </conditionalFormatting>
  <conditionalFormatting sqref="BS756:BS767">
    <cfRule type="expression" dxfId="478" priority="744">
      <formula>AND($I756="x",BS756&gt;0)</formula>
    </cfRule>
  </conditionalFormatting>
  <conditionalFormatting sqref="BS778:BS789">
    <cfRule type="expression" dxfId="477" priority="701">
      <formula>AND($I778="x",BS778&gt;0)</formula>
    </cfRule>
  </conditionalFormatting>
  <conditionalFormatting sqref="BS800:BS811">
    <cfRule type="expression" dxfId="476" priority="658">
      <formula>AND($I800="x",BS800&gt;0)</formula>
    </cfRule>
  </conditionalFormatting>
  <conditionalFormatting sqref="BS822:BS833">
    <cfRule type="expression" dxfId="475" priority="615">
      <formula>AND($I822="x",BS822&gt;0)</formula>
    </cfRule>
  </conditionalFormatting>
  <conditionalFormatting sqref="BS844:BS855">
    <cfRule type="expression" dxfId="474" priority="572">
      <formula>AND($I844="x",BS844&gt;0)</formula>
    </cfRule>
  </conditionalFormatting>
  <conditionalFormatting sqref="BS866:BS877">
    <cfRule type="expression" dxfId="473" priority="529">
      <formula>AND($I866="x",BS866&gt;0)</formula>
    </cfRule>
  </conditionalFormatting>
  <conditionalFormatting sqref="BS888:BS899">
    <cfRule type="expression" dxfId="472" priority="486">
      <formula>AND($I888="x",BS888&gt;0)</formula>
    </cfRule>
  </conditionalFormatting>
  <conditionalFormatting sqref="BT8:BT19">
    <cfRule type="expression" dxfId="471" priority="4622">
      <formula>AND($J8="x",BT8&gt;0)</formula>
    </cfRule>
  </conditionalFormatting>
  <conditionalFormatting sqref="BT30:BT41">
    <cfRule type="expression" dxfId="470" priority="3839">
      <formula>AND($J30="x",BT30&gt;0)</formula>
    </cfRule>
  </conditionalFormatting>
  <conditionalFormatting sqref="BT52:BT63">
    <cfRule type="expression" dxfId="469" priority="25">
      <formula>AND($J52="x",BT52&gt;0)</formula>
    </cfRule>
  </conditionalFormatting>
  <conditionalFormatting sqref="BT74:BT85">
    <cfRule type="expression" dxfId="468" priority="2076">
      <formula>AND($J74="x",BT74&gt;0)</formula>
    </cfRule>
  </conditionalFormatting>
  <conditionalFormatting sqref="BT96:BT107">
    <cfRule type="expression" dxfId="467" priority="2033">
      <formula>AND($J96="x",BT96&gt;0)</formula>
    </cfRule>
  </conditionalFormatting>
  <conditionalFormatting sqref="BT118:BT129">
    <cfRule type="expression" dxfId="466" priority="1990">
      <formula>AND($J118="x",BT118&gt;0)</formula>
    </cfRule>
  </conditionalFormatting>
  <conditionalFormatting sqref="BT140:BT151">
    <cfRule type="expression" dxfId="465" priority="1947">
      <formula>AND($J140="x",BT140&gt;0)</formula>
    </cfRule>
  </conditionalFormatting>
  <conditionalFormatting sqref="BT162:BT173">
    <cfRule type="expression" dxfId="464" priority="1904">
      <formula>AND($J162="x",BT162&gt;0)</formula>
    </cfRule>
  </conditionalFormatting>
  <conditionalFormatting sqref="BT184:BT195">
    <cfRule type="expression" dxfId="463" priority="1861">
      <formula>AND($J184="x",BT184&gt;0)</formula>
    </cfRule>
  </conditionalFormatting>
  <conditionalFormatting sqref="BT206:BT217">
    <cfRule type="expression" dxfId="462" priority="1818">
      <formula>AND($J206="x",BT206&gt;0)</formula>
    </cfRule>
  </conditionalFormatting>
  <conditionalFormatting sqref="BT228:BT239">
    <cfRule type="expression" dxfId="461" priority="1775">
      <formula>AND($J228="x",BT228&gt;0)</formula>
    </cfRule>
  </conditionalFormatting>
  <conditionalFormatting sqref="BT250:BT261">
    <cfRule type="expression" dxfId="460" priority="1732">
      <formula>AND($J250="x",BT250&gt;0)</formula>
    </cfRule>
  </conditionalFormatting>
  <conditionalFormatting sqref="BT272:BT283">
    <cfRule type="expression" dxfId="459" priority="1689">
      <formula>AND($J272="x",BT272&gt;0)</formula>
    </cfRule>
  </conditionalFormatting>
  <conditionalFormatting sqref="BT294:BT305">
    <cfRule type="expression" dxfId="458" priority="1646">
      <formula>AND($J294="x",BT294&gt;0)</formula>
    </cfRule>
  </conditionalFormatting>
  <conditionalFormatting sqref="BT316:BT327">
    <cfRule type="expression" dxfId="457" priority="1603">
      <formula>AND($J316="x",BT316&gt;0)</formula>
    </cfRule>
  </conditionalFormatting>
  <conditionalFormatting sqref="BT338:BT349">
    <cfRule type="expression" dxfId="456" priority="1560">
      <formula>AND($J338="x",BT338&gt;0)</formula>
    </cfRule>
  </conditionalFormatting>
  <conditionalFormatting sqref="BT360:BT371">
    <cfRule type="expression" dxfId="455" priority="1517">
      <formula>AND($J360="x",BT360&gt;0)</formula>
    </cfRule>
  </conditionalFormatting>
  <conditionalFormatting sqref="BT382:BT393">
    <cfRule type="expression" dxfId="454" priority="1474">
      <formula>AND($J382="x",BT382&gt;0)</formula>
    </cfRule>
  </conditionalFormatting>
  <conditionalFormatting sqref="BT404:BT415">
    <cfRule type="expression" dxfId="453" priority="1431">
      <formula>AND($J404="x",BT404&gt;0)</formula>
    </cfRule>
  </conditionalFormatting>
  <conditionalFormatting sqref="BT426:BT437">
    <cfRule type="expression" dxfId="452" priority="1388">
      <formula>AND($J426="x",BT426&gt;0)</formula>
    </cfRule>
  </conditionalFormatting>
  <conditionalFormatting sqref="BT448:BT459">
    <cfRule type="expression" dxfId="451" priority="1345">
      <formula>AND($J448="x",BT448&gt;0)</formula>
    </cfRule>
  </conditionalFormatting>
  <conditionalFormatting sqref="BT470:BT481">
    <cfRule type="expression" dxfId="450" priority="1302">
      <formula>AND($J470="x",BT470&gt;0)</formula>
    </cfRule>
  </conditionalFormatting>
  <conditionalFormatting sqref="BT492:BT503">
    <cfRule type="expression" dxfId="449" priority="1259">
      <formula>AND($J492="x",BT492&gt;0)</formula>
    </cfRule>
  </conditionalFormatting>
  <conditionalFormatting sqref="BT514:BT525">
    <cfRule type="expression" dxfId="448" priority="1216">
      <formula>AND($J514="x",BT514&gt;0)</formula>
    </cfRule>
  </conditionalFormatting>
  <conditionalFormatting sqref="BT536:BT547">
    <cfRule type="expression" dxfId="447" priority="1173">
      <formula>AND($J536="x",BT536&gt;0)</formula>
    </cfRule>
  </conditionalFormatting>
  <conditionalFormatting sqref="BT558:BT569">
    <cfRule type="expression" dxfId="446" priority="1130">
      <formula>AND($J558="x",BT558&gt;0)</formula>
    </cfRule>
  </conditionalFormatting>
  <conditionalFormatting sqref="BT580:BT591">
    <cfRule type="expression" dxfId="445" priority="1087">
      <formula>AND($J580="x",BT580&gt;0)</formula>
    </cfRule>
  </conditionalFormatting>
  <conditionalFormatting sqref="BT602:BT613">
    <cfRule type="expression" dxfId="444" priority="1044">
      <formula>AND($J602="x",BT602&gt;0)</formula>
    </cfRule>
  </conditionalFormatting>
  <conditionalFormatting sqref="BT624:BT635">
    <cfRule type="expression" dxfId="443" priority="1001">
      <formula>AND($J624="x",BT624&gt;0)</formula>
    </cfRule>
  </conditionalFormatting>
  <conditionalFormatting sqref="BT646:BT657">
    <cfRule type="expression" dxfId="442" priority="958">
      <formula>AND($J646="x",BT646&gt;0)</formula>
    </cfRule>
  </conditionalFormatting>
  <conditionalFormatting sqref="BT668:BT679">
    <cfRule type="expression" dxfId="441" priority="915">
      <formula>AND($J668="x",BT668&gt;0)</formula>
    </cfRule>
  </conditionalFormatting>
  <conditionalFormatting sqref="BT690:BT701">
    <cfRule type="expression" dxfId="440" priority="872">
      <formula>AND($J690="x",BT690&gt;0)</formula>
    </cfRule>
  </conditionalFormatting>
  <conditionalFormatting sqref="BT712:BT723">
    <cfRule type="expression" dxfId="439" priority="829">
      <formula>AND($J712="x",BT712&gt;0)</formula>
    </cfRule>
  </conditionalFormatting>
  <conditionalFormatting sqref="BT734:BT745">
    <cfRule type="expression" dxfId="438" priority="786">
      <formula>AND($J734="x",BT734&gt;0)</formula>
    </cfRule>
  </conditionalFormatting>
  <conditionalFormatting sqref="BT756:BT767">
    <cfRule type="expression" dxfId="437" priority="743">
      <formula>AND($J756="x",BT756&gt;0)</formula>
    </cfRule>
  </conditionalFormatting>
  <conditionalFormatting sqref="BT778:BT789">
    <cfRule type="expression" dxfId="436" priority="700">
      <formula>AND($J778="x",BT778&gt;0)</formula>
    </cfRule>
  </conditionalFormatting>
  <conditionalFormatting sqref="BT800:BT811">
    <cfRule type="expression" dxfId="435" priority="657">
      <formula>AND($J800="x",BT800&gt;0)</formula>
    </cfRule>
  </conditionalFormatting>
  <conditionalFormatting sqref="BT822:BT833">
    <cfRule type="expression" dxfId="434" priority="614">
      <formula>AND($J822="x",BT822&gt;0)</formula>
    </cfRule>
  </conditionalFormatting>
  <conditionalFormatting sqref="BT844:BT855">
    <cfRule type="expression" dxfId="433" priority="571">
      <formula>AND($J844="x",BT844&gt;0)</formula>
    </cfRule>
  </conditionalFormatting>
  <conditionalFormatting sqref="BT866:BT877">
    <cfRule type="expression" dxfId="432" priority="528">
      <formula>AND($J866="x",BT866&gt;0)</formula>
    </cfRule>
  </conditionalFormatting>
  <conditionalFormatting sqref="BT888:BT899">
    <cfRule type="expression" dxfId="431" priority="485">
      <formula>AND($J888="x",BT888&gt;0)</formula>
    </cfRule>
  </conditionalFormatting>
  <conditionalFormatting sqref="BU6">
    <cfRule type="expression" dxfId="430" priority="4637">
      <formula>BU6&gt;0</formula>
    </cfRule>
  </conditionalFormatting>
  <conditionalFormatting sqref="BU8:BU19">
    <cfRule type="expression" dxfId="429" priority="4604">
      <formula>OR(BU8&gt;80,BU8&lt;10)</formula>
    </cfRule>
    <cfRule type="expression" dxfId="428" priority="4605">
      <formula>AND($K8="x",BU8&gt;0)</formula>
    </cfRule>
  </conditionalFormatting>
  <conditionalFormatting sqref="BU28">
    <cfRule type="expression" dxfId="427" priority="127">
      <formula>BU28&gt;0</formula>
    </cfRule>
  </conditionalFormatting>
  <conditionalFormatting sqref="BU30:BU41">
    <cfRule type="expression" dxfId="426" priority="3821">
      <formula>OR(BU30&gt;80,BU30&lt;10)</formula>
    </cfRule>
    <cfRule type="expression" dxfId="425" priority="3822">
      <formula>AND($K30="x",BU30&gt;0)</formula>
    </cfRule>
  </conditionalFormatting>
  <conditionalFormatting sqref="BU50">
    <cfRule type="expression" dxfId="424" priority="119">
      <formula>BU50&gt;0</formula>
    </cfRule>
  </conditionalFormatting>
  <conditionalFormatting sqref="BU52:BU63">
    <cfRule type="expression" dxfId="423" priority="10">
      <formula>AND($K52="x",BU52&gt;0)</formula>
    </cfRule>
    <cfRule type="expression" dxfId="422" priority="9">
      <formula>OR(BU52&gt;80,BU52&lt;10)</formula>
    </cfRule>
  </conditionalFormatting>
  <conditionalFormatting sqref="BU72">
    <cfRule type="expression" dxfId="421" priority="111">
      <formula>BU72&gt;0</formula>
    </cfRule>
  </conditionalFormatting>
  <conditionalFormatting sqref="BU74:BU85">
    <cfRule type="expression" dxfId="420" priority="2059">
      <formula>AND($K74="x",BU74&gt;0)</formula>
    </cfRule>
    <cfRule type="expression" dxfId="419" priority="2058">
      <formula>OR(BU74&gt;80,BU74&lt;10)</formula>
    </cfRule>
  </conditionalFormatting>
  <conditionalFormatting sqref="BU94">
    <cfRule type="expression" dxfId="418" priority="103">
      <formula>BU94&gt;0</formula>
    </cfRule>
  </conditionalFormatting>
  <conditionalFormatting sqref="BU96:BU107">
    <cfRule type="expression" dxfId="417" priority="2016">
      <formula>AND($K96="x",BU96&gt;0)</formula>
    </cfRule>
    <cfRule type="expression" dxfId="416" priority="2015">
      <formula>OR(BU96&gt;80,BU96&lt;10)</formula>
    </cfRule>
  </conditionalFormatting>
  <conditionalFormatting sqref="BU116">
    <cfRule type="expression" dxfId="415" priority="95">
      <formula>BU116&gt;0</formula>
    </cfRule>
  </conditionalFormatting>
  <conditionalFormatting sqref="BU118:BU129">
    <cfRule type="expression" dxfId="414" priority="1973">
      <formula>AND($K118="x",BU118&gt;0)</formula>
    </cfRule>
    <cfRule type="expression" dxfId="413" priority="1972">
      <formula>OR(BU118&gt;80,BU118&lt;10)</formula>
    </cfRule>
  </conditionalFormatting>
  <conditionalFormatting sqref="BU138">
    <cfRule type="expression" dxfId="412" priority="87">
      <formula>BU138&gt;0</formula>
    </cfRule>
  </conditionalFormatting>
  <conditionalFormatting sqref="BU140:BU151">
    <cfRule type="expression" dxfId="411" priority="1929">
      <formula>OR(BU140&gt;80,BU140&lt;10)</formula>
    </cfRule>
    <cfRule type="expression" dxfId="410" priority="1930">
      <formula>AND($K140="x",BU140&gt;0)</formula>
    </cfRule>
  </conditionalFormatting>
  <conditionalFormatting sqref="BU160">
    <cfRule type="expression" dxfId="409" priority="79">
      <formula>BU160&gt;0</formula>
    </cfRule>
  </conditionalFormatting>
  <conditionalFormatting sqref="BU162:BU173">
    <cfRule type="expression" dxfId="408" priority="1887">
      <formula>AND($K162="x",BU162&gt;0)</formula>
    </cfRule>
    <cfRule type="expression" dxfId="407" priority="1886">
      <formula>OR(BU162&gt;80,BU162&lt;10)</formula>
    </cfRule>
  </conditionalFormatting>
  <conditionalFormatting sqref="BU182">
    <cfRule type="expression" dxfId="406" priority="71">
      <formula>BU182&gt;0</formula>
    </cfRule>
  </conditionalFormatting>
  <conditionalFormatting sqref="BU184:BU195">
    <cfRule type="expression" dxfId="405" priority="1843">
      <formula>OR(BU184&gt;80,BU184&lt;10)</formula>
    </cfRule>
    <cfRule type="expression" dxfId="404" priority="1844">
      <formula>AND($K184="x",BU184&gt;0)</formula>
    </cfRule>
  </conditionalFormatting>
  <conditionalFormatting sqref="BU204">
    <cfRule type="expression" dxfId="403" priority="63">
      <formula>BU204&gt;0</formula>
    </cfRule>
  </conditionalFormatting>
  <conditionalFormatting sqref="BU206:BU217">
    <cfRule type="expression" dxfId="402" priority="1801">
      <formula>AND($K206="x",BU206&gt;0)</formula>
    </cfRule>
    <cfRule type="expression" dxfId="401" priority="1800">
      <formula>OR(BU206&gt;80,BU206&lt;10)</formula>
    </cfRule>
  </conditionalFormatting>
  <conditionalFormatting sqref="BU226">
    <cfRule type="expression" dxfId="400" priority="55">
      <formula>BU226&gt;0</formula>
    </cfRule>
  </conditionalFormatting>
  <conditionalFormatting sqref="BU228:BU239">
    <cfRule type="expression" dxfId="399" priority="1758">
      <formula>AND($K228="x",BU228&gt;0)</formula>
    </cfRule>
    <cfRule type="expression" dxfId="398" priority="1757">
      <formula>OR(BU228&gt;80,BU228&lt;10)</formula>
    </cfRule>
  </conditionalFormatting>
  <conditionalFormatting sqref="BU248">
    <cfRule type="expression" dxfId="397" priority="47">
      <formula>BU248&gt;0</formula>
    </cfRule>
  </conditionalFormatting>
  <conditionalFormatting sqref="BU250:BU261">
    <cfRule type="expression" dxfId="396" priority="1714">
      <formula>OR(BU250&gt;80,BU250&lt;10)</formula>
    </cfRule>
    <cfRule type="expression" dxfId="395" priority="1715">
      <formula>AND($K250="x",BU250&gt;0)</formula>
    </cfRule>
  </conditionalFormatting>
  <conditionalFormatting sqref="BU270">
    <cfRule type="expression" dxfId="394" priority="359">
      <formula>BU270&gt;0</formula>
    </cfRule>
  </conditionalFormatting>
  <conditionalFormatting sqref="BU272:BU283">
    <cfRule type="expression" dxfId="393" priority="1671">
      <formula>OR(BU272&gt;80,BU272&lt;10)</formula>
    </cfRule>
    <cfRule type="expression" dxfId="392" priority="1672">
      <formula>AND($K272="x",BU272&gt;0)</formula>
    </cfRule>
  </conditionalFormatting>
  <conditionalFormatting sqref="BU292">
    <cfRule type="expression" dxfId="391" priority="351">
      <formula>BU292&gt;0</formula>
    </cfRule>
  </conditionalFormatting>
  <conditionalFormatting sqref="BU294:BU305">
    <cfRule type="expression" dxfId="390" priority="1629">
      <formula>AND($K294="x",BU294&gt;0)</formula>
    </cfRule>
    <cfRule type="expression" dxfId="389" priority="1628">
      <formula>OR(BU294&gt;80,BU294&lt;10)</formula>
    </cfRule>
  </conditionalFormatting>
  <conditionalFormatting sqref="BU314">
    <cfRule type="expression" dxfId="388" priority="343">
      <formula>BU314&gt;0</formula>
    </cfRule>
  </conditionalFormatting>
  <conditionalFormatting sqref="BU316:BU327">
    <cfRule type="expression" dxfId="387" priority="1586">
      <formula>AND($K316="x",BU316&gt;0)</formula>
    </cfRule>
    <cfRule type="expression" dxfId="386" priority="1585">
      <formula>OR(BU316&gt;80,BU316&lt;10)</formula>
    </cfRule>
  </conditionalFormatting>
  <conditionalFormatting sqref="BU336">
    <cfRule type="expression" dxfId="385" priority="335">
      <formula>BU336&gt;0</formula>
    </cfRule>
  </conditionalFormatting>
  <conditionalFormatting sqref="BU338:BU349">
    <cfRule type="expression" dxfId="384" priority="1542">
      <formula>OR(BU338&gt;80,BU338&lt;10)</formula>
    </cfRule>
    <cfRule type="expression" dxfId="383" priority="1543">
      <formula>AND($K338="x",BU338&gt;0)</formula>
    </cfRule>
  </conditionalFormatting>
  <conditionalFormatting sqref="BU358">
    <cfRule type="expression" dxfId="382" priority="327">
      <formula>BU358&gt;0</formula>
    </cfRule>
  </conditionalFormatting>
  <conditionalFormatting sqref="BU360:BU371">
    <cfRule type="expression" dxfId="381" priority="1499">
      <formula>OR(BU360&gt;80,BU360&lt;10)</formula>
    </cfRule>
    <cfRule type="expression" dxfId="380" priority="1500">
      <formula>AND($K360="x",BU360&gt;0)</formula>
    </cfRule>
  </conditionalFormatting>
  <conditionalFormatting sqref="BU380">
    <cfRule type="expression" dxfId="379" priority="319">
      <formula>BU380&gt;0</formula>
    </cfRule>
  </conditionalFormatting>
  <conditionalFormatting sqref="BU382:BU393">
    <cfRule type="expression" dxfId="378" priority="1457">
      <formula>AND($K382="x",BU382&gt;0)</formula>
    </cfRule>
    <cfRule type="expression" dxfId="377" priority="1456">
      <formula>OR(BU382&gt;80,BU382&lt;10)</formula>
    </cfRule>
  </conditionalFormatting>
  <conditionalFormatting sqref="BU402">
    <cfRule type="expression" dxfId="376" priority="311">
      <formula>BU402&gt;0</formula>
    </cfRule>
  </conditionalFormatting>
  <conditionalFormatting sqref="BU404:BU415">
    <cfRule type="expression" dxfId="375" priority="1413">
      <formula>OR(BU404&gt;80,BU404&lt;10)</formula>
    </cfRule>
    <cfRule type="expression" dxfId="374" priority="1414">
      <formula>AND($K404="x",BU404&gt;0)</formula>
    </cfRule>
  </conditionalFormatting>
  <conditionalFormatting sqref="BU424">
    <cfRule type="expression" dxfId="373" priority="303">
      <formula>BU424&gt;0</formula>
    </cfRule>
  </conditionalFormatting>
  <conditionalFormatting sqref="BU426:BU437">
    <cfRule type="expression" dxfId="372" priority="1370">
      <formula>OR(BU426&gt;80,BU426&lt;10)</formula>
    </cfRule>
    <cfRule type="expression" dxfId="371" priority="1371">
      <formula>AND($K426="x",BU426&gt;0)</formula>
    </cfRule>
  </conditionalFormatting>
  <conditionalFormatting sqref="BU446">
    <cfRule type="expression" dxfId="370" priority="295">
      <formula>BU446&gt;0</formula>
    </cfRule>
  </conditionalFormatting>
  <conditionalFormatting sqref="BU448:BU459">
    <cfRule type="expression" dxfId="369" priority="1327">
      <formula>OR(BU448&gt;80,BU448&lt;10)</formula>
    </cfRule>
    <cfRule type="expression" dxfId="368" priority="1328">
      <formula>AND($K448="x",BU448&gt;0)</formula>
    </cfRule>
  </conditionalFormatting>
  <conditionalFormatting sqref="BU468">
    <cfRule type="expression" dxfId="367" priority="287">
      <formula>BU468&gt;0</formula>
    </cfRule>
  </conditionalFormatting>
  <conditionalFormatting sqref="BU470:BU481">
    <cfRule type="expression" dxfId="366" priority="1284">
      <formula>OR(BU470&gt;80,BU470&lt;10)</formula>
    </cfRule>
    <cfRule type="expression" dxfId="365" priority="1285">
      <formula>AND($K470="x",BU470&gt;0)</formula>
    </cfRule>
  </conditionalFormatting>
  <conditionalFormatting sqref="BU490">
    <cfRule type="expression" dxfId="364" priority="279">
      <formula>BU490&gt;0</formula>
    </cfRule>
  </conditionalFormatting>
  <conditionalFormatting sqref="BU492:BU503">
    <cfRule type="expression" dxfId="363" priority="1241">
      <formula>OR(BU492&gt;80,BU492&lt;10)</formula>
    </cfRule>
    <cfRule type="expression" dxfId="362" priority="1242">
      <formula>AND($K492="x",BU492&gt;0)</formula>
    </cfRule>
  </conditionalFormatting>
  <conditionalFormatting sqref="BU512">
    <cfRule type="expression" dxfId="361" priority="271">
      <formula>BU512&gt;0</formula>
    </cfRule>
  </conditionalFormatting>
  <conditionalFormatting sqref="BU514:BU525">
    <cfRule type="expression" dxfId="360" priority="1198">
      <formula>OR(BU514&gt;80,BU514&lt;10)</formula>
    </cfRule>
    <cfRule type="expression" dxfId="359" priority="1199">
      <formula>AND($K514="x",BU514&gt;0)</formula>
    </cfRule>
  </conditionalFormatting>
  <conditionalFormatting sqref="BU534">
    <cfRule type="expression" dxfId="358" priority="263">
      <formula>BU534&gt;0</formula>
    </cfRule>
  </conditionalFormatting>
  <conditionalFormatting sqref="BU536:BU547">
    <cfRule type="expression" dxfId="357" priority="1156">
      <formula>AND($K536="x",BU536&gt;0)</formula>
    </cfRule>
    <cfRule type="expression" dxfId="356" priority="1155">
      <formula>OR(BU536&gt;80,BU536&lt;10)</formula>
    </cfRule>
  </conditionalFormatting>
  <conditionalFormatting sqref="BU556">
    <cfRule type="expression" dxfId="355" priority="255">
      <formula>BU556&gt;0</formula>
    </cfRule>
  </conditionalFormatting>
  <conditionalFormatting sqref="BU558:BU569">
    <cfRule type="expression" dxfId="354" priority="1112">
      <formula>OR(BU558&gt;80,BU558&lt;10)</formula>
    </cfRule>
    <cfRule type="expression" dxfId="353" priority="1113">
      <formula>AND($K558="x",BU558&gt;0)</formula>
    </cfRule>
  </conditionalFormatting>
  <conditionalFormatting sqref="BU578">
    <cfRule type="expression" dxfId="352" priority="247">
      <formula>BU578&gt;0</formula>
    </cfRule>
  </conditionalFormatting>
  <conditionalFormatting sqref="BU580:BU591">
    <cfRule type="expression" dxfId="351" priority="1070">
      <formula>AND($K580="x",BU580&gt;0)</formula>
    </cfRule>
    <cfRule type="expression" dxfId="350" priority="1069">
      <formula>OR(BU580&gt;80,BU580&lt;10)</formula>
    </cfRule>
  </conditionalFormatting>
  <conditionalFormatting sqref="BU600">
    <cfRule type="expression" dxfId="349" priority="239">
      <formula>BU600&gt;0</formula>
    </cfRule>
  </conditionalFormatting>
  <conditionalFormatting sqref="BU602:BU613">
    <cfRule type="expression" dxfId="348" priority="1027">
      <formula>AND($K602="x",BU602&gt;0)</formula>
    </cfRule>
    <cfRule type="expression" dxfId="347" priority="1026">
      <formula>OR(BU602&gt;80,BU602&lt;10)</formula>
    </cfRule>
  </conditionalFormatting>
  <conditionalFormatting sqref="BU622">
    <cfRule type="expression" dxfId="346" priority="231">
      <formula>BU622&gt;0</formula>
    </cfRule>
  </conditionalFormatting>
  <conditionalFormatting sqref="BU624:BU635">
    <cfRule type="expression" dxfId="345" priority="984">
      <formula>AND($K624="x",BU624&gt;0)</formula>
    </cfRule>
    <cfRule type="expression" dxfId="344" priority="983">
      <formula>OR(BU624&gt;80,BU624&lt;10)</formula>
    </cfRule>
  </conditionalFormatting>
  <conditionalFormatting sqref="BU644">
    <cfRule type="expression" dxfId="343" priority="223">
      <formula>BU644&gt;0</formula>
    </cfRule>
  </conditionalFormatting>
  <conditionalFormatting sqref="BU646:BU657">
    <cfRule type="expression" dxfId="342" priority="940">
      <formula>OR(BU646&gt;80,BU646&lt;10)</formula>
    </cfRule>
    <cfRule type="expression" dxfId="341" priority="941">
      <formula>AND($K646="x",BU646&gt;0)</formula>
    </cfRule>
  </conditionalFormatting>
  <conditionalFormatting sqref="BU666">
    <cfRule type="expression" dxfId="340" priority="215">
      <formula>BU666&gt;0</formula>
    </cfRule>
  </conditionalFormatting>
  <conditionalFormatting sqref="BU668:BU679">
    <cfRule type="expression" dxfId="339" priority="897">
      <formula>OR(BU668&gt;80,BU668&lt;10)</formula>
    </cfRule>
    <cfRule type="expression" dxfId="338" priority="898">
      <formula>AND($K668="x",BU668&gt;0)</formula>
    </cfRule>
  </conditionalFormatting>
  <conditionalFormatting sqref="BU688">
    <cfRule type="expression" dxfId="337" priority="207">
      <formula>BU688&gt;0</formula>
    </cfRule>
  </conditionalFormatting>
  <conditionalFormatting sqref="BU690:BU701">
    <cfRule type="expression" dxfId="336" priority="855">
      <formula>AND($K690="x",BU690&gt;0)</formula>
    </cfRule>
    <cfRule type="expression" dxfId="335" priority="854">
      <formula>OR(BU690&gt;80,BU690&lt;10)</formula>
    </cfRule>
  </conditionalFormatting>
  <conditionalFormatting sqref="BU710">
    <cfRule type="expression" dxfId="334" priority="199">
      <formula>BU710&gt;0</formula>
    </cfRule>
  </conditionalFormatting>
  <conditionalFormatting sqref="BU712:BU723">
    <cfRule type="expression" dxfId="333" priority="811">
      <formula>OR(BU712&gt;80,BU712&lt;10)</formula>
    </cfRule>
    <cfRule type="expression" dxfId="332" priority="812">
      <formula>AND($K712="x",BU712&gt;0)</formula>
    </cfRule>
  </conditionalFormatting>
  <conditionalFormatting sqref="BU732">
    <cfRule type="expression" dxfId="331" priority="191">
      <formula>BU732&gt;0</formula>
    </cfRule>
  </conditionalFormatting>
  <conditionalFormatting sqref="BU734:BU745">
    <cfRule type="expression" dxfId="330" priority="768">
      <formula>OR(BU734&gt;80,BU734&lt;10)</formula>
    </cfRule>
    <cfRule type="expression" dxfId="329" priority="769">
      <formula>AND($K734="x",BU734&gt;0)</formula>
    </cfRule>
  </conditionalFormatting>
  <conditionalFormatting sqref="BU754">
    <cfRule type="expression" dxfId="328" priority="183">
      <formula>BU754&gt;0</formula>
    </cfRule>
  </conditionalFormatting>
  <conditionalFormatting sqref="BU756:BU767">
    <cfRule type="expression" dxfId="327" priority="726">
      <formula>AND($K756="x",BU756&gt;0)</formula>
    </cfRule>
    <cfRule type="expression" dxfId="326" priority="725">
      <formula>OR(BU756&gt;80,BU756&lt;10)</formula>
    </cfRule>
  </conditionalFormatting>
  <conditionalFormatting sqref="BU776">
    <cfRule type="expression" dxfId="325" priority="175">
      <formula>BU776&gt;0</formula>
    </cfRule>
  </conditionalFormatting>
  <conditionalFormatting sqref="BU778:BU789">
    <cfRule type="expression" dxfId="324" priority="683">
      <formula>AND($K778="x",BU778&gt;0)</formula>
    </cfRule>
    <cfRule type="expression" dxfId="323" priority="682">
      <formula>OR(BU778&gt;80,BU778&lt;10)</formula>
    </cfRule>
  </conditionalFormatting>
  <conditionalFormatting sqref="BU798">
    <cfRule type="expression" dxfId="322" priority="167">
      <formula>BU798&gt;0</formula>
    </cfRule>
  </conditionalFormatting>
  <conditionalFormatting sqref="BU800:BU811">
    <cfRule type="expression" dxfId="321" priority="640">
      <formula>AND($K800="x",BU800&gt;0)</formula>
    </cfRule>
    <cfRule type="expression" dxfId="320" priority="639">
      <formula>OR(BU800&gt;80,BU800&lt;10)</formula>
    </cfRule>
  </conditionalFormatting>
  <conditionalFormatting sqref="BU820">
    <cfRule type="expression" dxfId="319" priority="159">
      <formula>BU820&gt;0</formula>
    </cfRule>
  </conditionalFormatting>
  <conditionalFormatting sqref="BU822:BU833">
    <cfRule type="expression" dxfId="318" priority="597">
      <formula>AND($K822="x",BU822&gt;0)</formula>
    </cfRule>
    <cfRule type="expression" dxfId="317" priority="596">
      <formula>OR(BU822&gt;80,BU822&lt;10)</formula>
    </cfRule>
  </conditionalFormatting>
  <conditionalFormatting sqref="BU842">
    <cfRule type="expression" dxfId="316" priority="151">
      <formula>BU842&gt;0</formula>
    </cfRule>
  </conditionalFormatting>
  <conditionalFormatting sqref="BU844:BU855">
    <cfRule type="expression" dxfId="315" priority="554">
      <formula>AND($K844="x",BU844&gt;0)</formula>
    </cfRule>
    <cfRule type="expression" dxfId="314" priority="553">
      <formula>OR(BU844&gt;80,BU844&lt;10)</formula>
    </cfRule>
  </conditionalFormatting>
  <conditionalFormatting sqref="BU864">
    <cfRule type="expression" dxfId="313" priority="143">
      <formula>BU864&gt;0</formula>
    </cfRule>
  </conditionalFormatting>
  <conditionalFormatting sqref="BU866:BU877">
    <cfRule type="expression" dxfId="312" priority="511">
      <formula>AND($K866="x",BU866&gt;0)</formula>
    </cfRule>
    <cfRule type="expression" dxfId="311" priority="510">
      <formula>OR(BU866&gt;80,BU866&lt;10)</formula>
    </cfRule>
  </conditionalFormatting>
  <conditionalFormatting sqref="BU886">
    <cfRule type="expression" dxfId="310" priority="135">
      <formula>BU886&gt;0</formula>
    </cfRule>
  </conditionalFormatting>
  <conditionalFormatting sqref="BU888:BU899">
    <cfRule type="expression" dxfId="309" priority="468">
      <formula>AND($K888="x",BU888&gt;0)</formula>
    </cfRule>
    <cfRule type="expression" dxfId="308" priority="467">
      <formula>OR(BU888&gt;80,BU888&lt;10)</formula>
    </cfRule>
  </conditionalFormatting>
  <conditionalFormatting sqref="CB8:CB19">
    <cfRule type="expression" dxfId="307" priority="4621">
      <formula>AND($I8="x",CB8&gt;0)</formula>
    </cfRule>
  </conditionalFormatting>
  <conditionalFormatting sqref="CB30:CB41">
    <cfRule type="expression" dxfId="306" priority="463">
      <formula>AND($I30="x",CB30&gt;0)</formula>
    </cfRule>
  </conditionalFormatting>
  <conditionalFormatting sqref="CB52:CB63">
    <cfRule type="expression" dxfId="305" priority="6">
      <formula>AND($I52="x",CB52&gt;0)</formula>
    </cfRule>
  </conditionalFormatting>
  <conditionalFormatting sqref="CB74:CB85">
    <cfRule type="expression" dxfId="304" priority="459">
      <formula>AND($I74="x",CB74&gt;0)</formula>
    </cfRule>
  </conditionalFormatting>
  <conditionalFormatting sqref="CB96:CB107">
    <cfRule type="expression" dxfId="303" priority="457">
      <formula>AND($I96="x",CB96&gt;0)</formula>
    </cfRule>
  </conditionalFormatting>
  <conditionalFormatting sqref="CB118:CB129">
    <cfRule type="expression" dxfId="302" priority="455">
      <formula>AND($I118="x",CB118&gt;0)</formula>
    </cfRule>
  </conditionalFormatting>
  <conditionalFormatting sqref="CB140:CB151">
    <cfRule type="expression" dxfId="301" priority="453">
      <formula>AND($I140="x",CB140&gt;0)</formula>
    </cfRule>
  </conditionalFormatting>
  <conditionalFormatting sqref="CB162:CB173">
    <cfRule type="expression" dxfId="300" priority="451">
      <formula>AND($I162="x",CB162&gt;0)</formula>
    </cfRule>
  </conditionalFormatting>
  <conditionalFormatting sqref="CB184:CB195">
    <cfRule type="expression" dxfId="299" priority="449">
      <formula>AND($I184="x",CB184&gt;0)</formula>
    </cfRule>
  </conditionalFormatting>
  <conditionalFormatting sqref="CB206:CB217">
    <cfRule type="expression" dxfId="298" priority="447">
      <formula>AND($I206="x",CB206&gt;0)</formula>
    </cfRule>
  </conditionalFormatting>
  <conditionalFormatting sqref="CB228:CB239">
    <cfRule type="expression" dxfId="297" priority="445">
      <formula>AND($I228="x",CB228&gt;0)</formula>
    </cfRule>
  </conditionalFormatting>
  <conditionalFormatting sqref="CB250:CB261">
    <cfRule type="expression" dxfId="296" priority="443">
      <formula>AND($I250="x",CB250&gt;0)</formula>
    </cfRule>
  </conditionalFormatting>
  <conditionalFormatting sqref="CB272:CB283">
    <cfRule type="expression" dxfId="295" priority="441">
      <formula>AND($I272="x",CB272&gt;0)</formula>
    </cfRule>
  </conditionalFormatting>
  <conditionalFormatting sqref="CB294:CB305">
    <cfRule type="expression" dxfId="294" priority="439">
      <formula>AND($I294="x",CB294&gt;0)</formula>
    </cfRule>
  </conditionalFormatting>
  <conditionalFormatting sqref="CB316:CB327">
    <cfRule type="expression" dxfId="293" priority="437">
      <formula>AND($I316="x",CB316&gt;0)</formula>
    </cfRule>
  </conditionalFormatting>
  <conditionalFormatting sqref="CB338:CB349">
    <cfRule type="expression" dxfId="292" priority="435">
      <formula>AND($I338="x",CB338&gt;0)</formula>
    </cfRule>
  </conditionalFormatting>
  <conditionalFormatting sqref="CB360:CB371">
    <cfRule type="expression" dxfId="291" priority="433">
      <formula>AND($I360="x",CB360&gt;0)</formula>
    </cfRule>
  </conditionalFormatting>
  <conditionalFormatting sqref="CB382:CB393">
    <cfRule type="expression" dxfId="290" priority="431">
      <formula>AND($I382="x",CB382&gt;0)</formula>
    </cfRule>
  </conditionalFormatting>
  <conditionalFormatting sqref="CB404:CB415">
    <cfRule type="expression" dxfId="289" priority="429">
      <formula>AND($I404="x",CB404&gt;0)</formula>
    </cfRule>
  </conditionalFormatting>
  <conditionalFormatting sqref="CB426:CB437">
    <cfRule type="expression" dxfId="288" priority="427">
      <formula>AND($I426="x",CB426&gt;0)</formula>
    </cfRule>
  </conditionalFormatting>
  <conditionalFormatting sqref="CB448:CB459">
    <cfRule type="expression" dxfId="287" priority="425">
      <formula>AND($I448="x",CB448&gt;0)</formula>
    </cfRule>
  </conditionalFormatting>
  <conditionalFormatting sqref="CB470:CB481">
    <cfRule type="expression" dxfId="286" priority="423">
      <formula>AND($I470="x",CB470&gt;0)</formula>
    </cfRule>
  </conditionalFormatting>
  <conditionalFormatting sqref="CB492:CB503">
    <cfRule type="expression" dxfId="285" priority="421">
      <formula>AND($I492="x",CB492&gt;0)</formula>
    </cfRule>
  </conditionalFormatting>
  <conditionalFormatting sqref="CB514:CB525">
    <cfRule type="expression" dxfId="284" priority="419">
      <formula>AND($I514="x",CB514&gt;0)</formula>
    </cfRule>
  </conditionalFormatting>
  <conditionalFormatting sqref="CB536:CB547">
    <cfRule type="expression" dxfId="283" priority="417">
      <formula>AND($I536="x",CB536&gt;0)</formula>
    </cfRule>
  </conditionalFormatting>
  <conditionalFormatting sqref="CB558:CB569">
    <cfRule type="expression" dxfId="282" priority="415">
      <formula>AND($I558="x",CB558&gt;0)</formula>
    </cfRule>
  </conditionalFormatting>
  <conditionalFormatting sqref="CB580:CB591">
    <cfRule type="expression" dxfId="281" priority="413">
      <formula>AND($I580="x",CB580&gt;0)</formula>
    </cfRule>
  </conditionalFormatting>
  <conditionalFormatting sqref="CB602:CB613">
    <cfRule type="expression" dxfId="280" priority="411">
      <formula>AND($I602="x",CB602&gt;0)</formula>
    </cfRule>
  </conditionalFormatting>
  <conditionalFormatting sqref="CB624:CB635">
    <cfRule type="expression" dxfId="279" priority="409">
      <formula>AND($I624="x",CB624&gt;0)</formula>
    </cfRule>
  </conditionalFormatting>
  <conditionalFormatting sqref="CB646:CB657">
    <cfRule type="expression" dxfId="278" priority="407">
      <formula>AND($I646="x",CB646&gt;0)</formula>
    </cfRule>
  </conditionalFormatting>
  <conditionalFormatting sqref="CB668:CB679">
    <cfRule type="expression" dxfId="277" priority="405">
      <formula>AND($I668="x",CB668&gt;0)</formula>
    </cfRule>
  </conditionalFormatting>
  <conditionalFormatting sqref="CB690:CB701">
    <cfRule type="expression" dxfId="276" priority="403">
      <formula>AND($I690="x",CB690&gt;0)</formula>
    </cfRule>
  </conditionalFormatting>
  <conditionalFormatting sqref="CB712:CB723">
    <cfRule type="expression" dxfId="275" priority="401">
      <formula>AND($I712="x",CB712&gt;0)</formula>
    </cfRule>
  </conditionalFormatting>
  <conditionalFormatting sqref="CB734:CB745">
    <cfRule type="expression" dxfId="274" priority="399">
      <formula>AND($I734="x",CB734&gt;0)</formula>
    </cfRule>
  </conditionalFormatting>
  <conditionalFormatting sqref="CB756:CB767">
    <cfRule type="expression" dxfId="273" priority="397">
      <formula>AND($I756="x",CB756&gt;0)</formula>
    </cfRule>
  </conditionalFormatting>
  <conditionalFormatting sqref="CB778:CB789">
    <cfRule type="expression" dxfId="272" priority="395">
      <formula>AND($I778="x",CB778&gt;0)</formula>
    </cfRule>
  </conditionalFormatting>
  <conditionalFormatting sqref="CB800:CB811">
    <cfRule type="expression" dxfId="271" priority="393">
      <formula>AND($I800="x",CB800&gt;0)</formula>
    </cfRule>
  </conditionalFormatting>
  <conditionalFormatting sqref="CB822:CB833">
    <cfRule type="expression" dxfId="270" priority="391">
      <formula>AND($I822="x",CB822&gt;0)</formula>
    </cfRule>
  </conditionalFormatting>
  <conditionalFormatting sqref="CB844:CB855">
    <cfRule type="expression" dxfId="269" priority="389">
      <formula>AND($I844="x",CB844&gt;0)</formula>
    </cfRule>
  </conditionalFormatting>
  <conditionalFormatting sqref="CB866:CB877">
    <cfRule type="expression" dxfId="268" priority="387">
      <formula>AND($I866="x",CB866&gt;0)</formula>
    </cfRule>
  </conditionalFormatting>
  <conditionalFormatting sqref="CB888:CB899">
    <cfRule type="expression" dxfId="267" priority="385">
      <formula>AND($I888="x",CB888&gt;0)</formula>
    </cfRule>
  </conditionalFormatting>
  <conditionalFormatting sqref="CC8:CC19">
    <cfRule type="expression" dxfId="266" priority="4620">
      <formula>AND($J8="x",CC8&gt;0)</formula>
    </cfRule>
  </conditionalFormatting>
  <conditionalFormatting sqref="CC30:CC41">
    <cfRule type="expression" dxfId="265" priority="462">
      <formula>AND($J30="x",CC30&gt;0)</formula>
    </cfRule>
  </conditionalFormatting>
  <conditionalFormatting sqref="CC52:CC63">
    <cfRule type="expression" dxfId="264" priority="5">
      <formula>AND($J52="x",CC52&gt;0)</formula>
    </cfRule>
  </conditionalFormatting>
  <conditionalFormatting sqref="CC74:CC85">
    <cfRule type="expression" dxfId="263" priority="458">
      <formula>AND($J74="x",CC74&gt;0)</formula>
    </cfRule>
  </conditionalFormatting>
  <conditionalFormatting sqref="CC96:CC107">
    <cfRule type="expression" dxfId="262" priority="456">
      <formula>AND($J96="x",CC96&gt;0)</formula>
    </cfRule>
  </conditionalFormatting>
  <conditionalFormatting sqref="CC118:CC129">
    <cfRule type="expression" dxfId="261" priority="454">
      <formula>AND($J118="x",CC118&gt;0)</formula>
    </cfRule>
  </conditionalFormatting>
  <conditionalFormatting sqref="CC140:CC151">
    <cfRule type="expression" dxfId="260" priority="452">
      <formula>AND($J140="x",CC140&gt;0)</formula>
    </cfRule>
  </conditionalFormatting>
  <conditionalFormatting sqref="CC162:CC173">
    <cfRule type="expression" dxfId="259" priority="450">
      <formula>AND($J162="x",CC162&gt;0)</formula>
    </cfRule>
  </conditionalFormatting>
  <conditionalFormatting sqref="CC184:CC195">
    <cfRule type="expression" dxfId="258" priority="448">
      <formula>AND($J184="x",CC184&gt;0)</formula>
    </cfRule>
  </conditionalFormatting>
  <conditionalFormatting sqref="CC206:CC217">
    <cfRule type="expression" dxfId="257" priority="446">
      <formula>AND($J206="x",CC206&gt;0)</formula>
    </cfRule>
  </conditionalFormatting>
  <conditionalFormatting sqref="CC228:CC239">
    <cfRule type="expression" dxfId="256" priority="444">
      <formula>AND($J228="x",CC228&gt;0)</formula>
    </cfRule>
  </conditionalFormatting>
  <conditionalFormatting sqref="CC250:CC261">
    <cfRule type="expression" dxfId="255" priority="442">
      <formula>AND($J250="x",CC250&gt;0)</formula>
    </cfRule>
  </conditionalFormatting>
  <conditionalFormatting sqref="CC272:CC283">
    <cfRule type="expression" dxfId="254" priority="440">
      <formula>AND($J272="x",CC272&gt;0)</formula>
    </cfRule>
  </conditionalFormatting>
  <conditionalFormatting sqref="CC294:CC305">
    <cfRule type="expression" dxfId="253" priority="438">
      <formula>AND($J294="x",CC294&gt;0)</formula>
    </cfRule>
  </conditionalFormatting>
  <conditionalFormatting sqref="CC316:CC327">
    <cfRule type="expression" dxfId="252" priority="436">
      <formula>AND($J316="x",CC316&gt;0)</formula>
    </cfRule>
  </conditionalFormatting>
  <conditionalFormatting sqref="CC338:CC349">
    <cfRule type="expression" dxfId="251" priority="434">
      <formula>AND($J338="x",CC338&gt;0)</formula>
    </cfRule>
  </conditionalFormatting>
  <conditionalFormatting sqref="CC360:CC371">
    <cfRule type="expression" dxfId="250" priority="432">
      <formula>AND($J360="x",CC360&gt;0)</formula>
    </cfRule>
  </conditionalFormatting>
  <conditionalFormatting sqref="CC382:CC393">
    <cfRule type="expression" dxfId="249" priority="430">
      <formula>AND($J382="x",CC382&gt;0)</formula>
    </cfRule>
  </conditionalFormatting>
  <conditionalFormatting sqref="CC404:CC415">
    <cfRule type="expression" dxfId="248" priority="428">
      <formula>AND($J404="x",CC404&gt;0)</formula>
    </cfRule>
  </conditionalFormatting>
  <conditionalFormatting sqref="CC426:CC437">
    <cfRule type="expression" dxfId="247" priority="426">
      <formula>AND($J426="x",CC426&gt;0)</formula>
    </cfRule>
  </conditionalFormatting>
  <conditionalFormatting sqref="CC448:CC459">
    <cfRule type="expression" dxfId="246" priority="424">
      <formula>AND($J448="x",CC448&gt;0)</formula>
    </cfRule>
  </conditionalFormatting>
  <conditionalFormatting sqref="CC470:CC481">
    <cfRule type="expression" dxfId="245" priority="422">
      <formula>AND($J470="x",CC470&gt;0)</formula>
    </cfRule>
  </conditionalFormatting>
  <conditionalFormatting sqref="CC492:CC503">
    <cfRule type="expression" dxfId="244" priority="420">
      <formula>AND($J492="x",CC492&gt;0)</formula>
    </cfRule>
  </conditionalFormatting>
  <conditionalFormatting sqref="CC514:CC525">
    <cfRule type="expression" dxfId="243" priority="418">
      <formula>AND($J514="x",CC514&gt;0)</formula>
    </cfRule>
  </conditionalFormatting>
  <conditionalFormatting sqref="CC536:CC547">
    <cfRule type="expression" dxfId="242" priority="416">
      <formula>AND($J536="x",CC536&gt;0)</formula>
    </cfRule>
  </conditionalFormatting>
  <conditionalFormatting sqref="CC558:CC569">
    <cfRule type="expression" dxfId="241" priority="414">
      <formula>AND($J558="x",CC558&gt;0)</formula>
    </cfRule>
  </conditionalFormatting>
  <conditionalFormatting sqref="CC580:CC591">
    <cfRule type="expression" dxfId="240" priority="412">
      <formula>AND($J580="x",CC580&gt;0)</formula>
    </cfRule>
  </conditionalFormatting>
  <conditionalFormatting sqref="CC602:CC613">
    <cfRule type="expression" dxfId="239" priority="410">
      <formula>AND($J602="x",CC602&gt;0)</formula>
    </cfRule>
  </conditionalFormatting>
  <conditionalFormatting sqref="CC624:CC635">
    <cfRule type="expression" dxfId="238" priority="408">
      <formula>AND($J624="x",CC624&gt;0)</formula>
    </cfRule>
  </conditionalFormatting>
  <conditionalFormatting sqref="CC646:CC657">
    <cfRule type="expression" dxfId="237" priority="406">
      <formula>AND($J646="x",CC646&gt;0)</formula>
    </cfRule>
  </conditionalFormatting>
  <conditionalFormatting sqref="CC668:CC679">
    <cfRule type="expression" dxfId="236" priority="404">
      <formula>AND($J668="x",CC668&gt;0)</formula>
    </cfRule>
  </conditionalFormatting>
  <conditionalFormatting sqref="CC690:CC701">
    <cfRule type="expression" dxfId="235" priority="402">
      <formula>AND($J690="x",CC690&gt;0)</formula>
    </cfRule>
  </conditionalFormatting>
  <conditionalFormatting sqref="CC712:CC723">
    <cfRule type="expression" dxfId="234" priority="400">
      <formula>AND($J712="x",CC712&gt;0)</formula>
    </cfRule>
  </conditionalFormatting>
  <conditionalFormatting sqref="CC734:CC745">
    <cfRule type="expression" dxfId="233" priority="398">
      <formula>AND($J734="x",CC734&gt;0)</formula>
    </cfRule>
  </conditionalFormatting>
  <conditionalFormatting sqref="CC756:CC767">
    <cfRule type="expression" dxfId="232" priority="396">
      <formula>AND($J756="x",CC756&gt;0)</formula>
    </cfRule>
  </conditionalFormatting>
  <conditionalFormatting sqref="CC778:CC789">
    <cfRule type="expression" dxfId="231" priority="394">
      <formula>AND($J778="x",CC778&gt;0)</formula>
    </cfRule>
  </conditionalFormatting>
  <conditionalFormatting sqref="CC800:CC811">
    <cfRule type="expression" dxfId="230" priority="392">
      <formula>AND($J800="x",CC800&gt;0)</formula>
    </cfRule>
  </conditionalFormatting>
  <conditionalFormatting sqref="CC822:CC833">
    <cfRule type="expression" dxfId="229" priority="390">
      <formula>AND($J822="x",CC822&gt;0)</formula>
    </cfRule>
  </conditionalFormatting>
  <conditionalFormatting sqref="CC844:CC855">
    <cfRule type="expression" dxfId="228" priority="388">
      <formula>AND($J844="x",CC844&gt;0)</formula>
    </cfRule>
  </conditionalFormatting>
  <conditionalFormatting sqref="CC866:CC877">
    <cfRule type="expression" dxfId="227" priority="386">
      <formula>AND($J866="x",CC866&gt;0)</formula>
    </cfRule>
  </conditionalFormatting>
  <conditionalFormatting sqref="CC888:CC899">
    <cfRule type="expression" dxfId="226" priority="384">
      <formula>AND($J888="x",CC888&gt;0)</formula>
    </cfRule>
  </conditionalFormatting>
  <conditionalFormatting sqref="CD8:CD19">
    <cfRule type="expression" dxfId="225" priority="4619">
      <formula>AND($K8="x",CD8&gt;0)</formula>
    </cfRule>
  </conditionalFormatting>
  <conditionalFormatting sqref="CD30:CD41">
    <cfRule type="expression" dxfId="224" priority="3836">
      <formula>AND($K30="x",CD30&gt;0)</formula>
    </cfRule>
  </conditionalFormatting>
  <conditionalFormatting sqref="CD52:CD63">
    <cfRule type="expression" dxfId="223" priority="24">
      <formula>AND($K52="x",CD52&gt;0)</formula>
    </cfRule>
  </conditionalFormatting>
  <conditionalFormatting sqref="CD74:CD85">
    <cfRule type="expression" dxfId="222" priority="2073">
      <formula>AND($K74="x",CD74&gt;0)</formula>
    </cfRule>
  </conditionalFormatting>
  <conditionalFormatting sqref="CD96:CD107">
    <cfRule type="expression" dxfId="221" priority="2030">
      <formula>AND($K96="x",CD96&gt;0)</formula>
    </cfRule>
  </conditionalFormatting>
  <conditionalFormatting sqref="CD118:CD129">
    <cfRule type="expression" dxfId="220" priority="1987">
      <formula>AND($K118="x",CD118&gt;0)</formula>
    </cfRule>
  </conditionalFormatting>
  <conditionalFormatting sqref="CD140:CD151">
    <cfRule type="expression" dxfId="219" priority="1944">
      <formula>AND($K140="x",CD140&gt;0)</formula>
    </cfRule>
  </conditionalFormatting>
  <conditionalFormatting sqref="CD162:CD173">
    <cfRule type="expression" dxfId="218" priority="1901">
      <formula>AND($K162="x",CD162&gt;0)</formula>
    </cfRule>
  </conditionalFormatting>
  <conditionalFormatting sqref="CD184:CD195">
    <cfRule type="expression" dxfId="217" priority="1858">
      <formula>AND($K184="x",CD184&gt;0)</formula>
    </cfRule>
  </conditionalFormatting>
  <conditionalFormatting sqref="CD206:CD217">
    <cfRule type="expression" dxfId="216" priority="1815">
      <formula>AND($K206="x",CD206&gt;0)</formula>
    </cfRule>
  </conditionalFormatting>
  <conditionalFormatting sqref="CD228:CD239">
    <cfRule type="expression" dxfId="215" priority="1772">
      <formula>AND($K228="x",CD228&gt;0)</formula>
    </cfRule>
  </conditionalFormatting>
  <conditionalFormatting sqref="CD250:CD261">
    <cfRule type="expression" dxfId="214" priority="1729">
      <formula>AND($K250="x",CD250&gt;0)</formula>
    </cfRule>
  </conditionalFormatting>
  <conditionalFormatting sqref="CD272:CD283">
    <cfRule type="expression" dxfId="213" priority="1686">
      <formula>AND($K272="x",CD272&gt;0)</formula>
    </cfRule>
  </conditionalFormatting>
  <conditionalFormatting sqref="CD294:CD305">
    <cfRule type="expression" dxfId="212" priority="1643">
      <formula>AND($K294="x",CD294&gt;0)</formula>
    </cfRule>
  </conditionalFormatting>
  <conditionalFormatting sqref="CD316:CD327">
    <cfRule type="expression" dxfId="211" priority="1600">
      <formula>AND($K316="x",CD316&gt;0)</formula>
    </cfRule>
  </conditionalFormatting>
  <conditionalFormatting sqref="CD338:CD349">
    <cfRule type="expression" dxfId="210" priority="1557">
      <formula>AND($K338="x",CD338&gt;0)</formula>
    </cfRule>
  </conditionalFormatting>
  <conditionalFormatting sqref="CD360:CD371">
    <cfRule type="expression" dxfId="209" priority="1514">
      <formula>AND($K360="x",CD360&gt;0)</formula>
    </cfRule>
  </conditionalFormatting>
  <conditionalFormatting sqref="CD382:CD393">
    <cfRule type="expression" dxfId="208" priority="1471">
      <formula>AND($K382="x",CD382&gt;0)</formula>
    </cfRule>
  </conditionalFormatting>
  <conditionalFormatting sqref="CD404:CD415">
    <cfRule type="expression" dxfId="207" priority="1428">
      <formula>AND($K404="x",CD404&gt;0)</formula>
    </cfRule>
  </conditionalFormatting>
  <conditionalFormatting sqref="CD426:CD437">
    <cfRule type="expression" dxfId="206" priority="1385">
      <formula>AND($K426="x",CD426&gt;0)</formula>
    </cfRule>
  </conditionalFormatting>
  <conditionalFormatting sqref="CD448:CD459">
    <cfRule type="expression" dxfId="205" priority="1342">
      <formula>AND($K448="x",CD448&gt;0)</formula>
    </cfRule>
  </conditionalFormatting>
  <conditionalFormatting sqref="CD470:CD481">
    <cfRule type="expression" dxfId="204" priority="1299">
      <formula>AND($K470="x",CD470&gt;0)</formula>
    </cfRule>
  </conditionalFormatting>
  <conditionalFormatting sqref="CD492:CD503">
    <cfRule type="expression" dxfId="203" priority="1256">
      <formula>AND($K492="x",CD492&gt;0)</formula>
    </cfRule>
  </conditionalFormatting>
  <conditionalFormatting sqref="CD514:CD525">
    <cfRule type="expression" dxfId="202" priority="1213">
      <formula>AND($K514="x",CD514&gt;0)</formula>
    </cfRule>
  </conditionalFormatting>
  <conditionalFormatting sqref="CD536:CD547">
    <cfRule type="expression" dxfId="201" priority="1170">
      <formula>AND($K536="x",CD536&gt;0)</formula>
    </cfRule>
  </conditionalFormatting>
  <conditionalFormatting sqref="CD558:CD569">
    <cfRule type="expression" dxfId="200" priority="1127">
      <formula>AND($K558="x",CD558&gt;0)</formula>
    </cfRule>
  </conditionalFormatting>
  <conditionalFormatting sqref="CD580:CD591">
    <cfRule type="expression" dxfId="199" priority="1084">
      <formula>AND($K580="x",CD580&gt;0)</formula>
    </cfRule>
  </conditionalFormatting>
  <conditionalFormatting sqref="CD602:CD613">
    <cfRule type="expression" dxfId="198" priority="1041">
      <formula>AND($K602="x",CD602&gt;0)</formula>
    </cfRule>
  </conditionalFormatting>
  <conditionalFormatting sqref="CD624:CD635">
    <cfRule type="expression" dxfId="197" priority="998">
      <formula>AND($K624="x",CD624&gt;0)</formula>
    </cfRule>
  </conditionalFormatting>
  <conditionalFormatting sqref="CD646:CD657">
    <cfRule type="expression" dxfId="196" priority="955">
      <formula>AND($K646="x",CD646&gt;0)</formula>
    </cfRule>
  </conditionalFormatting>
  <conditionalFormatting sqref="CD668:CD679">
    <cfRule type="expression" dxfId="195" priority="912">
      <formula>AND($K668="x",CD668&gt;0)</formula>
    </cfRule>
  </conditionalFormatting>
  <conditionalFormatting sqref="CD690:CD701">
    <cfRule type="expression" dxfId="194" priority="869">
      <formula>AND($K690="x",CD690&gt;0)</formula>
    </cfRule>
  </conditionalFormatting>
  <conditionalFormatting sqref="CD712:CD723">
    <cfRule type="expression" dxfId="193" priority="826">
      <formula>AND($K712="x",CD712&gt;0)</formula>
    </cfRule>
  </conditionalFormatting>
  <conditionalFormatting sqref="CD734:CD745">
    <cfRule type="expression" dxfId="192" priority="783">
      <formula>AND($K734="x",CD734&gt;0)</formula>
    </cfRule>
  </conditionalFormatting>
  <conditionalFormatting sqref="CD756:CD767">
    <cfRule type="expression" dxfId="191" priority="740">
      <formula>AND($K756="x",CD756&gt;0)</formula>
    </cfRule>
  </conditionalFormatting>
  <conditionalFormatting sqref="CD778:CD789">
    <cfRule type="expression" dxfId="190" priority="697">
      <formula>AND($K778="x",CD778&gt;0)</formula>
    </cfRule>
  </conditionalFormatting>
  <conditionalFormatting sqref="CD800:CD811">
    <cfRule type="expression" dxfId="189" priority="654">
      <formula>AND($K800="x",CD800&gt;0)</formula>
    </cfRule>
  </conditionalFormatting>
  <conditionalFormatting sqref="CD822:CD833">
    <cfRule type="expression" dxfId="188" priority="611">
      <formula>AND($K822="x",CD822&gt;0)</formula>
    </cfRule>
  </conditionalFormatting>
  <conditionalFormatting sqref="CD844:CD855">
    <cfRule type="expression" dxfId="187" priority="568">
      <formula>AND($K844="x",CD844&gt;0)</formula>
    </cfRule>
  </conditionalFormatting>
  <conditionalFormatting sqref="CD866:CD877">
    <cfRule type="expression" dxfId="186" priority="525">
      <formula>AND($K866="x",CD866&gt;0)</formula>
    </cfRule>
  </conditionalFormatting>
  <conditionalFormatting sqref="CD888:CD899">
    <cfRule type="expression" dxfId="185" priority="482">
      <formula>AND($K888="x",CD888&gt;0)</formula>
    </cfRule>
  </conditionalFormatting>
  <conditionalFormatting sqref="CK8:CK19">
    <cfRule type="expression" dxfId="184" priority="4618">
      <formula>AND($I8="x",CK8&gt;0)</formula>
    </cfRule>
  </conditionalFormatting>
  <conditionalFormatting sqref="CK30:CK41">
    <cfRule type="expression" dxfId="183" priority="3835">
      <formula>AND($I30="x",CK30&gt;0)</formula>
    </cfRule>
  </conditionalFormatting>
  <conditionalFormatting sqref="CK52:CK63">
    <cfRule type="expression" dxfId="182" priority="23">
      <formula>AND($I52="x",CK52&gt;0)</formula>
    </cfRule>
  </conditionalFormatting>
  <conditionalFormatting sqref="CK74:CK85">
    <cfRule type="expression" dxfId="181" priority="2072">
      <formula>AND($I74="x",CK74&gt;0)</formula>
    </cfRule>
  </conditionalFormatting>
  <conditionalFormatting sqref="CK96:CK107">
    <cfRule type="expression" dxfId="180" priority="2029">
      <formula>AND($I96="x",CK96&gt;0)</formula>
    </cfRule>
  </conditionalFormatting>
  <conditionalFormatting sqref="CK118:CK129">
    <cfRule type="expression" dxfId="179" priority="1986">
      <formula>AND($I118="x",CK118&gt;0)</formula>
    </cfRule>
  </conditionalFormatting>
  <conditionalFormatting sqref="CK140:CK151">
    <cfRule type="expression" dxfId="178" priority="1943">
      <formula>AND($I140="x",CK140&gt;0)</formula>
    </cfRule>
  </conditionalFormatting>
  <conditionalFormatting sqref="CK162:CK173">
    <cfRule type="expression" dxfId="177" priority="1900">
      <formula>AND($I162="x",CK162&gt;0)</formula>
    </cfRule>
  </conditionalFormatting>
  <conditionalFormatting sqref="CK184:CK195">
    <cfRule type="expression" dxfId="176" priority="1857">
      <formula>AND($I184="x",CK184&gt;0)</formula>
    </cfRule>
  </conditionalFormatting>
  <conditionalFormatting sqref="CK206:CK217">
    <cfRule type="expression" dxfId="175" priority="1814">
      <formula>AND($I206="x",CK206&gt;0)</formula>
    </cfRule>
  </conditionalFormatting>
  <conditionalFormatting sqref="CK228:CK239">
    <cfRule type="expression" dxfId="174" priority="41">
      <formula>AND($I228="x",CK228&gt;0)</formula>
    </cfRule>
  </conditionalFormatting>
  <conditionalFormatting sqref="CK250:CK261">
    <cfRule type="expression" dxfId="173" priority="1728">
      <formula>AND($I250="x",CK250&gt;0)</formula>
    </cfRule>
  </conditionalFormatting>
  <conditionalFormatting sqref="CK272:CK283">
    <cfRule type="expression" dxfId="172" priority="1685">
      <formula>AND($I272="x",CK272&gt;0)</formula>
    </cfRule>
  </conditionalFormatting>
  <conditionalFormatting sqref="CK294:CK305">
    <cfRule type="expression" dxfId="171" priority="1642">
      <formula>AND($I294="x",CK294&gt;0)</formula>
    </cfRule>
  </conditionalFormatting>
  <conditionalFormatting sqref="CK316:CK327">
    <cfRule type="expression" dxfId="170" priority="1599">
      <formula>AND($I316="x",CK316&gt;0)</formula>
    </cfRule>
  </conditionalFormatting>
  <conditionalFormatting sqref="CK338:CK349">
    <cfRule type="expression" dxfId="169" priority="1556">
      <formula>AND($I338="x",CK338&gt;0)</formula>
    </cfRule>
  </conditionalFormatting>
  <conditionalFormatting sqref="CK360:CK371">
    <cfRule type="expression" dxfId="168" priority="4">
      <formula>AND($I360="x",CK360&gt;0)</formula>
    </cfRule>
  </conditionalFormatting>
  <conditionalFormatting sqref="CK382:CK393">
    <cfRule type="expression" dxfId="167" priority="1470">
      <formula>AND($I382="x",CK382&gt;0)</formula>
    </cfRule>
  </conditionalFormatting>
  <conditionalFormatting sqref="CK404:CK415">
    <cfRule type="expression" dxfId="166" priority="1427">
      <formula>AND($I404="x",CK404&gt;0)</formula>
    </cfRule>
  </conditionalFormatting>
  <conditionalFormatting sqref="CK426:CK437">
    <cfRule type="expression" dxfId="165" priority="1384">
      <formula>AND($I426="x",CK426&gt;0)</formula>
    </cfRule>
  </conditionalFormatting>
  <conditionalFormatting sqref="CK448:CK459">
    <cfRule type="expression" dxfId="164" priority="1341">
      <formula>AND($I448="x",CK448&gt;0)</formula>
    </cfRule>
  </conditionalFormatting>
  <conditionalFormatting sqref="CK470:CK481">
    <cfRule type="expression" dxfId="163" priority="1298">
      <formula>AND($I470="x",CK470&gt;0)</formula>
    </cfRule>
  </conditionalFormatting>
  <conditionalFormatting sqref="CK492:CK503">
    <cfRule type="expression" dxfId="162" priority="1255">
      <formula>AND($I492="x",CK492&gt;0)</formula>
    </cfRule>
  </conditionalFormatting>
  <conditionalFormatting sqref="CK514:CK525">
    <cfRule type="expression" dxfId="161" priority="1212">
      <formula>AND($I514="x",CK514&gt;0)</formula>
    </cfRule>
  </conditionalFormatting>
  <conditionalFormatting sqref="CK536:CK547">
    <cfRule type="expression" dxfId="160" priority="1169">
      <formula>AND($I536="x",CK536&gt;0)</formula>
    </cfRule>
  </conditionalFormatting>
  <conditionalFormatting sqref="CK558:CK569">
    <cfRule type="expression" dxfId="159" priority="1126">
      <formula>AND($I558="x",CK558&gt;0)</formula>
    </cfRule>
  </conditionalFormatting>
  <conditionalFormatting sqref="CK580:CK591">
    <cfRule type="expression" dxfId="158" priority="1083">
      <formula>AND($I580="x",CK580&gt;0)</formula>
    </cfRule>
  </conditionalFormatting>
  <conditionalFormatting sqref="CK602:CK613">
    <cfRule type="expression" dxfId="157" priority="1040">
      <formula>AND($I602="x",CK602&gt;0)</formula>
    </cfRule>
  </conditionalFormatting>
  <conditionalFormatting sqref="CK624:CK635">
    <cfRule type="expression" dxfId="156" priority="997">
      <formula>AND($I624="x",CK624&gt;0)</formula>
    </cfRule>
  </conditionalFormatting>
  <conditionalFormatting sqref="CK646:CK657">
    <cfRule type="expression" dxfId="155" priority="954">
      <formula>AND($I646="x",CK646&gt;0)</formula>
    </cfRule>
  </conditionalFormatting>
  <conditionalFormatting sqref="CK668:CK679">
    <cfRule type="expression" dxfId="154" priority="911">
      <formula>AND($I668="x",CK668&gt;0)</formula>
    </cfRule>
  </conditionalFormatting>
  <conditionalFormatting sqref="CK690:CK701">
    <cfRule type="expression" dxfId="153" priority="868">
      <formula>AND($I690="x",CK690&gt;0)</formula>
    </cfRule>
  </conditionalFormatting>
  <conditionalFormatting sqref="CK712:CK723">
    <cfRule type="expression" dxfId="152" priority="825">
      <formula>AND($I712="x",CK712&gt;0)</formula>
    </cfRule>
  </conditionalFormatting>
  <conditionalFormatting sqref="CK734:CK745">
    <cfRule type="expression" dxfId="151" priority="782">
      <formula>AND($I734="x",CK734&gt;0)</formula>
    </cfRule>
  </conditionalFormatting>
  <conditionalFormatting sqref="CK756:CK767">
    <cfRule type="expression" dxfId="150" priority="739">
      <formula>AND($I756="x",CK756&gt;0)</formula>
    </cfRule>
  </conditionalFormatting>
  <conditionalFormatting sqref="CK778:CK789">
    <cfRule type="expression" dxfId="149" priority="696">
      <formula>AND($I778="x",CK778&gt;0)</formula>
    </cfRule>
  </conditionalFormatting>
  <conditionalFormatting sqref="CK800:CK811">
    <cfRule type="expression" dxfId="148" priority="653">
      <formula>AND($I800="x",CK800&gt;0)</formula>
    </cfRule>
  </conditionalFormatting>
  <conditionalFormatting sqref="CK822:CK833">
    <cfRule type="expression" dxfId="147" priority="610">
      <formula>AND($I822="x",CK822&gt;0)</formula>
    </cfRule>
  </conditionalFormatting>
  <conditionalFormatting sqref="CK844:CK855">
    <cfRule type="expression" dxfId="146" priority="567">
      <formula>AND($I844="x",CK844&gt;0)</formula>
    </cfRule>
  </conditionalFormatting>
  <conditionalFormatting sqref="CK866:CK877">
    <cfRule type="expression" dxfId="145" priority="524">
      <formula>AND($I866="x",CK866&gt;0)</formula>
    </cfRule>
  </conditionalFormatting>
  <conditionalFormatting sqref="CK888:CK899">
    <cfRule type="expression" dxfId="144" priority="481">
      <formula>AND($I888="x",CK888&gt;0)</formula>
    </cfRule>
  </conditionalFormatting>
  <conditionalFormatting sqref="CL8:CL19">
    <cfRule type="expression" dxfId="143" priority="4617">
      <formula>AND($J8="x",CL8&gt;0)</formula>
    </cfRule>
  </conditionalFormatting>
  <conditionalFormatting sqref="CL30:CL41">
    <cfRule type="expression" dxfId="142" priority="3834">
      <formula>AND($J30="x",CL30&gt;0)</formula>
    </cfRule>
  </conditionalFormatting>
  <conditionalFormatting sqref="CL52:CL63">
    <cfRule type="expression" dxfId="141" priority="22">
      <formula>AND($J52="x",CL52&gt;0)</formula>
    </cfRule>
  </conditionalFormatting>
  <conditionalFormatting sqref="CL74:CL85">
    <cfRule type="expression" dxfId="140" priority="2071">
      <formula>AND($J74="x",CL74&gt;0)</formula>
    </cfRule>
  </conditionalFormatting>
  <conditionalFormatting sqref="CL96:CL107">
    <cfRule type="expression" dxfId="139" priority="2028">
      <formula>AND($J96="x",CL96&gt;0)</formula>
    </cfRule>
  </conditionalFormatting>
  <conditionalFormatting sqref="CL118:CL129">
    <cfRule type="expression" dxfId="138" priority="1985">
      <formula>AND($J118="x",CL118&gt;0)</formula>
    </cfRule>
  </conditionalFormatting>
  <conditionalFormatting sqref="CL140:CL151">
    <cfRule type="expression" dxfId="137" priority="1942">
      <formula>AND($J140="x",CL140&gt;0)</formula>
    </cfRule>
  </conditionalFormatting>
  <conditionalFormatting sqref="CL162:CL173">
    <cfRule type="expression" dxfId="136" priority="1899">
      <formula>AND($J162="x",CL162&gt;0)</formula>
    </cfRule>
  </conditionalFormatting>
  <conditionalFormatting sqref="CL184:CL195">
    <cfRule type="expression" dxfId="135" priority="1856">
      <formula>AND($J184="x",CL184&gt;0)</formula>
    </cfRule>
  </conditionalFormatting>
  <conditionalFormatting sqref="CL206:CL217">
    <cfRule type="expression" dxfId="134" priority="1813">
      <formula>AND($J206="x",CL206&gt;0)</formula>
    </cfRule>
  </conditionalFormatting>
  <conditionalFormatting sqref="CL228:CL239">
    <cfRule type="expression" dxfId="133" priority="40">
      <formula>AND($J228="x",CL228&gt;0)</formula>
    </cfRule>
  </conditionalFormatting>
  <conditionalFormatting sqref="CL250:CL261">
    <cfRule type="expression" dxfId="132" priority="1727">
      <formula>AND($J250="x",CL250&gt;0)</formula>
    </cfRule>
  </conditionalFormatting>
  <conditionalFormatting sqref="CL272:CL283">
    <cfRule type="expression" dxfId="131" priority="1684">
      <formula>AND($J272="x",CL272&gt;0)</formula>
    </cfRule>
  </conditionalFormatting>
  <conditionalFormatting sqref="CL294:CL305">
    <cfRule type="expression" dxfId="130" priority="1641">
      <formula>AND($J294="x",CL294&gt;0)</formula>
    </cfRule>
  </conditionalFormatting>
  <conditionalFormatting sqref="CL316:CL327">
    <cfRule type="expression" dxfId="129" priority="1598">
      <formula>AND($J316="x",CL316&gt;0)</formula>
    </cfRule>
  </conditionalFormatting>
  <conditionalFormatting sqref="CL338:CL349">
    <cfRule type="expression" dxfId="128" priority="1555">
      <formula>AND($J338="x",CL338&gt;0)</formula>
    </cfRule>
  </conditionalFormatting>
  <conditionalFormatting sqref="CL360:CL371">
    <cfRule type="expression" dxfId="127" priority="3">
      <formula>AND($J360="x",CL360&gt;0)</formula>
    </cfRule>
  </conditionalFormatting>
  <conditionalFormatting sqref="CL382:CL393">
    <cfRule type="expression" dxfId="126" priority="1469">
      <formula>AND($J382="x",CL382&gt;0)</formula>
    </cfRule>
  </conditionalFormatting>
  <conditionalFormatting sqref="CL404:CL415">
    <cfRule type="expression" dxfId="125" priority="1426">
      <formula>AND($J404="x",CL404&gt;0)</formula>
    </cfRule>
  </conditionalFormatting>
  <conditionalFormatting sqref="CL426:CL437">
    <cfRule type="expression" dxfId="124" priority="1383">
      <formula>AND($J426="x",CL426&gt;0)</formula>
    </cfRule>
  </conditionalFormatting>
  <conditionalFormatting sqref="CL448:CL459">
    <cfRule type="expression" dxfId="123" priority="1340">
      <formula>AND($J448="x",CL448&gt;0)</formula>
    </cfRule>
  </conditionalFormatting>
  <conditionalFormatting sqref="CL470:CL481">
    <cfRule type="expression" dxfId="122" priority="1297">
      <formula>AND($J470="x",CL470&gt;0)</formula>
    </cfRule>
  </conditionalFormatting>
  <conditionalFormatting sqref="CL492:CL503">
    <cfRule type="expression" dxfId="121" priority="1254">
      <formula>AND($J492="x",CL492&gt;0)</formula>
    </cfRule>
  </conditionalFormatting>
  <conditionalFormatting sqref="CL514:CL525">
    <cfRule type="expression" dxfId="120" priority="1211">
      <formula>AND($J514="x",CL514&gt;0)</formula>
    </cfRule>
  </conditionalFormatting>
  <conditionalFormatting sqref="CL536:CL547">
    <cfRule type="expression" dxfId="119" priority="1168">
      <formula>AND($J536="x",CL536&gt;0)</formula>
    </cfRule>
  </conditionalFormatting>
  <conditionalFormatting sqref="CL558:CL569">
    <cfRule type="expression" dxfId="118" priority="1125">
      <formula>AND($J558="x",CL558&gt;0)</formula>
    </cfRule>
  </conditionalFormatting>
  <conditionalFormatting sqref="CL580:CL591">
    <cfRule type="expression" dxfId="117" priority="1082">
      <formula>AND($J580="x",CL580&gt;0)</formula>
    </cfRule>
  </conditionalFormatting>
  <conditionalFormatting sqref="CL602:CL613">
    <cfRule type="expression" dxfId="116" priority="1039">
      <formula>AND($J602="x",CL602&gt;0)</formula>
    </cfRule>
  </conditionalFormatting>
  <conditionalFormatting sqref="CL624:CL635">
    <cfRule type="expression" dxfId="115" priority="996">
      <formula>AND($J624="x",CL624&gt;0)</formula>
    </cfRule>
  </conditionalFormatting>
  <conditionalFormatting sqref="CL646:CL657">
    <cfRule type="expression" dxfId="114" priority="953">
      <formula>AND($J646="x",CL646&gt;0)</formula>
    </cfRule>
  </conditionalFormatting>
  <conditionalFormatting sqref="CL668:CL679">
    <cfRule type="expression" dxfId="113" priority="910">
      <formula>AND($J668="x",CL668&gt;0)</formula>
    </cfRule>
  </conditionalFormatting>
  <conditionalFormatting sqref="CL690:CL701">
    <cfRule type="expression" dxfId="112" priority="867">
      <formula>AND($J690="x",CL690&gt;0)</formula>
    </cfRule>
  </conditionalFormatting>
  <conditionalFormatting sqref="CL712:CL723">
    <cfRule type="expression" dxfId="111" priority="824">
      <formula>AND($J712="x",CL712&gt;0)</formula>
    </cfRule>
  </conditionalFormatting>
  <conditionalFormatting sqref="CL734:CL745">
    <cfRule type="expression" dxfId="110" priority="781">
      <formula>AND($J734="x",CL734&gt;0)</formula>
    </cfRule>
  </conditionalFormatting>
  <conditionalFormatting sqref="CL756:CL767">
    <cfRule type="expression" dxfId="109" priority="738">
      <formula>AND($J756="x",CL756&gt;0)</formula>
    </cfRule>
  </conditionalFormatting>
  <conditionalFormatting sqref="CL778:CL789">
    <cfRule type="expression" dxfId="108" priority="695">
      <formula>AND($J778="x",CL778&gt;0)</formula>
    </cfRule>
  </conditionalFormatting>
  <conditionalFormatting sqref="CL800:CL811">
    <cfRule type="expression" dxfId="107" priority="652">
      <formula>AND($J800="x",CL800&gt;0)</formula>
    </cfRule>
  </conditionalFormatting>
  <conditionalFormatting sqref="CL822:CL833">
    <cfRule type="expression" dxfId="106" priority="609">
      <formula>AND($J822="x",CL822&gt;0)</formula>
    </cfRule>
  </conditionalFormatting>
  <conditionalFormatting sqref="CL844:CL855">
    <cfRule type="expression" dxfId="105" priority="566">
      <formula>AND($J844="x",CL844&gt;0)</formula>
    </cfRule>
  </conditionalFormatting>
  <conditionalFormatting sqref="CL866:CL877">
    <cfRule type="expression" dxfId="104" priority="523">
      <formula>AND($J866="x",CL866&gt;0)</formula>
    </cfRule>
  </conditionalFormatting>
  <conditionalFormatting sqref="CL888:CL899">
    <cfRule type="expression" dxfId="103" priority="480">
      <formula>AND($J888="x",CL888&gt;0)</formula>
    </cfRule>
  </conditionalFormatting>
  <conditionalFormatting sqref="CM8:CM19">
    <cfRule type="expression" dxfId="102" priority="4602">
      <formula>OR(CM8&gt;80,CM8&lt;10)</formula>
    </cfRule>
    <cfRule type="expression" dxfId="101" priority="4603">
      <formula>AND($K8="x",CM8&gt;0)</formula>
    </cfRule>
  </conditionalFormatting>
  <conditionalFormatting sqref="CM30:CM41">
    <cfRule type="expression" dxfId="100" priority="3819">
      <formula>OR(CM30&gt;80,CM30&lt;10)</formula>
    </cfRule>
    <cfRule type="expression" dxfId="99" priority="3820">
      <formula>AND($K30="x",CM30&gt;0)</formula>
    </cfRule>
  </conditionalFormatting>
  <conditionalFormatting sqref="CM52:CM63">
    <cfRule type="expression" dxfId="98" priority="8">
      <formula>AND($K52="x",CM52&gt;0)</formula>
    </cfRule>
    <cfRule type="expression" dxfId="97" priority="7">
      <formula>OR(CM52&gt;80,CM52&lt;10)</formula>
    </cfRule>
  </conditionalFormatting>
  <conditionalFormatting sqref="CM74:CM85">
    <cfRule type="expression" dxfId="96" priority="2056">
      <formula>OR(CM74&gt;80,CM74&lt;10)</formula>
    </cfRule>
    <cfRule type="expression" dxfId="95" priority="2057">
      <formula>AND($K74="x",CM74&gt;0)</formula>
    </cfRule>
  </conditionalFormatting>
  <conditionalFormatting sqref="CM96:CM107">
    <cfRule type="expression" dxfId="94" priority="2013">
      <formula>OR(CM96&gt;80,CM96&lt;10)</formula>
    </cfRule>
    <cfRule type="expression" dxfId="93" priority="2014">
      <formula>AND($K96="x",CM96&gt;0)</formula>
    </cfRule>
  </conditionalFormatting>
  <conditionalFormatting sqref="CM118:CM129">
    <cfRule type="expression" dxfId="92" priority="1970">
      <formula>OR(CM118&gt;80,CM118&lt;10)</formula>
    </cfRule>
    <cfRule type="expression" dxfId="91" priority="1971">
      <formula>AND($K118="x",CM118&gt;0)</formula>
    </cfRule>
  </conditionalFormatting>
  <conditionalFormatting sqref="CM140:CM151">
    <cfRule type="expression" dxfId="90" priority="1927">
      <formula>OR(CM140&gt;80,CM140&lt;10)</formula>
    </cfRule>
    <cfRule type="expression" dxfId="89" priority="1928">
      <formula>AND($K140="x",CM140&gt;0)</formula>
    </cfRule>
  </conditionalFormatting>
  <conditionalFormatting sqref="CM162:CM173">
    <cfRule type="expression" dxfId="88" priority="1884">
      <formula>OR(CM162&gt;80,CM162&lt;10)</formula>
    </cfRule>
    <cfRule type="expression" dxfId="87" priority="1885">
      <formula>AND($K162="x",CM162&gt;0)</formula>
    </cfRule>
  </conditionalFormatting>
  <conditionalFormatting sqref="CM184:CM195">
    <cfRule type="expression" dxfId="86" priority="1842">
      <formula>AND($K184="x",CM184&gt;0)</formula>
    </cfRule>
    <cfRule type="expression" dxfId="85" priority="1841">
      <formula>OR(CM184&gt;80,CM184&lt;10)</formula>
    </cfRule>
  </conditionalFormatting>
  <conditionalFormatting sqref="CM206:CM217">
    <cfRule type="expression" dxfId="84" priority="1799">
      <formula>AND($K206="x",CM206&gt;0)</formula>
    </cfRule>
    <cfRule type="expression" dxfId="83" priority="1798">
      <formula>OR(CM206&gt;80,CM206&lt;10)</formula>
    </cfRule>
  </conditionalFormatting>
  <conditionalFormatting sqref="CM228:CM239">
    <cfRule type="expression" dxfId="82" priority="1755">
      <formula>OR(CM228&gt;80,CM228&lt;10)</formula>
    </cfRule>
    <cfRule type="expression" dxfId="81" priority="1756">
      <formula>AND($K228="x",CM228&gt;0)</formula>
    </cfRule>
  </conditionalFormatting>
  <conditionalFormatting sqref="CM250:CM261">
    <cfRule type="expression" dxfId="80" priority="1712">
      <formula>OR(CM250&gt;80,CM250&lt;10)</formula>
    </cfRule>
    <cfRule type="expression" dxfId="79" priority="1713">
      <formula>AND($K250="x",CM250&gt;0)</formula>
    </cfRule>
  </conditionalFormatting>
  <conditionalFormatting sqref="CM272:CM283">
    <cfRule type="expression" dxfId="78" priority="1670">
      <formula>AND($K272="x",CM272&gt;0)</formula>
    </cfRule>
    <cfRule type="expression" dxfId="77" priority="1669">
      <formula>OR(CM272&gt;80,CM272&lt;10)</formula>
    </cfRule>
  </conditionalFormatting>
  <conditionalFormatting sqref="CM294:CM305">
    <cfRule type="expression" dxfId="76" priority="1627">
      <formula>AND($K294="x",CM294&gt;0)</formula>
    </cfRule>
    <cfRule type="expression" dxfId="75" priority="1626">
      <formula>OR(CM294&gt;80,CM294&lt;10)</formula>
    </cfRule>
  </conditionalFormatting>
  <conditionalFormatting sqref="CM316:CM327">
    <cfRule type="expression" dxfId="74" priority="1583">
      <formula>OR(CM316&gt;80,CM316&lt;10)</formula>
    </cfRule>
    <cfRule type="expression" dxfId="73" priority="1584">
      <formula>AND($K316="x",CM316&gt;0)</formula>
    </cfRule>
  </conditionalFormatting>
  <conditionalFormatting sqref="CM338:CM349">
    <cfRule type="expression" dxfId="72" priority="1540">
      <formula>OR(CM338&gt;80,CM338&lt;10)</formula>
    </cfRule>
    <cfRule type="expression" dxfId="71" priority="1541">
      <formula>AND($K338="x",CM338&gt;0)</formula>
    </cfRule>
  </conditionalFormatting>
  <conditionalFormatting sqref="CM360:CM371">
    <cfRule type="expression" dxfId="70" priority="1498">
      <formula>AND($K360="x",CM360&gt;0)</formula>
    </cfRule>
    <cfRule type="expression" dxfId="69" priority="1497">
      <formula>OR(CM360&gt;80,CM360&lt;10)</formula>
    </cfRule>
  </conditionalFormatting>
  <conditionalFormatting sqref="CM382:CM393">
    <cfRule type="expression" dxfId="68" priority="1454">
      <formula>OR(CM382&gt;80,CM382&lt;10)</formula>
    </cfRule>
    <cfRule type="expression" dxfId="67" priority="1455">
      <formula>AND($K382="x",CM382&gt;0)</formula>
    </cfRule>
  </conditionalFormatting>
  <conditionalFormatting sqref="CM404:CM415">
    <cfRule type="expression" dxfId="66" priority="1412">
      <formula>AND($K404="x",CM404&gt;0)</formula>
    </cfRule>
    <cfRule type="expression" dxfId="65" priority="1411">
      <formula>OR(CM404&gt;80,CM404&lt;10)</formula>
    </cfRule>
  </conditionalFormatting>
  <conditionalFormatting sqref="CM426:CM437">
    <cfRule type="expression" dxfId="64" priority="1368">
      <formula>OR(CM426&gt;80,CM426&lt;10)</formula>
    </cfRule>
    <cfRule type="expression" dxfId="63" priority="1369">
      <formula>AND($K426="x",CM426&gt;0)</formula>
    </cfRule>
  </conditionalFormatting>
  <conditionalFormatting sqref="CM448:CM459">
    <cfRule type="expression" dxfId="62" priority="1326">
      <formula>AND($K448="x",CM448&gt;0)</formula>
    </cfRule>
    <cfRule type="expression" dxfId="61" priority="1325">
      <formula>OR(CM448&gt;80,CM448&lt;10)</formula>
    </cfRule>
  </conditionalFormatting>
  <conditionalFormatting sqref="CM470:CM481">
    <cfRule type="expression" dxfId="60" priority="1282">
      <formula>OR(CM470&gt;80,CM470&lt;10)</formula>
    </cfRule>
    <cfRule type="expression" dxfId="59" priority="1283">
      <formula>AND($K470="x",CM470&gt;0)</formula>
    </cfRule>
  </conditionalFormatting>
  <conditionalFormatting sqref="CM492:CM503">
    <cfRule type="expression" dxfId="58" priority="1240">
      <formula>AND($K492="x",CM492&gt;0)</formula>
    </cfRule>
    <cfRule type="expression" dxfId="57" priority="1239">
      <formula>OR(CM492&gt;80,CM492&lt;10)</formula>
    </cfRule>
  </conditionalFormatting>
  <conditionalFormatting sqref="CM514:CM525">
    <cfRule type="expression" dxfId="56" priority="1197">
      <formula>AND($K514="x",CM514&gt;0)</formula>
    </cfRule>
    <cfRule type="expression" dxfId="55" priority="1196">
      <formula>OR(CM514&gt;80,CM514&lt;10)</formula>
    </cfRule>
  </conditionalFormatting>
  <conditionalFormatting sqref="CM536:CM547">
    <cfRule type="expression" dxfId="54" priority="1153">
      <formula>OR(CM536&gt;80,CM536&lt;10)</formula>
    </cfRule>
    <cfRule type="expression" dxfId="53" priority="1154">
      <formula>AND($K536="x",CM536&gt;0)</formula>
    </cfRule>
  </conditionalFormatting>
  <conditionalFormatting sqref="CM558:CM569">
    <cfRule type="expression" dxfId="52" priority="1110">
      <formula>OR(CM558&gt;80,CM558&lt;10)</formula>
    </cfRule>
    <cfRule type="expression" dxfId="51" priority="1111">
      <formula>AND($K558="x",CM558&gt;0)</formula>
    </cfRule>
  </conditionalFormatting>
  <conditionalFormatting sqref="CM580:CM591">
    <cfRule type="expression" dxfId="50" priority="1068">
      <formula>AND($K580="x",CM580&gt;0)</formula>
    </cfRule>
    <cfRule type="expression" dxfId="49" priority="1067">
      <formula>OR(CM580&gt;80,CM580&lt;10)</formula>
    </cfRule>
  </conditionalFormatting>
  <conditionalFormatting sqref="CM602:CM613">
    <cfRule type="expression" dxfId="48" priority="1025">
      <formula>AND($K602="x",CM602&gt;0)</formula>
    </cfRule>
    <cfRule type="expression" dxfId="47" priority="1024">
      <formula>OR(CM602&gt;80,CM602&lt;10)</formula>
    </cfRule>
  </conditionalFormatting>
  <conditionalFormatting sqref="CM624:CM635">
    <cfRule type="expression" dxfId="46" priority="981">
      <formula>OR(CM624&gt;80,CM624&lt;10)</formula>
    </cfRule>
    <cfRule type="expression" dxfId="45" priority="982">
      <formula>AND($K624="x",CM624&gt;0)</formula>
    </cfRule>
  </conditionalFormatting>
  <conditionalFormatting sqref="CM646:CM657">
    <cfRule type="expression" dxfId="44" priority="939">
      <formula>AND($K646="x",CM646&gt;0)</formula>
    </cfRule>
    <cfRule type="expression" dxfId="43" priority="938">
      <formula>OR(CM646&gt;80,CM646&lt;10)</formula>
    </cfRule>
  </conditionalFormatting>
  <conditionalFormatting sqref="CM668:CM679">
    <cfRule type="expression" dxfId="42" priority="895">
      <formula>OR(CM668&gt;80,CM668&lt;10)</formula>
    </cfRule>
    <cfRule type="expression" dxfId="41" priority="896">
      <formula>AND($K668="x",CM668&gt;0)</formula>
    </cfRule>
  </conditionalFormatting>
  <conditionalFormatting sqref="CM690:CM701">
    <cfRule type="expression" dxfId="40" priority="852">
      <formula>OR(CM690&gt;80,CM690&lt;10)</formula>
    </cfRule>
    <cfRule type="expression" dxfId="39" priority="853">
      <formula>AND($K690="x",CM690&gt;0)</formula>
    </cfRule>
  </conditionalFormatting>
  <conditionalFormatting sqref="CM712:CM723">
    <cfRule type="expression" dxfId="38" priority="809">
      <formula>OR(CM712&gt;80,CM712&lt;10)</formula>
    </cfRule>
    <cfRule type="expression" dxfId="37" priority="810">
      <formula>AND($K712="x",CM712&gt;0)</formula>
    </cfRule>
  </conditionalFormatting>
  <conditionalFormatting sqref="CM734:CM745">
    <cfRule type="expression" dxfId="36" priority="766">
      <formula>OR(CM734&gt;80,CM734&lt;10)</formula>
    </cfRule>
    <cfRule type="expression" dxfId="35" priority="767">
      <formula>AND($K734="x",CM734&gt;0)</formula>
    </cfRule>
  </conditionalFormatting>
  <conditionalFormatting sqref="CM756:CM767">
    <cfRule type="expression" dxfId="34" priority="724">
      <formula>AND($K756="x",CM756&gt;0)</formula>
    </cfRule>
    <cfRule type="expression" dxfId="33" priority="723">
      <formula>OR(CM756&gt;80,CM756&lt;10)</formula>
    </cfRule>
  </conditionalFormatting>
  <conditionalFormatting sqref="CM778:CM789">
    <cfRule type="expression" dxfId="32" priority="681">
      <formula>AND($K778="x",CM778&gt;0)</formula>
    </cfRule>
    <cfRule type="expression" dxfId="31" priority="680">
      <formula>OR(CM778&gt;80,CM778&lt;10)</formula>
    </cfRule>
  </conditionalFormatting>
  <conditionalFormatting sqref="CM800:CM811">
    <cfRule type="expression" dxfId="30" priority="638">
      <formula>AND($K800="x",CM800&gt;0)</formula>
    </cfRule>
    <cfRule type="expression" dxfId="29" priority="637">
      <formula>OR(CM800&gt;80,CM800&lt;10)</formula>
    </cfRule>
  </conditionalFormatting>
  <conditionalFormatting sqref="CM822:CM833">
    <cfRule type="expression" dxfId="28" priority="595">
      <formula>AND($K822="x",CM822&gt;0)</formula>
    </cfRule>
    <cfRule type="expression" dxfId="27" priority="594">
      <formula>OR(CM822&gt;80,CM822&lt;10)</formula>
    </cfRule>
  </conditionalFormatting>
  <conditionalFormatting sqref="CM844:CM855">
    <cfRule type="expression" dxfId="26" priority="551">
      <formula>OR(CM844&gt;80,CM844&lt;10)</formula>
    </cfRule>
    <cfRule type="expression" dxfId="25" priority="552">
      <formula>AND($K844="x",CM844&gt;0)</formula>
    </cfRule>
  </conditionalFormatting>
  <conditionalFormatting sqref="CM866:CM877">
    <cfRule type="expression" dxfId="24" priority="508">
      <formula>OR(CM866&gt;80,CM866&lt;10)</formula>
    </cfRule>
    <cfRule type="expression" dxfId="23" priority="509">
      <formula>AND($K866="x",CM866&gt;0)</formula>
    </cfRule>
  </conditionalFormatting>
  <conditionalFormatting sqref="CM888:CM899">
    <cfRule type="expression" dxfId="22" priority="465">
      <formula>OR(CM888&gt;80,CM888&lt;10)</formula>
    </cfRule>
    <cfRule type="expression" dxfId="21" priority="466">
      <formula>AND($K888="x",CM888&gt;0)</formula>
    </cfRule>
  </conditionalFormatting>
  <printOptions horizontalCentered="1" verticalCentered="1"/>
  <pageMargins left="0.7" right="0.7" top="0.75" bottom="0.75" header="0.3" footer="0.3"/>
  <pageSetup paperSize="9" scale="67" fitToHeight="0" orientation="landscape" r:id="rId1"/>
  <headerFooter alignWithMargins="0"/>
  <rowBreaks count="1" manualBreakCount="1">
    <brk id="44"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51F8B-EF42-4302-B99D-149A866FFD79}">
  <dimension ref="A1:F10"/>
  <sheetViews>
    <sheetView tabSelected="1" workbookViewId="0">
      <selection sqref="A1:F10"/>
    </sheetView>
  </sheetViews>
  <sheetFormatPr baseColWidth="10" defaultRowHeight="12.75" x14ac:dyDescent="0.2"/>
  <sheetData>
    <row r="1" spans="1:6" x14ac:dyDescent="0.2">
      <c r="A1" t="s">
        <v>838</v>
      </c>
      <c r="B1" s="28" t="s">
        <v>16</v>
      </c>
      <c r="C1" s="28" t="s">
        <v>17</v>
      </c>
      <c r="D1" s="28" t="s">
        <v>18</v>
      </c>
      <c r="E1" s="28" t="s">
        <v>15</v>
      </c>
      <c r="F1" s="28" t="s">
        <v>449</v>
      </c>
    </row>
    <row r="2" spans="1:6" x14ac:dyDescent="0.2">
      <c r="A2" t="s">
        <v>20</v>
      </c>
      <c r="B2">
        <v>11530</v>
      </c>
      <c r="C2">
        <v>1170</v>
      </c>
      <c r="D2">
        <v>4720</v>
      </c>
      <c r="E2">
        <v>-100</v>
      </c>
      <c r="F2">
        <v>17320</v>
      </c>
    </row>
    <row r="3" spans="1:6" x14ac:dyDescent="0.2">
      <c r="A3" t="s">
        <v>23</v>
      </c>
      <c r="B3">
        <v>11240</v>
      </c>
      <c r="C3">
        <v>1000</v>
      </c>
      <c r="D3">
        <v>4860</v>
      </c>
      <c r="E3">
        <v>-50</v>
      </c>
      <c r="F3">
        <v>17050</v>
      </c>
    </row>
    <row r="4" spans="1:6" x14ac:dyDescent="0.2">
      <c r="A4" t="s">
        <v>26</v>
      </c>
      <c r="B4">
        <v>10530</v>
      </c>
      <c r="C4">
        <v>1420</v>
      </c>
      <c r="D4">
        <v>4670</v>
      </c>
      <c r="E4">
        <v>0</v>
      </c>
      <c r="F4">
        <v>16620</v>
      </c>
    </row>
    <row r="5" spans="1:6" x14ac:dyDescent="0.2">
      <c r="A5" t="s">
        <v>24</v>
      </c>
      <c r="B5">
        <v>8720</v>
      </c>
      <c r="C5">
        <v>1790</v>
      </c>
      <c r="D5">
        <v>5870</v>
      </c>
      <c r="E5">
        <v>-50</v>
      </c>
      <c r="F5">
        <v>16330</v>
      </c>
    </row>
    <row r="6" spans="1:6" x14ac:dyDescent="0.2">
      <c r="A6" t="s">
        <v>27</v>
      </c>
      <c r="B6">
        <v>9780</v>
      </c>
      <c r="C6">
        <v>1820</v>
      </c>
      <c r="D6">
        <v>4650</v>
      </c>
      <c r="E6">
        <v>0</v>
      </c>
      <c r="F6">
        <v>16250</v>
      </c>
    </row>
    <row r="7" spans="1:6" x14ac:dyDescent="0.2">
      <c r="A7" t="s">
        <v>22</v>
      </c>
      <c r="B7">
        <v>9190</v>
      </c>
      <c r="C7">
        <v>2200</v>
      </c>
      <c r="D7">
        <v>4890</v>
      </c>
      <c r="E7">
        <v>-50</v>
      </c>
      <c r="F7">
        <v>16230</v>
      </c>
    </row>
    <row r="8" spans="1:6" x14ac:dyDescent="0.2">
      <c r="A8" t="s">
        <v>21</v>
      </c>
      <c r="B8">
        <v>9790</v>
      </c>
      <c r="C8">
        <v>1890</v>
      </c>
      <c r="D8">
        <v>4240</v>
      </c>
      <c r="E8">
        <v>0</v>
      </c>
      <c r="F8">
        <v>15920</v>
      </c>
    </row>
    <row r="9" spans="1:6" x14ac:dyDescent="0.2">
      <c r="A9" t="s">
        <v>19</v>
      </c>
      <c r="B9">
        <v>9350</v>
      </c>
      <c r="C9">
        <v>2600</v>
      </c>
      <c r="D9">
        <v>3870</v>
      </c>
      <c r="E9">
        <v>0</v>
      </c>
      <c r="F9">
        <v>15820</v>
      </c>
    </row>
    <row r="10" spans="1:6" x14ac:dyDescent="0.2">
      <c r="A10" t="s">
        <v>25</v>
      </c>
      <c r="B10">
        <v>8680</v>
      </c>
      <c r="C10">
        <v>2190</v>
      </c>
      <c r="D10">
        <v>4560</v>
      </c>
      <c r="E10">
        <v>-500</v>
      </c>
      <c r="F10">
        <v>14930</v>
      </c>
    </row>
  </sheetData>
  <sortState xmlns:xlrd2="http://schemas.microsoft.com/office/spreadsheetml/2017/richdata2" ref="A2:F10">
    <sortCondition descending="1" ref="F2:F10"/>
    <sortCondition ref="A2:A10"/>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2CB82-68D5-4703-B848-DA0321F62BC0}">
  <sheetPr codeName="Ark13">
    <tabColor rgb="FF00B0F0"/>
    <pageSetUpPr autoPageBreaks="0"/>
  </sheetPr>
  <dimension ref="A1:GK42916"/>
  <sheetViews>
    <sheetView showGridLines="0" topLeftCell="A43" zoomScale="120" zoomScaleNormal="120" workbookViewId="0">
      <selection activeCell="D44" sqref="D44:H44"/>
    </sheetView>
  </sheetViews>
  <sheetFormatPr baseColWidth="10" defaultColWidth="6.42578125" defaultRowHeight="19.5" customHeight="1" x14ac:dyDescent="0.2"/>
  <cols>
    <col min="1" max="3" width="6.42578125" style="27"/>
    <col min="4" max="4" width="12.5703125" style="27" bestFit="1" customWidth="1"/>
    <col min="5" max="6" width="6.42578125" style="27"/>
    <col min="7" max="7" width="8.28515625" style="27" bestFit="1" customWidth="1"/>
    <col min="8" max="8" width="6.42578125" style="27"/>
    <col min="9" max="9" width="9.42578125" style="27" bestFit="1" customWidth="1"/>
    <col min="10" max="10" width="6.42578125" style="27"/>
    <col min="11" max="11" width="7.42578125" style="27" bestFit="1" customWidth="1"/>
    <col min="12" max="12" width="12.5703125" style="27" bestFit="1" customWidth="1"/>
    <col min="13" max="13" width="8.28515625" style="27" bestFit="1" customWidth="1"/>
    <col min="14" max="15" width="6.42578125" style="27"/>
    <col min="16" max="16" width="10" style="27" bestFit="1" customWidth="1"/>
    <col min="17" max="17" width="2.42578125" style="27" customWidth="1"/>
    <col min="18" max="18" width="8.28515625" style="27" customWidth="1"/>
    <col min="19" max="19" width="9.5703125" style="27" customWidth="1"/>
    <col min="20" max="20" width="8.28515625" style="27" customWidth="1"/>
    <col min="21" max="21" width="6.42578125" style="27"/>
    <col min="22" max="22" width="8" style="27" customWidth="1"/>
    <col min="23" max="23" width="7.5703125" style="27" customWidth="1"/>
    <col min="24" max="24" width="10.5703125" style="27" customWidth="1"/>
    <col min="25" max="25" width="9" style="27" customWidth="1"/>
    <col min="26" max="27" width="9.42578125" style="27" customWidth="1"/>
    <col min="28" max="29" width="8.28515625" style="27" customWidth="1"/>
    <col min="30" max="30" width="9.42578125" style="27" customWidth="1"/>
    <col min="31" max="31" width="6.42578125" style="27"/>
    <col min="32" max="32" width="9.42578125" style="27" bestFit="1" customWidth="1"/>
    <col min="33" max="33" width="6.42578125" style="27" customWidth="1"/>
    <col min="34" max="34" width="8.28515625" style="27" customWidth="1"/>
    <col min="35" max="35" width="7.5703125" style="27" customWidth="1"/>
    <col min="36" max="36" width="5.5703125" style="28" customWidth="1"/>
    <col min="37" max="37" width="7.42578125" style="29" customWidth="1"/>
    <col min="38" max="38" width="8.28515625" style="27" customWidth="1"/>
    <col min="39" max="40" width="6.5703125" style="27" customWidth="1"/>
    <col min="41" max="41" width="10" style="27" customWidth="1"/>
    <col min="42" max="42" width="2.42578125" style="27" customWidth="1"/>
    <col min="43" max="43" width="6.5703125" style="27" customWidth="1"/>
    <col min="44" max="44" width="12.42578125" style="603" bestFit="1" customWidth="1"/>
    <col min="45" max="45" width="6.5703125" style="611" customWidth="1"/>
    <col min="46" max="51" width="6.5703125" style="60" customWidth="1"/>
    <col min="52" max="52" width="9.42578125" style="28" customWidth="1"/>
    <col min="53" max="53" width="10.28515625" style="30" customWidth="1"/>
    <col min="54" max="54" width="1.7109375" style="30" customWidth="1"/>
    <col min="55" max="55" width="11.42578125" style="30" customWidth="1"/>
    <col min="56" max="56" width="6.42578125" style="27" customWidth="1"/>
    <col min="57" max="57" width="5.42578125" style="27" bestFit="1" customWidth="1"/>
    <col min="58" max="60" width="6.42578125" style="27"/>
    <col min="61" max="61" width="1.7109375" style="27" customWidth="1"/>
    <col min="62" max="63" width="5.42578125" style="27" customWidth="1"/>
    <col min="64" max="65" width="6.42578125" style="27" customWidth="1"/>
    <col min="66" max="69" width="6.42578125" style="27"/>
    <col min="70" max="74" width="6.42578125" style="27" customWidth="1"/>
    <col min="75" max="78" width="6.42578125" style="27"/>
    <col min="79" max="83" width="6.42578125" style="27" customWidth="1"/>
    <col min="84" max="87" width="6.42578125" style="27"/>
    <col min="88" max="92" width="6.42578125" style="27" customWidth="1"/>
    <col min="93" max="96" width="6.42578125" style="27"/>
    <col min="97" max="101" width="6.42578125" style="27" customWidth="1"/>
    <col min="102" max="16384" width="6.42578125" style="27"/>
  </cols>
  <sheetData>
    <row r="1" spans="1:193" s="31" customFormat="1" ht="12.75" x14ac:dyDescent="0.2">
      <c r="A1" s="27"/>
      <c r="B1" s="27"/>
      <c r="C1" s="27"/>
      <c r="D1" s="27"/>
      <c r="E1" s="27"/>
      <c r="F1" s="27"/>
      <c r="G1" s="27"/>
      <c r="H1" s="27"/>
      <c r="I1" s="27"/>
      <c r="J1" s="27"/>
      <c r="K1" s="27"/>
      <c r="L1" s="27"/>
      <c r="M1" s="27"/>
      <c r="N1" s="27"/>
      <c r="O1" s="27"/>
      <c r="P1" s="27"/>
      <c r="Q1" s="27"/>
      <c r="R1" s="27"/>
      <c r="S1" s="27"/>
      <c r="T1" s="27"/>
      <c r="U1" s="28"/>
      <c r="V1" s="29"/>
      <c r="W1" s="27"/>
      <c r="X1" s="27"/>
      <c r="Y1" s="27"/>
      <c r="Z1" s="27"/>
      <c r="AA1" s="27"/>
      <c r="AB1" s="27"/>
      <c r="AC1" s="28"/>
      <c r="AD1" s="29"/>
      <c r="AE1" s="27"/>
      <c r="AF1" s="27"/>
      <c r="AG1" s="27"/>
      <c r="AH1" s="27"/>
      <c r="AI1" s="27"/>
      <c r="AJ1" s="28"/>
      <c r="AK1" s="30"/>
      <c r="AL1" s="30"/>
      <c r="AM1" s="27"/>
      <c r="AN1" s="27"/>
      <c r="AO1" s="27"/>
      <c r="AP1" s="27"/>
      <c r="AQ1" s="27"/>
      <c r="AR1" s="603"/>
      <c r="AS1" s="611"/>
      <c r="AT1" s="60"/>
      <c r="AU1" s="60"/>
      <c r="AV1" s="60"/>
      <c r="AW1" s="60"/>
      <c r="AX1" s="60"/>
      <c r="AY1" s="60"/>
      <c r="AZ1" s="28"/>
      <c r="BA1" s="27"/>
      <c r="BB1" s="27"/>
      <c r="BC1" s="27"/>
      <c r="BD1" s="27"/>
      <c r="BE1" s="27"/>
      <c r="BF1" s="27"/>
      <c r="BG1" s="27"/>
      <c r="BH1" s="27"/>
      <c r="BI1" s="27"/>
      <c r="BJ1" s="27"/>
      <c r="BK1" s="27"/>
      <c r="BL1" s="27"/>
      <c r="BM1" s="27"/>
      <c r="BN1" s="27"/>
      <c r="BO1" s="27"/>
      <c r="BP1" s="27"/>
      <c r="BQ1" s="27"/>
      <c r="BR1" s="27"/>
      <c r="BS1" s="27"/>
      <c r="BT1" s="27"/>
      <c r="BU1" s="27"/>
      <c r="BV1" s="27"/>
      <c r="BW1" s="27"/>
      <c r="BX1" s="27"/>
      <c r="BY1" s="27"/>
      <c r="BZ1" s="27"/>
      <c r="CA1" s="27"/>
      <c r="CB1" s="27"/>
      <c r="CC1" s="27"/>
      <c r="CD1" s="27"/>
      <c r="CE1" s="27"/>
      <c r="CF1" s="27"/>
      <c r="CG1" s="27"/>
      <c r="CH1" s="27"/>
      <c r="CI1" s="27"/>
      <c r="CJ1" s="27"/>
      <c r="CK1" s="27"/>
      <c r="CL1" s="27"/>
      <c r="CM1" s="27"/>
      <c r="CN1" s="27"/>
      <c r="CO1" s="27"/>
      <c r="CP1" s="27"/>
      <c r="CQ1" s="27"/>
      <c r="CR1" s="27"/>
      <c r="CS1" s="27"/>
      <c r="CT1" s="27"/>
      <c r="CU1" s="27"/>
      <c r="CV1" s="27"/>
      <c r="CW1" s="27"/>
      <c r="CX1" s="27"/>
      <c r="CY1" s="27"/>
      <c r="CZ1" s="27"/>
      <c r="DA1" s="27"/>
      <c r="DB1" s="27"/>
      <c r="DC1" s="27"/>
      <c r="DD1" s="27"/>
      <c r="DE1" s="27"/>
      <c r="DF1" s="27"/>
      <c r="DG1" s="27"/>
      <c r="DH1" s="27"/>
      <c r="DI1" s="27"/>
      <c r="DJ1" s="27"/>
      <c r="DK1" s="27"/>
      <c r="DL1" s="27"/>
      <c r="DM1" s="27"/>
      <c r="DN1" s="27"/>
      <c r="DO1" s="27"/>
      <c r="DP1" s="27"/>
      <c r="DQ1" s="27"/>
      <c r="DR1" s="27"/>
      <c r="DS1" s="27"/>
      <c r="DT1" s="27"/>
      <c r="DU1" s="27"/>
      <c r="DV1" s="27"/>
      <c r="DW1" s="27"/>
      <c r="DX1" s="27"/>
      <c r="DY1" s="27"/>
      <c r="DZ1" s="27"/>
      <c r="EA1" s="27"/>
      <c r="EB1" s="27"/>
      <c r="EC1" s="27"/>
      <c r="ED1" s="27"/>
      <c r="EE1" s="27"/>
      <c r="EF1" s="27"/>
      <c r="EG1" s="27"/>
      <c r="EH1" s="27"/>
      <c r="EI1" s="27"/>
      <c r="EJ1" s="27"/>
      <c r="EK1" s="27"/>
      <c r="EL1" s="27"/>
      <c r="EM1" s="27"/>
      <c r="EN1" s="27"/>
      <c r="EO1" s="27"/>
      <c r="EP1" s="27"/>
      <c r="EQ1" s="27"/>
      <c r="ER1" s="27"/>
      <c r="ES1" s="27"/>
      <c r="ET1" s="27"/>
      <c r="EU1" s="27"/>
      <c r="EV1" s="27"/>
      <c r="EW1" s="27"/>
      <c r="EX1" s="27"/>
      <c r="EY1" s="27"/>
      <c r="EZ1" s="27"/>
      <c r="FA1" s="27"/>
      <c r="FB1" s="27"/>
      <c r="FC1" s="27"/>
      <c r="FD1" s="27"/>
      <c r="FE1" s="27"/>
      <c r="FF1" s="27"/>
      <c r="FG1" s="27"/>
      <c r="FH1" s="27"/>
      <c r="FI1" s="27"/>
      <c r="FJ1" s="27"/>
      <c r="FK1" s="27"/>
      <c r="FL1" s="27"/>
      <c r="FM1" s="27"/>
      <c r="FN1" s="27"/>
      <c r="FO1" s="27"/>
      <c r="FP1" s="27"/>
      <c r="FQ1" s="27"/>
      <c r="FR1" s="27"/>
      <c r="FS1" s="27"/>
      <c r="FT1" s="27"/>
      <c r="FU1" s="27"/>
      <c r="FV1" s="27"/>
      <c r="FW1" s="27"/>
      <c r="FX1" s="27"/>
      <c r="FY1" s="27"/>
      <c r="FZ1" s="27"/>
      <c r="GA1" s="27"/>
      <c r="GB1" s="27"/>
      <c r="GC1" s="27"/>
      <c r="GD1" s="27"/>
      <c r="GE1" s="27"/>
      <c r="GF1" s="27"/>
      <c r="GG1" s="27"/>
      <c r="GH1" s="27"/>
      <c r="GI1" s="27"/>
      <c r="GJ1" s="27"/>
      <c r="GK1" s="27"/>
    </row>
    <row r="2" spans="1:193" ht="12.75" x14ac:dyDescent="0.2">
      <c r="C2" s="62"/>
      <c r="N2" s="58"/>
      <c r="O2" s="34"/>
      <c r="P2" s="35"/>
      <c r="Q2" s="36"/>
      <c r="R2" s="37"/>
      <c r="S2" s="37"/>
      <c r="T2" s="38"/>
      <c r="U2" s="35"/>
      <c r="V2" s="39"/>
      <c r="W2" s="40"/>
      <c r="X2" s="40"/>
      <c r="Y2" s="38"/>
      <c r="Z2" s="41"/>
      <c r="AA2" s="41"/>
      <c r="AB2" s="42"/>
      <c r="AJ2" s="27"/>
      <c r="AK2" s="27"/>
      <c r="BA2" s="27"/>
      <c r="BB2" s="27"/>
      <c r="BC2" s="27"/>
    </row>
    <row r="3" spans="1:193" ht="18" x14ac:dyDescent="0.25">
      <c r="A3" s="43"/>
      <c r="C3" s="361"/>
      <c r="O3" s="46"/>
      <c r="P3" s="51"/>
      <c r="Q3" s="52"/>
      <c r="R3" s="53"/>
      <c r="S3" s="46"/>
      <c r="T3" s="46"/>
      <c r="U3" s="32"/>
      <c r="V3" s="52"/>
      <c r="W3" s="52"/>
      <c r="X3" s="53"/>
      <c r="Y3" s="46"/>
      <c r="Z3" s="46"/>
      <c r="AA3" s="54"/>
      <c r="AB3" s="41"/>
      <c r="AC3" s="41"/>
      <c r="AF3" s="29"/>
      <c r="AG3" s="448" t="s">
        <v>385</v>
      </c>
      <c r="AH3" s="448"/>
      <c r="AI3" s="709" t="s">
        <v>386</v>
      </c>
      <c r="AJ3" s="45"/>
      <c r="AK3" s="54"/>
      <c r="AL3" s="55"/>
      <c r="AM3" s="53"/>
      <c r="AQ3" s="62" t="s">
        <v>387</v>
      </c>
      <c r="BA3" s="62" t="s">
        <v>388</v>
      </c>
      <c r="BB3" s="27"/>
      <c r="BC3" s="27"/>
      <c r="BD3" s="671" t="str">
        <f>BA5</f>
        <v>AHH</v>
      </c>
      <c r="BE3" s="62" t="s">
        <v>389</v>
      </c>
      <c r="BJ3" s="671" t="str">
        <f>BA6</f>
        <v>KAF</v>
      </c>
      <c r="BK3" s="62" t="s">
        <v>390</v>
      </c>
      <c r="CT3" s="47"/>
      <c r="DJ3" s="48"/>
    </row>
    <row r="4" spans="1:193" ht="12.75" x14ac:dyDescent="0.2">
      <c r="A4" s="43"/>
      <c r="B4" s="49"/>
      <c r="C4" s="326" t="s">
        <v>391</v>
      </c>
      <c r="D4" s="334"/>
      <c r="E4" s="49"/>
      <c r="F4" s="49"/>
      <c r="G4" s="326" t="s">
        <v>41</v>
      </c>
      <c r="H4" s="334"/>
      <c r="I4" s="49"/>
      <c r="J4" s="49"/>
      <c r="K4" s="326" t="s">
        <v>392</v>
      </c>
      <c r="L4" s="360"/>
      <c r="M4" s="76"/>
      <c r="N4" s="49"/>
      <c r="O4" s="318" t="s">
        <v>7</v>
      </c>
      <c r="P4" s="321"/>
      <c r="Q4" s="81"/>
      <c r="R4" s="318" t="s">
        <v>8</v>
      </c>
      <c r="S4" s="321"/>
      <c r="T4" s="82"/>
      <c r="U4" s="81"/>
      <c r="V4" s="318" t="s">
        <v>9</v>
      </c>
      <c r="W4" s="321"/>
      <c r="X4" s="81"/>
      <c r="Y4" s="81"/>
      <c r="Z4" s="326" t="s">
        <v>5</v>
      </c>
      <c r="AA4" s="327" t="s">
        <v>393</v>
      </c>
      <c r="AB4" s="328" t="s">
        <v>394</v>
      </c>
      <c r="AD4" s="56"/>
      <c r="AE4" s="83"/>
      <c r="AF4" s="84"/>
      <c r="AG4" s="467">
        <v>4</v>
      </c>
      <c r="AH4" s="319" t="s">
        <v>395</v>
      </c>
      <c r="AI4" s="319" t="s">
        <v>396</v>
      </c>
      <c r="AJ4" s="319" t="s">
        <v>397</v>
      </c>
      <c r="AK4" s="319" t="s">
        <v>398</v>
      </c>
      <c r="AL4" s="599" t="s">
        <v>399</v>
      </c>
      <c r="AM4" s="600"/>
      <c r="AO4" s="624" t="s">
        <v>400</v>
      </c>
      <c r="AP4" s="696"/>
      <c r="AQ4" s="625" t="str">
        <f>f_ahh!A1</f>
        <v>Ukenr</v>
      </c>
      <c r="AR4" s="626" t="str">
        <f>f_ahh!B1</f>
        <v>Dato</v>
      </c>
      <c r="AS4" s="626" t="str">
        <f>f_ahh!C1</f>
        <v>hp</v>
      </c>
      <c r="AT4" s="626" t="str">
        <f>f_ahh!D1</f>
        <v>up</v>
      </c>
      <c r="AU4" s="626" t="str">
        <f>f_ahh!E1</f>
        <v>bp</v>
      </c>
      <c r="AV4" s="626" t="str">
        <f>f_ahh!F1</f>
        <v>straff</v>
      </c>
      <c r="AW4" s="626" t="str">
        <f>f_ahh!G1</f>
        <v>tp</v>
      </c>
      <c r="AX4" s="626" t="str">
        <f>f_ahh!H1</f>
        <v>Rank</v>
      </c>
      <c r="AY4" s="627" t="str">
        <f>f_ahh!I1</f>
        <v>endring</v>
      </c>
      <c r="AZ4" s="27"/>
      <c r="BA4" s="624" t="s">
        <v>400</v>
      </c>
      <c r="BB4" s="694"/>
      <c r="BC4" s="697" t="s">
        <v>401</v>
      </c>
      <c r="BD4" s="626" t="str">
        <f>f_ahh!C1</f>
        <v>hp</v>
      </c>
      <c r="BE4" s="626" t="str">
        <f>f_ahh!D1</f>
        <v>up</v>
      </c>
      <c r="BF4" s="626" t="str">
        <f>f_ahh!E1</f>
        <v>bp</v>
      </c>
      <c r="BG4" s="626" t="str">
        <f>f_ahh!F1</f>
        <v>straff</v>
      </c>
      <c r="BH4" s="653" t="str">
        <f>f_ahh!G1</f>
        <v>tp</v>
      </c>
      <c r="BJ4" s="625" t="str">
        <f>f_ahh!C1</f>
        <v>hp</v>
      </c>
      <c r="BK4" s="626" t="str">
        <f>f_ahh!D1</f>
        <v>up</v>
      </c>
      <c r="BL4" s="626" t="str">
        <f>f_ahh!E1</f>
        <v>bp</v>
      </c>
      <c r="BM4" s="626" t="str">
        <f>f_ahh!F1</f>
        <v>straff</v>
      </c>
      <c r="BN4" s="653" t="str">
        <f>f_ahh!G1</f>
        <v>tp</v>
      </c>
      <c r="CK4" s="49"/>
      <c r="CQ4" s="47"/>
      <c r="CR4" s="47"/>
      <c r="CT4" s="47"/>
      <c r="CU4" s="47"/>
      <c r="CV4" s="47"/>
    </row>
    <row r="5" spans="1:193" ht="13.5" thickBot="1" x14ac:dyDescent="0.25">
      <c r="A5" s="43"/>
      <c r="B5" s="49"/>
      <c r="C5" s="313" t="str">
        <f>Data!E11</f>
        <v>AHH</v>
      </c>
      <c r="D5" s="357">
        <f t="shared" ref="D5:D13" ca="1" si="0">_xlfn.AGGREGATE(4,6,INDIRECT("t_"&amp;C5&amp;"[tp]"))</f>
        <v>640</v>
      </c>
      <c r="E5" s="61"/>
      <c r="F5" s="61"/>
      <c r="G5" s="313" t="str">
        <f>Data!E19</f>
        <v>LEV</v>
      </c>
      <c r="H5" s="357">
        <f t="shared" ref="H5:H13" ca="1" si="1">_xlfn.AGGREGATE(5,6,INDIRECT("t_"&amp;G5&amp;"[tp]"))</f>
        <v>340</v>
      </c>
      <c r="I5" s="61"/>
      <c r="J5" s="61"/>
      <c r="K5" s="313" t="str">
        <f>Data!E17</f>
        <v>TOH</v>
      </c>
      <c r="L5" s="357">
        <f t="shared" ref="L5:L13" ca="1" si="2">COUNTIF(Uketapere,K5)</f>
        <v>10</v>
      </c>
      <c r="M5" s="61"/>
      <c r="N5" s="61"/>
      <c r="O5" s="313" t="str">
        <f>Data!E12</f>
        <v>RB</v>
      </c>
      <c r="P5" s="357">
        <f t="shared" ref="P5:P13" ca="1" si="3">SUMIF(INDIRECT("t_"&amp;O5&amp;"[hp]"),"&lt;&gt;#I/T")</f>
        <v>11530</v>
      </c>
      <c r="Q5" s="355"/>
      <c r="R5" s="325" t="str">
        <f>Data!E11</f>
        <v>AHH</v>
      </c>
      <c r="S5" s="322">
        <f t="shared" ref="S5:S13" ca="1" si="4">SUMIF(INDIRECT("t_"&amp;R5&amp;"[up]"),"&lt;&gt;#I/T")</f>
        <v>2600</v>
      </c>
      <c r="T5" s="61"/>
      <c r="U5" s="355"/>
      <c r="V5" s="325" t="str">
        <f>Data!E16</f>
        <v>JH</v>
      </c>
      <c r="W5" s="322">
        <f t="shared" ref="W5:W13" ca="1" si="5">SUMIF(INDIRECT("t_"&amp;V5&amp;"[bp]"),"&lt;&gt;#I/T")</f>
        <v>5870</v>
      </c>
      <c r="X5" s="61"/>
      <c r="Y5" s="355"/>
      <c r="Z5" s="329" t="str">
        <f>Data!E12</f>
        <v>RB</v>
      </c>
      <c r="AA5" s="930">
        <f t="shared" ref="AA5:AA13" ca="1" si="6">ABS((AB5/50)*-1)</f>
        <v>2</v>
      </c>
      <c r="AB5" s="929">
        <f t="shared" ref="AB5:AB13" ca="1" si="7">SUMIF(INDIRECT("t_"&amp;Z5&amp;"[straff]"),"&lt;&gt;#I/T")</f>
        <v>-100</v>
      </c>
      <c r="AC5" s="61"/>
      <c r="AD5" s="63"/>
      <c r="AE5" s="85"/>
      <c r="AF5" s="84"/>
      <c r="AG5" s="313" t="str">
        <f>Data!E11</f>
        <v>AHH</v>
      </c>
      <c r="AH5" s="314">
        <f ca="1">SUMIFS(t_ahh[hp],t_ahh[hp],"&lt;&gt;#I/T",t_ahh[Ukenr],Tabeller!$AG$4)</f>
        <v>190</v>
      </c>
      <c r="AI5" s="314">
        <f ca="1">SUMIFS(t_ahh[up],t_ahh[up],"&lt;&gt;#I/T",t_ahh[Ukenr],Tabeller!$AG$4)</f>
        <v>160</v>
      </c>
      <c r="AJ5" s="314">
        <f ca="1">SUMIFS(t_ahh[bp],t_ahh[bp],"&lt;&gt;#I/T",t_ahh[Ukenr],Tabeller!$AG$4)</f>
        <v>40</v>
      </c>
      <c r="AK5" s="314">
        <f ca="1">SUMIFS(t_ahh[tp],t_ahh[tp],"&lt;&gt;#I/T",t_ahh[Ukenr],Tabeller!$AG$4)</f>
        <v>390</v>
      </c>
      <c r="AL5" s="597">
        <f ca="1">IFERROR(IF($AG$4&lt;2,"",_xlfn.XLOOKUP($AG$4,t_ahh[Ukenr],t_ahh[endring])),"")</f>
        <v>-90</v>
      </c>
      <c r="AM5" s="594">
        <f ca="1">SUMIFS(INDIRECT("t_"&amp;AG5&amp;"[tp]"),INDIRECT("t_"&amp;AG5&amp;"[tp]"),"&lt;&gt;#I/T",INDIRECT("t_"&amp;AG5&amp;"[Ukenr]"),Tabeller!$AG$4)-SUMIFS(INDIRECT("t_"&amp;AG5&amp;"[tp]"),INDIRECT("t_"&amp;AG5&amp;"[tp]"),"&lt;&gt;#I/T",INDIRECT("t_"&amp;AG5&amp;"[Ukenr]"),Tabeller!$AG$4-1)</f>
        <v>-90</v>
      </c>
      <c r="AO5" s="623" t="s">
        <v>23</v>
      </c>
      <c r="AQ5" s="638" cm="1">
        <f t="array" aca="1" ref="AQ5:AY45" ca="1">INDIRECT("t_"&amp;$AO$5)</f>
        <v>1</v>
      </c>
      <c r="AR5" s="639">
        <f ca="1"/>
        <v>45885</v>
      </c>
      <c r="AS5" s="640">
        <f ca="1"/>
        <v>220</v>
      </c>
      <c r="AT5" s="640">
        <f ca="1"/>
        <v>20</v>
      </c>
      <c r="AU5" s="640">
        <f ca="1"/>
        <v>250</v>
      </c>
      <c r="AV5" s="640" t="str">
        <f ca="1"/>
        <v/>
      </c>
      <c r="AW5" s="640">
        <f ca="1"/>
        <v>490</v>
      </c>
      <c r="AX5" s="640">
        <f ca="1"/>
        <v>4</v>
      </c>
      <c r="AY5" s="641" t="str">
        <f ca="1"/>
        <v/>
      </c>
      <c r="AZ5" s="27"/>
      <c r="BA5" s="623" t="s">
        <v>19</v>
      </c>
      <c r="BB5" s="695"/>
      <c r="BC5" s="687">
        <f ca="1">AR5</f>
        <v>45885</v>
      </c>
      <c r="BD5" s="654" cm="1">
        <f t="array" aca="1" ref="BD5:BH45" ca="1">INDIRECT("t_"&amp;BA5&amp;"[[hp]:[tp]]")</f>
        <v>160</v>
      </c>
      <c r="BE5" s="640">
        <f ca="1"/>
        <v>30</v>
      </c>
      <c r="BF5" s="640">
        <f ca="1"/>
        <v>140</v>
      </c>
      <c r="BG5" s="640" t="str">
        <f ca="1"/>
        <v/>
      </c>
      <c r="BH5" s="655">
        <f ca="1"/>
        <v>330</v>
      </c>
      <c r="BJ5" s="654" cm="1">
        <f t="array" aca="1" ref="BJ5:BN45" ca="1">INDIRECT("t_"&amp;BA6&amp;"[[hp]:[tp]]")</f>
        <v>220</v>
      </c>
      <c r="BK5" s="640">
        <f ca="1"/>
        <v>50</v>
      </c>
      <c r="BL5" s="640">
        <f ca="1"/>
        <v>200</v>
      </c>
      <c r="BM5" s="640" t="str">
        <f ca="1"/>
        <v/>
      </c>
      <c r="BN5" s="655">
        <f ca="1"/>
        <v>470</v>
      </c>
      <c r="CK5" s="58"/>
      <c r="CL5" s="59"/>
      <c r="CM5" s="56"/>
      <c r="CN5" s="56"/>
      <c r="CQ5" s="47"/>
      <c r="CR5" s="47"/>
      <c r="CT5" s="47"/>
      <c r="CU5" s="47"/>
      <c r="CV5" s="47"/>
      <c r="DF5" s="60"/>
    </row>
    <row r="6" spans="1:193" ht="13.5" thickBot="1" x14ac:dyDescent="0.25">
      <c r="A6" s="43"/>
      <c r="B6" s="49"/>
      <c r="C6" s="313" t="str">
        <f>Data!E12</f>
        <v>RB</v>
      </c>
      <c r="D6" s="358">
        <f t="shared" ca="1" si="0"/>
        <v>750</v>
      </c>
      <c r="E6" s="61"/>
      <c r="F6" s="61"/>
      <c r="G6" s="313" t="str">
        <f>Data!E11</f>
        <v>AHH</v>
      </c>
      <c r="H6" s="358">
        <f t="shared" ca="1" si="1"/>
        <v>330</v>
      </c>
      <c r="I6" s="61"/>
      <c r="J6" s="61"/>
      <c r="K6" s="313" t="str">
        <f>Data!E11</f>
        <v>AHH</v>
      </c>
      <c r="L6" s="358">
        <f t="shared" ca="1" si="2"/>
        <v>6</v>
      </c>
      <c r="M6" s="61"/>
      <c r="N6" s="61"/>
      <c r="O6" s="313" t="str">
        <f>Data!E15</f>
        <v>ØG</v>
      </c>
      <c r="P6" s="358">
        <f t="shared" ca="1" si="3"/>
        <v>11240</v>
      </c>
      <c r="Q6" s="355"/>
      <c r="R6" s="313" t="str">
        <f>Data!E14</f>
        <v>KAF</v>
      </c>
      <c r="S6" s="323">
        <f t="shared" ca="1" si="4"/>
        <v>2200</v>
      </c>
      <c r="T6" s="61"/>
      <c r="U6" s="355"/>
      <c r="V6" s="313" t="str">
        <f>Data!E15</f>
        <v>ØG</v>
      </c>
      <c r="W6" s="323">
        <f t="shared" ca="1" si="5"/>
        <v>4860</v>
      </c>
      <c r="X6" s="61"/>
      <c r="Y6" s="355"/>
      <c r="Z6" s="330" t="str">
        <f>Data!E17</f>
        <v>TOH</v>
      </c>
      <c r="AA6" s="928">
        <f t="shared" ca="1" si="6"/>
        <v>10</v>
      </c>
      <c r="AB6" s="331">
        <f t="shared" ca="1" si="7"/>
        <v>-500</v>
      </c>
      <c r="AD6" s="63"/>
      <c r="AE6" s="85"/>
      <c r="AF6" s="84"/>
      <c r="AG6" s="313" t="str">
        <f>Data!E12</f>
        <v>RB</v>
      </c>
      <c r="AH6" s="315">
        <f ca="1">SUMIFS(t_rb[hp],t_rb[hp],"&lt;&gt;#I/T",t_rb[Ukenr],Tabeller!$AG$4)</f>
        <v>180</v>
      </c>
      <c r="AI6" s="315">
        <f ca="1">SUMIFS(t_rb[up],t_rb[up],"&lt;&gt;#I/T",t_rb[Ukenr],Tabeller!$AG$4)</f>
        <v>130</v>
      </c>
      <c r="AJ6" s="315">
        <f ca="1">SUMIFS(t_rb[bp],t_rb[bp],"&lt;&gt;#I/T",t_rb[Ukenr],Tabeller!$AG$4)</f>
        <v>20</v>
      </c>
      <c r="AK6" s="315">
        <f ca="1">SUMIFS(t_rb[tp],t_rb[tp],"&lt;&gt;#I/T",t_rb[Ukenr],Tabeller!$AG$4)</f>
        <v>330</v>
      </c>
      <c r="AL6" s="597">
        <f ca="1">IFERROR(IF($AG$4&lt;2,"",_xlfn.XLOOKUP($AG$4,t_rb[Ukenr],t_rb[Endring])),"")</f>
        <v>-70</v>
      </c>
      <c r="AM6" s="595">
        <f ca="1">SUMIFS(INDIRECT("t_"&amp;AG6&amp;"[tp]"),INDIRECT("t_"&amp;AG6&amp;"[tp]"),"&lt;&gt;#I/T",INDIRECT("t_"&amp;AG6&amp;"[Ukenr]"),Tabeller!$AG$4)-SUMIFS(INDIRECT("t_"&amp;AG6&amp;"[tp]"),INDIRECT("t_"&amp;AG6&amp;"[tp]"),"&lt;&gt;#I/T",INDIRECT("t_"&amp;AG6&amp;"[Ukenr]"),Tabeller!$AG$4-1)</f>
        <v>-70</v>
      </c>
      <c r="AN6" s="81"/>
      <c r="AO6" s="82"/>
      <c r="AP6" s="81"/>
      <c r="AQ6" s="642">
        <f ca="1"/>
        <v>2</v>
      </c>
      <c r="AR6" s="631">
        <f ca="1"/>
        <v>45892</v>
      </c>
      <c r="AS6" s="628">
        <f ca="1"/>
        <v>480</v>
      </c>
      <c r="AT6" s="628">
        <f ca="1"/>
        <v>30</v>
      </c>
      <c r="AU6" s="628">
        <f ca="1"/>
        <v>170</v>
      </c>
      <c r="AV6" s="628" t="str">
        <f ca="1"/>
        <v/>
      </c>
      <c r="AW6" s="628">
        <f ca="1"/>
        <v>680</v>
      </c>
      <c r="AX6" s="628">
        <f ca="1"/>
        <v>1</v>
      </c>
      <c r="AY6" s="643">
        <f ca="1"/>
        <v>190</v>
      </c>
      <c r="AZ6" s="27"/>
      <c r="BA6" s="623" t="s">
        <v>22</v>
      </c>
      <c r="BB6" s="695"/>
      <c r="BC6" s="688">
        <f t="shared" ref="BC6:BC45" ca="1" si="8">AR6</f>
        <v>45892</v>
      </c>
      <c r="BD6" s="656">
        <f ca="1"/>
        <v>340</v>
      </c>
      <c r="BE6" s="628">
        <f ca="1"/>
        <v>70</v>
      </c>
      <c r="BF6" s="628">
        <f ca="1"/>
        <v>120</v>
      </c>
      <c r="BG6" s="628" t="str">
        <f ca="1"/>
        <v/>
      </c>
      <c r="BH6" s="657">
        <f ca="1"/>
        <v>530</v>
      </c>
      <c r="BJ6" s="656">
        <f ca="1"/>
        <v>290</v>
      </c>
      <c r="BK6" s="628">
        <f ca="1"/>
        <v>80</v>
      </c>
      <c r="BL6" s="628">
        <f ca="1"/>
        <v>200</v>
      </c>
      <c r="BM6" s="628" t="str">
        <f ca="1"/>
        <v/>
      </c>
      <c r="BN6" s="657">
        <f ca="1"/>
        <v>570</v>
      </c>
      <c r="CK6" s="53"/>
      <c r="CL6" s="45"/>
      <c r="CM6" s="46"/>
      <c r="CN6" s="63"/>
      <c r="CO6" s="55"/>
      <c r="CQ6" s="47"/>
      <c r="CR6" s="47"/>
      <c r="CT6" s="47"/>
      <c r="CU6" s="47"/>
      <c r="CV6" s="47"/>
      <c r="DF6" s="961"/>
      <c r="DG6" s="961"/>
      <c r="DH6" s="902"/>
      <c r="DI6" s="902"/>
      <c r="DJ6" s="64"/>
      <c r="DK6" s="65"/>
      <c r="DL6" s="902"/>
      <c r="DM6" s="58"/>
    </row>
    <row r="7" spans="1:193" ht="13.5" thickBot="1" x14ac:dyDescent="0.25">
      <c r="A7" s="43"/>
      <c r="B7" s="49"/>
      <c r="C7" s="313" t="str">
        <f>Data!E13</f>
        <v>EB</v>
      </c>
      <c r="D7" s="358">
        <f t="shared" ca="1" si="0"/>
        <v>680</v>
      </c>
      <c r="E7" s="61"/>
      <c r="F7" s="61"/>
      <c r="G7" s="313" t="str">
        <f>Data!E18</f>
        <v>UTG</v>
      </c>
      <c r="H7" s="358">
        <f t="shared" ca="1" si="1"/>
        <v>310</v>
      </c>
      <c r="I7" s="61"/>
      <c r="J7" s="61"/>
      <c r="K7" s="313" t="str">
        <f>Data!E13</f>
        <v>EB</v>
      </c>
      <c r="L7" s="358">
        <f t="shared" ca="1" si="2"/>
        <v>6</v>
      </c>
      <c r="M7" s="61"/>
      <c r="N7" s="61"/>
      <c r="O7" s="313" t="str">
        <f>Data!E18</f>
        <v>UTG</v>
      </c>
      <c r="P7" s="358">
        <f t="shared" ca="1" si="3"/>
        <v>10530</v>
      </c>
      <c r="Q7" s="355"/>
      <c r="R7" s="313" t="str">
        <f>Data!E17</f>
        <v>TOH</v>
      </c>
      <c r="S7" s="323">
        <f t="shared" ca="1" si="4"/>
        <v>2190</v>
      </c>
      <c r="T7" s="61"/>
      <c r="U7" s="355"/>
      <c r="V7" s="313" t="str">
        <f>Data!E19</f>
        <v>LEV</v>
      </c>
      <c r="W7" s="323">
        <f t="shared" ca="1" si="5"/>
        <v>4650</v>
      </c>
      <c r="X7" s="61"/>
      <c r="Y7" s="355"/>
      <c r="Z7" s="330" t="str">
        <f>Data!E14</f>
        <v>KAF</v>
      </c>
      <c r="AA7" s="928">
        <f t="shared" ca="1" si="6"/>
        <v>1</v>
      </c>
      <c r="AB7" s="331">
        <f t="shared" ca="1" si="7"/>
        <v>-50</v>
      </c>
      <c r="AC7" s="61"/>
      <c r="AD7" s="63"/>
      <c r="AE7" s="85"/>
      <c r="AF7" s="84"/>
      <c r="AG7" s="313" t="str">
        <f>Data!E13</f>
        <v>EB</v>
      </c>
      <c r="AH7" s="315">
        <f ca="1">SUMIFS(t_eb[hp],t_eb[hp],"&lt;&gt;#I/T",t_eb[Ukenr],Tabeller!$AG$4)</f>
        <v>160</v>
      </c>
      <c r="AI7" s="315">
        <f ca="1">SUMIFS(t_eb[up],t_eb[up],"&lt;&gt;#I/T",t_eb[Ukenr],Tabeller!$AG$4)</f>
        <v>110</v>
      </c>
      <c r="AJ7" s="315">
        <f ca="1">SUMIFS(t_eb[bp],t_eb[bp],"&lt;&gt;#I/T",t_eb[Ukenr],Tabeller!$AG$4)</f>
        <v>20</v>
      </c>
      <c r="AK7" s="315">
        <f ca="1">SUMIFS(t_eb[tp],t_eb[tp],"&lt;&gt;#I/T",t_eb[Ukenr],Tabeller!$AG$4)</f>
        <v>290</v>
      </c>
      <c r="AL7" s="597">
        <f ca="1">IFERROR(IF($AG$4&lt;2,"",_xlfn.XLOOKUP($AG$4,t_eb[Ukenr],t_eb[Endring])),"")</f>
        <v>-160</v>
      </c>
      <c r="AM7" s="595">
        <f ca="1">SUMIFS(INDIRECT("t_"&amp;AG7&amp;"[tp]"),INDIRECT("t_"&amp;AG7&amp;"[tp]"),"&lt;&gt;#I/T",INDIRECT("t_"&amp;AG7&amp;"[Ukenr]"),Tabeller!$AG$4)-SUMIFS(INDIRECT("t_"&amp;AG7&amp;"[tp]"),INDIRECT("t_"&amp;AG7&amp;"[tp]"),"&lt;&gt;#I/T",INDIRECT("t_"&amp;AG7&amp;"[Ukenr]"),Tabeller!$AG$4-1)</f>
        <v>-160</v>
      </c>
      <c r="AN7" s="54"/>
      <c r="AO7" s="55"/>
      <c r="AP7" s="53"/>
      <c r="AQ7" s="642">
        <f ca="1"/>
        <v>3</v>
      </c>
      <c r="AR7" s="632">
        <f ca="1"/>
        <v>45920</v>
      </c>
      <c r="AS7" s="630">
        <f ca="1"/>
        <v>250</v>
      </c>
      <c r="AT7" s="630">
        <f ca="1"/>
        <v>30</v>
      </c>
      <c r="AU7" s="630">
        <f ca="1"/>
        <v>120</v>
      </c>
      <c r="AV7" s="630" t="str">
        <f ca="1"/>
        <v/>
      </c>
      <c r="AW7" s="630">
        <f ca="1"/>
        <v>400</v>
      </c>
      <c r="AX7" s="628">
        <f ca="1"/>
        <v>8</v>
      </c>
      <c r="AY7" s="643">
        <f ca="1"/>
        <v>-280</v>
      </c>
      <c r="AZ7" s="27"/>
      <c r="BA7" s="27"/>
      <c r="BB7" s="27"/>
      <c r="BC7" s="689">
        <f t="shared" ca="1" si="8"/>
        <v>45920</v>
      </c>
      <c r="BD7" s="658">
        <f ca="1"/>
        <v>240</v>
      </c>
      <c r="BE7" s="630">
        <f ca="1"/>
        <v>90</v>
      </c>
      <c r="BF7" s="630">
        <f ca="1"/>
        <v>150</v>
      </c>
      <c r="BG7" s="630" t="str">
        <f ca="1"/>
        <v/>
      </c>
      <c r="BH7" s="659">
        <f ca="1"/>
        <v>480</v>
      </c>
      <c r="BJ7" s="658">
        <f ca="1"/>
        <v>250</v>
      </c>
      <c r="BK7" s="630">
        <f ca="1"/>
        <v>60</v>
      </c>
      <c r="BL7" s="630">
        <f ca="1"/>
        <v>200</v>
      </c>
      <c r="BM7" s="630" t="str">
        <f ca="1"/>
        <v/>
      </c>
      <c r="BN7" s="659">
        <f ca="1"/>
        <v>510</v>
      </c>
      <c r="CK7" s="53"/>
      <c r="CL7" s="45"/>
      <c r="CM7" s="46"/>
      <c r="CN7" s="63"/>
      <c r="CO7" s="55"/>
      <c r="CQ7" s="47"/>
      <c r="CR7" s="47"/>
      <c r="CT7" s="47"/>
      <c r="CU7" s="47"/>
      <c r="CV7" s="47"/>
      <c r="DF7" s="53"/>
      <c r="DG7" s="45"/>
      <c r="DH7" s="63"/>
      <c r="DI7" s="66"/>
      <c r="DJ7" s="67"/>
      <c r="DK7" s="67"/>
      <c r="DL7" s="67"/>
      <c r="DM7" s="68"/>
    </row>
    <row r="8" spans="1:193" ht="13.5" thickBot="1" x14ac:dyDescent="0.25">
      <c r="A8" s="43"/>
      <c r="B8" s="49"/>
      <c r="C8" s="313" t="str">
        <f>Data!E14</f>
        <v>KAF</v>
      </c>
      <c r="D8" s="358">
        <f t="shared" ca="1" si="0"/>
        <v>640</v>
      </c>
      <c r="E8" s="61"/>
      <c r="F8" s="61"/>
      <c r="G8" s="313" t="str">
        <f>Data!E13</f>
        <v>EB</v>
      </c>
      <c r="H8" s="358">
        <f t="shared" ca="1" si="1"/>
        <v>290</v>
      </c>
      <c r="I8" s="61"/>
      <c r="J8" s="61"/>
      <c r="K8" s="313" t="str">
        <f>Data!E14</f>
        <v>KAF</v>
      </c>
      <c r="L8" s="358">
        <f t="shared" ca="1" si="2"/>
        <v>4</v>
      </c>
      <c r="M8" s="61"/>
      <c r="N8" s="61"/>
      <c r="O8" s="313" t="str">
        <f>Data!E13</f>
        <v>EB</v>
      </c>
      <c r="P8" s="358">
        <f t="shared" ca="1" si="3"/>
        <v>9790</v>
      </c>
      <c r="Q8" s="355"/>
      <c r="R8" s="313" t="str">
        <f>Data!E13</f>
        <v>EB</v>
      </c>
      <c r="S8" s="323">
        <f t="shared" ca="1" si="4"/>
        <v>1890</v>
      </c>
      <c r="T8" s="61"/>
      <c r="U8" s="355"/>
      <c r="V8" s="313" t="str">
        <f>Data!E14</f>
        <v>KAF</v>
      </c>
      <c r="W8" s="323">
        <f t="shared" ca="1" si="5"/>
        <v>4890</v>
      </c>
      <c r="X8" s="61"/>
      <c r="Y8" s="355"/>
      <c r="Z8" s="330" t="str">
        <f>Data!E11</f>
        <v>AHH</v>
      </c>
      <c r="AA8" s="928">
        <f t="shared" ca="1" si="6"/>
        <v>0</v>
      </c>
      <c r="AB8" s="331">
        <f t="shared" ca="1" si="7"/>
        <v>0</v>
      </c>
      <c r="AC8" s="61"/>
      <c r="AD8" s="63"/>
      <c r="AE8" s="85"/>
      <c r="AF8" s="86"/>
      <c r="AG8" s="313" t="str">
        <f>Data!E14</f>
        <v>KAF</v>
      </c>
      <c r="AH8" s="315">
        <f ca="1">SUMIFS(t_kaf[hp],t_kaf[hp],"&lt;&gt;#I/T",t_kaf[Ukenr],Tabeller!$AG$4)</f>
        <v>160</v>
      </c>
      <c r="AI8" s="315">
        <f ca="1">SUMIFS(t_kaf[up],t_kaf[up],"&lt;&gt;#I/T",t_kaf[Ukenr],Tabeller!$AG$4)</f>
        <v>150</v>
      </c>
      <c r="AJ8" s="315">
        <f ca="1">SUMIFS(t_kaf[bp],t_kaf[bp],"&lt;&gt;#I/T",t_kaf[Ukenr],Tabeller!$AG$4)</f>
        <v>70</v>
      </c>
      <c r="AK8" s="315">
        <f ca="1">SUMIFS(t_kaf[tp],t_kaf[tp],"&lt;&gt;#I/T",t_kaf[Ukenr],Tabeller!$AG$4)</f>
        <v>380</v>
      </c>
      <c r="AL8" s="597">
        <f ca="1">IFERROR(IF($AG$4&lt;2,"",_xlfn.XLOOKUP($AG$4,t_kaf[Ukenr],t_kaf[Endring])),"")</f>
        <v>-130</v>
      </c>
      <c r="AM8" s="595">
        <f ca="1">SUMIFS(INDIRECT("t_"&amp;AG8&amp;"[tp]"),INDIRECT("t_"&amp;AG8&amp;"[tp]"),"&lt;&gt;#I/T",INDIRECT("t_"&amp;AG8&amp;"[Ukenr]"),Tabeller!$AG$4)-SUMIFS(INDIRECT("t_"&amp;AG8&amp;"[tp]"),INDIRECT("t_"&amp;AG8&amp;"[tp]"),"&lt;&gt;#I/T",INDIRECT("t_"&amp;AG8&amp;"[Ukenr]"),Tabeller!$AG$4-1)</f>
        <v>-130</v>
      </c>
      <c r="AN8" s="57"/>
      <c r="AO8" s="55"/>
      <c r="AP8" s="58"/>
      <c r="AQ8" s="642">
        <f ca="1"/>
        <v>4</v>
      </c>
      <c r="AR8" s="631">
        <f ca="1"/>
        <v>45927</v>
      </c>
      <c r="AS8" s="633">
        <f ca="1"/>
        <v>180</v>
      </c>
      <c r="AT8" s="633">
        <f ca="1"/>
        <v>110</v>
      </c>
      <c r="AU8" s="633">
        <f ca="1"/>
        <v>20</v>
      </c>
      <c r="AV8" s="633" t="str">
        <f ca="1"/>
        <v/>
      </c>
      <c r="AW8" s="630">
        <f ca="1"/>
        <v>310</v>
      </c>
      <c r="AX8" s="628">
        <f ca="1"/>
        <v>7</v>
      </c>
      <c r="AY8" s="643">
        <f ca="1"/>
        <v>-90</v>
      </c>
      <c r="AZ8" s="27"/>
      <c r="BA8" s="27"/>
      <c r="BB8" s="27"/>
      <c r="BC8" s="690">
        <f t="shared" ca="1" si="8"/>
        <v>45927</v>
      </c>
      <c r="BD8" s="660">
        <f ca="1"/>
        <v>190</v>
      </c>
      <c r="BE8" s="633">
        <f ca="1"/>
        <v>160</v>
      </c>
      <c r="BF8" s="633">
        <f ca="1"/>
        <v>40</v>
      </c>
      <c r="BG8" s="633" t="str">
        <f ca="1"/>
        <v/>
      </c>
      <c r="BH8" s="659">
        <f ca="1"/>
        <v>390</v>
      </c>
      <c r="BJ8" s="660">
        <f ca="1"/>
        <v>160</v>
      </c>
      <c r="BK8" s="633">
        <f ca="1"/>
        <v>150</v>
      </c>
      <c r="BL8" s="633">
        <f ca="1"/>
        <v>70</v>
      </c>
      <c r="BM8" s="633" t="str">
        <f ca="1"/>
        <v/>
      </c>
      <c r="BN8" s="659">
        <f ca="1"/>
        <v>380</v>
      </c>
      <c r="CK8" s="69"/>
      <c r="CL8" s="45"/>
      <c r="CM8" s="46"/>
      <c r="CN8" s="63"/>
      <c r="CO8" s="55"/>
      <c r="CQ8" s="47"/>
      <c r="CR8" s="47"/>
      <c r="CT8" s="47"/>
      <c r="CU8" s="47"/>
      <c r="CV8" s="47"/>
      <c r="DF8" s="53"/>
      <c r="DG8" s="45"/>
      <c r="DH8" s="63"/>
      <c r="DI8" s="66"/>
      <c r="DJ8" s="67"/>
      <c r="DK8" s="67"/>
      <c r="DL8" s="67"/>
      <c r="DM8" s="68"/>
    </row>
    <row r="9" spans="1:193" ht="13.5" thickBot="1" x14ac:dyDescent="0.25">
      <c r="A9" s="43"/>
      <c r="B9" s="49"/>
      <c r="C9" s="313" t="str">
        <f>Data!E15</f>
        <v>ØG</v>
      </c>
      <c r="D9" s="358">
        <f t="shared" ca="1" si="0"/>
        <v>820</v>
      </c>
      <c r="E9" s="61"/>
      <c r="F9" s="61"/>
      <c r="G9" s="313" t="str">
        <f>Data!E16</f>
        <v>JH</v>
      </c>
      <c r="H9" s="358">
        <f t="shared" ca="1" si="1"/>
        <v>280</v>
      </c>
      <c r="I9" s="61"/>
      <c r="J9" s="61"/>
      <c r="K9" s="313" t="str">
        <f>Data!E16</f>
        <v>JH</v>
      </c>
      <c r="L9" s="358">
        <f t="shared" ca="1" si="2"/>
        <v>4</v>
      </c>
      <c r="M9" s="61"/>
      <c r="N9" s="61"/>
      <c r="O9" s="313" t="str">
        <f>Data!E19</f>
        <v>LEV</v>
      </c>
      <c r="P9" s="358">
        <f t="shared" ca="1" si="3"/>
        <v>9780</v>
      </c>
      <c r="Q9" s="355"/>
      <c r="R9" s="313" t="str">
        <f>Data!E19</f>
        <v>LEV</v>
      </c>
      <c r="S9" s="323">
        <f t="shared" ca="1" si="4"/>
        <v>1820</v>
      </c>
      <c r="T9" s="61"/>
      <c r="U9" s="355"/>
      <c r="V9" s="313" t="str">
        <f>Data!E17</f>
        <v>TOH</v>
      </c>
      <c r="W9" s="323">
        <f t="shared" ca="1" si="5"/>
        <v>4560</v>
      </c>
      <c r="X9" s="61"/>
      <c r="Y9" s="355"/>
      <c r="Z9" s="330" t="str">
        <f>Data!E13</f>
        <v>EB</v>
      </c>
      <c r="AA9" s="928">
        <f t="shared" ca="1" si="6"/>
        <v>0</v>
      </c>
      <c r="AB9" s="331">
        <f t="shared" ca="1" si="7"/>
        <v>0</v>
      </c>
      <c r="AC9" s="61"/>
      <c r="AD9" s="63"/>
      <c r="AE9" s="85"/>
      <c r="AF9" s="84"/>
      <c r="AG9" s="313" t="str">
        <f>Data!E15</f>
        <v>ØG</v>
      </c>
      <c r="AH9" s="315">
        <f ca="1">SUMIFS(t_øg[hp],t_øg[hp],"&lt;&gt;#I/T",t_øg[Ukenr],Tabeller!$AG$4)</f>
        <v>180</v>
      </c>
      <c r="AI9" s="315">
        <f ca="1">SUMIFS(t_øg[up],t_øg[up],"&lt;&gt;#I/T",t_øg[Ukenr],Tabeller!$AG$4)</f>
        <v>110</v>
      </c>
      <c r="AJ9" s="315">
        <f ca="1">SUMIFS(t_øg[bp],t_øg[bp],"&lt;&gt;#I/T",t_øg[Ukenr],Tabeller!$AG$4)</f>
        <v>20</v>
      </c>
      <c r="AK9" s="315">
        <f ca="1">SUMIFS(t_øg[tp],t_øg[tp],"&lt;&gt;#I/T",t_øg[Ukenr],Tabeller!$AG$4)</f>
        <v>310</v>
      </c>
      <c r="AL9" s="597">
        <f ca="1">IFERROR(IF($AG$4&lt;2,"",_xlfn.XLOOKUP($AG$4,t_øg[Ukenr],t_øg[Endring])),"")</f>
        <v>-90</v>
      </c>
      <c r="AM9" s="595">
        <f ca="1">SUMIFS(INDIRECT("t_"&amp;AG9&amp;"[tp]"),INDIRECT("t_"&amp;AG9&amp;"[tp]"),"&lt;&gt;#I/T",INDIRECT("t_"&amp;AG9&amp;"[Ukenr]"),Tabeller!$AG$4)-SUMIFS(INDIRECT("t_"&amp;AG9&amp;"[tp]"),INDIRECT("t_"&amp;AG9&amp;"[tp]"),"&lt;&gt;#I/T",INDIRECT("t_"&amp;AG9&amp;"[Ukenr]"),Tabeller!$AG$4-1)</f>
        <v>-90</v>
      </c>
      <c r="AN9" s="54"/>
      <c r="AO9" s="55"/>
      <c r="AP9" s="53"/>
      <c r="AQ9" s="642">
        <f ca="1"/>
        <v>5</v>
      </c>
      <c r="AR9" s="632">
        <f ca="1"/>
        <v>45934</v>
      </c>
      <c r="AS9" s="630">
        <f ca="1"/>
        <v>570</v>
      </c>
      <c r="AT9" s="630">
        <f ca="1"/>
        <v>10</v>
      </c>
      <c r="AU9" s="630">
        <f ca="1"/>
        <v>70</v>
      </c>
      <c r="AV9" s="630" t="str">
        <f ca="1"/>
        <v/>
      </c>
      <c r="AW9" s="630">
        <f ca="1"/>
        <v>650</v>
      </c>
      <c r="AX9" s="628">
        <f ca="1"/>
        <v>5</v>
      </c>
      <c r="AY9" s="643">
        <f ca="1"/>
        <v>340</v>
      </c>
      <c r="AZ9" s="27"/>
      <c r="BA9" s="27"/>
      <c r="BB9" s="27"/>
      <c r="BC9" s="689">
        <f t="shared" ca="1" si="8"/>
        <v>45934</v>
      </c>
      <c r="BD9" s="658">
        <f ca="1"/>
        <v>520</v>
      </c>
      <c r="BE9" s="630">
        <f ca="1"/>
        <v>30</v>
      </c>
      <c r="BF9" s="630">
        <f ca="1"/>
        <v>90</v>
      </c>
      <c r="BG9" s="630" t="str">
        <f ca="1"/>
        <v/>
      </c>
      <c r="BH9" s="659">
        <f ca="1"/>
        <v>640</v>
      </c>
      <c r="BJ9" s="658">
        <f ca="1"/>
        <v>540</v>
      </c>
      <c r="BK9" s="630">
        <f ca="1"/>
        <v>30</v>
      </c>
      <c r="BL9" s="630">
        <f ca="1"/>
        <v>60</v>
      </c>
      <c r="BM9" s="630">
        <f ca="1"/>
        <v>-50</v>
      </c>
      <c r="BN9" s="659">
        <f ca="1"/>
        <v>580</v>
      </c>
      <c r="CK9" s="53"/>
      <c r="CL9" s="45"/>
      <c r="CM9" s="46"/>
      <c r="CN9" s="63"/>
      <c r="CO9" s="55"/>
      <c r="CQ9" s="47"/>
      <c r="CR9" s="47"/>
      <c r="CT9" s="47"/>
      <c r="CU9" s="47"/>
      <c r="CV9" s="47"/>
      <c r="DF9" s="69"/>
      <c r="DG9" s="45"/>
      <c r="DH9" s="63"/>
      <c r="DI9" s="66"/>
      <c r="DJ9" s="70"/>
      <c r="DK9" s="70"/>
      <c r="DL9" s="70"/>
      <c r="DM9" s="71"/>
    </row>
    <row r="10" spans="1:193" ht="13.5" thickBot="1" x14ac:dyDescent="0.25">
      <c r="A10" s="43"/>
      <c r="B10" s="49"/>
      <c r="C10" s="313" t="str">
        <f>Data!E16</f>
        <v>JH</v>
      </c>
      <c r="D10" s="358">
        <f t="shared" ca="1" si="0"/>
        <v>730</v>
      </c>
      <c r="E10" s="61"/>
      <c r="F10" s="61"/>
      <c r="G10" s="313" t="str">
        <f>Data!E15</f>
        <v>ØG</v>
      </c>
      <c r="H10" s="358">
        <f t="shared" ca="1" si="1"/>
        <v>270</v>
      </c>
      <c r="I10" s="61"/>
      <c r="J10" s="61"/>
      <c r="K10" s="313" t="str">
        <f>Data!E15</f>
        <v>ØG</v>
      </c>
      <c r="L10" s="358">
        <f t="shared" ca="1" si="2"/>
        <v>3</v>
      </c>
      <c r="M10" s="61"/>
      <c r="N10" s="61"/>
      <c r="O10" s="313" t="str">
        <f>Data!E11</f>
        <v>AHH</v>
      </c>
      <c r="P10" s="358">
        <f t="shared" ca="1" si="3"/>
        <v>9350</v>
      </c>
      <c r="Q10" s="355"/>
      <c r="R10" s="313" t="str">
        <f>Data!E16</f>
        <v>JH</v>
      </c>
      <c r="S10" s="323">
        <f t="shared" ca="1" si="4"/>
        <v>1790</v>
      </c>
      <c r="T10" s="61"/>
      <c r="U10" s="355"/>
      <c r="V10" s="313" t="str">
        <f>Data!E18</f>
        <v>UTG</v>
      </c>
      <c r="W10" s="323">
        <f t="shared" ca="1" si="5"/>
        <v>4670</v>
      </c>
      <c r="X10" s="61"/>
      <c r="Y10" s="355"/>
      <c r="Z10" s="332" t="str">
        <f>Data!E15</f>
        <v>ØG</v>
      </c>
      <c r="AA10" s="932">
        <f t="shared" ca="1" si="6"/>
        <v>1</v>
      </c>
      <c r="AB10" s="331">
        <f t="shared" ca="1" si="7"/>
        <v>-50</v>
      </c>
      <c r="AC10" s="61"/>
      <c r="AD10" s="46"/>
      <c r="AE10" s="85"/>
      <c r="AF10" s="84"/>
      <c r="AG10" s="313" t="str">
        <f>Data!E16</f>
        <v>JH</v>
      </c>
      <c r="AH10" s="315">
        <f ca="1">SUMIFS(t_jh[hp],t_jh[hp],"&lt;&gt;#I/T",t_jh[Ukenr],Tabeller!$AG$4)</f>
        <v>130</v>
      </c>
      <c r="AI10" s="315">
        <f ca="1">SUMIFS(t_jh[up],t_jh[up],"&lt;&gt;#I/T",t_jh[Ukenr],Tabeller!$AG$4)</f>
        <v>120</v>
      </c>
      <c r="AJ10" s="315">
        <f ca="1">SUMIFS(t_jh[bp],t_jh[bp],"&lt;&gt;#I/T",t_jh[Ukenr],Tabeller!$AG$4)</f>
        <v>70</v>
      </c>
      <c r="AK10" s="315">
        <f ca="1">SUMIFS(t_jh[tp],t_jh[tp],"&lt;&gt;#I/T",t_jh[Ukenr],Tabeller!$AG$4)</f>
        <v>320</v>
      </c>
      <c r="AL10" s="597">
        <f ca="1">IFERROR(IF($AG$4&lt;2,"",_xlfn.XLOOKUP($AG$4,t_jh[Ukenr],t_jh[Endring])),"")</f>
        <v>-270</v>
      </c>
      <c r="AM10" s="595">
        <f ca="1">SUMIFS(INDIRECT("t_"&amp;AG10&amp;"[tp]"),INDIRECT("t_"&amp;AG10&amp;"[tp]"),"&lt;&gt;#I/T",INDIRECT("t_"&amp;AG10&amp;"[Ukenr]"),Tabeller!$AG$4)-SUMIFS(INDIRECT("t_"&amp;AG10&amp;"[tp]"),INDIRECT("t_"&amp;AG10&amp;"[tp]"),"&lt;&gt;#I/T",INDIRECT("t_"&amp;AG10&amp;"[Ukenr]"),Tabeller!$AG$4-1)</f>
        <v>-270</v>
      </c>
      <c r="AN10" s="54"/>
      <c r="AO10" s="55"/>
      <c r="AP10" s="53"/>
      <c r="AQ10" s="642">
        <f ca="1"/>
        <v>6</v>
      </c>
      <c r="AR10" s="632">
        <f ca="1"/>
        <v>45941</v>
      </c>
      <c r="AS10" s="630">
        <f ca="1"/>
        <v>410</v>
      </c>
      <c r="AT10" s="630">
        <f ca="1"/>
        <v>10</v>
      </c>
      <c r="AU10" s="630">
        <f ca="1"/>
        <v>260</v>
      </c>
      <c r="AV10" s="630" t="str">
        <f ca="1"/>
        <v/>
      </c>
      <c r="AW10" s="634">
        <f ca="1"/>
        <v>680</v>
      </c>
      <c r="AX10" s="628">
        <f ca="1"/>
        <v>1</v>
      </c>
      <c r="AY10" s="643">
        <f ca="1"/>
        <v>30</v>
      </c>
      <c r="AZ10" s="27"/>
      <c r="BA10" s="27"/>
      <c r="BB10" s="27"/>
      <c r="BC10" s="689">
        <f t="shared" ca="1" si="8"/>
        <v>45941</v>
      </c>
      <c r="BD10" s="658">
        <f ca="1"/>
        <v>380</v>
      </c>
      <c r="BE10" s="630">
        <f ca="1"/>
        <v>20</v>
      </c>
      <c r="BF10" s="630">
        <f ca="1"/>
        <v>210</v>
      </c>
      <c r="BG10" s="630" t="str">
        <f ca="1"/>
        <v/>
      </c>
      <c r="BH10" s="661">
        <f ca="1"/>
        <v>610</v>
      </c>
      <c r="BJ10" s="658">
        <f ca="1"/>
        <v>390</v>
      </c>
      <c r="BK10" s="630">
        <f ca="1"/>
        <v>30</v>
      </c>
      <c r="BL10" s="630">
        <f ca="1"/>
        <v>210</v>
      </c>
      <c r="BM10" s="630" t="str">
        <f ca="1"/>
        <v/>
      </c>
      <c r="BN10" s="661">
        <f ca="1"/>
        <v>630</v>
      </c>
      <c r="CK10" s="53"/>
      <c r="CL10" s="45"/>
      <c r="CM10" s="46"/>
      <c r="CN10" s="46"/>
      <c r="CO10" s="55"/>
      <c r="CQ10" s="47"/>
      <c r="CR10" s="47"/>
      <c r="CT10" s="47"/>
      <c r="CU10" s="47"/>
      <c r="CV10" s="47"/>
      <c r="DF10" s="53"/>
      <c r="DG10" s="45"/>
      <c r="DH10" s="46"/>
      <c r="DI10" s="66"/>
      <c r="DJ10" s="67"/>
      <c r="DK10" s="67"/>
      <c r="DL10" s="67"/>
      <c r="DM10" s="68"/>
    </row>
    <row r="11" spans="1:193" ht="13.5" thickBot="1" x14ac:dyDescent="0.25">
      <c r="A11" s="43"/>
      <c r="B11" s="49"/>
      <c r="C11" s="313" t="str">
        <f>Data!E17</f>
        <v>TOH</v>
      </c>
      <c r="D11" s="358">
        <f t="shared" ca="1" si="0"/>
        <v>620</v>
      </c>
      <c r="E11" s="61"/>
      <c r="F11" s="61"/>
      <c r="G11" s="313" t="str">
        <f>Data!E12</f>
        <v>RB</v>
      </c>
      <c r="H11" s="358">
        <f t="shared" ca="1" si="1"/>
        <v>260</v>
      </c>
      <c r="I11" s="61"/>
      <c r="J11" s="61"/>
      <c r="K11" s="313" t="str">
        <f>Data!E12</f>
        <v>RB</v>
      </c>
      <c r="L11" s="358">
        <f t="shared" ca="1" si="2"/>
        <v>2</v>
      </c>
      <c r="M11" s="61"/>
      <c r="N11" s="61"/>
      <c r="O11" s="313" t="str">
        <f>Data!E14</f>
        <v>KAF</v>
      </c>
      <c r="P11" s="358">
        <f t="shared" ca="1" si="3"/>
        <v>9190</v>
      </c>
      <c r="Q11" s="355"/>
      <c r="R11" s="313" t="str">
        <f>Data!E12</f>
        <v>RB</v>
      </c>
      <c r="S11" s="323">
        <f t="shared" ca="1" si="4"/>
        <v>1170</v>
      </c>
      <c r="T11" s="61"/>
      <c r="U11" s="355"/>
      <c r="V11" s="313" t="str">
        <f>Data!E12</f>
        <v>RB</v>
      </c>
      <c r="W11" s="323">
        <f t="shared" ca="1" si="5"/>
        <v>4720</v>
      </c>
      <c r="X11" s="61"/>
      <c r="Y11" s="355"/>
      <c r="Z11" s="330" t="str">
        <f>Data!E16</f>
        <v>JH</v>
      </c>
      <c r="AA11" s="931">
        <f t="shared" ca="1" si="6"/>
        <v>1</v>
      </c>
      <c r="AB11" s="331">
        <f t="shared" ca="1" si="7"/>
        <v>-50</v>
      </c>
      <c r="AC11" s="61"/>
      <c r="AD11" s="63"/>
      <c r="AE11" s="83"/>
      <c r="AF11" s="84"/>
      <c r="AG11" s="313" t="str">
        <f>Data!E17</f>
        <v>TOH</v>
      </c>
      <c r="AH11" s="315">
        <f ca="1">SUMIFS(t_toh[hp],t_toh[hp],"&lt;&gt;#I/T",t_toh[Ukenr],Tabeller!$AG$4)</f>
        <v>150</v>
      </c>
      <c r="AI11" s="315">
        <f ca="1">SUMIFS(t_toh[up],t_toh[up],"&lt;&gt;#I/T",t_toh[Ukenr],Tabeller!$AG$4)</f>
        <v>120</v>
      </c>
      <c r="AJ11" s="315">
        <f ca="1">SUMIFS(t_toh[bp],t_toh[bp],"&lt;&gt;#I/T",t_toh[Ukenr],Tabeller!$AG$4)</f>
        <v>70</v>
      </c>
      <c r="AK11" s="315">
        <f ca="1">SUMIFS(t_toh[tp],t_toh[tp],"&lt;&gt;#I/T",t_toh[Ukenr],Tabeller!$AG$4)</f>
        <v>340</v>
      </c>
      <c r="AL11" s="597">
        <f ca="1">IFERROR(IF($AG$4&lt;2,"",_xlfn.XLOOKUP($AG$4,t_toh[Ukenr],t_toh[Endring])),"")</f>
        <v>-100</v>
      </c>
      <c r="AM11" s="595">
        <f ca="1">SUMIFS(INDIRECT("t_"&amp;AG11&amp;"[tp]"),INDIRECT("t_"&amp;AG11&amp;"[tp]"),"&lt;&gt;#I/T",INDIRECT("t_"&amp;AG11&amp;"[Ukenr]"),Tabeller!$AG$4)-SUMIFS(INDIRECT("t_"&amp;AG11&amp;"[tp]"),INDIRECT("t_"&amp;AG11&amp;"[tp]"),"&lt;&gt;#I/T",INDIRECT("t_"&amp;AG11&amp;"[Ukenr]"),Tabeller!$AG$4-1)</f>
        <v>-100</v>
      </c>
      <c r="AN11" s="54"/>
      <c r="AO11" s="55"/>
      <c r="AP11" s="53"/>
      <c r="AQ11" s="642">
        <f ca="1"/>
        <v>7</v>
      </c>
      <c r="AR11" s="632">
        <f ca="1"/>
        <v>45948</v>
      </c>
      <c r="AS11" s="630">
        <f ca="1"/>
        <v>400</v>
      </c>
      <c r="AT11" s="630">
        <f ca="1"/>
        <v>40</v>
      </c>
      <c r="AU11" s="630">
        <f ca="1"/>
        <v>170</v>
      </c>
      <c r="AV11" s="630" t="str">
        <f ca="1"/>
        <v/>
      </c>
      <c r="AW11" s="634">
        <f ca="1"/>
        <v>610</v>
      </c>
      <c r="AX11" s="628">
        <f ca="1"/>
        <v>5</v>
      </c>
      <c r="AY11" s="643">
        <f ca="1"/>
        <v>-70</v>
      </c>
      <c r="AZ11" s="27"/>
      <c r="BA11" s="27"/>
      <c r="BB11" s="27"/>
      <c r="BC11" s="689">
        <f t="shared" ca="1" si="8"/>
        <v>45948</v>
      </c>
      <c r="BD11" s="658">
        <f ca="1"/>
        <v>270</v>
      </c>
      <c r="BE11" s="630">
        <f ca="1"/>
        <v>120</v>
      </c>
      <c r="BF11" s="630">
        <f ca="1"/>
        <v>210</v>
      </c>
      <c r="BG11" s="630" t="str">
        <f ca="1"/>
        <v/>
      </c>
      <c r="BH11" s="661">
        <f ca="1"/>
        <v>600</v>
      </c>
      <c r="BJ11" s="658">
        <f ca="1"/>
        <v>270</v>
      </c>
      <c r="BK11" s="630">
        <f ca="1"/>
        <v>150</v>
      </c>
      <c r="BL11" s="630">
        <f ca="1"/>
        <v>220</v>
      </c>
      <c r="BM11" s="630" t="str">
        <f ca="1"/>
        <v/>
      </c>
      <c r="BN11" s="661">
        <f ca="1"/>
        <v>640</v>
      </c>
      <c r="CK11" s="53"/>
      <c r="CL11" s="45"/>
      <c r="CM11" s="46"/>
      <c r="CN11" s="63"/>
      <c r="CO11" s="55"/>
      <c r="CQ11" s="47"/>
      <c r="CR11" s="47"/>
      <c r="CT11" s="47"/>
      <c r="CU11" s="47"/>
      <c r="CV11" s="47"/>
      <c r="DF11" s="53"/>
      <c r="DG11" s="45"/>
      <c r="DH11" s="46"/>
      <c r="DI11" s="66"/>
      <c r="DJ11" s="67"/>
      <c r="DK11" s="67"/>
      <c r="DL11" s="67"/>
      <c r="DM11" s="68"/>
    </row>
    <row r="12" spans="1:193" ht="13.5" thickBot="1" x14ac:dyDescent="0.25">
      <c r="A12" s="43"/>
      <c r="B12" s="49"/>
      <c r="C12" s="313" t="str">
        <f>Data!E19</f>
        <v>LEV</v>
      </c>
      <c r="D12" s="358">
        <f t="shared" ca="1" si="0"/>
        <v>710</v>
      </c>
      <c r="E12" s="61"/>
      <c r="G12" s="313" t="str">
        <f>Data!E14</f>
        <v>KAF</v>
      </c>
      <c r="H12" s="358">
        <f t="shared" ca="1" si="1"/>
        <v>210</v>
      </c>
      <c r="I12" s="61"/>
      <c r="K12" s="313" t="str">
        <f>Data!E19</f>
        <v>LEV</v>
      </c>
      <c r="L12" s="358">
        <f t="shared" ca="1" si="2"/>
        <v>2</v>
      </c>
      <c r="M12" s="61"/>
      <c r="O12" s="313" t="str">
        <f>Data!E16</f>
        <v>JH</v>
      </c>
      <c r="P12" s="358">
        <f t="shared" ca="1" si="3"/>
        <v>8720</v>
      </c>
      <c r="Q12" s="355"/>
      <c r="R12" s="313" t="str">
        <f>Data!E18</f>
        <v>UTG</v>
      </c>
      <c r="S12" s="323">
        <f t="shared" ca="1" si="4"/>
        <v>1420</v>
      </c>
      <c r="T12" s="61"/>
      <c r="U12" s="355"/>
      <c r="V12" s="313" t="str">
        <f>Data!E13</f>
        <v>EB</v>
      </c>
      <c r="W12" s="323">
        <f t="shared" ca="1" si="5"/>
        <v>4240</v>
      </c>
      <c r="X12" s="61"/>
      <c r="Y12" s="355"/>
      <c r="Z12" s="330" t="str">
        <f>Data!E19</f>
        <v>LEV</v>
      </c>
      <c r="AA12" s="928">
        <f t="shared" ca="1" si="6"/>
        <v>0</v>
      </c>
      <c r="AB12" s="331">
        <f t="shared" ca="1" si="7"/>
        <v>0</v>
      </c>
      <c r="AC12" s="61"/>
      <c r="AD12" s="77"/>
      <c r="AE12" s="85"/>
      <c r="AF12" s="84"/>
      <c r="AG12" s="313" t="str">
        <f>Data!E18</f>
        <v>UTG</v>
      </c>
      <c r="AH12" s="315">
        <f ca="1">SUMIFS(t_utg[hp],t_utg[hp],"&lt;&gt;#I/T",t_utg[Ukenr],Tabeller!$AG$4)</f>
        <v>180</v>
      </c>
      <c r="AI12" s="315">
        <f ca="1">SUMIFS(t_utg[up],t_utg[up],"&lt;&gt;#I/T",t_utg[Ukenr],Tabeller!$AG$4)</f>
        <v>100</v>
      </c>
      <c r="AJ12" s="315">
        <f ca="1">SUMIFS(t_utg[bp],t_utg[bp],"&lt;&gt;#I/T",t_utg[Ukenr],Tabeller!$AG$4)</f>
        <v>30</v>
      </c>
      <c r="AK12" s="315">
        <f ca="1">SUMIFS(t_utg[tp],t_utg[tp],"&lt;&gt;#I/T",t_utg[Ukenr],Tabeller!$AG$4)</f>
        <v>310</v>
      </c>
      <c r="AL12" s="597">
        <f ca="1">IFERROR(IF($AG$4&lt;2,"",_xlfn.XLOOKUP($AG$4,t_utg[Ukenr],t_utg[Endring])),"")</f>
        <v>-150</v>
      </c>
      <c r="AM12" s="595">
        <f ca="1">SUMIFS(INDIRECT("t_"&amp;AG12&amp;"[tp]"),INDIRECT("t_"&amp;AG12&amp;"[tp]"),"&lt;&gt;#I/T",INDIRECT("t_"&amp;AG12&amp;"[Ukenr]"),Tabeller!$AG$4)-SUMIFS(INDIRECT("t_"&amp;AG12&amp;"[tp]"),INDIRECT("t_"&amp;AG12&amp;"[tp]"),"&lt;&gt;#I/T",INDIRECT("t_"&amp;AG12&amp;"[Ukenr]"),Tabeller!$AG$4-1)</f>
        <v>-150</v>
      </c>
      <c r="AN12" s="54"/>
      <c r="AO12" s="55"/>
      <c r="AP12" s="53"/>
      <c r="AQ12" s="642">
        <f ca="1"/>
        <v>8</v>
      </c>
      <c r="AR12" s="632">
        <f ca="1"/>
        <v>45955</v>
      </c>
      <c r="AS12" s="630">
        <f ca="1"/>
        <v>320</v>
      </c>
      <c r="AT12" s="630">
        <f ca="1"/>
        <v>20</v>
      </c>
      <c r="AU12" s="630">
        <f ca="1"/>
        <v>180</v>
      </c>
      <c r="AV12" s="630" t="str">
        <f ca="1"/>
        <v/>
      </c>
      <c r="AW12" s="634">
        <f ca="1"/>
        <v>520</v>
      </c>
      <c r="AX12" s="628">
        <f ca="1"/>
        <v>4</v>
      </c>
      <c r="AY12" s="643">
        <f ca="1"/>
        <v>-90</v>
      </c>
      <c r="AZ12" s="27"/>
      <c r="BA12" s="27"/>
      <c r="BB12" s="27"/>
      <c r="BC12" s="689">
        <f t="shared" ca="1" si="8"/>
        <v>45955</v>
      </c>
      <c r="BD12" s="658">
        <f ca="1"/>
        <v>270</v>
      </c>
      <c r="BE12" s="630">
        <f ca="1"/>
        <v>60</v>
      </c>
      <c r="BF12" s="630">
        <f ca="1"/>
        <v>110</v>
      </c>
      <c r="BG12" s="630" t="str">
        <f ca="1"/>
        <v/>
      </c>
      <c r="BH12" s="661">
        <f ca="1"/>
        <v>440</v>
      </c>
      <c r="BJ12" s="658">
        <f ca="1"/>
        <v>370</v>
      </c>
      <c r="BK12" s="630">
        <f ca="1"/>
        <v>50</v>
      </c>
      <c r="BL12" s="630">
        <f ca="1"/>
        <v>130</v>
      </c>
      <c r="BM12" s="630" t="str">
        <f ca="1"/>
        <v/>
      </c>
      <c r="BN12" s="661">
        <f ca="1"/>
        <v>550</v>
      </c>
      <c r="CK12" s="53"/>
      <c r="CL12" s="45"/>
      <c r="CM12" s="46"/>
      <c r="CN12" s="63"/>
      <c r="CO12" s="55"/>
      <c r="CQ12" s="47"/>
      <c r="CR12" s="47"/>
      <c r="CT12" s="47"/>
      <c r="CU12" s="47"/>
      <c r="CV12" s="47"/>
      <c r="DF12" s="53"/>
      <c r="DG12" s="45"/>
      <c r="DH12" s="46"/>
      <c r="DI12" s="66"/>
      <c r="DJ12" s="67"/>
      <c r="DK12" s="67"/>
      <c r="DL12" s="67"/>
      <c r="DM12" s="68"/>
    </row>
    <row r="13" spans="1:193" ht="13.5" thickBot="1" x14ac:dyDescent="0.25">
      <c r="A13" s="43"/>
      <c r="B13" s="49"/>
      <c r="C13" s="316" t="str">
        <f>Data!E18</f>
        <v>UTG</v>
      </c>
      <c r="D13" s="359">
        <f t="shared" ca="1" si="0"/>
        <v>680</v>
      </c>
      <c r="E13" s="61"/>
      <c r="G13" s="316" t="str">
        <f>Data!E17</f>
        <v>TOH</v>
      </c>
      <c r="H13" s="359">
        <f t="shared" ca="1" si="1"/>
        <v>-50</v>
      </c>
      <c r="I13" s="61"/>
      <c r="K13" s="316" t="str">
        <f>Data!E18</f>
        <v>UTG</v>
      </c>
      <c r="L13" s="359">
        <f t="shared" ca="1" si="2"/>
        <v>0</v>
      </c>
      <c r="M13" s="61"/>
      <c r="O13" s="316" t="str">
        <f>Data!E17</f>
        <v>TOH</v>
      </c>
      <c r="P13" s="359">
        <f t="shared" ca="1" si="3"/>
        <v>8680</v>
      </c>
      <c r="R13" s="316" t="str">
        <f>Data!E15</f>
        <v>ØG</v>
      </c>
      <c r="S13" s="324">
        <f t="shared" ca="1" si="4"/>
        <v>1000</v>
      </c>
      <c r="T13" s="61"/>
      <c r="V13" s="316" t="str">
        <f>Data!E11</f>
        <v>AHH</v>
      </c>
      <c r="W13" s="324">
        <f t="shared" ca="1" si="5"/>
        <v>3870</v>
      </c>
      <c r="X13" s="61"/>
      <c r="Z13" s="333" t="str">
        <f>Data!E18</f>
        <v>UTG</v>
      </c>
      <c r="AA13" s="863">
        <f t="shared" ca="1" si="6"/>
        <v>0</v>
      </c>
      <c r="AB13" s="943">
        <f t="shared" ca="1" si="7"/>
        <v>0</v>
      </c>
      <c r="AC13" s="76"/>
      <c r="AG13" s="316" t="str">
        <f>Data!E19</f>
        <v>LEV</v>
      </c>
      <c r="AH13" s="317">
        <f ca="1">SUMIFS(t_lev[hp],t_lev[hp],"&lt;&gt;#I/T",t_lev[Ukenr],Tabeller!$AG$4)</f>
        <v>190</v>
      </c>
      <c r="AI13" s="317">
        <f ca="1">SUMIFS(t_lev[up],t_lev[up],"&lt;&gt;#I/T",t_lev[Ukenr],Tabeller!$AG$4)</f>
        <v>150</v>
      </c>
      <c r="AJ13" s="317">
        <f ca="1">SUMIFS(t_lev[bp],t_lev[bp],"&lt;&gt;#I/T",t_lev[Ukenr],Tabeller!$AG$4)</f>
        <v>30</v>
      </c>
      <c r="AK13" s="317">
        <f ca="1">SUMIFS(t_lev[tp],t_lev[tp],"&lt;&gt;#I/T",t_lev[Ukenr],Tabeller!$AG$4)</f>
        <v>370</v>
      </c>
      <c r="AL13" s="598">
        <f ca="1">IFERROR(IF($AG$4&lt;2,"",_xlfn.XLOOKUP($AG$4,t_lev[Ukenr],t_lev[Endring])),"")</f>
        <v>-200</v>
      </c>
      <c r="AM13" s="596">
        <f ca="1">SUMIFS(INDIRECT("t_"&amp;AG13&amp;"[tp]"),INDIRECT("t_"&amp;AG13&amp;"[tp]"),"&lt;&gt;#I/T",INDIRECT("t_"&amp;AG13&amp;"[Ukenr]"),Tabeller!$AG$4)-SUMIFS(INDIRECT("t_"&amp;AG13&amp;"[tp]"),INDIRECT("t_"&amp;AG13&amp;"[tp]"),"&lt;&gt;#I/T",INDIRECT("t_"&amp;AG13&amp;"[Ukenr]"),Tabeller!$AG$4-1)</f>
        <v>-200</v>
      </c>
      <c r="AN13" s="54"/>
      <c r="AO13" s="55"/>
      <c r="AP13" s="53"/>
      <c r="AQ13" s="642">
        <f ca="1"/>
        <v>9</v>
      </c>
      <c r="AR13" s="632">
        <f ca="1"/>
        <v>45962</v>
      </c>
      <c r="AS13" s="630">
        <f ca="1"/>
        <v>550</v>
      </c>
      <c r="AT13" s="630">
        <f ca="1"/>
        <v>10</v>
      </c>
      <c r="AU13" s="630">
        <f ca="1"/>
        <v>200</v>
      </c>
      <c r="AV13" s="630" t="str">
        <f ca="1"/>
        <v/>
      </c>
      <c r="AW13" s="634">
        <f ca="1"/>
        <v>760</v>
      </c>
      <c r="AX13" s="628">
        <f ca="1"/>
        <v>1</v>
      </c>
      <c r="AY13" s="643">
        <f ca="1"/>
        <v>240</v>
      </c>
      <c r="AZ13" s="27"/>
      <c r="BA13" s="27"/>
      <c r="BB13" s="27"/>
      <c r="BC13" s="689">
        <f t="shared" ca="1" si="8"/>
        <v>45962</v>
      </c>
      <c r="BD13" s="658">
        <f ca="1"/>
        <v>440</v>
      </c>
      <c r="BE13" s="630">
        <f ca="1"/>
        <v>60</v>
      </c>
      <c r="BF13" s="630">
        <f ca="1"/>
        <v>70</v>
      </c>
      <c r="BG13" s="630" t="str">
        <f ca="1"/>
        <v/>
      </c>
      <c r="BH13" s="661">
        <f ca="1"/>
        <v>570</v>
      </c>
      <c r="BJ13" s="658">
        <f ca="1"/>
        <v>450</v>
      </c>
      <c r="BK13" s="630">
        <f ca="1"/>
        <v>30</v>
      </c>
      <c r="BL13" s="630">
        <f ca="1"/>
        <v>160</v>
      </c>
      <c r="BM13" s="630" t="str">
        <f ca="1"/>
        <v/>
      </c>
      <c r="BN13" s="661">
        <f ca="1"/>
        <v>640</v>
      </c>
      <c r="CT13" s="75"/>
      <c r="CZ13" s="47"/>
      <c r="DA13" s="47"/>
      <c r="DC13" s="47"/>
      <c r="DD13" s="47"/>
      <c r="DE13" s="47"/>
      <c r="DO13" s="53"/>
      <c r="DP13" s="45"/>
      <c r="DQ13" s="46"/>
      <c r="DR13" s="66"/>
      <c r="DS13" s="67"/>
      <c r="DT13" s="67"/>
      <c r="DU13" s="67"/>
      <c r="DV13" s="68"/>
    </row>
    <row r="14" spans="1:193" ht="13.5" thickBot="1" x14ac:dyDescent="0.25">
      <c r="A14" s="43"/>
      <c r="B14" s="49"/>
      <c r="O14" s="78"/>
      <c r="P14" s="35"/>
      <c r="Q14" s="58"/>
      <c r="R14" s="33"/>
      <c r="S14" s="33"/>
      <c r="T14" s="78"/>
      <c r="U14" s="35"/>
      <c r="V14" s="35"/>
      <c r="W14" s="58"/>
      <c r="X14" s="46"/>
      <c r="Y14" s="46"/>
      <c r="Z14" s="78"/>
      <c r="AA14" s="41"/>
      <c r="AB14" s="41"/>
      <c r="AC14" s="49"/>
      <c r="AH14" s="76"/>
      <c r="AI14" s="77"/>
      <c r="AJ14" s="75"/>
      <c r="AK14" s="27"/>
      <c r="AN14" s="54"/>
      <c r="AO14" s="55"/>
      <c r="AP14" s="53"/>
      <c r="AQ14" s="642">
        <f ca="1"/>
        <v>10</v>
      </c>
      <c r="AR14" s="632">
        <f ca="1"/>
        <v>45969</v>
      </c>
      <c r="AS14" s="630">
        <f ca="1"/>
        <v>330</v>
      </c>
      <c r="AT14" s="630">
        <f ca="1"/>
        <v>30</v>
      </c>
      <c r="AU14" s="630">
        <f ca="1"/>
        <v>250</v>
      </c>
      <c r="AV14" s="630" t="str">
        <f ca="1"/>
        <v/>
      </c>
      <c r="AW14" s="634">
        <f ca="1"/>
        <v>610</v>
      </c>
      <c r="AX14" s="628">
        <f ca="1"/>
        <v>2</v>
      </c>
      <c r="AY14" s="643">
        <f ca="1"/>
        <v>-150</v>
      </c>
      <c r="AZ14" s="27"/>
      <c r="BA14" s="49"/>
      <c r="BB14" s="49"/>
      <c r="BC14" s="689">
        <f t="shared" ca="1" si="8"/>
        <v>45969</v>
      </c>
      <c r="BD14" s="658">
        <f ca="1"/>
        <v>310</v>
      </c>
      <c r="BE14" s="630">
        <f ca="1"/>
        <v>60</v>
      </c>
      <c r="BF14" s="630">
        <f ca="1"/>
        <v>180</v>
      </c>
      <c r="BG14" s="630" t="str">
        <f ca="1"/>
        <v/>
      </c>
      <c r="BH14" s="661">
        <f ca="1"/>
        <v>550</v>
      </c>
      <c r="BJ14" s="658">
        <f ca="1"/>
        <v>340</v>
      </c>
      <c r="BK14" s="630">
        <f ca="1"/>
        <v>70</v>
      </c>
      <c r="BL14" s="630">
        <f ca="1"/>
        <v>200</v>
      </c>
      <c r="BM14" s="630" t="str">
        <f ca="1"/>
        <v/>
      </c>
      <c r="BN14" s="661">
        <f ca="1"/>
        <v>610</v>
      </c>
      <c r="CS14" s="47"/>
      <c r="CT14" s="47"/>
      <c r="CU14" s="47"/>
      <c r="CV14" s="47"/>
      <c r="CW14" s="47"/>
      <c r="CY14" s="47"/>
      <c r="CZ14" s="47"/>
      <c r="DA14" s="47"/>
      <c r="DK14" s="53"/>
      <c r="DL14" s="45"/>
      <c r="DM14" s="46"/>
      <c r="DN14" s="66"/>
      <c r="DO14" s="67"/>
      <c r="DP14" s="67"/>
      <c r="DQ14" s="67"/>
      <c r="DR14" s="68"/>
    </row>
    <row r="15" spans="1:193" ht="13.5" thickBot="1" x14ac:dyDescent="0.25">
      <c r="A15" s="43"/>
      <c r="B15" s="49"/>
      <c r="C15" s="62"/>
      <c r="V15" s="28"/>
      <c r="W15" s="29"/>
      <c r="X15" s="29"/>
      <c r="AE15" s="28"/>
      <c r="AF15" s="29"/>
      <c r="AJ15" s="27"/>
      <c r="AK15" s="27"/>
      <c r="AL15" s="28"/>
      <c r="AM15" s="41"/>
      <c r="AN15" s="54"/>
      <c r="AO15" s="55"/>
      <c r="AP15" s="69"/>
      <c r="AQ15" s="642">
        <f ca="1"/>
        <v>11</v>
      </c>
      <c r="AR15" s="632">
        <f ca="1"/>
        <v>45976</v>
      </c>
      <c r="AS15" s="630">
        <f ca="1"/>
        <v>330</v>
      </c>
      <c r="AT15" s="630">
        <f ca="1"/>
        <v>30</v>
      </c>
      <c r="AU15" s="630">
        <f ca="1"/>
        <v>250</v>
      </c>
      <c r="AV15" s="630" t="str">
        <f ca="1"/>
        <v/>
      </c>
      <c r="AW15" s="634">
        <f ca="1"/>
        <v>610</v>
      </c>
      <c r="AX15" s="628">
        <f ca="1"/>
        <v>1</v>
      </c>
      <c r="AY15" s="643">
        <f ca="1"/>
        <v>0</v>
      </c>
      <c r="AZ15" s="27"/>
      <c r="BA15" s="73"/>
      <c r="BB15" s="73"/>
      <c r="BC15" s="689">
        <f t="shared" ca="1" si="8"/>
        <v>45976</v>
      </c>
      <c r="BD15" s="658">
        <f ca="1"/>
        <v>250</v>
      </c>
      <c r="BE15" s="630">
        <f ca="1"/>
        <v>90</v>
      </c>
      <c r="BF15" s="630">
        <f ca="1"/>
        <v>210</v>
      </c>
      <c r="BG15" s="630" t="str">
        <f ca="1"/>
        <v/>
      </c>
      <c r="BH15" s="661">
        <f ca="1"/>
        <v>550</v>
      </c>
      <c r="BJ15" s="658">
        <f ca="1"/>
        <v>310</v>
      </c>
      <c r="BK15" s="630">
        <f ca="1"/>
        <v>90</v>
      </c>
      <c r="BL15" s="630">
        <f ca="1"/>
        <v>180</v>
      </c>
      <c r="BM15" s="630" t="str">
        <f ca="1"/>
        <v/>
      </c>
      <c r="BN15" s="661">
        <f ca="1"/>
        <v>580</v>
      </c>
      <c r="DG15" s="47"/>
      <c r="DH15" s="47"/>
      <c r="DI15" s="47"/>
      <c r="DJ15" s="47"/>
      <c r="DK15" s="47"/>
      <c r="DM15" s="47"/>
      <c r="DN15" s="47"/>
      <c r="DO15" s="47"/>
      <c r="DY15" s="53"/>
      <c r="DZ15" s="45"/>
      <c r="EA15" s="63"/>
      <c r="EB15" s="66"/>
      <c r="EC15" s="67"/>
      <c r="ED15" s="67"/>
      <c r="EE15" s="67"/>
      <c r="EF15" s="68"/>
    </row>
    <row r="16" spans="1:193" ht="13.5" thickBot="1" x14ac:dyDescent="0.25">
      <c r="A16" s="43"/>
      <c r="B16" s="49"/>
      <c r="J16" s="47"/>
      <c r="K16" s="50"/>
      <c r="L16" s="33"/>
      <c r="M16" s="33"/>
      <c r="N16" s="78"/>
      <c r="O16" s="58"/>
      <c r="P16" s="78"/>
      <c r="Q16" s="35"/>
      <c r="R16" s="58"/>
      <c r="S16" s="78"/>
      <c r="T16" s="41"/>
      <c r="U16" s="41"/>
      <c r="W16" s="32"/>
      <c r="Y16" s="76"/>
      <c r="Z16" s="77"/>
      <c r="AA16" s="46"/>
      <c r="AB16" s="45"/>
      <c r="AC16" s="79"/>
      <c r="AD16" s="55"/>
      <c r="AE16" s="53"/>
      <c r="AF16" s="45"/>
      <c r="AI16" s="617"/>
      <c r="AJ16" s="889" t="s">
        <v>402</v>
      </c>
      <c r="AK16" s="890"/>
      <c r="AN16" s="85"/>
      <c r="AO16" s="84"/>
      <c r="AP16" s="85"/>
      <c r="AQ16" s="642">
        <f ca="1"/>
        <v>12</v>
      </c>
      <c r="AR16" s="632">
        <f ca="1"/>
        <v>45983</v>
      </c>
      <c r="AS16" s="630">
        <f ca="1"/>
        <v>270</v>
      </c>
      <c r="AT16" s="630">
        <f ca="1"/>
        <v>30</v>
      </c>
      <c r="AU16" s="630">
        <f ca="1"/>
        <v>170</v>
      </c>
      <c r="AV16" s="628" t="str">
        <f ca="1"/>
        <v/>
      </c>
      <c r="AW16" s="628">
        <f ca="1"/>
        <v>470</v>
      </c>
      <c r="AX16" s="630">
        <f ca="1"/>
        <v>2</v>
      </c>
      <c r="AY16" s="643">
        <f ca="1"/>
        <v>-140</v>
      </c>
      <c r="AZ16" s="49"/>
      <c r="BA16" s="53"/>
      <c r="BB16" s="53"/>
      <c r="BC16" s="689">
        <f t="shared" ca="1" si="8"/>
        <v>45983</v>
      </c>
      <c r="BD16" s="658">
        <f ca="1"/>
        <v>250</v>
      </c>
      <c r="BE16" s="630">
        <f ca="1"/>
        <v>60</v>
      </c>
      <c r="BF16" s="630">
        <f ca="1"/>
        <v>100</v>
      </c>
      <c r="BG16" s="628" t="str">
        <f ca="1"/>
        <v/>
      </c>
      <c r="BH16" s="657">
        <f ca="1"/>
        <v>410</v>
      </c>
      <c r="BJ16" s="658">
        <f ca="1"/>
        <v>160</v>
      </c>
      <c r="BK16" s="630">
        <f ca="1"/>
        <v>50</v>
      </c>
      <c r="BL16" s="630">
        <f ca="1"/>
        <v>150</v>
      </c>
      <c r="BM16" s="628" t="str">
        <f ca="1"/>
        <v/>
      </c>
      <c r="BN16" s="657">
        <f ca="1"/>
        <v>360</v>
      </c>
      <c r="CK16" s="47"/>
      <c r="CL16" s="47"/>
      <c r="CM16" s="47"/>
      <c r="CN16" s="47"/>
      <c r="CO16" s="47"/>
      <c r="CQ16" s="47"/>
      <c r="CR16" s="47"/>
      <c r="CS16" s="47"/>
      <c r="DC16" s="53"/>
      <c r="DD16" s="45"/>
      <c r="DE16" s="46"/>
      <c r="DF16" s="63"/>
      <c r="DG16" s="68"/>
      <c r="DH16" s="68"/>
      <c r="DI16" s="68"/>
      <c r="DJ16" s="68"/>
    </row>
    <row r="17" spans="1:113" ht="13.5" thickBot="1" x14ac:dyDescent="0.25">
      <c r="A17" s="43"/>
      <c r="B17" s="49"/>
      <c r="C17" s="326" t="s">
        <v>403</v>
      </c>
      <c r="D17" s="336"/>
      <c r="E17" s="335"/>
      <c r="F17" s="334"/>
      <c r="G17" s="99"/>
      <c r="H17" s="326" t="s">
        <v>40</v>
      </c>
      <c r="I17" s="334"/>
      <c r="J17" s="63"/>
      <c r="K17" s="318" t="s">
        <v>39</v>
      </c>
      <c r="L17" s="321"/>
      <c r="M17" s="82"/>
      <c r="N17" s="137"/>
      <c r="O17" s="318" t="s">
        <v>404</v>
      </c>
      <c r="P17" s="321"/>
      <c r="Q17" s="52"/>
      <c r="R17" s="318" t="s">
        <v>405</v>
      </c>
      <c r="S17" s="319"/>
      <c r="T17" s="319" t="s">
        <v>406</v>
      </c>
      <c r="U17" s="320" t="s">
        <v>407</v>
      </c>
      <c r="V17" s="80" t="s">
        <v>407</v>
      </c>
      <c r="W17" s="81"/>
      <c r="X17" s="318" t="s">
        <v>408</v>
      </c>
      <c r="Y17" s="337">
        <v>1</v>
      </c>
      <c r="Z17" s="337">
        <v>2</v>
      </c>
      <c r="AA17" s="337">
        <v>3</v>
      </c>
      <c r="AB17" s="337">
        <v>4</v>
      </c>
      <c r="AC17" s="337">
        <v>5</v>
      </c>
      <c r="AD17" s="337">
        <v>6</v>
      </c>
      <c r="AE17" s="337">
        <v>7</v>
      </c>
      <c r="AF17" s="337">
        <v>8</v>
      </c>
      <c r="AG17" s="338">
        <v>9</v>
      </c>
      <c r="AI17" s="893" t="s">
        <v>409</v>
      </c>
      <c r="AJ17" s="891" t="s">
        <v>410</v>
      </c>
      <c r="AK17" s="891" t="s">
        <v>411</v>
      </c>
      <c r="AL17" s="892" t="s">
        <v>412</v>
      </c>
      <c r="AQ17" s="644">
        <f ca="1"/>
        <v>13</v>
      </c>
      <c r="AR17" s="629">
        <f ca="1"/>
        <v>45990</v>
      </c>
      <c r="AS17" s="628">
        <f ca="1"/>
        <v>530</v>
      </c>
      <c r="AT17" s="630">
        <f ca="1"/>
        <v>10</v>
      </c>
      <c r="AU17" s="634">
        <f ca="1"/>
        <v>100</v>
      </c>
      <c r="AV17" s="628" t="str">
        <f ca="1"/>
        <v/>
      </c>
      <c r="AW17" s="628">
        <f ca="1"/>
        <v>640</v>
      </c>
      <c r="AX17" s="630">
        <f ca="1"/>
        <v>2</v>
      </c>
      <c r="AY17" s="643">
        <f ca="1"/>
        <v>170</v>
      </c>
      <c r="AZ17" s="49"/>
      <c r="BA17" s="27"/>
      <c r="BB17" s="27"/>
      <c r="BC17" s="688">
        <f t="shared" ca="1" si="8"/>
        <v>45990</v>
      </c>
      <c r="BD17" s="656">
        <f ca="1"/>
        <v>410</v>
      </c>
      <c r="BE17" s="630">
        <f ca="1"/>
        <v>30</v>
      </c>
      <c r="BF17" s="634">
        <f ca="1"/>
        <v>100</v>
      </c>
      <c r="BG17" s="628" t="str">
        <f ca="1"/>
        <v/>
      </c>
      <c r="BH17" s="657">
        <f ca="1"/>
        <v>540</v>
      </c>
      <c r="BJ17" s="656">
        <f ca="1"/>
        <v>440</v>
      </c>
      <c r="BK17" s="630">
        <f ca="1"/>
        <v>30</v>
      </c>
      <c r="BL17" s="634">
        <f ca="1"/>
        <v>110</v>
      </c>
      <c r="BM17" s="628" t="str">
        <f ca="1"/>
        <v/>
      </c>
      <c r="BN17" s="657">
        <f ca="1"/>
        <v>580</v>
      </c>
      <c r="CK17" s="47"/>
      <c r="CL17" s="47"/>
      <c r="CM17" s="47"/>
      <c r="CN17" s="47"/>
      <c r="CO17" s="47"/>
      <c r="CQ17" s="47"/>
      <c r="CR17" s="47"/>
      <c r="CS17" s="47"/>
      <c r="DC17" s="75"/>
    </row>
    <row r="18" spans="1:113" ht="13.5" thickBot="1" x14ac:dyDescent="0.25">
      <c r="A18" s="43"/>
      <c r="B18" s="49"/>
      <c r="C18" s="313" t="str">
        <f>Data!E11</f>
        <v>AHH</v>
      </c>
      <c r="D18" s="415">
        <f ca="1">IFERROR(LARGE(INDIRECT("t_"&amp;C18&amp;"[tp]"),1),"")</f>
        <v>640</v>
      </c>
      <c r="E18" s="315">
        <f ca="1">IFERROR(LARGE(INDIRECT("t_"&amp;C18&amp;"[tp]"),2),"")</f>
        <v>610</v>
      </c>
      <c r="F18" s="357">
        <f ca="1">IFERROR(LARGE(INDIRECT("t_"&amp;C18&amp;"[tp]"),3),"")</f>
        <v>610</v>
      </c>
      <c r="G18" s="61"/>
      <c r="H18" s="313" t="str">
        <f>Data!E11</f>
        <v>AHH</v>
      </c>
      <c r="I18" s="357">
        <f ca="1">COUNTIF(Ukevinnere,H18)</f>
        <v>3</v>
      </c>
      <c r="J18" s="63"/>
      <c r="K18" s="313" t="str">
        <f>Data!E12</f>
        <v>RB</v>
      </c>
      <c r="L18" s="357">
        <f t="shared" ref="L18:L26" ca="1" si="9">AVERAGEIFS(INDIRECT("t_"&amp;K18&amp;"[tp]"),INDIRECT("t_"&amp;K18&amp;"[tp]"),"&lt;&gt;#I/T")</f>
        <v>541.25</v>
      </c>
      <c r="M18" s="355"/>
      <c r="N18" s="356"/>
      <c r="O18" s="313" t="str">
        <f>Data!E16</f>
        <v>JH</v>
      </c>
      <c r="P18" s="322">
        <f t="shared" ref="P18:P26" ca="1" si="10">IFERROR(IF(INDEX(INDIRECT("t_"&amp;O18&amp;"[tp]"),MATCH(9.99999999999999E+307,INDIRECT("t_"&amp;O18&amp;"[tp]")))&lt;&gt;0,INDEX(INDIRECT("t_"&amp;O18&amp;"[tp]"),MATCH(9.99999999999999E+307,INDIRECT("t_"&amp;O18&amp;"[tp]"))),0),0)</f>
        <v>640</v>
      </c>
      <c r="Q18" s="52"/>
      <c r="R18" s="313" t="str">
        <f>Data!E12</f>
        <v>RB</v>
      </c>
      <c r="S18" s="314">
        <f t="shared" ref="S18:S26" ca="1" si="11">SUMIF(INDIRECT("t_"&amp;R18&amp;"[tp]"),"&lt;&gt;#I/T")</f>
        <v>17320</v>
      </c>
      <c r="T18" s="315">
        <f t="shared" ref="T18:T26" ca="1" si="12">$S$18-S18</f>
        <v>0</v>
      </c>
      <c r="U18" s="867">
        <f ca="1">IF(S18="",0,S18-S18)</f>
        <v>0</v>
      </c>
      <c r="V18" s="61"/>
      <c r="W18" s="83"/>
      <c r="X18" s="330" t="str">
        <f>Data!E11</f>
        <v>AHH</v>
      </c>
      <c r="Y18" s="339">
        <f ca="1">COUNTIF(INDIRECT(_xlfn.XLOOKUP($X18,Data!$E:$E,Data!$M:$M)&amp;"!t_"&amp;$X18&amp;"[Rank]"),Y$17)</f>
        <v>3</v>
      </c>
      <c r="Z18" s="339">
        <f ca="1">COUNTIF(INDIRECT(_xlfn.XLOOKUP($X18,Data!$E:$E,Data!$M:$M)&amp;"!t_"&amp;$X18&amp;"[Rank]"),Z$17)</f>
        <v>2</v>
      </c>
      <c r="AA18" s="339">
        <f ca="1">COUNTIF(INDIRECT(_xlfn.XLOOKUP($X18,Data!$E:$E,Data!$M:$M)&amp;"!t_"&amp;$X18&amp;"[Rank]"),AA$17)</f>
        <v>4</v>
      </c>
      <c r="AB18" s="339">
        <f ca="1">COUNTIF(INDIRECT(_xlfn.XLOOKUP($X18,Data!$E:$E,Data!$M:$M)&amp;"!t_"&amp;$X18&amp;"[Rank]"),AB$17)</f>
        <v>2</v>
      </c>
      <c r="AC18" s="339">
        <f ca="1">COUNTIF(INDIRECT(_xlfn.XLOOKUP($X18,Data!$E:$E,Data!$M:$M)&amp;"!t_"&amp;$X18&amp;"[Rank]"),AC$17)</f>
        <v>2</v>
      </c>
      <c r="AD18" s="339">
        <f ca="1">COUNTIF(INDIRECT(_xlfn.XLOOKUP($X18,Data!$E:$E,Data!$M:$M)&amp;"!t_"&amp;$X18&amp;"[Rank]"),AD$17)</f>
        <v>4</v>
      </c>
      <c r="AE18" s="339">
        <f ca="1">COUNTIF(INDIRECT(_xlfn.XLOOKUP($X18,Data!$E:$E,Data!$M:$M)&amp;"!t_"&amp;$X18&amp;"[Rank]"),AE$17)</f>
        <v>8</v>
      </c>
      <c r="AF18" s="339">
        <f ca="1">COUNTIF(INDIRECT(_xlfn.XLOOKUP($X18,Data!$E:$E,Data!$M:$M)&amp;"!t_"&amp;$X18&amp;"[Rank]"),AF$17)</f>
        <v>2</v>
      </c>
      <c r="AG18" s="340">
        <f ca="1">COUNTIF(INDIRECT(_xlfn.XLOOKUP($X18,Data!$E:$E,Data!$M:$M)&amp;"!t_"&amp;$X18&amp;"[Rank]"),AG$17)</f>
        <v>5</v>
      </c>
      <c r="AH18" s="686"/>
      <c r="AI18" s="924" t="s">
        <v>19</v>
      </c>
      <c r="AJ18" s="926">
        <f>COUNTIFS(Kuponger!$U$8:$W$934,Tabeller!$AA$29)</f>
        <v>31</v>
      </c>
      <c r="AK18" s="926">
        <f>COUNTIFS(Kuponger!$Q$8:$S$934,Tabeller!$AA$29)</f>
        <v>52</v>
      </c>
      <c r="AL18" s="897">
        <f t="shared" ref="AL18:AL26" si="13">AJ18/AK18</f>
        <v>0.59615384615384615</v>
      </c>
      <c r="AN18" s="41"/>
      <c r="AO18" s="49"/>
      <c r="AQ18" s="644">
        <f ca="1"/>
        <v>14</v>
      </c>
      <c r="AR18" s="629">
        <f ca="1"/>
        <v>45997</v>
      </c>
      <c r="AS18" s="628">
        <f ca="1"/>
        <v>550</v>
      </c>
      <c r="AT18" s="630">
        <f ca="1"/>
        <v>30</v>
      </c>
      <c r="AU18" s="630" t="str">
        <f ca="1"/>
        <v/>
      </c>
      <c r="AV18" s="635" t="str">
        <f ca="1"/>
        <v/>
      </c>
      <c r="AW18" s="628">
        <f ca="1"/>
        <v>580</v>
      </c>
      <c r="AX18" s="630">
        <f ca="1"/>
        <v>3</v>
      </c>
      <c r="AY18" s="643">
        <f ca="1"/>
        <v>-60</v>
      </c>
      <c r="AZ18" s="55"/>
      <c r="BA18" s="27"/>
      <c r="BB18" s="27"/>
      <c r="BC18" s="688">
        <f t="shared" ca="1" si="8"/>
        <v>45997</v>
      </c>
      <c r="BD18" s="656">
        <f ca="1"/>
        <v>480</v>
      </c>
      <c r="BE18" s="630">
        <f ca="1"/>
        <v>130</v>
      </c>
      <c r="BF18" s="630" t="str">
        <f ca="1"/>
        <v/>
      </c>
      <c r="BG18" s="635" t="str">
        <f ca="1"/>
        <v/>
      </c>
      <c r="BH18" s="657">
        <f ca="1"/>
        <v>610</v>
      </c>
      <c r="BJ18" s="656">
        <f ca="1"/>
        <v>500</v>
      </c>
      <c r="BK18" s="630">
        <f ca="1"/>
        <v>50</v>
      </c>
      <c r="BL18" s="630" t="str">
        <f ca="1"/>
        <v/>
      </c>
      <c r="BM18" s="635" t="str">
        <f ca="1"/>
        <v/>
      </c>
      <c r="BN18" s="657">
        <f ca="1"/>
        <v>550</v>
      </c>
      <c r="CJ18" s="47"/>
      <c r="CK18" s="47"/>
      <c r="CL18" s="47"/>
      <c r="CM18" s="47"/>
      <c r="CN18" s="47"/>
      <c r="CP18" s="47"/>
      <c r="CQ18" s="47"/>
      <c r="CR18" s="47"/>
    </row>
    <row r="19" spans="1:113" ht="13.5" thickBot="1" x14ac:dyDescent="0.25">
      <c r="A19" s="43"/>
      <c r="B19" s="49"/>
      <c r="C19" s="313" t="str">
        <f>Data!E12</f>
        <v>RB</v>
      </c>
      <c r="D19" s="416">
        <f t="shared" ref="D19:D26" ca="1" si="14">IFERROR(LARGE(INDIRECT("t_"&amp;C19&amp;"[tp]"),1),"")</f>
        <v>750</v>
      </c>
      <c r="E19" s="315">
        <f t="shared" ref="E19:E26" ca="1" si="15">IFERROR(LARGE(INDIRECT("t_"&amp;C19&amp;"[tp]"),2),"")</f>
        <v>680</v>
      </c>
      <c r="F19" s="358">
        <f t="shared" ref="F19:F26" ca="1" si="16">IFERROR(LARGE(INDIRECT("t_"&amp;C19&amp;"[tp]"),3),"")</f>
        <v>680</v>
      </c>
      <c r="G19" s="61"/>
      <c r="H19" s="313" t="str">
        <f>Data!E12</f>
        <v>RB</v>
      </c>
      <c r="I19" s="358">
        <f t="shared" ref="I19:I26" ca="1" si="17">COUNTIF(Ukevinnere,H19)</f>
        <v>10</v>
      </c>
      <c r="J19" s="63"/>
      <c r="K19" s="313" t="str">
        <f>Data!E15</f>
        <v>ØG</v>
      </c>
      <c r="L19" s="358">
        <f t="shared" ca="1" si="9"/>
        <v>532.8125</v>
      </c>
      <c r="M19" s="355"/>
      <c r="N19" s="356"/>
      <c r="O19" s="313" t="str">
        <f>Data!E12</f>
        <v>RB</v>
      </c>
      <c r="P19" s="323">
        <f t="shared" ca="1" si="10"/>
        <v>600</v>
      </c>
      <c r="Q19" s="52"/>
      <c r="R19" s="313" t="str">
        <f>Data!E15</f>
        <v>ØG</v>
      </c>
      <c r="S19" s="315">
        <f t="shared" ca="1" si="11"/>
        <v>17050</v>
      </c>
      <c r="T19" s="315">
        <f t="shared" ca="1" si="12"/>
        <v>270</v>
      </c>
      <c r="U19" s="867">
        <f t="shared" ref="U19:U26" ca="1" si="18">IF(S19="",0,S18-S19)</f>
        <v>270</v>
      </c>
      <c r="V19" s="61"/>
      <c r="W19" s="85"/>
      <c r="X19" s="330" t="str">
        <f>Data!E12</f>
        <v>RB</v>
      </c>
      <c r="Y19" s="339">
        <f ca="1">COUNTIF(INDIRECT(_xlfn.XLOOKUP($X19,Data!$E:$E,Data!$M:$M)&amp;"!t_"&amp;$X19&amp;"[Rank]"),Y$17)</f>
        <v>10</v>
      </c>
      <c r="Z19" s="339">
        <f ca="1">COUNTIF(INDIRECT(_xlfn.XLOOKUP($X19,Data!$E:$E,Data!$M:$M)&amp;"!t_"&amp;$X19&amp;"[Rank]"),Z$17)</f>
        <v>9</v>
      </c>
      <c r="AA19" s="339">
        <f ca="1">COUNTIF(INDIRECT(_xlfn.XLOOKUP($X19,Data!$E:$E,Data!$M:$M)&amp;"!t_"&amp;$X19&amp;"[Rank]"),AA$17)</f>
        <v>0</v>
      </c>
      <c r="AB19" s="339">
        <f ca="1">COUNTIF(INDIRECT(_xlfn.XLOOKUP($X19,Data!$E:$E,Data!$M:$M)&amp;"!t_"&amp;$X19&amp;"[Rank]"),AB$17)</f>
        <v>1</v>
      </c>
      <c r="AC19" s="339">
        <f ca="1">COUNTIF(INDIRECT(_xlfn.XLOOKUP($X19,Data!$E:$E,Data!$M:$M)&amp;"!t_"&amp;$X19&amp;"[Rank]"),AC$17)</f>
        <v>3</v>
      </c>
      <c r="AD19" s="339">
        <f ca="1">COUNTIF(INDIRECT(_xlfn.XLOOKUP($X19,Data!$E:$E,Data!$M:$M)&amp;"!t_"&amp;$X19&amp;"[Rank]"),AD$17)</f>
        <v>2</v>
      </c>
      <c r="AE19" s="339">
        <f ca="1">COUNTIF(INDIRECT(_xlfn.XLOOKUP($X19,Data!$E:$E,Data!$M:$M)&amp;"!t_"&amp;$X19&amp;"[Rank]"),AE$17)</f>
        <v>3</v>
      </c>
      <c r="AF19" s="339">
        <f ca="1">COUNTIF(INDIRECT(_xlfn.XLOOKUP($X19,Data!$E:$E,Data!$M:$M)&amp;"!t_"&amp;$X19&amp;"[Rank]"),AF$17)</f>
        <v>3</v>
      </c>
      <c r="AG19" s="340">
        <f ca="1">COUNTIF(INDIRECT(_xlfn.XLOOKUP($X19,Data!$E:$E,Data!$M:$M)&amp;"!t_"&amp;$X19&amp;"[Rank]"),AG$17)</f>
        <v>1</v>
      </c>
      <c r="AI19" s="894" t="s">
        <v>25</v>
      </c>
      <c r="AJ19" s="682">
        <f>COUNTIFS(Kuponger!$BW$8:$BY$934,Tabeller!$AA$29)</f>
        <v>37</v>
      </c>
      <c r="AK19" s="682">
        <f>COUNTIFS(Kuponger!$BS$8:$BU$934,Tabeller!$AA$29)</f>
        <v>56</v>
      </c>
      <c r="AL19" s="898">
        <f t="shared" si="13"/>
        <v>0.6607142857142857</v>
      </c>
      <c r="AN19" s="45"/>
      <c r="AO19" s="45"/>
      <c r="AP19" s="46"/>
      <c r="AQ19" s="642">
        <f ca="1"/>
        <v>15</v>
      </c>
      <c r="AR19" s="632">
        <f ca="1"/>
        <v>46004</v>
      </c>
      <c r="AS19" s="630">
        <f ca="1"/>
        <v>500</v>
      </c>
      <c r="AT19" s="630">
        <f ca="1"/>
        <v>20</v>
      </c>
      <c r="AU19" s="628">
        <f ca="1"/>
        <v>20</v>
      </c>
      <c r="AV19" s="628" t="str">
        <f ca="1"/>
        <v/>
      </c>
      <c r="AW19" s="628">
        <f ca="1"/>
        <v>540</v>
      </c>
      <c r="AX19" s="628">
        <f ca="1"/>
        <v>7</v>
      </c>
      <c r="AY19" s="643">
        <f ca="1"/>
        <v>-40</v>
      </c>
      <c r="AZ19" s="27"/>
      <c r="BA19" s="27"/>
      <c r="BB19" s="27"/>
      <c r="BC19" s="689">
        <f t="shared" ca="1" si="8"/>
        <v>46004</v>
      </c>
      <c r="BD19" s="658">
        <f ca="1"/>
        <v>450</v>
      </c>
      <c r="BE19" s="630">
        <f ca="1"/>
        <v>50</v>
      </c>
      <c r="BF19" s="628">
        <f ca="1"/>
        <v>20</v>
      </c>
      <c r="BG19" s="628" t="str">
        <f ca="1"/>
        <v/>
      </c>
      <c r="BH19" s="657">
        <f ca="1"/>
        <v>520</v>
      </c>
      <c r="BJ19" s="658">
        <f ca="1"/>
        <v>510</v>
      </c>
      <c r="BK19" s="630">
        <f ca="1"/>
        <v>50</v>
      </c>
      <c r="BL19" s="628">
        <f ca="1"/>
        <v>70</v>
      </c>
      <c r="BM19" s="628" t="str">
        <f ca="1"/>
        <v/>
      </c>
      <c r="BN19" s="657">
        <f ca="1"/>
        <v>630</v>
      </c>
      <c r="CJ19" s="47"/>
      <c r="CK19" s="47"/>
      <c r="CL19" s="47"/>
      <c r="CM19" s="47"/>
      <c r="CN19" s="47"/>
      <c r="CP19" s="47"/>
      <c r="CQ19" s="47"/>
      <c r="CR19" s="47"/>
    </row>
    <row r="20" spans="1:113" ht="13.5" thickBot="1" x14ac:dyDescent="0.25">
      <c r="A20" s="43"/>
      <c r="B20" s="49"/>
      <c r="C20" s="313" t="str">
        <f>Data!E13</f>
        <v>EB</v>
      </c>
      <c r="D20" s="416">
        <f t="shared" ca="1" si="14"/>
        <v>680</v>
      </c>
      <c r="E20" s="315">
        <f t="shared" ca="1" si="15"/>
        <v>660</v>
      </c>
      <c r="F20" s="358">
        <f t="shared" ca="1" si="16"/>
        <v>640</v>
      </c>
      <c r="G20" s="61"/>
      <c r="H20" s="313" t="str">
        <f>Data!E13</f>
        <v>EB</v>
      </c>
      <c r="I20" s="358">
        <f t="shared" ca="1" si="17"/>
        <v>2</v>
      </c>
      <c r="K20" s="313" t="str">
        <f>Data!E18</f>
        <v>UTG</v>
      </c>
      <c r="L20" s="358">
        <f t="shared" ca="1" si="9"/>
        <v>519.375</v>
      </c>
      <c r="M20" s="355"/>
      <c r="N20" s="356"/>
      <c r="O20" s="313" t="str">
        <f>Data!E11</f>
        <v>AHH</v>
      </c>
      <c r="P20" s="323">
        <f t="shared" ca="1" si="10"/>
        <v>570</v>
      </c>
      <c r="Q20" s="52"/>
      <c r="R20" s="313" t="str">
        <f>Data!E18</f>
        <v>UTG</v>
      </c>
      <c r="S20" s="315">
        <f t="shared" ca="1" si="11"/>
        <v>16620</v>
      </c>
      <c r="T20" s="315">
        <f t="shared" ca="1" si="12"/>
        <v>700</v>
      </c>
      <c r="U20" s="867">
        <f t="shared" ca="1" si="18"/>
        <v>430</v>
      </c>
      <c r="V20" s="61"/>
      <c r="W20" s="85"/>
      <c r="X20" s="332" t="str">
        <f>Data!E13</f>
        <v>EB</v>
      </c>
      <c r="Y20" s="339">
        <f ca="1">COUNTIF(INDIRECT(_xlfn.XLOOKUP($X20,Data!$E:$E,Data!$M:$M)&amp;"!t_"&amp;$X20&amp;"[Rank]"),Y$17)</f>
        <v>2</v>
      </c>
      <c r="Z20" s="339">
        <f ca="1">COUNTIF(INDIRECT(_xlfn.XLOOKUP($X20,Data!$E:$E,Data!$M:$M)&amp;"!t_"&amp;$X20&amp;"[Rank]"),Z$17)</f>
        <v>2</v>
      </c>
      <c r="AA20" s="339">
        <f ca="1">COUNTIF(INDIRECT(_xlfn.XLOOKUP($X20,Data!$E:$E,Data!$M:$M)&amp;"!t_"&amp;$X20&amp;"[Rank]"),AA$17)</f>
        <v>3</v>
      </c>
      <c r="AB20" s="339">
        <f ca="1">COUNTIF(INDIRECT(_xlfn.XLOOKUP($X20,Data!$E:$E,Data!$M:$M)&amp;"!t_"&amp;$X20&amp;"[Rank]"),AB$17)</f>
        <v>5</v>
      </c>
      <c r="AC20" s="339">
        <f ca="1">COUNTIF(INDIRECT(_xlfn.XLOOKUP($X20,Data!$E:$E,Data!$M:$M)&amp;"!t_"&amp;$X20&amp;"[Rank]"),AC$17)</f>
        <v>3</v>
      </c>
      <c r="AD20" s="339">
        <f ca="1">COUNTIF(INDIRECT(_xlfn.XLOOKUP($X20,Data!$E:$E,Data!$M:$M)&amp;"!t_"&amp;$X20&amp;"[Rank]"),AD$17)</f>
        <v>3</v>
      </c>
      <c r="AE20" s="339">
        <f ca="1">COUNTIF(INDIRECT(_xlfn.XLOOKUP($X20,Data!$E:$E,Data!$M:$M)&amp;"!t_"&amp;$X20&amp;"[Rank]"),AE$17)</f>
        <v>6</v>
      </c>
      <c r="AF20" s="339">
        <f ca="1">COUNTIF(INDIRECT(_xlfn.XLOOKUP($X20,Data!$E:$E,Data!$M:$M)&amp;"!t_"&amp;$X20&amp;"[Rank]"),AF$17)</f>
        <v>6</v>
      </c>
      <c r="AG20" s="340">
        <f ca="1">COUNTIF(INDIRECT(_xlfn.XLOOKUP($X20,Data!$E:$E,Data!$M:$M)&amp;"!t_"&amp;$X20&amp;"[Rank]"),AG$17)</f>
        <v>2</v>
      </c>
      <c r="AI20" s="894" t="s">
        <v>26</v>
      </c>
      <c r="AJ20" s="682">
        <f>COUNTIFS(Kuponger!$CF$8:$CH$934,Tabeller!$AA$29)</f>
        <v>45</v>
      </c>
      <c r="AK20" s="682">
        <f>COUNTIFS(Kuponger!$CB$8:$CD$934,Tabeller!$AA$29)</f>
        <v>96</v>
      </c>
      <c r="AL20" s="898">
        <f t="shared" si="13"/>
        <v>0.46875</v>
      </c>
      <c r="AN20" s="59"/>
      <c r="AO20" s="56"/>
      <c r="AP20" s="56"/>
      <c r="AQ20" s="645">
        <f ca="1"/>
        <v>16</v>
      </c>
      <c r="AR20" s="631">
        <f ca="1"/>
        <v>46032</v>
      </c>
      <c r="AS20" s="633">
        <f ca="1"/>
        <v>410</v>
      </c>
      <c r="AT20" s="630">
        <f ca="1"/>
        <v>20</v>
      </c>
      <c r="AU20" s="628">
        <f ca="1"/>
        <v>250</v>
      </c>
      <c r="AV20" s="628" t="str">
        <f ca="1"/>
        <v/>
      </c>
      <c r="AW20" s="628">
        <f ca="1"/>
        <v>680</v>
      </c>
      <c r="AX20" s="628">
        <f ca="1"/>
        <v>1</v>
      </c>
      <c r="AY20" s="643">
        <f ca="1"/>
        <v>140</v>
      </c>
      <c r="AZ20" s="27"/>
      <c r="BA20" s="27"/>
      <c r="BB20" s="27"/>
      <c r="BC20" s="690">
        <f t="shared" ca="1" si="8"/>
        <v>46032</v>
      </c>
      <c r="BD20" s="660">
        <f ca="1"/>
        <v>300</v>
      </c>
      <c r="BE20" s="630">
        <f ca="1"/>
        <v>40</v>
      </c>
      <c r="BF20" s="628">
        <f ca="1"/>
        <v>230</v>
      </c>
      <c r="BG20" s="628" t="str">
        <f ca="1"/>
        <v/>
      </c>
      <c r="BH20" s="657">
        <f ca="1"/>
        <v>570</v>
      </c>
      <c r="BJ20" s="660">
        <f ca="1"/>
        <v>320</v>
      </c>
      <c r="BK20" s="630">
        <f ca="1"/>
        <v>60</v>
      </c>
      <c r="BL20" s="628">
        <f ca="1"/>
        <v>260</v>
      </c>
      <c r="BM20" s="628" t="str">
        <f ca="1"/>
        <v/>
      </c>
      <c r="BN20" s="657">
        <f ca="1"/>
        <v>640</v>
      </c>
      <c r="CJ20" s="47"/>
      <c r="CK20" s="47"/>
      <c r="CL20" s="47"/>
      <c r="CM20" s="47"/>
      <c r="CN20" s="47"/>
      <c r="CP20" s="47"/>
      <c r="CQ20" s="47"/>
      <c r="CR20" s="47"/>
    </row>
    <row r="21" spans="1:113" ht="13.5" thickBot="1" x14ac:dyDescent="0.25">
      <c r="A21" s="43"/>
      <c r="B21" s="49"/>
      <c r="C21" s="313" t="str">
        <f>Data!E14</f>
        <v>KAF</v>
      </c>
      <c r="D21" s="416">
        <f t="shared" ca="1" si="14"/>
        <v>640</v>
      </c>
      <c r="E21" s="315">
        <f t="shared" ca="1" si="15"/>
        <v>640</v>
      </c>
      <c r="F21" s="358">
        <f t="shared" ca="1" si="16"/>
        <v>640</v>
      </c>
      <c r="G21" s="61"/>
      <c r="H21" s="313" t="str">
        <f>Data!E14</f>
        <v>KAF</v>
      </c>
      <c r="I21" s="358">
        <f t="shared" ca="1" si="17"/>
        <v>1</v>
      </c>
      <c r="K21" s="313" t="str">
        <f>Data!E16</f>
        <v>JH</v>
      </c>
      <c r="L21" s="358">
        <f t="shared" ca="1" si="9"/>
        <v>510.3125</v>
      </c>
      <c r="M21" s="355"/>
      <c r="N21" s="356"/>
      <c r="O21" s="313" t="str">
        <f>Data!E17</f>
        <v>TOH</v>
      </c>
      <c r="P21" s="323">
        <f t="shared" ca="1" si="10"/>
        <v>570</v>
      </c>
      <c r="Q21" s="52"/>
      <c r="R21" s="313" t="str">
        <f>Data!E16</f>
        <v>JH</v>
      </c>
      <c r="S21" s="315">
        <f t="shared" ca="1" si="11"/>
        <v>16330</v>
      </c>
      <c r="T21" s="315">
        <f t="shared" ca="1" si="12"/>
        <v>990</v>
      </c>
      <c r="U21" s="867">
        <f t="shared" ca="1" si="18"/>
        <v>290</v>
      </c>
      <c r="V21" s="61"/>
      <c r="W21" s="85"/>
      <c r="X21" s="330" t="str">
        <f>Data!E14</f>
        <v>KAF</v>
      </c>
      <c r="Y21" s="339">
        <f ca="1">COUNTIF(INDIRECT(_xlfn.XLOOKUP($X21,Data!$E:$E,Data!$M:$M)&amp;"!t_"&amp;$X21&amp;"[Rank]"),Y$17)</f>
        <v>1</v>
      </c>
      <c r="Z21" s="339">
        <f ca="1">COUNTIF(INDIRECT(_xlfn.XLOOKUP($X21,Data!$E:$E,Data!$M:$M)&amp;"!t_"&amp;$X21&amp;"[Rank]"),Z$17)</f>
        <v>6</v>
      </c>
      <c r="AA21" s="339">
        <f ca="1">COUNTIF(INDIRECT(_xlfn.XLOOKUP($X21,Data!$E:$E,Data!$M:$M)&amp;"!t_"&amp;$X21&amp;"[Rank]"),AA$17)</f>
        <v>6</v>
      </c>
      <c r="AB21" s="339">
        <f ca="1">COUNTIF(INDIRECT(_xlfn.XLOOKUP($X21,Data!$E:$E,Data!$M:$M)&amp;"!t_"&amp;$X21&amp;"[Rank]"),AB$17)</f>
        <v>1</v>
      </c>
      <c r="AC21" s="339">
        <f ca="1">COUNTIF(INDIRECT(_xlfn.XLOOKUP($X21,Data!$E:$E,Data!$M:$M)&amp;"!t_"&amp;$X21&amp;"[Rank]"),AC$17)</f>
        <v>6</v>
      </c>
      <c r="AD21" s="339">
        <f ca="1">COUNTIF(INDIRECT(_xlfn.XLOOKUP($X21,Data!$E:$E,Data!$M:$M)&amp;"!t_"&amp;$X21&amp;"[Rank]"),AD$17)</f>
        <v>4</v>
      </c>
      <c r="AE21" s="339">
        <f ca="1">COUNTIF(INDIRECT(_xlfn.XLOOKUP($X21,Data!$E:$E,Data!$M:$M)&amp;"!t_"&amp;$X21&amp;"[Rank]"),AE$17)</f>
        <v>0</v>
      </c>
      <c r="AF21" s="339">
        <f ca="1">COUNTIF(INDIRECT(_xlfn.XLOOKUP($X21,Data!$E:$E,Data!$M:$M)&amp;"!t_"&amp;$X21&amp;"[Rank]"),AF$17)</f>
        <v>5</v>
      </c>
      <c r="AG21" s="340">
        <f ca="1">COUNTIF(INDIRECT(_xlfn.XLOOKUP($X21,Data!$E:$E,Data!$M:$M)&amp;"!t_"&amp;$X21&amp;"[Rank]"),AG$17)</f>
        <v>3</v>
      </c>
      <c r="AI21" s="894" t="s">
        <v>21</v>
      </c>
      <c r="AJ21" s="682">
        <f>COUNTIFS(Kuponger!$AM$8:$AO$934,Tabeller!$AA$29)</f>
        <v>23</v>
      </c>
      <c r="AK21" s="682">
        <f>COUNTIFS(Kuponger!$AI$8:$AK$934,Tabeller!$AA$29)</f>
        <v>57</v>
      </c>
      <c r="AL21" s="898">
        <f t="shared" si="13"/>
        <v>0.40350877192982454</v>
      </c>
      <c r="AN21" s="46"/>
      <c r="AO21" s="63"/>
      <c r="AP21" s="63"/>
      <c r="AQ21" s="642">
        <f ca="1"/>
        <v>17</v>
      </c>
      <c r="AR21" s="632">
        <f ca="1"/>
        <v>46039</v>
      </c>
      <c r="AS21" s="630">
        <f ca="1"/>
        <v>320</v>
      </c>
      <c r="AT21" s="628">
        <f ca="1"/>
        <v>50</v>
      </c>
      <c r="AU21" s="628">
        <f ca="1"/>
        <v>130</v>
      </c>
      <c r="AV21" s="628" t="str">
        <f ca="1"/>
        <v/>
      </c>
      <c r="AW21" s="628">
        <f ca="1"/>
        <v>500</v>
      </c>
      <c r="AX21" s="628">
        <f ca="1"/>
        <v>1</v>
      </c>
      <c r="AY21" s="643">
        <f ca="1"/>
        <v>-180</v>
      </c>
      <c r="AZ21" s="27"/>
      <c r="BA21" s="27"/>
      <c r="BB21" s="27"/>
      <c r="BC21" s="689">
        <f t="shared" ca="1" si="8"/>
        <v>46039</v>
      </c>
      <c r="BD21" s="658">
        <f ca="1"/>
        <v>180</v>
      </c>
      <c r="BE21" s="628">
        <f ca="1"/>
        <v>180</v>
      </c>
      <c r="BF21" s="628">
        <f ca="1"/>
        <v>70</v>
      </c>
      <c r="BG21" s="628" t="str">
        <f ca="1"/>
        <v/>
      </c>
      <c r="BH21" s="657">
        <f ca="1"/>
        <v>430</v>
      </c>
      <c r="BJ21" s="658">
        <f ca="1"/>
        <v>90</v>
      </c>
      <c r="BK21" s="628">
        <f ca="1"/>
        <v>90</v>
      </c>
      <c r="BL21" s="628">
        <f ca="1"/>
        <v>30</v>
      </c>
      <c r="BM21" s="628" t="str">
        <f ca="1"/>
        <v/>
      </c>
      <c r="BN21" s="657">
        <f ca="1"/>
        <v>210</v>
      </c>
      <c r="CJ21" s="47"/>
      <c r="CK21" s="47"/>
      <c r="CL21" s="47"/>
      <c r="CM21" s="47"/>
      <c r="CN21" s="47"/>
      <c r="CP21" s="47"/>
      <c r="CQ21" s="47"/>
      <c r="CR21" s="47"/>
    </row>
    <row r="22" spans="1:113" ht="13.5" thickBot="1" x14ac:dyDescent="0.25">
      <c r="A22" s="43"/>
      <c r="B22" s="49"/>
      <c r="C22" s="313" t="str">
        <f>Data!E15</f>
        <v>ØG</v>
      </c>
      <c r="D22" s="416">
        <f t="shared" ca="1" si="14"/>
        <v>820</v>
      </c>
      <c r="E22" s="315">
        <f t="shared" ca="1" si="15"/>
        <v>760</v>
      </c>
      <c r="F22" s="358">
        <f t="shared" ca="1" si="16"/>
        <v>680</v>
      </c>
      <c r="G22" s="61"/>
      <c r="H22" s="313" t="str">
        <f>Data!E15</f>
        <v>ØG</v>
      </c>
      <c r="I22" s="358">
        <f t="shared" ca="1" si="17"/>
        <v>11</v>
      </c>
      <c r="K22" s="313" t="str">
        <f>Data!E19</f>
        <v>LEV</v>
      </c>
      <c r="L22" s="358">
        <f t="shared" ca="1" si="9"/>
        <v>507.8125</v>
      </c>
      <c r="M22" s="355"/>
      <c r="N22" s="356"/>
      <c r="O22" s="313" t="str">
        <f>Data!E13</f>
        <v>EB</v>
      </c>
      <c r="P22" s="323">
        <f t="shared" ca="1" si="10"/>
        <v>560</v>
      </c>
      <c r="Q22" s="52"/>
      <c r="R22" s="313" t="str">
        <f>Data!E19</f>
        <v>LEV</v>
      </c>
      <c r="S22" s="315">
        <f t="shared" ca="1" si="11"/>
        <v>16250</v>
      </c>
      <c r="T22" s="315">
        <f t="shared" ca="1" si="12"/>
        <v>1070</v>
      </c>
      <c r="U22" s="867">
        <f t="shared" ca="1" si="18"/>
        <v>80</v>
      </c>
      <c r="V22" s="61"/>
      <c r="W22" s="85"/>
      <c r="X22" s="330" t="str">
        <f>Data!E15</f>
        <v>ØG</v>
      </c>
      <c r="Y22" s="339">
        <f ca="1">COUNTIF(INDIRECT(_xlfn.XLOOKUP($X22,Data!$E:$E,Data!$M:$M)&amp;"!t_"&amp;$X22&amp;"[Rank]"),Y$17)</f>
        <v>11</v>
      </c>
      <c r="Z22" s="339">
        <f ca="1">COUNTIF(INDIRECT(_xlfn.XLOOKUP($X22,Data!$E:$E,Data!$M:$M)&amp;"!t_"&amp;$X22&amp;"[Rank]"),Z$17)</f>
        <v>3</v>
      </c>
      <c r="AA22" s="339">
        <f ca="1">COUNTIF(INDIRECT(_xlfn.XLOOKUP($X22,Data!$E:$E,Data!$M:$M)&amp;"!t_"&amp;$X22&amp;"[Rank]"),AA$17)</f>
        <v>1</v>
      </c>
      <c r="AB22" s="339">
        <f ca="1">COUNTIF(INDIRECT(_xlfn.XLOOKUP($X22,Data!$E:$E,Data!$M:$M)&amp;"!t_"&amp;$X22&amp;"[Rank]"),AB$17)</f>
        <v>3</v>
      </c>
      <c r="AC22" s="339">
        <f ca="1">COUNTIF(INDIRECT(_xlfn.XLOOKUP($X22,Data!$E:$E,Data!$M:$M)&amp;"!t_"&amp;$X22&amp;"[Rank]"),AC$17)</f>
        <v>5</v>
      </c>
      <c r="AD22" s="339">
        <f ca="1">COUNTIF(INDIRECT(_xlfn.XLOOKUP($X22,Data!$E:$E,Data!$M:$M)&amp;"!t_"&amp;$X22&amp;"[Rank]"),AD$17)</f>
        <v>0</v>
      </c>
      <c r="AE22" s="339">
        <f ca="1">COUNTIF(INDIRECT(_xlfn.XLOOKUP($X22,Data!$E:$E,Data!$M:$M)&amp;"!t_"&amp;$X22&amp;"[Rank]"),AE$17)</f>
        <v>4</v>
      </c>
      <c r="AF22" s="339">
        <f ca="1">COUNTIF(INDIRECT(_xlfn.XLOOKUP($X22,Data!$E:$E,Data!$M:$M)&amp;"!t_"&amp;$X22&amp;"[Rank]"),AF$17)</f>
        <v>3</v>
      </c>
      <c r="AG22" s="340">
        <f ca="1">COUNTIF(INDIRECT(_xlfn.XLOOKUP($X22,Data!$E:$E,Data!$M:$M)&amp;"!t_"&amp;$X22&amp;"[Rank]"),AG$17)</f>
        <v>2</v>
      </c>
      <c r="AI22" s="894" t="s">
        <v>20</v>
      </c>
      <c r="AJ22" s="682">
        <f>COUNTIFS(Kuponger!$AD$8:$AF$934,Tabeller!$AA$29)</f>
        <v>0</v>
      </c>
      <c r="AK22" s="682">
        <f>COUNTIFS(Kuponger!$Z$8:$AB$934,Tabeller!$AA$29)</f>
        <v>0</v>
      </c>
      <c r="AL22" s="898" t="e">
        <f t="shared" si="13"/>
        <v>#DIV/0!</v>
      </c>
      <c r="AN22" s="46"/>
      <c r="AO22" s="63"/>
      <c r="AP22" s="63"/>
      <c r="AQ22" s="642">
        <f ca="1"/>
        <v>18</v>
      </c>
      <c r="AR22" s="632">
        <f ca="1"/>
        <v>46046</v>
      </c>
      <c r="AS22" s="634">
        <f ca="1"/>
        <v>340</v>
      </c>
      <c r="AT22" s="628">
        <f ca="1"/>
        <v>40</v>
      </c>
      <c r="AU22" s="628">
        <f ca="1"/>
        <v>20</v>
      </c>
      <c r="AV22" s="628" t="str">
        <f ca="1"/>
        <v/>
      </c>
      <c r="AW22" s="628">
        <f ca="1"/>
        <v>400</v>
      </c>
      <c r="AX22" s="628">
        <f ca="1"/>
        <v>8</v>
      </c>
      <c r="AY22" s="643">
        <f ca="1"/>
        <v>-100</v>
      </c>
      <c r="AZ22" s="27"/>
      <c r="BA22" s="27"/>
      <c r="BB22" s="27"/>
      <c r="BC22" s="691">
        <f t="shared" ca="1" si="8"/>
        <v>46046</v>
      </c>
      <c r="BD22" s="662">
        <f ca="1"/>
        <v>270</v>
      </c>
      <c r="BE22" s="628">
        <f ca="1"/>
        <v>150</v>
      </c>
      <c r="BF22" s="628">
        <f ca="1"/>
        <v>30</v>
      </c>
      <c r="BG22" s="628" t="str">
        <f ca="1"/>
        <v/>
      </c>
      <c r="BH22" s="657">
        <f ca="1"/>
        <v>450</v>
      </c>
      <c r="BJ22" s="662">
        <f ca="1"/>
        <v>270</v>
      </c>
      <c r="BK22" s="628">
        <f ca="1"/>
        <v>100</v>
      </c>
      <c r="BL22" s="628">
        <f ca="1"/>
        <v>40</v>
      </c>
      <c r="BM22" s="628" t="str">
        <f ca="1"/>
        <v/>
      </c>
      <c r="BN22" s="657">
        <f ca="1"/>
        <v>410</v>
      </c>
      <c r="CJ22" s="47"/>
      <c r="CK22" s="47"/>
      <c r="CL22" s="47"/>
      <c r="CM22" s="47"/>
      <c r="CN22" s="47"/>
      <c r="CP22" s="47"/>
      <c r="CQ22" s="47"/>
      <c r="CR22" s="47"/>
    </row>
    <row r="23" spans="1:113" ht="13.5" thickBot="1" x14ac:dyDescent="0.25">
      <c r="A23" s="43"/>
      <c r="B23" s="49"/>
      <c r="C23" s="313" t="str">
        <f>Data!E16</f>
        <v>JH</v>
      </c>
      <c r="D23" s="416">
        <f t="shared" ca="1" si="14"/>
        <v>730</v>
      </c>
      <c r="E23" s="315">
        <f t="shared" ca="1" si="15"/>
        <v>700</v>
      </c>
      <c r="F23" s="358">
        <f t="shared" ca="1" si="16"/>
        <v>660</v>
      </c>
      <c r="G23" s="61"/>
      <c r="H23" s="313" t="str">
        <f>Data!E16</f>
        <v>JH</v>
      </c>
      <c r="I23" s="358">
        <f t="shared" ca="1" si="17"/>
        <v>5</v>
      </c>
      <c r="K23" s="313" t="str">
        <f>Data!E14</f>
        <v>KAF</v>
      </c>
      <c r="L23" s="358">
        <f t="shared" ca="1" si="9"/>
        <v>507.1875</v>
      </c>
      <c r="M23" s="355"/>
      <c r="N23" s="356"/>
      <c r="O23" s="313" t="str">
        <f>Data!E14</f>
        <v>KAF</v>
      </c>
      <c r="P23" s="323">
        <f t="shared" ca="1" si="10"/>
        <v>560</v>
      </c>
      <c r="Q23" s="52"/>
      <c r="R23" s="313" t="str">
        <f>Data!E14</f>
        <v>KAF</v>
      </c>
      <c r="S23" s="315">
        <f t="shared" ca="1" si="11"/>
        <v>16230</v>
      </c>
      <c r="T23" s="315">
        <f t="shared" ca="1" si="12"/>
        <v>1090</v>
      </c>
      <c r="U23" s="867">
        <f t="shared" ca="1" si="18"/>
        <v>20</v>
      </c>
      <c r="V23" s="61"/>
      <c r="W23" s="85"/>
      <c r="X23" s="330" t="str">
        <f>Data!E16</f>
        <v>JH</v>
      </c>
      <c r="Y23" s="339">
        <f ca="1">COUNTIF(INDIRECT(_xlfn.XLOOKUP($X23,Data!$E:$E,Data!$M:$M)&amp;"!t_"&amp;$X23&amp;"[Rank]"),Y$17)</f>
        <v>5</v>
      </c>
      <c r="Z23" s="339">
        <f ca="1">COUNTIF(INDIRECT(_xlfn.XLOOKUP($X23,Data!$E:$E,Data!$M:$M)&amp;"!t_"&amp;$X23&amp;"[Rank]"),Z$17)</f>
        <v>8</v>
      </c>
      <c r="AA23" s="339">
        <f ca="1">COUNTIF(INDIRECT(_xlfn.XLOOKUP($X23,Data!$E:$E,Data!$M:$M)&amp;"!t_"&amp;$X23&amp;"[Rank]"),AA$17)</f>
        <v>2</v>
      </c>
      <c r="AB23" s="339">
        <f ca="1">COUNTIF(INDIRECT(_xlfn.XLOOKUP($X23,Data!$E:$E,Data!$M:$M)&amp;"!t_"&amp;$X23&amp;"[Rank]"),AB$17)</f>
        <v>0</v>
      </c>
      <c r="AC23" s="339">
        <f ca="1">COUNTIF(INDIRECT(_xlfn.XLOOKUP($X23,Data!$E:$E,Data!$M:$M)&amp;"!t_"&amp;$X23&amp;"[Rank]"),AC$17)</f>
        <v>0</v>
      </c>
      <c r="AD23" s="339">
        <f ca="1">COUNTIF(INDIRECT(_xlfn.XLOOKUP($X23,Data!$E:$E,Data!$M:$M)&amp;"!t_"&amp;$X23&amp;"[Rank]"),AD$17)</f>
        <v>6</v>
      </c>
      <c r="AE23" s="339">
        <f ca="1">COUNTIF(INDIRECT(_xlfn.XLOOKUP($X23,Data!$E:$E,Data!$M:$M)&amp;"!t_"&amp;$X23&amp;"[Rank]"),AE$17)</f>
        <v>2</v>
      </c>
      <c r="AF23" s="339">
        <f ca="1">COUNTIF(INDIRECT(_xlfn.XLOOKUP($X23,Data!$E:$E,Data!$M:$M)&amp;"!t_"&amp;$X23&amp;"[Rank]"),AF$17)</f>
        <v>5</v>
      </c>
      <c r="AG23" s="340">
        <f ca="1">COUNTIF(INDIRECT(_xlfn.XLOOKUP($X23,Data!$E:$E,Data!$M:$M)&amp;"!t_"&amp;$X23&amp;"[Rank]"),AG$17)</f>
        <v>4</v>
      </c>
      <c r="AI23" s="894" t="s">
        <v>23</v>
      </c>
      <c r="AJ23" s="682">
        <f>COUNTIFS(Kuponger!$BE$8:$BG$934,Tabeller!$AA$29)</f>
        <v>0</v>
      </c>
      <c r="AK23" s="682">
        <f>COUNTIFS(Kuponger!$BA$8:$BC$934,Tabeller!$AA$29)</f>
        <v>1</v>
      </c>
      <c r="AL23" s="898">
        <f t="shared" si="13"/>
        <v>0</v>
      </c>
      <c r="AN23" s="46"/>
      <c r="AO23" s="63"/>
      <c r="AP23" s="63"/>
      <c r="AQ23" s="642">
        <f ca="1"/>
        <v>19</v>
      </c>
      <c r="AR23" s="632">
        <f ca="1"/>
        <v>46053</v>
      </c>
      <c r="AS23" s="634">
        <f ca="1"/>
        <v>330</v>
      </c>
      <c r="AT23" s="628">
        <f ca="1"/>
        <v>30</v>
      </c>
      <c r="AU23" s="628">
        <f ca="1"/>
        <v>250</v>
      </c>
      <c r="AV23" s="628" t="str">
        <f ca="1"/>
        <v/>
      </c>
      <c r="AW23" s="628">
        <f ca="1"/>
        <v>610</v>
      </c>
      <c r="AX23" s="628">
        <f ca="1"/>
        <v>1</v>
      </c>
      <c r="AY23" s="643">
        <f ca="1"/>
        <v>210</v>
      </c>
      <c r="AZ23" s="27"/>
      <c r="BA23" s="27"/>
      <c r="BB23" s="27"/>
      <c r="BC23" s="691">
        <f t="shared" ca="1" si="8"/>
        <v>46053</v>
      </c>
      <c r="BD23" s="662">
        <f ca="1"/>
        <v>210</v>
      </c>
      <c r="BE23" s="628">
        <f ca="1"/>
        <v>110</v>
      </c>
      <c r="BF23" s="628">
        <f ca="1"/>
        <v>180</v>
      </c>
      <c r="BG23" s="628" t="str">
        <f ca="1"/>
        <v/>
      </c>
      <c r="BH23" s="657">
        <f ca="1"/>
        <v>500</v>
      </c>
      <c r="BJ23" s="662">
        <f ca="1"/>
        <v>160</v>
      </c>
      <c r="BK23" s="628">
        <f ca="1"/>
        <v>50</v>
      </c>
      <c r="BL23" s="628">
        <f ca="1"/>
        <v>200</v>
      </c>
      <c r="BM23" s="628" t="str">
        <f ca="1"/>
        <v/>
      </c>
      <c r="BN23" s="657">
        <f ca="1"/>
        <v>410</v>
      </c>
      <c r="CG23" s="49"/>
      <c r="CK23" s="47"/>
      <c r="CL23" s="47"/>
      <c r="CM23" s="47"/>
      <c r="CN23" s="47"/>
      <c r="CP23" s="47"/>
      <c r="CQ23" s="47"/>
      <c r="CR23" s="47"/>
    </row>
    <row r="24" spans="1:113" ht="13.5" thickBot="1" x14ac:dyDescent="0.25">
      <c r="A24" s="43"/>
      <c r="B24" s="49"/>
      <c r="C24" s="313" t="str">
        <f>Data!E17</f>
        <v>TOH</v>
      </c>
      <c r="D24" s="416">
        <f t="shared" ca="1" si="14"/>
        <v>620</v>
      </c>
      <c r="E24" s="315">
        <f t="shared" ca="1" si="15"/>
        <v>620</v>
      </c>
      <c r="F24" s="358">
        <f t="shared" ca="1" si="16"/>
        <v>590</v>
      </c>
      <c r="G24" s="61"/>
      <c r="H24" s="313" t="str">
        <f>Data!E17</f>
        <v>TOH</v>
      </c>
      <c r="I24" s="358">
        <f t="shared" ca="1" si="17"/>
        <v>1</v>
      </c>
      <c r="J24" s="47"/>
      <c r="K24" s="313" t="str">
        <f>Data!E13</f>
        <v>EB</v>
      </c>
      <c r="L24" s="358">
        <f t="shared" ca="1" si="9"/>
        <v>497.5</v>
      </c>
      <c r="M24" s="355"/>
      <c r="N24" s="356"/>
      <c r="O24" s="313" t="str">
        <f>Data!E18</f>
        <v>UTG</v>
      </c>
      <c r="P24" s="358">
        <f t="shared" ca="1" si="10"/>
        <v>560</v>
      </c>
      <c r="Q24" s="52"/>
      <c r="R24" s="313" t="str">
        <f>Data!E13</f>
        <v>EB</v>
      </c>
      <c r="S24" s="315">
        <f t="shared" ca="1" si="11"/>
        <v>15920</v>
      </c>
      <c r="T24" s="315">
        <f t="shared" ca="1" si="12"/>
        <v>1400</v>
      </c>
      <c r="U24" s="867">
        <f t="shared" ca="1" si="18"/>
        <v>310</v>
      </c>
      <c r="V24" s="61"/>
      <c r="W24" s="85"/>
      <c r="X24" s="330" t="str">
        <f>Data!E17</f>
        <v>TOH</v>
      </c>
      <c r="Y24" s="339">
        <f ca="1">COUNTIF(INDIRECT(_xlfn.XLOOKUP($X24,Data!$E:$E,Data!$M:$M)&amp;"!t_"&amp;$X24&amp;"[Rank]"),Y$17)</f>
        <v>1</v>
      </c>
      <c r="Z24" s="339">
        <f ca="1">COUNTIF(INDIRECT(_xlfn.XLOOKUP($X24,Data!$E:$E,Data!$M:$M)&amp;"!t_"&amp;$X24&amp;"[Rank]"),Z$17)</f>
        <v>3</v>
      </c>
      <c r="AA24" s="339">
        <f ca="1">COUNTIF(INDIRECT(_xlfn.XLOOKUP($X24,Data!$E:$E,Data!$M:$M)&amp;"!t_"&amp;$X24&amp;"[Rank]"),AA$17)</f>
        <v>6</v>
      </c>
      <c r="AB24" s="339">
        <f ca="1">COUNTIF(INDIRECT(_xlfn.XLOOKUP($X24,Data!$E:$E,Data!$M:$M)&amp;"!t_"&amp;$X24&amp;"[Rank]"),AB$17)</f>
        <v>3</v>
      </c>
      <c r="AC24" s="339">
        <f ca="1">COUNTIF(INDIRECT(_xlfn.XLOOKUP($X24,Data!$E:$E,Data!$M:$M)&amp;"!t_"&amp;$X24&amp;"[Rank]"),AC$17)</f>
        <v>2</v>
      </c>
      <c r="AD24" s="339">
        <f ca="1">COUNTIF(INDIRECT(_xlfn.XLOOKUP($X24,Data!$E:$E,Data!$M:$M)&amp;"!t_"&amp;$X24&amp;"[Rank]"),AD$17)</f>
        <v>1</v>
      </c>
      <c r="AE24" s="339">
        <f ca="1">COUNTIF(INDIRECT(_xlfn.XLOOKUP($X24,Data!$E:$E,Data!$M:$M)&amp;"!t_"&amp;$X24&amp;"[Rank]"),AE$17)</f>
        <v>4</v>
      </c>
      <c r="AF24" s="339">
        <f ca="1">COUNTIF(INDIRECT(_xlfn.XLOOKUP($X24,Data!$E:$E,Data!$M:$M)&amp;"!t_"&amp;$X24&amp;"[Rank]"),AF$17)</f>
        <v>4</v>
      </c>
      <c r="AG24" s="340">
        <f ca="1">COUNTIF(INDIRECT(_xlfn.XLOOKUP($X24,Data!$E:$E,Data!$M:$M)&amp;"!t_"&amp;$X24&amp;"[Rank]"),AG$17)</f>
        <v>8</v>
      </c>
      <c r="AI24" s="925" t="s">
        <v>22</v>
      </c>
      <c r="AJ24" s="683">
        <f>COUNTIFS(Kuponger!$AV$8:$AX$934,Tabeller!$AA$29)</f>
        <v>4</v>
      </c>
      <c r="AK24" s="683">
        <f>COUNTIFS(Kuponger!$AR$8:$AT$934,Tabeller!$AA$29)</f>
        <v>18</v>
      </c>
      <c r="AL24" s="898">
        <f t="shared" si="13"/>
        <v>0.22222222222222221</v>
      </c>
      <c r="AN24" s="46"/>
      <c r="AO24" s="63"/>
      <c r="AP24" s="63"/>
      <c r="AQ24" s="642">
        <f ca="1"/>
        <v>20</v>
      </c>
      <c r="AR24" s="632">
        <f ca="1"/>
        <v>46060</v>
      </c>
      <c r="AS24" s="634">
        <f ca="1"/>
        <v>240</v>
      </c>
      <c r="AT24" s="628">
        <f ca="1"/>
        <v>30</v>
      </c>
      <c r="AU24" s="628">
        <f ca="1"/>
        <v>200</v>
      </c>
      <c r="AV24" s="628" t="str">
        <f ca="1"/>
        <v/>
      </c>
      <c r="AW24" s="628">
        <f ca="1"/>
        <v>470</v>
      </c>
      <c r="AX24" s="628">
        <f ca="1"/>
        <v>5</v>
      </c>
      <c r="AY24" s="643">
        <f ca="1"/>
        <v>-140</v>
      </c>
      <c r="AZ24" s="27"/>
      <c r="BA24" s="27"/>
      <c r="BB24" s="27"/>
      <c r="BC24" s="691">
        <f t="shared" ca="1" si="8"/>
        <v>46060</v>
      </c>
      <c r="BD24" s="662">
        <f ca="1"/>
        <v>190</v>
      </c>
      <c r="BE24" s="628">
        <f ca="1"/>
        <v>100</v>
      </c>
      <c r="BF24" s="628">
        <f ca="1"/>
        <v>200</v>
      </c>
      <c r="BG24" s="628" t="str">
        <f ca="1"/>
        <v/>
      </c>
      <c r="BH24" s="657">
        <f ca="1"/>
        <v>490</v>
      </c>
      <c r="BJ24" s="662">
        <f ca="1"/>
        <v>180</v>
      </c>
      <c r="BK24" s="628">
        <f ca="1"/>
        <v>70</v>
      </c>
      <c r="BL24" s="628">
        <f ca="1"/>
        <v>180</v>
      </c>
      <c r="BM24" s="628" t="str">
        <f ca="1"/>
        <v/>
      </c>
      <c r="BN24" s="657">
        <f ca="1"/>
        <v>430</v>
      </c>
      <c r="CG24" s="58"/>
      <c r="CH24" s="46"/>
      <c r="CI24" s="56"/>
      <c r="CJ24" s="56"/>
      <c r="CK24" s="47"/>
      <c r="CL24" s="47"/>
      <c r="CM24" s="47"/>
      <c r="CN24" s="47"/>
      <c r="CP24" s="47"/>
      <c r="CQ24" s="47"/>
      <c r="CR24" s="47"/>
    </row>
    <row r="25" spans="1:113" ht="13.5" thickBot="1" x14ac:dyDescent="0.25">
      <c r="A25" s="43"/>
      <c r="B25" s="49"/>
      <c r="C25" s="313" t="str">
        <f>Data!E18</f>
        <v>UTG</v>
      </c>
      <c r="D25" s="416">
        <f t="shared" ca="1" si="14"/>
        <v>680</v>
      </c>
      <c r="E25" s="315">
        <f t="shared" ca="1" si="15"/>
        <v>670</v>
      </c>
      <c r="F25" s="358">
        <f t="shared" ca="1" si="16"/>
        <v>660</v>
      </c>
      <c r="H25" s="313" t="str">
        <f>Data!E18</f>
        <v>UTG</v>
      </c>
      <c r="I25" s="358">
        <f t="shared" ca="1" si="17"/>
        <v>0</v>
      </c>
      <c r="J25" s="63"/>
      <c r="K25" s="313" t="str">
        <f>Data!E11</f>
        <v>AHH</v>
      </c>
      <c r="L25" s="358">
        <f t="shared" ca="1" si="9"/>
        <v>494.375</v>
      </c>
      <c r="M25" s="46"/>
      <c r="N25" s="73"/>
      <c r="O25" s="313" t="str">
        <f>Data!E19</f>
        <v>LEV</v>
      </c>
      <c r="P25" s="323">
        <f t="shared" ca="1" si="10"/>
        <v>530</v>
      </c>
      <c r="Q25" s="52"/>
      <c r="R25" s="313" t="str">
        <f>Data!E11</f>
        <v>AHH</v>
      </c>
      <c r="S25" s="315">
        <f t="shared" ca="1" si="11"/>
        <v>15820</v>
      </c>
      <c r="T25" s="315">
        <f t="shared" ca="1" si="12"/>
        <v>1500</v>
      </c>
      <c r="U25" s="867">
        <f t="shared" ca="1" si="18"/>
        <v>100</v>
      </c>
      <c r="V25" s="49"/>
      <c r="W25" s="75"/>
      <c r="X25" s="330" t="str">
        <f>Data!E18</f>
        <v>UTG</v>
      </c>
      <c r="Y25" s="339">
        <f ca="1">COUNTIF(INDIRECT(_xlfn.XLOOKUP($X25,Data!$E:$E,Data!$M:$M)&amp;"!t_"&amp;$X25&amp;"[Rank]"),Y$17)</f>
        <v>0</v>
      </c>
      <c r="Z25" s="339">
        <f ca="1">COUNTIF(INDIRECT(_xlfn.XLOOKUP($X25,Data!$E:$E,Data!$M:$M)&amp;"!t_"&amp;$X25&amp;"[Rank]"),Z$17)</f>
        <v>3</v>
      </c>
      <c r="AA25" s="339">
        <f ca="1">COUNTIF(INDIRECT(_xlfn.XLOOKUP($X25,Data!$E:$E,Data!$M:$M)&amp;"!t_"&amp;$X25&amp;"[Rank]"),AA$17)</f>
        <v>8</v>
      </c>
      <c r="AB25" s="339">
        <f ca="1">COUNTIF(INDIRECT(_xlfn.XLOOKUP($X25,Data!$E:$E,Data!$M:$M)&amp;"!t_"&amp;$X25&amp;"[Rank]"),AB$17)</f>
        <v>8</v>
      </c>
      <c r="AC25" s="339">
        <f ca="1">COUNTIF(INDIRECT(_xlfn.XLOOKUP($X25,Data!$E:$E,Data!$M:$M)&amp;"!t_"&amp;$X25&amp;"[Rank]"),AC$17)</f>
        <v>10</v>
      </c>
      <c r="AD25" s="339">
        <f ca="1">COUNTIF(INDIRECT(_xlfn.XLOOKUP($X25,Data!$E:$E,Data!$M:$M)&amp;"!t_"&amp;$X25&amp;"[Rank]"),AD$17)</f>
        <v>2</v>
      </c>
      <c r="AE25" s="339">
        <f ca="1">COUNTIF(INDIRECT(_xlfn.XLOOKUP($X25,Data!$E:$E,Data!$M:$M)&amp;"!t_"&amp;$X25&amp;"[Rank]"),AE$17)</f>
        <v>1</v>
      </c>
      <c r="AF25" s="339">
        <f ca="1">COUNTIF(INDIRECT(_xlfn.XLOOKUP($X25,Data!$E:$E,Data!$M:$M)&amp;"!t_"&amp;$X25&amp;"[Rank]"),AF$17)</f>
        <v>0</v>
      </c>
      <c r="AG25" s="340">
        <f ca="1">COUNTIF(INDIRECT(_xlfn.XLOOKUP($X25,Data!$E:$E,Data!$M:$M)&amp;"!t_"&amp;$X25&amp;"[Rank]"),AG$17)</f>
        <v>0</v>
      </c>
      <c r="AI25" s="894" t="s">
        <v>27</v>
      </c>
      <c r="AJ25" s="682">
        <f>COUNTIFS(Kuponger!$CO$8:$CQ$934,Tabeller!$AA$29)</f>
        <v>18</v>
      </c>
      <c r="AK25" s="682">
        <f>COUNTIFS(Kuponger!$CK$8:$CM$934,Tabeller!$AA$29)</f>
        <v>44</v>
      </c>
      <c r="AL25" s="898">
        <f t="shared" si="13"/>
        <v>0.40909090909090912</v>
      </c>
      <c r="AN25" s="46"/>
      <c r="AO25" s="63"/>
      <c r="AP25" s="63"/>
      <c r="AQ25" s="642">
        <f ca="1"/>
        <v>21</v>
      </c>
      <c r="AR25" s="632">
        <f ca="1"/>
        <v>46067</v>
      </c>
      <c r="AS25" s="634">
        <f ca="1"/>
        <v>400</v>
      </c>
      <c r="AT25" s="628">
        <f ca="1"/>
        <v>100</v>
      </c>
      <c r="AU25" s="628">
        <f ca="1"/>
        <v>30</v>
      </c>
      <c r="AV25" s="628" t="str">
        <f ca="1"/>
        <v/>
      </c>
      <c r="AW25" s="628">
        <f ca="1"/>
        <v>530</v>
      </c>
      <c r="AX25" s="628">
        <f ca="1"/>
        <v>1</v>
      </c>
      <c r="AY25" s="643">
        <f ca="1"/>
        <v>60</v>
      </c>
      <c r="AZ25" s="27"/>
      <c r="BA25" s="27"/>
      <c r="BB25" s="27"/>
      <c r="BC25" s="691">
        <f t="shared" ca="1" si="8"/>
        <v>46067</v>
      </c>
      <c r="BD25" s="662">
        <f ca="1"/>
        <v>270</v>
      </c>
      <c r="BE25" s="628">
        <f ca="1"/>
        <v>110</v>
      </c>
      <c r="BF25" s="628">
        <f ca="1"/>
        <v>80</v>
      </c>
      <c r="BG25" s="628" t="str">
        <f ca="1"/>
        <v/>
      </c>
      <c r="BH25" s="657">
        <f ca="1"/>
        <v>460</v>
      </c>
      <c r="BJ25" s="662">
        <f ca="1"/>
        <v>310</v>
      </c>
      <c r="BK25" s="628">
        <f ca="1"/>
        <v>90</v>
      </c>
      <c r="BL25" s="628">
        <f ca="1"/>
        <v>30</v>
      </c>
      <c r="BM25" s="628" t="str">
        <f ca="1"/>
        <v/>
      </c>
      <c r="BN25" s="657">
        <f ca="1"/>
        <v>430</v>
      </c>
      <c r="CG25" s="53"/>
      <c r="CH25" s="63"/>
      <c r="CI25" s="63"/>
      <c r="CJ25" s="63"/>
      <c r="CK25" s="47"/>
      <c r="CL25" s="47"/>
      <c r="CM25" s="47"/>
      <c r="CN25" s="47"/>
      <c r="CP25" s="47"/>
      <c r="CQ25" s="47"/>
      <c r="CR25" s="47"/>
    </row>
    <row r="26" spans="1:113" ht="13.5" thickBot="1" x14ac:dyDescent="0.25">
      <c r="A26" s="43"/>
      <c r="B26" s="49"/>
      <c r="C26" s="316" t="s">
        <v>27</v>
      </c>
      <c r="D26" s="417">
        <f t="shared" ca="1" si="14"/>
        <v>710</v>
      </c>
      <c r="E26" s="317">
        <f t="shared" ca="1" si="15"/>
        <v>650</v>
      </c>
      <c r="F26" s="359">
        <f t="shared" ca="1" si="16"/>
        <v>640</v>
      </c>
      <c r="H26" s="316" t="str">
        <f>Data!E19</f>
        <v>LEV</v>
      </c>
      <c r="I26" s="359">
        <f t="shared" ca="1" si="17"/>
        <v>3</v>
      </c>
      <c r="J26" s="63"/>
      <c r="K26" s="316" t="str">
        <f>Data!E17</f>
        <v>TOH</v>
      </c>
      <c r="L26" s="359">
        <f t="shared" ca="1" si="9"/>
        <v>466.5625</v>
      </c>
      <c r="M26" s="49"/>
      <c r="N26" s="46"/>
      <c r="O26" s="316" t="str">
        <f>Data!E15</f>
        <v>ØG</v>
      </c>
      <c r="P26" s="324">
        <f t="shared" ca="1" si="10"/>
        <v>470</v>
      </c>
      <c r="Q26" s="52"/>
      <c r="R26" s="316" t="str">
        <f>Data!E17</f>
        <v>TOH</v>
      </c>
      <c r="S26" s="317">
        <f t="shared" ca="1" si="11"/>
        <v>14930</v>
      </c>
      <c r="T26" s="317">
        <f t="shared" ca="1" si="12"/>
        <v>2390</v>
      </c>
      <c r="U26" s="868">
        <f t="shared" ca="1" si="18"/>
        <v>890</v>
      </c>
      <c r="V26" s="46"/>
      <c r="W26" s="49"/>
      <c r="X26" s="333" t="str">
        <f>Data!E19</f>
        <v>LEV</v>
      </c>
      <c r="Y26" s="341">
        <f ca="1">COUNTIF(INDIRECT(_xlfn.XLOOKUP($X26,Data!$E:$E,Data!$M:$M)&amp;"!t_"&amp;$X26&amp;"[Rank]"),Y$17)</f>
        <v>3</v>
      </c>
      <c r="Z26" s="341">
        <f ca="1">COUNTIF(INDIRECT(_xlfn.XLOOKUP($X26,Data!$E:$E,Data!$M:$M)&amp;"!t_"&amp;$X26&amp;"[Rank]"),Z$17)</f>
        <v>2</v>
      </c>
      <c r="AA26" s="341">
        <f ca="1">COUNTIF(INDIRECT(_xlfn.XLOOKUP($X26,Data!$E:$E,Data!$M:$M)&amp;"!t_"&amp;$X26&amp;"[Rank]"),AA$17)</f>
        <v>5</v>
      </c>
      <c r="AB26" s="341">
        <f ca="1">COUNTIF(INDIRECT(_xlfn.XLOOKUP($X26,Data!$E:$E,Data!$M:$M)&amp;"!t_"&amp;$X26&amp;"[Rank]"),AB$17)</f>
        <v>3</v>
      </c>
      <c r="AC26" s="341">
        <f ca="1">COUNTIF(INDIRECT(_xlfn.XLOOKUP($X26,Data!$E:$E,Data!$M:$M)&amp;"!t_"&amp;$X26&amp;"[Rank]"),AC$17)</f>
        <v>4</v>
      </c>
      <c r="AD26" s="341">
        <f ca="1">COUNTIF(INDIRECT(_xlfn.XLOOKUP($X26,Data!$E:$E,Data!$M:$M)&amp;"!t_"&amp;$X26&amp;"[Rank]"),AD$17)</f>
        <v>7</v>
      </c>
      <c r="AE26" s="341">
        <f ca="1">COUNTIF(INDIRECT(_xlfn.XLOOKUP($X26,Data!$E:$E,Data!$M:$M)&amp;"!t_"&amp;$X26&amp;"[Rank]"),AE$17)</f>
        <v>3</v>
      </c>
      <c r="AF26" s="341">
        <f ca="1">COUNTIF(INDIRECT(_xlfn.XLOOKUP($X26,Data!$E:$E,Data!$M:$M)&amp;"!t_"&amp;$X26&amp;"[Rank]"),AF$17)</f>
        <v>3</v>
      </c>
      <c r="AG26" s="342">
        <f ca="1">COUNTIF(INDIRECT(_xlfn.XLOOKUP($X26,Data!$E:$E,Data!$M:$M)&amp;"!t_"&amp;$X26&amp;"[Rank]"),AG$17)</f>
        <v>2</v>
      </c>
      <c r="AI26" s="895" t="s">
        <v>24</v>
      </c>
      <c r="AJ26" s="896">
        <f>COUNTIFS(Kuponger!$BN$8:$BP$934,Tabeller!$AA$29)</f>
        <v>3</v>
      </c>
      <c r="AK26" s="896">
        <f>COUNTIFS(Kuponger!$BJ$8:$BL$934,Tabeller!$AA$29)</f>
        <v>11</v>
      </c>
      <c r="AL26" s="899">
        <f t="shared" si="13"/>
        <v>0.27272727272727271</v>
      </c>
      <c r="AN26" s="45"/>
      <c r="AO26" s="46"/>
      <c r="AP26" s="63"/>
      <c r="AQ26" s="642">
        <f ca="1"/>
        <v>22</v>
      </c>
      <c r="AR26" s="632">
        <f ca="1"/>
        <v>46074</v>
      </c>
      <c r="AS26" s="634">
        <f ca="1"/>
        <v>240</v>
      </c>
      <c r="AT26" s="628">
        <f ca="1"/>
        <v>60</v>
      </c>
      <c r="AU26" s="628">
        <f ca="1"/>
        <v>30</v>
      </c>
      <c r="AV26" s="628" t="str">
        <f ca="1"/>
        <v/>
      </c>
      <c r="AW26" s="628">
        <f ca="1"/>
        <v>330</v>
      </c>
      <c r="AX26" s="628">
        <f ca="1"/>
        <v>4</v>
      </c>
      <c r="AY26" s="643">
        <f ca="1"/>
        <v>-200</v>
      </c>
      <c r="AZ26" s="27"/>
      <c r="BA26" s="27"/>
      <c r="BB26" s="27"/>
      <c r="BC26" s="691">
        <f t="shared" ca="1" si="8"/>
        <v>46074</v>
      </c>
      <c r="BD26" s="662">
        <f ca="1"/>
        <v>160</v>
      </c>
      <c r="BE26" s="628">
        <f ca="1"/>
        <v>150</v>
      </c>
      <c r="BF26" s="628">
        <f ca="1"/>
        <v>50</v>
      </c>
      <c r="BG26" s="628" t="str">
        <f ca="1"/>
        <v/>
      </c>
      <c r="BH26" s="657">
        <f ca="1"/>
        <v>360</v>
      </c>
      <c r="BJ26" s="662">
        <f ca="1"/>
        <v>180</v>
      </c>
      <c r="BK26" s="628">
        <f ca="1"/>
        <v>120</v>
      </c>
      <c r="BL26" s="628">
        <f ca="1"/>
        <v>30</v>
      </c>
      <c r="BM26" s="628" t="str">
        <f ca="1"/>
        <v/>
      </c>
      <c r="BN26" s="657">
        <f ca="1"/>
        <v>330</v>
      </c>
      <c r="CX26" s="53"/>
      <c r="CY26" s="63"/>
      <c r="CZ26" s="63"/>
      <c r="DA26" s="63"/>
      <c r="DB26" s="47"/>
      <c r="DC26" s="47"/>
      <c r="DD26" s="47"/>
      <c r="DE26" s="47"/>
      <c r="DG26" s="47"/>
      <c r="DH26" s="47"/>
      <c r="DI26" s="47"/>
    </row>
    <row r="27" spans="1:113" ht="13.5" thickBot="1" x14ac:dyDescent="0.25">
      <c r="A27" s="43"/>
      <c r="B27" s="49"/>
      <c r="C27" s="49"/>
      <c r="D27" s="343"/>
      <c r="E27" s="343"/>
      <c r="I27" s="87"/>
      <c r="J27" s="63"/>
      <c r="K27" s="63"/>
      <c r="L27" s="63"/>
      <c r="M27" s="49"/>
      <c r="P27" s="50"/>
      <c r="Q27" s="33"/>
      <c r="R27" s="78"/>
      <c r="S27" s="35"/>
      <c r="T27" s="35"/>
      <c r="U27" s="58"/>
      <c r="V27" s="33"/>
      <c r="W27" s="33"/>
      <c r="X27" s="78"/>
      <c r="Y27" s="35"/>
      <c r="Z27" s="58"/>
      <c r="AA27" s="46"/>
      <c r="AB27" s="46"/>
      <c r="AC27" s="78"/>
      <c r="AD27" s="41"/>
      <c r="AE27" s="41"/>
      <c r="AF27" s="49"/>
      <c r="AH27" s="32"/>
      <c r="AJ27" s="27"/>
      <c r="AK27" s="27"/>
      <c r="AL27" s="76"/>
      <c r="AM27" s="77"/>
      <c r="AN27" s="46"/>
      <c r="AO27" s="63"/>
      <c r="AP27" s="63"/>
      <c r="AQ27" s="642">
        <f ca="1"/>
        <v>23</v>
      </c>
      <c r="AR27" s="632">
        <f ca="1"/>
        <v>46081</v>
      </c>
      <c r="AS27" s="634">
        <f ca="1"/>
        <v>400</v>
      </c>
      <c r="AT27" s="628" t="str">
        <f ca="1"/>
        <v/>
      </c>
      <c r="AU27" s="628">
        <f ca="1"/>
        <v>420</v>
      </c>
      <c r="AV27" s="628" t="str">
        <f ca="1"/>
        <v/>
      </c>
      <c r="AW27" s="628">
        <f ca="1"/>
        <v>820</v>
      </c>
      <c r="AX27" s="628">
        <f ca="1"/>
        <v>1</v>
      </c>
      <c r="AY27" s="643">
        <f ca="1"/>
        <v>490</v>
      </c>
      <c r="AZ27" s="27"/>
      <c r="BA27" s="27"/>
      <c r="BB27" s="27"/>
      <c r="BC27" s="691">
        <f t="shared" ca="1" si="8"/>
        <v>46081</v>
      </c>
      <c r="BD27" s="662">
        <f ca="1"/>
        <v>350</v>
      </c>
      <c r="BE27" s="628" t="str">
        <f ca="1"/>
        <v/>
      </c>
      <c r="BF27" s="628">
        <f ca="1"/>
        <v>160</v>
      </c>
      <c r="BG27" s="628" t="str">
        <f ca="1"/>
        <v/>
      </c>
      <c r="BH27" s="657">
        <f ca="1"/>
        <v>510</v>
      </c>
      <c r="BJ27" s="662">
        <f ca="1"/>
        <v>260</v>
      </c>
      <c r="BK27" s="628" t="str">
        <f ca="1"/>
        <v/>
      </c>
      <c r="BL27" s="628">
        <f ca="1"/>
        <v>320</v>
      </c>
      <c r="BM27" s="628" t="str">
        <f ca="1"/>
        <v/>
      </c>
      <c r="BN27" s="657">
        <f ca="1"/>
        <v>580</v>
      </c>
      <c r="CU27" s="69"/>
      <c r="CV27" s="63"/>
      <c r="CW27" s="63"/>
      <c r="CX27" s="63"/>
      <c r="CY27" s="47"/>
      <c r="CZ27" s="47"/>
      <c r="DA27" s="47"/>
      <c r="DB27" s="47"/>
      <c r="DD27" s="47"/>
      <c r="DE27" s="47"/>
      <c r="DF27" s="47"/>
    </row>
    <row r="28" spans="1:113" ht="13.5" thickBot="1" x14ac:dyDescent="0.25">
      <c r="A28" s="43"/>
      <c r="B28" s="49"/>
      <c r="C28" s="32"/>
      <c r="F28" s="76"/>
      <c r="G28" s="49"/>
      <c r="H28" s="62"/>
      <c r="J28" s="53"/>
      <c r="K28" s="45"/>
      <c r="L28" s="46"/>
      <c r="M28" s="63"/>
      <c r="N28" s="46"/>
      <c r="O28" s="101"/>
      <c r="Q28" s="33"/>
      <c r="R28" s="78"/>
      <c r="S28" s="35"/>
      <c r="T28" s="35"/>
      <c r="U28" s="58"/>
      <c r="V28" s="33"/>
      <c r="W28" s="33"/>
      <c r="X28" s="78"/>
      <c r="Y28" s="35"/>
      <c r="Z28" s="58"/>
      <c r="AA28" s="448" t="s">
        <v>413</v>
      </c>
      <c r="AB28" s="41"/>
      <c r="AC28" s="49"/>
      <c r="AE28" s="351"/>
      <c r="AF28" s="352"/>
      <c r="AG28" s="351"/>
      <c r="AH28" s="352"/>
      <c r="AI28" s="45"/>
      <c r="AJ28" s="27"/>
      <c r="AK28" s="27"/>
      <c r="AL28" s="63"/>
      <c r="AM28" s="89"/>
      <c r="AN28" s="45"/>
      <c r="AO28" s="46"/>
      <c r="AP28" s="46"/>
      <c r="AQ28" s="644">
        <f ca="1"/>
        <v>24</v>
      </c>
      <c r="AR28" s="629">
        <f ca="1"/>
        <v>46088</v>
      </c>
      <c r="AS28" s="630">
        <f ca="1"/>
        <v>250</v>
      </c>
      <c r="AT28" s="628">
        <f ca="1"/>
        <v>30</v>
      </c>
      <c r="AU28" s="628">
        <f ca="1"/>
        <v>190</v>
      </c>
      <c r="AV28" s="628" t="str">
        <f ca="1"/>
        <v/>
      </c>
      <c r="AW28" s="628">
        <f ca="1"/>
        <v>470</v>
      </c>
      <c r="AX28" s="628">
        <f ca="1"/>
        <v>5</v>
      </c>
      <c r="AY28" s="643">
        <f ca="1"/>
        <v>-350</v>
      </c>
      <c r="AZ28" s="27"/>
      <c r="BA28" s="27"/>
      <c r="BB28" s="27"/>
      <c r="BC28" s="689">
        <f t="shared" ca="1" si="8"/>
        <v>46088</v>
      </c>
      <c r="BD28" s="658">
        <f ca="1"/>
        <v>240</v>
      </c>
      <c r="BE28" s="628">
        <f ca="1"/>
        <v>60</v>
      </c>
      <c r="BF28" s="628">
        <f ca="1"/>
        <v>190</v>
      </c>
      <c r="BG28" s="628" t="str">
        <f ca="1"/>
        <v/>
      </c>
      <c r="BH28" s="657">
        <f ca="1"/>
        <v>490</v>
      </c>
      <c r="BJ28" s="658">
        <f ca="1"/>
        <v>140</v>
      </c>
      <c r="BK28" s="628">
        <f ca="1"/>
        <v>70</v>
      </c>
      <c r="BL28" s="628">
        <f ca="1"/>
        <v>260</v>
      </c>
      <c r="BM28" s="628" t="str">
        <f ca="1"/>
        <v/>
      </c>
      <c r="BN28" s="657">
        <f ca="1"/>
        <v>470</v>
      </c>
      <c r="CK28" s="53"/>
      <c r="CL28" s="63"/>
      <c r="CM28" s="63"/>
      <c r="CN28" s="63"/>
      <c r="CO28" s="47"/>
      <c r="CP28" s="47"/>
      <c r="CQ28" s="47"/>
      <c r="CR28" s="47"/>
      <c r="CT28" s="47"/>
      <c r="CU28" s="47"/>
      <c r="CV28" s="47"/>
    </row>
    <row r="29" spans="1:113" ht="13.5" thickBot="1" x14ac:dyDescent="0.25">
      <c r="A29" s="43"/>
      <c r="B29" s="49"/>
      <c r="F29" s="45"/>
      <c r="G29" s="94"/>
      <c r="P29" s="50"/>
      <c r="Q29" s="46"/>
      <c r="R29" s="73"/>
      <c r="S29" s="52"/>
      <c r="T29" s="52"/>
      <c r="U29" s="53"/>
      <c r="V29" s="46"/>
      <c r="W29" s="46"/>
      <c r="X29" s="318" t="s">
        <v>414</v>
      </c>
      <c r="Y29" s="400"/>
      <c r="Z29" s="53"/>
      <c r="AA29" s="623">
        <v>70</v>
      </c>
      <c r="AB29" s="319" t="s">
        <v>415</v>
      </c>
      <c r="AC29" s="319" t="s">
        <v>416</v>
      </c>
      <c r="AD29" s="321" t="s">
        <v>417</v>
      </c>
      <c r="AE29" s="319"/>
      <c r="AF29" s="462" t="s">
        <v>418</v>
      </c>
      <c r="AG29" s="319"/>
      <c r="AH29" s="321"/>
      <c r="AI29" s="45"/>
      <c r="AJ29" s="27"/>
      <c r="AK29" s="27"/>
      <c r="AL29" s="63"/>
      <c r="AM29" s="90"/>
      <c r="AO29" s="76"/>
      <c r="AP29" s="77"/>
      <c r="AQ29" s="644">
        <f ca="1"/>
        <v>25</v>
      </c>
      <c r="AR29" s="631">
        <f ca="1"/>
        <v>46095</v>
      </c>
      <c r="AS29" s="635">
        <f ca="1"/>
        <v>200</v>
      </c>
      <c r="AT29" s="628">
        <f ca="1"/>
        <v>30</v>
      </c>
      <c r="AU29" s="628">
        <f ca="1"/>
        <v>40</v>
      </c>
      <c r="AV29" s="628" t="str">
        <f ca="1"/>
        <v/>
      </c>
      <c r="AW29" s="635">
        <f ca="1"/>
        <v>270</v>
      </c>
      <c r="AX29" s="635">
        <f ca="1"/>
        <v>9</v>
      </c>
      <c r="AY29" s="643">
        <f ca="1"/>
        <v>-200</v>
      </c>
      <c r="AZ29" s="27"/>
      <c r="BA29" s="27"/>
      <c r="BB29" s="27"/>
      <c r="BC29" s="689">
        <f t="shared" ca="1" si="8"/>
        <v>46095</v>
      </c>
      <c r="BD29" s="663">
        <f ca="1"/>
        <v>230</v>
      </c>
      <c r="BE29" s="628">
        <f ca="1"/>
        <v>190</v>
      </c>
      <c r="BF29" s="628">
        <f ca="1"/>
        <v>60</v>
      </c>
      <c r="BG29" s="628" t="str">
        <f ca="1"/>
        <v/>
      </c>
      <c r="BH29" s="664">
        <f ca="1"/>
        <v>480</v>
      </c>
      <c r="BJ29" s="663">
        <f ca="1"/>
        <v>200</v>
      </c>
      <c r="BK29" s="628">
        <f ca="1"/>
        <v>70</v>
      </c>
      <c r="BL29" s="628">
        <f ca="1"/>
        <v>70</v>
      </c>
      <c r="BM29" s="628" t="str">
        <f ca="1"/>
        <v/>
      </c>
      <c r="BN29" s="664">
        <f ca="1"/>
        <v>340</v>
      </c>
      <c r="CK29" s="53"/>
      <c r="CL29" s="46"/>
      <c r="CM29" s="46"/>
      <c r="CN29" s="46"/>
      <c r="CO29" s="47"/>
      <c r="CP29" s="47"/>
      <c r="CQ29" s="47"/>
      <c r="CR29" s="47"/>
      <c r="CT29" s="47"/>
      <c r="CU29" s="47"/>
      <c r="CV29" s="47"/>
    </row>
    <row r="30" spans="1:113" ht="13.5" thickBot="1" x14ac:dyDescent="0.25">
      <c r="A30" s="43"/>
      <c r="B30" s="49"/>
      <c r="F30" s="61"/>
      <c r="G30" s="56"/>
      <c r="P30" s="81"/>
      <c r="Q30" s="82"/>
      <c r="R30" s="137"/>
      <c r="S30" s="52"/>
      <c r="T30" s="52"/>
      <c r="U30" s="81"/>
      <c r="V30" s="82"/>
      <c r="W30" s="82"/>
      <c r="X30" s="325" t="s">
        <v>19</v>
      </c>
      <c r="Y30" s="322">
        <f ca="1">_xlfn.XLOOKUP(X30,$O$18:$O$26,$P$18:$P$26)</f>
        <v>570</v>
      </c>
      <c r="Z30" s="61"/>
      <c r="AA30" s="313" t="str">
        <f>Data!E12</f>
        <v>RB</v>
      </c>
      <c r="AB30" s="314">
        <f>COUNTIFS(Kuponger!$AD$8:$AF$934,Tabeller!$AA$29)</f>
        <v>0</v>
      </c>
      <c r="AC30" s="314">
        <f>COUNTIFS(Kuponger!$Z$8:$AB$934,Tabeller!$AA$29)</f>
        <v>0</v>
      </c>
      <c r="AD30" s="357">
        <f t="shared" ref="AD30:AD38" si="19">IFERROR((AB30*$AA$29),"")</f>
        <v>0</v>
      </c>
      <c r="AE30" s="682"/>
      <c r="AF30" s="460">
        <v>1</v>
      </c>
      <c r="AG30" s="463" t="str">
        <f>_xlfn.XLOOKUP(MAX($AD$30:$AD$38),$AD$30:$AD$38,$AA$30:$AA$38)</f>
        <v>UTG</v>
      </c>
      <c r="AH30" s="357">
        <f t="shared" ref="AH30:AH38" si="20">_xlfn.XLOOKUP(AG30,$AA$30:$AA$38,$AD$30:$AD$38)</f>
        <v>3150</v>
      </c>
      <c r="AI30" s="45"/>
      <c r="AJ30" s="88"/>
      <c r="AK30" s="56"/>
      <c r="AL30" s="63"/>
      <c r="AM30" s="89"/>
      <c r="AO30" s="63"/>
      <c r="AP30" s="89"/>
      <c r="AQ30" s="644">
        <f ca="1"/>
        <v>26</v>
      </c>
      <c r="AR30" s="629">
        <f ca="1"/>
        <v>46102</v>
      </c>
      <c r="AS30" s="628">
        <f ca="1"/>
        <v>260</v>
      </c>
      <c r="AT30" s="630">
        <f ca="1"/>
        <v>30</v>
      </c>
      <c r="AU30" s="630">
        <f ca="1"/>
        <v>180</v>
      </c>
      <c r="AV30" s="630" t="str">
        <f ca="1"/>
        <v/>
      </c>
      <c r="AW30" s="628">
        <f ca="1"/>
        <v>470</v>
      </c>
      <c r="AX30" s="628">
        <f ca="1"/>
        <v>5</v>
      </c>
      <c r="AY30" s="643">
        <f ca="1"/>
        <v>200</v>
      </c>
      <c r="AZ30" s="27"/>
      <c r="BA30" s="27"/>
      <c r="BB30" s="27"/>
      <c r="BC30" s="688">
        <f t="shared" ca="1" si="8"/>
        <v>46102</v>
      </c>
      <c r="BD30" s="656">
        <f ca="1"/>
        <v>300</v>
      </c>
      <c r="BE30" s="630">
        <f ca="1"/>
        <v>90</v>
      </c>
      <c r="BF30" s="630">
        <f ca="1"/>
        <v>60</v>
      </c>
      <c r="BG30" s="630" t="str">
        <f ca="1"/>
        <v/>
      </c>
      <c r="BH30" s="657">
        <f ca="1"/>
        <v>450</v>
      </c>
      <c r="BJ30" s="656">
        <f ca="1"/>
        <v>290</v>
      </c>
      <c r="BK30" s="630">
        <f ca="1"/>
        <v>70</v>
      </c>
      <c r="BL30" s="630">
        <f ca="1"/>
        <v>150</v>
      </c>
      <c r="BM30" s="630" t="str">
        <f ca="1"/>
        <v/>
      </c>
      <c r="BN30" s="657">
        <f ca="1"/>
        <v>510</v>
      </c>
      <c r="CK30" s="53"/>
      <c r="CL30" s="63"/>
      <c r="CM30" s="63"/>
      <c r="CN30" s="63"/>
      <c r="CO30" s="47"/>
      <c r="CP30" s="47"/>
      <c r="CQ30" s="47"/>
      <c r="CR30" s="47"/>
      <c r="CT30" s="47"/>
      <c r="CU30" s="47"/>
      <c r="CV30" s="47"/>
    </row>
    <row r="31" spans="1:113" ht="13.5" thickBot="1" x14ac:dyDescent="0.25">
      <c r="A31" s="43"/>
      <c r="B31" s="49"/>
      <c r="F31" s="61"/>
      <c r="P31" s="85"/>
      <c r="Q31" s="84"/>
      <c r="R31" s="138"/>
      <c r="S31" s="61"/>
      <c r="T31" s="61"/>
      <c r="U31" s="83"/>
      <c r="V31" s="84"/>
      <c r="W31" s="84"/>
      <c r="X31" s="313" t="s">
        <v>21</v>
      </c>
      <c r="Y31" s="323">
        <f t="shared" ref="Y31:Y36" ca="1" si="21">_xlfn.XLOOKUP(X31,$O$18:$O$26,$P$18:$P$26)</f>
        <v>560</v>
      </c>
      <c r="Z31" s="61"/>
      <c r="AA31" s="313" t="str">
        <f>Data!E15</f>
        <v>ØG</v>
      </c>
      <c r="AB31" s="315">
        <f>COUNTIFS(Kuponger!$BE$8:$BG$934,Tabeller!$AA$29)</f>
        <v>0</v>
      </c>
      <c r="AC31" s="315">
        <f>COUNTIFS(Kuponger!$BA$8:$BC$934,Tabeller!$AA$29)</f>
        <v>1</v>
      </c>
      <c r="AD31" s="358">
        <f t="shared" si="19"/>
        <v>0</v>
      </c>
      <c r="AE31" s="682"/>
      <c r="AF31" s="460">
        <v>2</v>
      </c>
      <c r="AG31" s="464" t="str">
        <f>_xlfn.XLOOKUP(LARGE($AD$30:$AD$38,2),$AD$30:$AD$38,$AA$30:$AA$38)</f>
        <v>TOH</v>
      </c>
      <c r="AH31" s="358">
        <f t="shared" si="20"/>
        <v>2590</v>
      </c>
      <c r="AI31" s="45"/>
      <c r="AJ31" s="45"/>
      <c r="AK31" s="46"/>
      <c r="AL31" s="46"/>
      <c r="AM31" s="89"/>
      <c r="AQ31" s="642">
        <f ca="1"/>
        <v>27</v>
      </c>
      <c r="AR31" s="632">
        <f ca="1"/>
        <v>46109</v>
      </c>
      <c r="AS31" s="630">
        <f ca="1"/>
        <v>440</v>
      </c>
      <c r="AT31" s="628">
        <f ca="1"/>
        <v>30</v>
      </c>
      <c r="AU31" s="628" t="str">
        <f ca="1"/>
        <v/>
      </c>
      <c r="AV31" s="628" t="str">
        <f ca="1"/>
        <v/>
      </c>
      <c r="AW31" s="628">
        <f ca="1"/>
        <v>470</v>
      </c>
      <c r="AX31" s="628">
        <f ca="1"/>
        <v>7</v>
      </c>
      <c r="AY31" s="643">
        <f ca="1"/>
        <v>0</v>
      </c>
      <c r="AZ31" s="27"/>
      <c r="BA31" s="27"/>
      <c r="BB31" s="27"/>
      <c r="BC31" s="689">
        <f t="shared" ca="1" si="8"/>
        <v>46109</v>
      </c>
      <c r="BD31" s="658">
        <f ca="1"/>
        <v>410</v>
      </c>
      <c r="BE31" s="628">
        <f ca="1"/>
        <v>90</v>
      </c>
      <c r="BF31" s="628" t="str">
        <f ca="1"/>
        <v/>
      </c>
      <c r="BG31" s="628" t="str">
        <f ca="1"/>
        <v/>
      </c>
      <c r="BH31" s="657">
        <f ca="1"/>
        <v>500</v>
      </c>
      <c r="BJ31" s="658">
        <f ca="1"/>
        <v>350</v>
      </c>
      <c r="BK31" s="628">
        <f ca="1"/>
        <v>90</v>
      </c>
      <c r="BL31" s="628" t="str">
        <f ca="1"/>
        <v/>
      </c>
      <c r="BM31" s="628" t="str">
        <f ca="1"/>
        <v/>
      </c>
      <c r="BN31" s="657">
        <f ca="1"/>
        <v>440</v>
      </c>
      <c r="CK31" s="53"/>
      <c r="CL31" s="63"/>
      <c r="CM31" s="63"/>
      <c r="CN31" s="63"/>
      <c r="CO31" s="47"/>
      <c r="CP31" s="47"/>
      <c r="CQ31" s="47"/>
      <c r="CR31" s="47"/>
      <c r="CT31" s="47"/>
      <c r="CU31" s="47"/>
      <c r="CV31" s="47"/>
    </row>
    <row r="32" spans="1:113" ht="13.5" thickBot="1" x14ac:dyDescent="0.25">
      <c r="A32" s="43"/>
      <c r="B32" s="49"/>
      <c r="F32" s="61"/>
      <c r="P32" s="85"/>
      <c r="Q32" s="84"/>
      <c r="R32" s="138"/>
      <c r="S32" s="61"/>
      <c r="T32" s="61"/>
      <c r="U32" s="85"/>
      <c r="V32" s="84"/>
      <c r="W32" s="84"/>
      <c r="X32" s="313" t="s">
        <v>24</v>
      </c>
      <c r="Y32" s="323">
        <f t="shared" ca="1" si="21"/>
        <v>640</v>
      </c>
      <c r="Z32" s="61"/>
      <c r="AA32" s="313" t="str">
        <f>Data!E16</f>
        <v>JH</v>
      </c>
      <c r="AB32" s="315">
        <f>COUNTIFS(Kuponger!$BN$8:$BP$934,Tabeller!$AA$29)</f>
        <v>3</v>
      </c>
      <c r="AC32" s="315">
        <f>COUNTIFS(Kuponger!$BJ$8:$BL$934,Tabeller!$AA$29)</f>
        <v>11</v>
      </c>
      <c r="AD32" s="358">
        <f t="shared" si="19"/>
        <v>210</v>
      </c>
      <c r="AE32" s="682"/>
      <c r="AF32" s="460">
        <v>3</v>
      </c>
      <c r="AG32" s="464" t="str">
        <f>_xlfn.XLOOKUP(LARGE($AD$30:$AD$38,3),$AD$30:$AD$38,$AA$30:$AA$38)</f>
        <v>AHH</v>
      </c>
      <c r="AH32" s="358">
        <f t="shared" si="20"/>
        <v>2170</v>
      </c>
      <c r="AI32" s="45"/>
      <c r="AJ32" s="45"/>
      <c r="AK32" s="46"/>
      <c r="AL32" s="63"/>
      <c r="AM32" s="89"/>
      <c r="AQ32" s="646">
        <f ca="1"/>
        <v>28</v>
      </c>
      <c r="AR32" s="632">
        <f ca="1"/>
        <v>46123</v>
      </c>
      <c r="AS32" s="630">
        <f ca="1"/>
        <v>450</v>
      </c>
      <c r="AT32" s="628">
        <f ca="1"/>
        <v>20</v>
      </c>
      <c r="AU32" s="628">
        <f ca="1"/>
        <v>110</v>
      </c>
      <c r="AV32" s="628" t="str">
        <f ca="1"/>
        <v/>
      </c>
      <c r="AW32" s="628">
        <f ca="1"/>
        <v>580</v>
      </c>
      <c r="AX32" s="628">
        <f ca="1"/>
        <v>1</v>
      </c>
      <c r="AY32" s="643">
        <f ca="1"/>
        <v>110</v>
      </c>
      <c r="AZ32" s="27"/>
      <c r="BA32" s="27"/>
      <c r="BB32" s="27"/>
      <c r="BC32" s="689">
        <f t="shared" ca="1" si="8"/>
        <v>46123</v>
      </c>
      <c r="BD32" s="658">
        <f ca="1"/>
        <v>330</v>
      </c>
      <c r="BE32" s="628">
        <f ca="1"/>
        <v>50</v>
      </c>
      <c r="BF32" s="628">
        <f ca="1"/>
        <v>70</v>
      </c>
      <c r="BG32" s="628" t="str">
        <f ca="1"/>
        <v/>
      </c>
      <c r="BH32" s="657">
        <f ca="1"/>
        <v>450</v>
      </c>
      <c r="BJ32" s="658">
        <f ca="1"/>
        <v>270</v>
      </c>
      <c r="BK32" s="628">
        <f ca="1"/>
        <v>80</v>
      </c>
      <c r="BL32" s="628">
        <f ca="1"/>
        <v>140</v>
      </c>
      <c r="BM32" s="628" t="str">
        <f ca="1"/>
        <v/>
      </c>
      <c r="BN32" s="657">
        <f ca="1"/>
        <v>490</v>
      </c>
      <c r="CK32" s="53"/>
      <c r="CL32" s="63"/>
      <c r="CM32" s="63"/>
      <c r="CN32" s="63"/>
      <c r="CO32" s="47"/>
      <c r="CP32" s="47"/>
      <c r="CQ32" s="47"/>
      <c r="CR32" s="47"/>
      <c r="CT32" s="47"/>
      <c r="CU32" s="47"/>
      <c r="CV32" s="47"/>
    </row>
    <row r="33" spans="1:107" ht="13.5" thickBot="1" x14ac:dyDescent="0.25">
      <c r="A33" s="43"/>
      <c r="B33" s="49"/>
      <c r="F33" s="61"/>
      <c r="P33" s="83"/>
      <c r="Q33" s="84"/>
      <c r="R33" s="138"/>
      <c r="S33" s="61"/>
      <c r="T33" s="61"/>
      <c r="U33" s="85"/>
      <c r="V33" s="84"/>
      <c r="W33" s="84"/>
      <c r="X33" s="313" t="s">
        <v>22</v>
      </c>
      <c r="Y33" s="323">
        <f t="shared" ca="1" si="21"/>
        <v>560</v>
      </c>
      <c r="Z33" s="61"/>
      <c r="AA33" s="313" t="str">
        <f>Data!E19</f>
        <v>LEV</v>
      </c>
      <c r="AB33" s="315">
        <f>COUNTIFS(Kuponger!$CO$8:$CQ$934,Tabeller!$AA$29)</f>
        <v>18</v>
      </c>
      <c r="AC33" s="315">
        <f>COUNTIFS(Kuponger!$CK$8:$CM$934,Tabeller!$AA$29)</f>
        <v>44</v>
      </c>
      <c r="AD33" s="358">
        <f t="shared" si="19"/>
        <v>1260</v>
      </c>
      <c r="AE33" s="683"/>
      <c r="AF33" s="460">
        <v>4</v>
      </c>
      <c r="AG33" s="464" t="str">
        <f>_xlfn.XLOOKUP(LARGE($AD$30:$AD$38,4),$AD$30:$AD$38,$AA$30:$AA$38)</f>
        <v>EB</v>
      </c>
      <c r="AH33" s="358">
        <f t="shared" si="20"/>
        <v>1610</v>
      </c>
      <c r="AI33" s="45"/>
      <c r="AJ33" s="45"/>
      <c r="AK33" s="46"/>
      <c r="AL33" s="63"/>
      <c r="AM33" s="89"/>
      <c r="AQ33" s="642">
        <f ca="1"/>
        <v>29</v>
      </c>
      <c r="AR33" s="632">
        <f ca="1"/>
        <v>46130</v>
      </c>
      <c r="AS33" s="630">
        <f ca="1"/>
        <v>240</v>
      </c>
      <c r="AT33" s="633">
        <f ca="1"/>
        <v>30</v>
      </c>
      <c r="AU33" s="635">
        <f ca="1"/>
        <v>130</v>
      </c>
      <c r="AV33" s="628" t="str">
        <f ca="1"/>
        <v/>
      </c>
      <c r="AW33" s="628">
        <f ca="1"/>
        <v>400</v>
      </c>
      <c r="AX33" s="628">
        <f ca="1"/>
        <v>7</v>
      </c>
      <c r="AY33" s="643">
        <f ca="1"/>
        <v>-180</v>
      </c>
      <c r="AZ33" s="27"/>
      <c r="BA33" s="27"/>
      <c r="BB33" s="27"/>
      <c r="BC33" s="689">
        <f t="shared" ca="1" si="8"/>
        <v>46130</v>
      </c>
      <c r="BD33" s="658">
        <f ca="1"/>
        <v>170</v>
      </c>
      <c r="BE33" s="633">
        <f ca="1"/>
        <v>60</v>
      </c>
      <c r="BF33" s="635">
        <f ca="1"/>
        <v>110</v>
      </c>
      <c r="BG33" s="628" t="str">
        <f ca="1"/>
        <v/>
      </c>
      <c r="BH33" s="657">
        <f ca="1"/>
        <v>340</v>
      </c>
      <c r="BJ33" s="658">
        <f ca="1"/>
        <v>220</v>
      </c>
      <c r="BK33" s="633">
        <f ca="1"/>
        <v>90</v>
      </c>
      <c r="BL33" s="635">
        <f ca="1"/>
        <v>240</v>
      </c>
      <c r="BM33" s="628" t="str">
        <f ca="1"/>
        <v/>
      </c>
      <c r="BN33" s="657">
        <f ca="1"/>
        <v>550</v>
      </c>
      <c r="CK33" s="69"/>
      <c r="CL33" s="63"/>
      <c r="CM33" s="63"/>
      <c r="CN33" s="63"/>
      <c r="CO33" s="47"/>
      <c r="CP33" s="47"/>
      <c r="CQ33" s="47"/>
      <c r="CR33" s="47"/>
      <c r="CT33" s="47"/>
      <c r="CU33" s="47"/>
      <c r="CV33" s="47"/>
    </row>
    <row r="34" spans="1:107" ht="13.5" thickBot="1" x14ac:dyDescent="0.25">
      <c r="A34" s="43"/>
      <c r="B34" s="49"/>
      <c r="F34" s="61"/>
      <c r="G34" s="56"/>
      <c r="P34" s="85"/>
      <c r="Q34" s="86">
        <v>0</v>
      </c>
      <c r="R34" s="138"/>
      <c r="S34" s="61"/>
      <c r="T34" s="61"/>
      <c r="U34" s="85"/>
      <c r="V34" s="84"/>
      <c r="W34" s="84"/>
      <c r="X34" s="313" t="s">
        <v>20</v>
      </c>
      <c r="Y34" s="323">
        <f t="shared" ca="1" si="21"/>
        <v>600</v>
      </c>
      <c r="Z34" s="61"/>
      <c r="AA34" s="313" t="str">
        <f>Data!E13</f>
        <v>EB</v>
      </c>
      <c r="AB34" s="315">
        <f>COUNTIFS(Kuponger!$AM$8:$AO$934,Tabeller!$AA$29)</f>
        <v>23</v>
      </c>
      <c r="AC34" s="315">
        <f>COUNTIFS(Kuponger!$AI$8:$AK$934,Tabeller!$AA$29)</f>
        <v>57</v>
      </c>
      <c r="AD34" s="358">
        <f t="shared" si="19"/>
        <v>1610</v>
      </c>
      <c r="AE34" s="682"/>
      <c r="AF34" s="460">
        <v>5</v>
      </c>
      <c r="AG34" s="464" t="str">
        <f>_xlfn.XLOOKUP(LARGE($AD$30:$AD$38,5),$AD$30:$AD$38,$AA$30:$AA$38)</f>
        <v>LEV</v>
      </c>
      <c r="AH34" s="358">
        <f t="shared" si="20"/>
        <v>1260</v>
      </c>
      <c r="AI34" s="45"/>
      <c r="AJ34" s="45"/>
      <c r="AK34" s="46"/>
      <c r="AQ34" s="642">
        <f ca="1"/>
        <v>30</v>
      </c>
      <c r="AR34" s="632">
        <f ca="1"/>
        <v>46137</v>
      </c>
      <c r="AS34" s="630">
        <f ca="1"/>
        <v>330</v>
      </c>
      <c r="AT34" s="630">
        <f ca="1"/>
        <v>20</v>
      </c>
      <c r="AU34" s="630">
        <f ca="1"/>
        <v>260</v>
      </c>
      <c r="AV34" s="628" t="str">
        <f ca="1"/>
        <v/>
      </c>
      <c r="AW34" s="628">
        <f ca="1"/>
        <v>610</v>
      </c>
      <c r="AX34" s="628">
        <f ca="1"/>
        <v>1</v>
      </c>
      <c r="AY34" s="643">
        <f ca="1"/>
        <v>210</v>
      </c>
      <c r="AZ34" s="27"/>
      <c r="BA34" s="27"/>
      <c r="BB34" s="27"/>
      <c r="BC34" s="689">
        <f t="shared" ca="1" si="8"/>
        <v>46137</v>
      </c>
      <c r="BD34" s="658">
        <f ca="1"/>
        <v>300</v>
      </c>
      <c r="BE34" s="630">
        <f ca="1"/>
        <v>60</v>
      </c>
      <c r="BF34" s="630">
        <f ca="1"/>
        <v>180</v>
      </c>
      <c r="BG34" s="628" t="str">
        <f ca="1"/>
        <v/>
      </c>
      <c r="BH34" s="657">
        <f ca="1"/>
        <v>540</v>
      </c>
      <c r="BJ34" s="658">
        <f ca="1"/>
        <v>300</v>
      </c>
      <c r="BK34" s="630">
        <f ca="1"/>
        <v>50</v>
      </c>
      <c r="BL34" s="630">
        <f ca="1"/>
        <v>250</v>
      </c>
      <c r="BM34" s="628" t="str">
        <f ca="1"/>
        <v/>
      </c>
      <c r="BN34" s="657">
        <f ca="1"/>
        <v>600</v>
      </c>
      <c r="CK34" s="53"/>
      <c r="CL34" s="63"/>
      <c r="CM34" s="63"/>
      <c r="CN34" s="63"/>
      <c r="CO34" s="47"/>
      <c r="CP34" s="47"/>
      <c r="CQ34" s="47"/>
      <c r="CR34" s="47"/>
      <c r="CT34" s="47"/>
      <c r="CU34" s="47"/>
      <c r="CV34" s="47"/>
    </row>
    <row r="35" spans="1:107" ht="13.5" thickBot="1" x14ac:dyDescent="0.25">
      <c r="A35" s="43"/>
      <c r="B35" s="49"/>
      <c r="F35" s="61"/>
      <c r="G35" s="46"/>
      <c r="P35" s="85"/>
      <c r="Q35" s="84"/>
      <c r="R35" s="138"/>
      <c r="S35" s="61"/>
      <c r="T35" s="61"/>
      <c r="U35" s="85"/>
      <c r="V35" s="84"/>
      <c r="W35" s="84" t="s">
        <v>419</v>
      </c>
      <c r="X35" s="313" t="s">
        <v>25</v>
      </c>
      <c r="Y35" s="323">
        <f t="shared" ca="1" si="21"/>
        <v>570</v>
      </c>
      <c r="Z35" s="61"/>
      <c r="AA35" s="313" t="str">
        <f>Data!E14</f>
        <v>KAF</v>
      </c>
      <c r="AB35" s="315">
        <f>COUNTIFS(Kuponger!$AV$8:$AX$934,Tabeller!$AA$29)</f>
        <v>4</v>
      </c>
      <c r="AC35" s="315">
        <f>COUNTIFS(Kuponger!$AR$8:$AT$934,Tabeller!$AA$29)</f>
        <v>18</v>
      </c>
      <c r="AD35" s="358">
        <f t="shared" si="19"/>
        <v>280</v>
      </c>
      <c r="AE35" s="682"/>
      <c r="AF35" s="460">
        <v>6</v>
      </c>
      <c r="AG35" s="464" t="str">
        <f>_xlfn.XLOOKUP(LARGE($AD$30:$AD$38,6),$AD$30:$AD$38,$AA$30:$AA$38)</f>
        <v>KAF</v>
      </c>
      <c r="AH35" s="358">
        <f t="shared" si="20"/>
        <v>280</v>
      </c>
      <c r="AI35" s="45"/>
      <c r="AJ35" s="45"/>
      <c r="AK35" s="46"/>
      <c r="AQ35" s="642">
        <f ca="1"/>
        <v>31</v>
      </c>
      <c r="AR35" s="632">
        <f ca="1"/>
        <v>46144</v>
      </c>
      <c r="AS35" s="630">
        <f ca="1"/>
        <v>330</v>
      </c>
      <c r="AT35" s="630">
        <f ca="1"/>
        <v>20</v>
      </c>
      <c r="AU35" s="630">
        <f ca="1"/>
        <v>120</v>
      </c>
      <c r="AV35" s="628">
        <f ca="1"/>
        <v>-50</v>
      </c>
      <c r="AW35" s="628">
        <f ca="1"/>
        <v>420</v>
      </c>
      <c r="AX35" s="628">
        <f ca="1"/>
        <v>8</v>
      </c>
      <c r="AY35" s="643">
        <f ca="1"/>
        <v>-190</v>
      </c>
      <c r="AZ35" s="27"/>
      <c r="BA35" s="27"/>
      <c r="BB35" s="27"/>
      <c r="BC35" s="689">
        <f t="shared" ca="1" si="8"/>
        <v>46144</v>
      </c>
      <c r="BD35" s="658">
        <f ca="1"/>
        <v>270</v>
      </c>
      <c r="BE35" s="630">
        <f ca="1"/>
        <v>30</v>
      </c>
      <c r="BF35" s="630">
        <f ca="1"/>
        <v>160</v>
      </c>
      <c r="BG35" s="628" t="str">
        <f ca="1"/>
        <v/>
      </c>
      <c r="BH35" s="657">
        <f ca="1"/>
        <v>460</v>
      </c>
      <c r="BJ35" s="658">
        <f ca="1"/>
        <v>260</v>
      </c>
      <c r="BK35" s="630">
        <f ca="1"/>
        <v>80</v>
      </c>
      <c r="BL35" s="630">
        <f ca="1"/>
        <v>210</v>
      </c>
      <c r="BM35" s="628" t="str">
        <f ca="1"/>
        <v/>
      </c>
      <c r="BN35" s="657">
        <f ca="1"/>
        <v>550</v>
      </c>
      <c r="CK35" s="53"/>
      <c r="CL35" s="46"/>
      <c r="CM35" s="46"/>
      <c r="CN35" s="46"/>
      <c r="CO35" s="47"/>
      <c r="CP35" s="47"/>
      <c r="CQ35" s="47"/>
      <c r="CR35" s="47"/>
      <c r="CT35" s="47"/>
      <c r="CU35" s="47"/>
      <c r="CV35" s="47"/>
    </row>
    <row r="36" spans="1:107" ht="13.5" thickBot="1" x14ac:dyDescent="0.25">
      <c r="A36" s="43"/>
      <c r="B36" s="49"/>
      <c r="F36" s="61"/>
      <c r="G36" s="46"/>
      <c r="P36" s="85"/>
      <c r="Q36" s="84"/>
      <c r="R36" s="138"/>
      <c r="S36" s="61"/>
      <c r="T36" s="61"/>
      <c r="U36" s="85"/>
      <c r="V36" s="84"/>
      <c r="W36" s="84"/>
      <c r="X36" s="316" t="s">
        <v>23</v>
      </c>
      <c r="Y36" s="324">
        <f t="shared" ca="1" si="21"/>
        <v>470</v>
      </c>
      <c r="Z36" s="61"/>
      <c r="AA36" s="313" t="str">
        <f>Data!E11</f>
        <v>AHH</v>
      </c>
      <c r="AB36" s="315">
        <f>COUNTIFS(Kuponger!$U$8:$W$934,Tabeller!$AA$29)</f>
        <v>31</v>
      </c>
      <c r="AC36" s="315">
        <f>COUNTIFS(Kuponger!$Q$8:$S$934,Tabeller!$AA$29)</f>
        <v>52</v>
      </c>
      <c r="AD36" s="358">
        <f t="shared" si="19"/>
        <v>2170</v>
      </c>
      <c r="AE36" s="684"/>
      <c r="AF36" s="460">
        <v>7</v>
      </c>
      <c r="AG36" s="464" t="str">
        <f>_xlfn.XLOOKUP(LARGE($AD$30:$AD$38,7),$AD$30:$AD$38,$AA$30:$AA$38)</f>
        <v>JH</v>
      </c>
      <c r="AH36" s="358">
        <f t="shared" si="20"/>
        <v>210</v>
      </c>
      <c r="AI36" s="45"/>
      <c r="AJ36" s="45"/>
      <c r="AK36" s="46"/>
      <c r="AQ36" s="642">
        <f ca="1"/>
        <v>32</v>
      </c>
      <c r="AR36" s="632">
        <f ca="1"/>
        <v>46151</v>
      </c>
      <c r="AS36" s="630">
        <f ca="1"/>
        <v>170</v>
      </c>
      <c r="AT36" s="630">
        <f ca="1"/>
        <v>30</v>
      </c>
      <c r="AU36" s="636">
        <f ca="1"/>
        <v>270</v>
      </c>
      <c r="AV36" s="628" t="str">
        <f ca="1"/>
        <v/>
      </c>
      <c r="AW36" s="628">
        <f ca="1"/>
        <v>470</v>
      </c>
      <c r="AX36" s="628">
        <f ca="1"/>
        <v>9</v>
      </c>
      <c r="AY36" s="643">
        <f ca="1"/>
        <v>50</v>
      </c>
      <c r="AZ36" s="27"/>
      <c r="BA36" s="27"/>
      <c r="BB36" s="27"/>
      <c r="BC36" s="689">
        <f t="shared" ca="1" si="8"/>
        <v>46151</v>
      </c>
      <c r="BD36" s="658">
        <f ca="1"/>
        <v>210</v>
      </c>
      <c r="BE36" s="630">
        <f ca="1"/>
        <v>70</v>
      </c>
      <c r="BF36" s="636">
        <f ca="1"/>
        <v>290</v>
      </c>
      <c r="BG36" s="628" t="str">
        <f ca="1"/>
        <v/>
      </c>
      <c r="BH36" s="657">
        <f ca="1"/>
        <v>570</v>
      </c>
      <c r="BJ36" s="658">
        <f ca="1"/>
        <v>190</v>
      </c>
      <c r="BK36" s="630">
        <f ca="1"/>
        <v>50</v>
      </c>
      <c r="BL36" s="636">
        <f ca="1"/>
        <v>320</v>
      </c>
      <c r="BM36" s="628" t="str">
        <f ca="1"/>
        <v/>
      </c>
      <c r="BN36" s="657">
        <f ca="1"/>
        <v>560</v>
      </c>
      <c r="CK36" s="53"/>
      <c r="CL36" s="63"/>
      <c r="CM36" s="63"/>
      <c r="CN36" s="63"/>
      <c r="CO36" s="47"/>
      <c r="CP36" s="47"/>
      <c r="CQ36" s="47"/>
      <c r="CR36" s="47"/>
      <c r="CT36" s="47"/>
      <c r="CU36" s="47"/>
      <c r="CV36" s="47"/>
    </row>
    <row r="37" spans="1:107" ht="13.5" thickBot="1" x14ac:dyDescent="0.25">
      <c r="A37" s="43"/>
      <c r="B37" s="49"/>
      <c r="F37" s="77"/>
      <c r="G37" s="53"/>
      <c r="P37" s="85"/>
      <c r="Q37" s="84"/>
      <c r="R37" s="138"/>
      <c r="S37" s="61"/>
      <c r="T37" s="61"/>
      <c r="U37" s="85"/>
      <c r="V37" s="86"/>
      <c r="W37" s="86"/>
      <c r="X37" s="318" t="s">
        <v>420</v>
      </c>
      <c r="Y37" s="400"/>
      <c r="Z37" s="83"/>
      <c r="AA37" s="313" t="str">
        <f>Data!E18</f>
        <v>UTG</v>
      </c>
      <c r="AB37" s="315">
        <f>COUNTIFS(Kuponger!$CF$8:$CH$934,Tabeller!$AA$29)</f>
        <v>45</v>
      </c>
      <c r="AC37" s="315">
        <f>COUNTIFS(Kuponger!$CB$8:$CD$934,Tabeller!$AA$29)</f>
        <v>96</v>
      </c>
      <c r="AD37" s="358">
        <f t="shared" si="19"/>
        <v>3150</v>
      </c>
      <c r="AE37" s="682"/>
      <c r="AF37" s="460">
        <v>8</v>
      </c>
      <c r="AG37" s="464" t="str">
        <f>_xlfn.XLOOKUP(LARGE($AD$30:$AD$38,8),$AD$30:$AD$38,$AA$30:$AA$38)</f>
        <v>RB</v>
      </c>
      <c r="AH37" s="358">
        <f t="shared" si="20"/>
        <v>0</v>
      </c>
      <c r="AI37" s="45"/>
      <c r="AJ37" s="45"/>
      <c r="AK37" s="46"/>
      <c r="AL37" s="45"/>
      <c r="AM37" s="79"/>
      <c r="AQ37" s="644">
        <f ca="1"/>
        <v>33</v>
      </c>
      <c r="AR37" s="629" t="str">
        <f ca="1"/>
        <v/>
      </c>
      <c r="AS37" s="628" t="str">
        <f ca="1"/>
        <v/>
      </c>
      <c r="AT37" s="630" t="str">
        <f ca="1"/>
        <v/>
      </c>
      <c r="AU37" s="630" t="str">
        <f ca="1"/>
        <v/>
      </c>
      <c r="AV37" s="628" t="str">
        <f ca="1"/>
        <v/>
      </c>
      <c r="AW37" s="628" t="str">
        <f ca="1"/>
        <v/>
      </c>
      <c r="AX37" s="628" t="str">
        <f ca="1"/>
        <v/>
      </c>
      <c r="AY37" s="643" t="str">
        <f ca="1"/>
        <v/>
      </c>
      <c r="AZ37" s="27"/>
      <c r="BA37" s="27"/>
      <c r="BB37" s="27"/>
      <c r="BC37" s="688" t="str">
        <f t="shared" ca="1" si="8"/>
        <v/>
      </c>
      <c r="BD37" s="656" t="str">
        <f ca="1"/>
        <v/>
      </c>
      <c r="BE37" s="630" t="str">
        <f ca="1"/>
        <v/>
      </c>
      <c r="BF37" s="630" t="str">
        <f ca="1"/>
        <v/>
      </c>
      <c r="BG37" s="628" t="str">
        <f ca="1"/>
        <v/>
      </c>
      <c r="BH37" s="657" t="str">
        <f ca="1"/>
        <v/>
      </c>
      <c r="BJ37" s="656" t="str">
        <f ca="1"/>
        <v/>
      </c>
      <c r="BK37" s="630" t="str">
        <f ca="1"/>
        <v/>
      </c>
      <c r="BL37" s="630" t="str">
        <f ca="1"/>
        <v/>
      </c>
      <c r="BM37" s="628" t="str">
        <f ca="1"/>
        <v/>
      </c>
      <c r="BN37" s="657" t="str">
        <f ca="1"/>
        <v/>
      </c>
      <c r="CK37" s="75"/>
      <c r="CN37" s="47"/>
      <c r="CO37" s="47"/>
      <c r="CP37" s="47"/>
      <c r="CQ37" s="47"/>
      <c r="CR37" s="47"/>
      <c r="CT37" s="47"/>
      <c r="CU37" s="47"/>
      <c r="CV37" s="47"/>
    </row>
    <row r="38" spans="1:107" ht="13.5" thickBot="1" x14ac:dyDescent="0.25">
      <c r="A38" s="43"/>
      <c r="B38" s="49"/>
      <c r="P38" s="72"/>
      <c r="Q38" s="46"/>
      <c r="R38" s="73"/>
      <c r="S38" s="52"/>
      <c r="T38" s="52"/>
      <c r="U38" s="44"/>
      <c r="V38" s="46"/>
      <c r="W38" s="46"/>
      <c r="X38" s="73"/>
      <c r="Y38" s="52"/>
      <c r="Z38" s="74"/>
      <c r="AA38" s="316" t="str">
        <f>Data!E17</f>
        <v>TOH</v>
      </c>
      <c r="AB38" s="317">
        <f>COUNTIFS(Kuponger!$BW$8:$BY$934,Tabeller!$AA$29)</f>
        <v>37</v>
      </c>
      <c r="AC38" s="317">
        <f>COUNTIFS(Kuponger!$BS$8:$BU$934,Tabeller!$AA$29)</f>
        <v>56</v>
      </c>
      <c r="AD38" s="359">
        <f t="shared" si="19"/>
        <v>2590</v>
      </c>
      <c r="AE38" s="685"/>
      <c r="AF38" s="461">
        <v>9</v>
      </c>
      <c r="AG38" s="465" t="str">
        <f>_xlfn.XLOOKUP(LARGE($AD$30:$AD$38,9),$AD$30:$AD$38,$AA$30:$AA$38)</f>
        <v>RB</v>
      </c>
      <c r="AH38" s="359">
        <f t="shared" si="20"/>
        <v>0</v>
      </c>
      <c r="AI38" s="45"/>
      <c r="AJ38" s="61"/>
      <c r="AK38" s="27"/>
      <c r="AL38" s="45"/>
      <c r="AM38" s="79"/>
      <c r="AQ38" s="644">
        <f ca="1"/>
        <v>34</v>
      </c>
      <c r="AR38" s="629" t="str">
        <f ca="1"/>
        <v/>
      </c>
      <c r="AS38" s="628" t="str">
        <f ca="1"/>
        <v/>
      </c>
      <c r="AT38" s="630" t="str">
        <f ca="1"/>
        <v/>
      </c>
      <c r="AU38" s="630" t="str">
        <f ca="1"/>
        <v/>
      </c>
      <c r="AV38" s="628" t="str">
        <f ca="1"/>
        <v/>
      </c>
      <c r="AW38" s="628" t="str">
        <f ca="1"/>
        <v/>
      </c>
      <c r="AX38" s="628" t="str">
        <f ca="1"/>
        <v/>
      </c>
      <c r="AY38" s="643" t="str">
        <f ca="1"/>
        <v/>
      </c>
      <c r="AZ38" s="27"/>
      <c r="BA38" s="27"/>
      <c r="BB38" s="27"/>
      <c r="BC38" s="688" t="str">
        <f t="shared" ca="1" si="8"/>
        <v/>
      </c>
      <c r="BD38" s="656" t="str">
        <f ca="1"/>
        <v/>
      </c>
      <c r="BE38" s="630" t="str">
        <f ca="1"/>
        <v/>
      </c>
      <c r="BF38" s="630" t="str">
        <f ca="1"/>
        <v/>
      </c>
      <c r="BG38" s="628" t="str">
        <f ca="1"/>
        <v/>
      </c>
      <c r="BH38" s="657" t="str">
        <f ca="1"/>
        <v/>
      </c>
      <c r="BJ38" s="656" t="str">
        <f ca="1"/>
        <v/>
      </c>
      <c r="BK38" s="630" t="str">
        <f ca="1"/>
        <v/>
      </c>
      <c r="BL38" s="630" t="str">
        <f ca="1"/>
        <v/>
      </c>
      <c r="BM38" s="628" t="str">
        <f ca="1"/>
        <v/>
      </c>
      <c r="BN38" s="657" t="str">
        <f ca="1"/>
        <v/>
      </c>
      <c r="CN38" s="47"/>
      <c r="CO38" s="47"/>
      <c r="CP38" s="47"/>
      <c r="CQ38" s="47"/>
      <c r="CR38" s="47"/>
      <c r="CT38" s="47"/>
      <c r="CU38" s="47"/>
      <c r="CV38" s="47"/>
    </row>
    <row r="39" spans="1:107" ht="13.5" thickBot="1" x14ac:dyDescent="0.25">
      <c r="A39" s="43"/>
      <c r="B39" s="49"/>
      <c r="C39" s="62"/>
      <c r="P39" s="91"/>
      <c r="Q39" s="37"/>
      <c r="R39" s="38"/>
      <c r="S39" s="35"/>
      <c r="T39" s="35"/>
      <c r="U39" s="39"/>
      <c r="V39" s="37"/>
      <c r="W39" s="37"/>
      <c r="X39" s="38"/>
      <c r="Y39" s="35"/>
      <c r="Z39" s="39"/>
      <c r="AA39" s="92"/>
      <c r="AB39" s="92"/>
      <c r="AC39" s="42"/>
      <c r="AE39" s="353"/>
      <c r="AF39" s="354"/>
      <c r="AG39" s="353"/>
      <c r="AH39" s="354"/>
      <c r="AI39" s="45"/>
      <c r="AJ39" s="61"/>
      <c r="AK39" s="27"/>
      <c r="AL39" s="45"/>
      <c r="AM39" s="79"/>
      <c r="AQ39" s="644">
        <f ca="1"/>
        <v>35</v>
      </c>
      <c r="AR39" s="629" t="str">
        <f ca="1"/>
        <v/>
      </c>
      <c r="AS39" s="628" t="str">
        <f ca="1"/>
        <v/>
      </c>
      <c r="AT39" s="630" t="str">
        <f ca="1"/>
        <v/>
      </c>
      <c r="AU39" s="630" t="str">
        <f ca="1"/>
        <v/>
      </c>
      <c r="AV39" s="628" t="str">
        <f ca="1"/>
        <v/>
      </c>
      <c r="AW39" s="628" t="str">
        <f ca="1"/>
        <v/>
      </c>
      <c r="AX39" s="628" t="str">
        <f ca="1"/>
        <v/>
      </c>
      <c r="AY39" s="643" t="str">
        <f ca="1"/>
        <v/>
      </c>
      <c r="AZ39" s="27"/>
      <c r="BA39" s="27"/>
      <c r="BB39" s="27"/>
      <c r="BC39" s="688" t="str">
        <f t="shared" ca="1" si="8"/>
        <v/>
      </c>
      <c r="BD39" s="656" t="str">
        <f ca="1"/>
        <v/>
      </c>
      <c r="BE39" s="630" t="str">
        <f ca="1"/>
        <v/>
      </c>
      <c r="BF39" s="630" t="str">
        <f ca="1"/>
        <v/>
      </c>
      <c r="BG39" s="628" t="str">
        <f ca="1"/>
        <v/>
      </c>
      <c r="BH39" s="657" t="str">
        <f ca="1"/>
        <v/>
      </c>
      <c r="BJ39" s="656" t="str">
        <f ca="1"/>
        <v/>
      </c>
      <c r="BK39" s="630" t="str">
        <f ca="1"/>
        <v/>
      </c>
      <c r="BL39" s="630" t="str">
        <f ca="1"/>
        <v/>
      </c>
      <c r="BM39" s="628" t="str">
        <f ca="1"/>
        <v/>
      </c>
      <c r="BN39" s="657" t="str">
        <f ca="1"/>
        <v/>
      </c>
      <c r="CN39" s="47"/>
      <c r="CO39" s="47"/>
      <c r="CP39" s="47"/>
      <c r="CQ39" s="47"/>
      <c r="CR39" s="47"/>
      <c r="CT39" s="47"/>
      <c r="CU39" s="47"/>
      <c r="CV39" s="47"/>
    </row>
    <row r="40" spans="1:107" ht="13.5" thickBot="1" x14ac:dyDescent="0.25">
      <c r="A40" s="43"/>
      <c r="C40" s="49"/>
      <c r="D40" s="960"/>
      <c r="E40" s="960"/>
      <c r="I40" s="87"/>
      <c r="J40" s="63"/>
      <c r="K40" s="63"/>
      <c r="L40" s="63"/>
      <c r="M40" s="49"/>
      <c r="P40" s="56"/>
      <c r="Q40" s="57"/>
      <c r="R40" s="93"/>
      <c r="S40" s="98"/>
      <c r="V40" s="53"/>
      <c r="W40" s="99"/>
      <c r="X40" s="57"/>
      <c r="Y40" s="52"/>
      <c r="Z40" s="58"/>
      <c r="AA40" s="57"/>
      <c r="AB40" s="87" t="s">
        <v>411</v>
      </c>
      <c r="AC40" s="87" t="s">
        <v>2</v>
      </c>
      <c r="AD40" s="28" t="s">
        <v>30</v>
      </c>
      <c r="AJ40" s="77"/>
      <c r="AK40" s="27"/>
      <c r="AL40" s="45"/>
      <c r="AM40" s="79"/>
      <c r="AO40" s="45"/>
      <c r="AP40" s="79"/>
      <c r="AQ40" s="642">
        <f ca="1"/>
        <v>36</v>
      </c>
      <c r="AR40" s="632" t="str">
        <f ca="1"/>
        <v/>
      </c>
      <c r="AS40" s="630" t="str">
        <f ca="1"/>
        <v/>
      </c>
      <c r="AT40" s="630" t="str">
        <f ca="1"/>
        <v/>
      </c>
      <c r="AU40" s="630" t="str">
        <f ca="1"/>
        <v/>
      </c>
      <c r="AV40" s="630" t="str">
        <f ca="1"/>
        <v/>
      </c>
      <c r="AW40" s="628" t="str">
        <f ca="1"/>
        <v/>
      </c>
      <c r="AX40" s="628" t="str">
        <f ca="1"/>
        <v/>
      </c>
      <c r="AY40" s="643" t="str">
        <f ca="1"/>
        <v/>
      </c>
      <c r="AZ40" s="27"/>
      <c r="BA40" s="27"/>
      <c r="BB40" s="27"/>
      <c r="BC40" s="689" t="str">
        <f t="shared" ca="1" si="8"/>
        <v/>
      </c>
      <c r="BD40" s="658" t="str">
        <f ca="1"/>
        <v/>
      </c>
      <c r="BE40" s="630" t="str">
        <f ca="1"/>
        <v/>
      </c>
      <c r="BF40" s="630" t="str">
        <f ca="1"/>
        <v/>
      </c>
      <c r="BG40" s="630" t="str">
        <f ca="1"/>
        <v/>
      </c>
      <c r="BH40" s="657" t="str">
        <f ca="1"/>
        <v/>
      </c>
      <c r="BJ40" s="658" t="str">
        <f ca="1"/>
        <v/>
      </c>
      <c r="BK40" s="630" t="str">
        <f ca="1"/>
        <v/>
      </c>
      <c r="BL40" s="630" t="str">
        <f ca="1"/>
        <v/>
      </c>
      <c r="BM40" s="630" t="str">
        <f ca="1"/>
        <v/>
      </c>
      <c r="BN40" s="657" t="str">
        <f ca="1"/>
        <v/>
      </c>
      <c r="CU40" s="47"/>
      <c r="CV40" s="47"/>
      <c r="CW40" s="47"/>
      <c r="CX40" s="47"/>
      <c r="CY40" s="47"/>
      <c r="DA40" s="47"/>
      <c r="DB40" s="47"/>
      <c r="DC40" s="47"/>
    </row>
    <row r="41" spans="1:107" ht="13.5" thickBot="1" x14ac:dyDescent="0.25">
      <c r="A41" s="43"/>
      <c r="C41" s="104"/>
      <c r="Q41" s="347"/>
      <c r="R41" s="59"/>
      <c r="T41" s="53"/>
      <c r="U41" s="100"/>
      <c r="V41" s="45"/>
      <c r="W41" s="46"/>
      <c r="X41" s="95"/>
      <c r="Y41" s="95"/>
      <c r="Z41" s="99"/>
      <c r="AA41" s="60">
        <v>80</v>
      </c>
      <c r="AB41" s="27">
        <f>COUNTIFS(Kuponger!$U$8:$W$934,AA41)+COUNTIFS(Kuponger!$AD$8:$AF$934,AA41)+COUNTIFS(Kuponger!$AM$8:$AO$934,AA41)+COUNTIFS(Kuponger!$AV$8:$AX$934,AA41)+COUNTIFS(Kuponger!$BE$8:$BG$934,AA41)+COUNTIFS(Kuponger!$BN$8:$BP$934,AA41)+COUNTIFS(Kuponger!$BW$8:$BY$934,AA41)+COUNTIFS(Kuponger!$CF$8:$CH$934,AA41)+COUNTIFS(Kuponger!$CO$8:$CQ$934,AA41)</f>
        <v>890</v>
      </c>
      <c r="AC41" s="901">
        <f>COUNTIFS(Kuponger!$Q$8:$S$934,AA41)+COUNTIFS(Kuponger!$Z$8:$AB$934,AA41)+COUNTIFS(Kuponger!$AI$8:$AK$934,AA41)+COUNTIFS(Kuponger!$AR$8:$AT$934,AA41)+COUNTIFS(Kuponger!$BA$8:$BC$934,AA41)+COUNTIFS(Kuponger!$BJ$8:$BL$934,AA41)+COUNTIFS(Kuponger!$BS$8:$BU$934,AA41)+COUNTIFS(Kuponger!$CB$8:$CD$934,AA41)+COUNTIFS(Kuponger!$CK$8:$CM$934,AA41)</f>
        <v>1581</v>
      </c>
      <c r="AD41" s="27">
        <f t="shared" ref="AD41:AD48" si="22">AB41/AC41</f>
        <v>0.56293485135989885</v>
      </c>
      <c r="AE41" s="59"/>
      <c r="AF41" s="61" cm="1">
        <f t="array" ref="AF41:AI48">_xlfn._xlws.SORT(AA41:AD48,{4;2;3;1},-1)</f>
        <v>80</v>
      </c>
      <c r="AG41" s="61">
        <v>890</v>
      </c>
      <c r="AH41" s="27">
        <v>1581</v>
      </c>
      <c r="AI41" s="27">
        <v>0.56293485135989885</v>
      </c>
      <c r="AQ41" s="644">
        <f ca="1"/>
        <v>37</v>
      </c>
      <c r="AR41" s="629" t="str">
        <f ca="1"/>
        <v/>
      </c>
      <c r="AS41" s="637" t="str">
        <f ca="1"/>
        <v/>
      </c>
      <c r="AT41" s="628" t="str">
        <f ca="1"/>
        <v/>
      </c>
      <c r="AU41" s="630" t="str">
        <f ca="1"/>
        <v/>
      </c>
      <c r="AV41" s="630" t="str">
        <f ca="1"/>
        <v/>
      </c>
      <c r="AW41" s="630" t="str">
        <f ca="1"/>
        <v/>
      </c>
      <c r="AX41" s="630" t="str">
        <f ca="1"/>
        <v/>
      </c>
      <c r="AY41" s="643" t="str">
        <f ca="1"/>
        <v/>
      </c>
      <c r="AZ41" s="94"/>
      <c r="BA41" s="56"/>
      <c r="BB41" s="56"/>
      <c r="BC41" s="688" t="str">
        <f t="shared" ca="1" si="8"/>
        <v/>
      </c>
      <c r="BD41" s="665" t="str">
        <f ca="1"/>
        <v/>
      </c>
      <c r="BE41" s="628" t="str">
        <f ca="1"/>
        <v/>
      </c>
      <c r="BF41" s="630" t="str">
        <f ca="1"/>
        <v/>
      </c>
      <c r="BG41" s="630" t="str">
        <f ca="1"/>
        <v/>
      </c>
      <c r="BH41" s="659" t="str">
        <f ca="1"/>
        <v/>
      </c>
      <c r="BI41" s="88"/>
      <c r="BJ41" s="665" t="str">
        <f ca="1"/>
        <v/>
      </c>
      <c r="BK41" s="628" t="str">
        <f ca="1"/>
        <v/>
      </c>
      <c r="BL41" s="630" t="str">
        <f ca="1"/>
        <v/>
      </c>
      <c r="BM41" s="630" t="str">
        <f ca="1"/>
        <v/>
      </c>
      <c r="BN41" s="659" t="str">
        <f ca="1"/>
        <v/>
      </c>
      <c r="CL41" s="47"/>
      <c r="CM41" s="47"/>
      <c r="CN41" s="47"/>
      <c r="CO41" s="47"/>
      <c r="CP41" s="47"/>
      <c r="CR41" s="47"/>
      <c r="CS41" s="47"/>
      <c r="CT41" s="47"/>
    </row>
    <row r="42" spans="1:107" ht="13.5" thickBot="1" x14ac:dyDescent="0.25">
      <c r="A42" s="43"/>
      <c r="J42" s="344"/>
      <c r="K42" s="344"/>
      <c r="L42" s="344"/>
      <c r="P42" s="139"/>
      <c r="Q42" s="57"/>
      <c r="R42" s="139"/>
      <c r="S42" s="140"/>
      <c r="T42" s="53"/>
      <c r="AA42" s="60">
        <v>70</v>
      </c>
      <c r="AB42" s="901">
        <f>COUNTIFS(Kuponger!$U$8:$W$934,AA42)+COUNTIFS(Kuponger!$AD$8:$AF$934,AA42)+COUNTIFS(Kuponger!$AM$8:$AO$934,AA42)+COUNTIFS(Kuponger!$AV$8:$AX$934,AA42)+COUNTIFS(Kuponger!$BE$8:$BG$934,AA42)+COUNTIFS(Kuponger!$BN$8:$BP$934,AA42)+COUNTIFS(Kuponger!$BW$8:$BY$934,AA42)+COUNTIFS(Kuponger!$CF$8:$CH$934,AA42)+COUNTIFS(Kuponger!$CO$8:$CQ$934,AA42)</f>
        <v>161</v>
      </c>
      <c r="AC42" s="27">
        <f>COUNTIFS(Kuponger!$Q$8:$S$934,AA42)+COUNTIFS(Kuponger!$Z$8:$AB$934,AA42)+COUNTIFS(Kuponger!$AI$8:$AK$934,AA42)+COUNTIFS(Kuponger!$AR$8:$AT$934,AA42)+COUNTIFS(Kuponger!$BA$8:$BC$934,AA42)+COUNTIFS(Kuponger!$BJ$8:$BL$934,AA42)+COUNTIFS(Kuponger!$BS$8:$BU$934,AA42)+COUNTIFS(Kuponger!$CB$8:$CD$934,AA42)+COUNTIFS(Kuponger!$CK$8:$CM$934,AA42)</f>
        <v>335</v>
      </c>
      <c r="AD42" s="901">
        <f t="shared" si="22"/>
        <v>0.48059701492537316</v>
      </c>
      <c r="AE42" s="140"/>
      <c r="AF42" s="61">
        <v>70</v>
      </c>
      <c r="AG42" s="61">
        <v>161</v>
      </c>
      <c r="AH42" s="27">
        <v>335</v>
      </c>
      <c r="AI42" s="27">
        <v>0.48059701492537316</v>
      </c>
      <c r="AN42" s="77"/>
      <c r="AP42" s="45"/>
      <c r="AQ42" s="647">
        <f ca="1"/>
        <v>38</v>
      </c>
      <c r="AR42" s="648" t="str">
        <f ca="1"/>
        <v/>
      </c>
      <c r="AS42" s="649" t="str">
        <f ca="1"/>
        <v/>
      </c>
      <c r="AT42" s="649" t="str">
        <f ca="1"/>
        <v/>
      </c>
      <c r="AU42" s="649" t="str">
        <f ca="1"/>
        <v/>
      </c>
      <c r="AV42" s="649" t="str">
        <f ca="1"/>
        <v/>
      </c>
      <c r="AW42" s="650" t="str">
        <f ca="1"/>
        <v/>
      </c>
      <c r="AX42" s="651" t="str">
        <f ca="1"/>
        <v/>
      </c>
      <c r="AY42" s="652" t="str">
        <f ca="1"/>
        <v/>
      </c>
      <c r="AZ42" s="27"/>
      <c r="BA42" s="63"/>
      <c r="BB42" s="63"/>
      <c r="BC42" s="692" t="str">
        <f t="shared" ca="1" si="8"/>
        <v/>
      </c>
      <c r="BD42" s="666" t="str">
        <f ca="1"/>
        <v/>
      </c>
      <c r="BE42" s="649" t="str">
        <f ca="1"/>
        <v/>
      </c>
      <c r="BF42" s="649" t="str">
        <f ca="1"/>
        <v/>
      </c>
      <c r="BG42" s="649" t="str">
        <f ca="1"/>
        <v/>
      </c>
      <c r="BH42" s="667" t="str">
        <f ca="1"/>
        <v/>
      </c>
      <c r="BJ42" s="666" t="str">
        <f ca="1"/>
        <v/>
      </c>
      <c r="BK42" s="649" t="str">
        <f ca="1"/>
        <v/>
      </c>
      <c r="BL42" s="649" t="str">
        <f ca="1"/>
        <v/>
      </c>
      <c r="BM42" s="649" t="str">
        <f ca="1"/>
        <v/>
      </c>
      <c r="BN42" s="667" t="str">
        <f ca="1"/>
        <v/>
      </c>
      <c r="CP42" s="47"/>
      <c r="CQ42" s="47"/>
      <c r="CR42" s="47"/>
      <c r="CS42" s="47"/>
      <c r="CT42" s="47"/>
      <c r="CV42" s="47"/>
      <c r="CW42" s="47"/>
      <c r="CX42" s="47"/>
    </row>
    <row r="43" spans="1:107" ht="13.5" thickBot="1" x14ac:dyDescent="0.25">
      <c r="A43" s="43"/>
      <c r="I43" s="345"/>
      <c r="J43" s="63"/>
      <c r="K43" s="63"/>
      <c r="L43" s="63"/>
      <c r="P43" s="348"/>
      <c r="Q43" s="61"/>
      <c r="R43" s="85"/>
      <c r="S43" s="84"/>
      <c r="T43" s="61"/>
      <c r="AA43" s="60">
        <v>60</v>
      </c>
      <c r="AB43" s="901">
        <f>COUNTIFS(Kuponger!$U$8:$W$934,AA43)+COUNTIFS(Kuponger!$AD$8:$AF$934,AA43)+COUNTIFS(Kuponger!$AM$8:$AO$934,AA43)+COUNTIFS(Kuponger!$AV$8:$AX$934,AA43)+COUNTIFS(Kuponger!$BE$8:$BG$934,AA43)+COUNTIFS(Kuponger!$BN$8:$BP$934,AA43)+COUNTIFS(Kuponger!$BW$8:$BY$934,AA43)+COUNTIFS(Kuponger!$CF$8:$CH$934,AA43)+COUNTIFS(Kuponger!$CO$8:$CQ$934,AA43)</f>
        <v>261</v>
      </c>
      <c r="AC43" s="27">
        <f>COUNTIFS(Kuponger!$Q$8:$S$934,AA43)+COUNTIFS(Kuponger!$Z$8:$AB$934,AA43)+COUNTIFS(Kuponger!$AI$8:$AK$934,AA43)+COUNTIFS(Kuponger!$AR$8:$AT$934,AA43)+COUNTIFS(Kuponger!$BA$8:$BC$934,AA43)+COUNTIFS(Kuponger!$BJ$8:$BL$934,AA43)+COUNTIFS(Kuponger!$BS$8:$BU$934,AA43)+COUNTIFS(Kuponger!$CB$8:$CD$934,AA43)+COUNTIFS(Kuponger!$CK$8:$CM$934,AA43)</f>
        <v>652</v>
      </c>
      <c r="AD43" s="901">
        <f t="shared" si="22"/>
        <v>0.40030674846625769</v>
      </c>
      <c r="AE43" s="349"/>
      <c r="AF43" s="61">
        <v>60</v>
      </c>
      <c r="AG43" s="61">
        <v>261</v>
      </c>
      <c r="AH43" s="27">
        <v>652</v>
      </c>
      <c r="AI43" s="27">
        <v>0.40030674846625769</v>
      </c>
      <c r="AN43" s="55"/>
      <c r="AO43" s="53"/>
      <c r="AP43" s="45"/>
      <c r="AQ43" s="642">
        <f ca="1"/>
        <v>39</v>
      </c>
      <c r="AR43" s="632" t="str">
        <f ca="1"/>
        <v/>
      </c>
      <c r="AS43" s="630" t="str">
        <f ca="1"/>
        <v/>
      </c>
      <c r="AT43" s="630" t="str">
        <f ca="1"/>
        <v/>
      </c>
      <c r="AU43" s="630" t="str">
        <f ca="1"/>
        <v/>
      </c>
      <c r="AV43" s="630" t="str">
        <f ca="1"/>
        <v/>
      </c>
      <c r="AW43" s="628" t="str">
        <f ca="1"/>
        <v/>
      </c>
      <c r="AX43" s="628" t="str">
        <f ca="1"/>
        <v/>
      </c>
      <c r="AY43" s="643" t="str">
        <f ca="1"/>
        <v/>
      </c>
      <c r="AZ43" s="56"/>
      <c r="BA43" s="27"/>
      <c r="BB43" s="27"/>
      <c r="BC43" s="689" t="str">
        <f t="shared" ca="1" si="8"/>
        <v/>
      </c>
      <c r="BD43" s="658" t="str">
        <f ca="1"/>
        <v/>
      </c>
      <c r="BE43" s="630" t="str">
        <f ca="1"/>
        <v/>
      </c>
      <c r="BF43" s="630" t="str">
        <f ca="1"/>
        <v/>
      </c>
      <c r="BG43" s="630" t="str">
        <f ca="1"/>
        <v/>
      </c>
      <c r="BH43" s="657" t="str">
        <f ca="1"/>
        <v/>
      </c>
      <c r="BI43" s="49"/>
      <c r="BJ43" s="658" t="str">
        <f ca="1"/>
        <v/>
      </c>
      <c r="BK43" s="630" t="str">
        <f ca="1"/>
        <v/>
      </c>
      <c r="BL43" s="630" t="str">
        <f ca="1"/>
        <v/>
      </c>
      <c r="BM43" s="630" t="str">
        <f ca="1"/>
        <v/>
      </c>
      <c r="BN43" s="657" t="str">
        <f ca="1"/>
        <v/>
      </c>
      <c r="CP43" s="47"/>
      <c r="CQ43" s="47"/>
      <c r="CR43" s="47"/>
      <c r="CS43" s="47"/>
      <c r="CT43" s="47"/>
      <c r="CV43" s="47"/>
      <c r="CW43" s="47"/>
      <c r="CX43" s="47"/>
    </row>
    <row r="44" spans="1:107" ht="13.5" thickBot="1" x14ac:dyDescent="0.25">
      <c r="A44" s="43"/>
      <c r="D44" s="28" t="s">
        <v>16</v>
      </c>
      <c r="E44" s="28" t="s">
        <v>17</v>
      </c>
      <c r="F44" s="28" t="s">
        <v>18</v>
      </c>
      <c r="G44" s="28" t="s">
        <v>15</v>
      </c>
      <c r="H44" s="28" t="s">
        <v>449</v>
      </c>
      <c r="I44" s="345"/>
      <c r="J44" s="63"/>
      <c r="K44" s="63"/>
      <c r="L44" s="63"/>
      <c r="P44" s="348"/>
      <c r="Q44" s="61"/>
      <c r="R44" s="85"/>
      <c r="S44" s="84"/>
      <c r="T44" s="61"/>
      <c r="AA44" s="60">
        <v>50</v>
      </c>
      <c r="AB44" s="901">
        <f>COUNTIFS(Kuponger!$U$8:$W$934,AA44)+COUNTIFS(Kuponger!$AD$8:$AF$934,AA44)+COUNTIFS(Kuponger!$AM$8:$AO$934,AA44)+COUNTIFS(Kuponger!$AV$8:$AX$934,AA44)+COUNTIFS(Kuponger!$BE$8:$BG$934,AA44)+COUNTIFS(Kuponger!$BN$8:$BP$934,AA44)+COUNTIFS(Kuponger!$BW$8:$BY$934,AA44)+COUNTIFS(Kuponger!$CF$8:$CH$934,AA44)+COUNTIFS(Kuponger!$CO$8:$CQ$934,AA44)</f>
        <v>207</v>
      </c>
      <c r="AC44" s="27">
        <f>COUNTIFS(Kuponger!$Q$8:$S$934,AA44)+COUNTIFS(Kuponger!$Z$8:$AB$934,AA44)+COUNTIFS(Kuponger!$AI$8:$AK$934,AA44)+COUNTIFS(Kuponger!$AR$8:$AT$934,AA44)+COUNTIFS(Kuponger!$BA$8:$BC$934,AA44)+COUNTIFS(Kuponger!$BJ$8:$BL$934,AA44)+COUNTIFS(Kuponger!$BS$8:$BU$934,AA44)+COUNTIFS(Kuponger!$CB$8:$CD$934,AA44)+COUNTIFS(Kuponger!$CK$8:$CM$934,AA44)</f>
        <v>561</v>
      </c>
      <c r="AD44" s="901">
        <f t="shared" si="22"/>
        <v>0.36898395721925131</v>
      </c>
      <c r="AE44" s="349"/>
      <c r="AF44" s="61">
        <v>50</v>
      </c>
      <c r="AG44" s="61">
        <v>207</v>
      </c>
      <c r="AH44" s="27">
        <v>561</v>
      </c>
      <c r="AI44" s="27">
        <v>0.36898395721925131</v>
      </c>
      <c r="AQ44" s="644">
        <f ca="1"/>
        <v>40</v>
      </c>
      <c r="AR44" s="629" t="str">
        <f ca="1"/>
        <v/>
      </c>
      <c r="AS44" s="637" t="str">
        <f ca="1"/>
        <v/>
      </c>
      <c r="AT44" s="628" t="str">
        <f ca="1"/>
        <v/>
      </c>
      <c r="AU44" s="630" t="str">
        <f ca="1"/>
        <v/>
      </c>
      <c r="AV44" s="630" t="str">
        <f ca="1"/>
        <v/>
      </c>
      <c r="AW44" s="630" t="str">
        <f ca="1"/>
        <v/>
      </c>
      <c r="AX44" s="630" t="str">
        <f ca="1"/>
        <v/>
      </c>
      <c r="AY44" s="643" t="str">
        <f ca="1"/>
        <v/>
      </c>
      <c r="AZ44" s="46"/>
      <c r="BA44" s="27"/>
      <c r="BB44" s="27"/>
      <c r="BC44" s="688" t="str">
        <f t="shared" ca="1" si="8"/>
        <v/>
      </c>
      <c r="BD44" s="665" t="str">
        <f ca="1"/>
        <v/>
      </c>
      <c r="BE44" s="628" t="str">
        <f ca="1"/>
        <v/>
      </c>
      <c r="BF44" s="630" t="str">
        <f ca="1"/>
        <v/>
      </c>
      <c r="BG44" s="630" t="str">
        <f ca="1"/>
        <v/>
      </c>
      <c r="BH44" s="659" t="str">
        <f ca="1"/>
        <v/>
      </c>
      <c r="BI44" s="49"/>
      <c r="BJ44" s="665" t="str">
        <f ca="1"/>
        <v/>
      </c>
      <c r="BK44" s="628" t="str">
        <f ca="1"/>
        <v/>
      </c>
      <c r="BL44" s="630" t="str">
        <f ca="1"/>
        <v/>
      </c>
      <c r="BM44" s="630" t="str">
        <f ca="1"/>
        <v/>
      </c>
      <c r="BN44" s="659" t="str">
        <f ca="1"/>
        <v/>
      </c>
      <c r="CP44" s="47"/>
      <c r="CQ44" s="47"/>
      <c r="CR44" s="47"/>
      <c r="CS44" s="47"/>
      <c r="CT44" s="47"/>
      <c r="CV44" s="47"/>
      <c r="CW44" s="47"/>
      <c r="CX44" s="47"/>
    </row>
    <row r="45" spans="1:107" ht="12.75" x14ac:dyDescent="0.2">
      <c r="A45" s="43"/>
      <c r="C45" s="27" t="s">
        <v>19</v>
      </c>
      <c r="D45" s="27">
        <f ca="1">SUM(INDIRECT("t_"&amp;$C45&amp;"["&amp;D$44&amp;"]"))</f>
        <v>9350</v>
      </c>
      <c r="E45" s="27">
        <f t="shared" ref="E45:H53" ca="1" si="23">SUM(INDIRECT("t_"&amp;$C45&amp;"["&amp;E$44&amp;"]"))</f>
        <v>2600</v>
      </c>
      <c r="F45" s="27">
        <f t="shared" ca="1" si="23"/>
        <v>3870</v>
      </c>
      <c r="G45" s="27">
        <f t="shared" ca="1" si="23"/>
        <v>0</v>
      </c>
      <c r="H45" s="27">
        <f t="shared" ca="1" si="23"/>
        <v>15820</v>
      </c>
      <c r="I45" s="345"/>
      <c r="J45" s="63"/>
      <c r="K45" s="63"/>
      <c r="L45" s="63"/>
      <c r="P45" s="348"/>
      <c r="Q45" s="61"/>
      <c r="R45" s="85"/>
      <c r="S45" s="84"/>
      <c r="T45" s="61"/>
      <c r="AA45" s="60">
        <v>40</v>
      </c>
      <c r="AB45" s="901">
        <f>COUNTIFS(Kuponger!$U$8:$W$934,AA45)+COUNTIFS(Kuponger!$AD$8:$AF$934,AA45)+COUNTIFS(Kuponger!$AM$8:$AO$934,AA45)+COUNTIFS(Kuponger!$AV$8:$AX$934,AA45)+COUNTIFS(Kuponger!$BE$8:$BG$934,AA45)+COUNTIFS(Kuponger!$BN$8:$BP$934,AA45)+COUNTIFS(Kuponger!$BW$8:$BY$934,AA45)+COUNTIFS(Kuponger!$CF$8:$CH$934,AA45)+COUNTIFS(Kuponger!$CO$8:$CQ$934,AA45)</f>
        <v>253</v>
      </c>
      <c r="AC45" s="27">
        <f>COUNTIFS(Kuponger!$Q$8:$S$934,AA45)+COUNTIFS(Kuponger!$Z$8:$AB$934,AA45)+COUNTIFS(Kuponger!$AI$8:$AK$934,AA45)+COUNTIFS(Kuponger!$AR$8:$AT$934,AA45)+COUNTIFS(Kuponger!$BA$8:$BC$934,AA45)+COUNTIFS(Kuponger!$BJ$8:$BL$934,AA45)+COUNTIFS(Kuponger!$BS$8:$BU$934,AA45)+COUNTIFS(Kuponger!$CB$8:$CD$934,AA45)+COUNTIFS(Kuponger!$CK$8:$CM$934,AA45)</f>
        <v>770</v>
      </c>
      <c r="AD45" s="901">
        <f t="shared" si="22"/>
        <v>0.32857142857142857</v>
      </c>
      <c r="AE45" s="349"/>
      <c r="AF45" s="61">
        <v>40</v>
      </c>
      <c r="AG45" s="61">
        <v>253</v>
      </c>
      <c r="AH45" s="27">
        <v>770</v>
      </c>
      <c r="AI45" s="27">
        <v>0.32857142857142857</v>
      </c>
      <c r="AQ45" s="647">
        <f ca="1"/>
        <v>41</v>
      </c>
      <c r="AR45" s="648" t="str">
        <f ca="1"/>
        <v/>
      </c>
      <c r="AS45" s="649" t="str">
        <f ca="1"/>
        <v/>
      </c>
      <c r="AT45" s="649" t="str">
        <f ca="1"/>
        <v/>
      </c>
      <c r="AU45" s="649" t="str">
        <f ca="1"/>
        <v/>
      </c>
      <c r="AV45" s="649" t="str">
        <f ca="1"/>
        <v/>
      </c>
      <c r="AW45" s="650" t="str">
        <f ca="1"/>
        <v/>
      </c>
      <c r="AX45" s="651" t="str">
        <f ca="1"/>
        <v/>
      </c>
      <c r="AY45" s="652" t="str">
        <f ca="1"/>
        <v/>
      </c>
      <c r="AZ45" s="27"/>
      <c r="BA45" s="27"/>
      <c r="BB45" s="27"/>
      <c r="BC45" s="693" t="str">
        <f t="shared" ca="1" si="8"/>
        <v/>
      </c>
      <c r="BD45" s="668" t="str">
        <f ca="1"/>
        <v/>
      </c>
      <c r="BE45" s="669" t="str">
        <f ca="1"/>
        <v/>
      </c>
      <c r="BF45" s="669" t="str">
        <f ca="1"/>
        <v/>
      </c>
      <c r="BG45" s="669" t="str">
        <f ca="1"/>
        <v/>
      </c>
      <c r="BH45" s="670" t="str">
        <f ca="1"/>
        <v/>
      </c>
      <c r="BI45" s="49"/>
      <c r="BJ45" s="668" t="str">
        <f ca="1"/>
        <v/>
      </c>
      <c r="BK45" s="669" t="str">
        <f ca="1"/>
        <v/>
      </c>
      <c r="BL45" s="669" t="str">
        <f ca="1"/>
        <v/>
      </c>
      <c r="BM45" s="669" t="str">
        <f ca="1"/>
        <v/>
      </c>
      <c r="BN45" s="670" t="str">
        <f ca="1"/>
        <v/>
      </c>
      <c r="CP45" s="47"/>
      <c r="CQ45" s="47"/>
      <c r="CR45" s="47"/>
      <c r="CS45" s="47"/>
      <c r="CT45" s="47"/>
      <c r="CV45" s="47"/>
      <c r="CW45" s="47"/>
      <c r="CX45" s="47"/>
    </row>
    <row r="46" spans="1:107" ht="12.75" x14ac:dyDescent="0.2">
      <c r="A46" s="43"/>
      <c r="C46" s="27" t="s">
        <v>20</v>
      </c>
      <c r="D46" s="27">
        <f t="shared" ref="D46:D53" ca="1" si="24">SUM(INDIRECT("t_"&amp;$C46&amp;"["&amp;D$44&amp;"]"))</f>
        <v>11530</v>
      </c>
      <c r="E46" s="27">
        <f t="shared" ca="1" si="23"/>
        <v>1170</v>
      </c>
      <c r="F46" s="27">
        <f t="shared" ca="1" si="23"/>
        <v>4720</v>
      </c>
      <c r="G46" s="27">
        <f t="shared" ca="1" si="23"/>
        <v>-100</v>
      </c>
      <c r="H46" s="27">
        <f t="shared" ca="1" si="23"/>
        <v>17320</v>
      </c>
      <c r="P46" s="348"/>
      <c r="Q46" s="61"/>
      <c r="R46" s="85"/>
      <c r="S46" s="84"/>
      <c r="T46" s="61"/>
      <c r="AA46" s="60">
        <v>30</v>
      </c>
      <c r="AB46" s="901">
        <f>COUNTIFS(Kuponger!$U$8:$W$934,AA46)+COUNTIFS(Kuponger!$AD$8:$AF$934,AA46)+COUNTIFS(Kuponger!$AM$8:$AO$934,AA46)+COUNTIFS(Kuponger!$AV$8:$AX$934,AA46)+COUNTIFS(Kuponger!$BE$8:$BG$934,AA46)+COUNTIFS(Kuponger!$BN$8:$BP$934,AA46)+COUNTIFS(Kuponger!$BW$8:$BY$934,AA46)+COUNTIFS(Kuponger!$CF$8:$CH$934,AA46)+COUNTIFS(Kuponger!$CO$8:$CQ$934,AA46)</f>
        <v>389</v>
      </c>
      <c r="AC46" s="27">
        <f>COUNTIFS(Kuponger!$Q$8:$S$934,AA46)+COUNTIFS(Kuponger!$Z$8:$AB$934,AA46)+COUNTIFS(Kuponger!$AI$8:$AK$934,AA46)+COUNTIFS(Kuponger!$AR$8:$AT$934,AA46)+COUNTIFS(Kuponger!$BA$8:$BC$934,AA46)+COUNTIFS(Kuponger!$BJ$8:$BL$934,AA46)+COUNTIFS(Kuponger!$BS$8:$BU$934,AA46)+COUNTIFS(Kuponger!$CB$8:$CD$934,AA46)+COUNTIFS(Kuponger!$CK$8:$CM$934,AA46)</f>
        <v>1358</v>
      </c>
      <c r="AD46" s="901">
        <f t="shared" si="22"/>
        <v>0.28645066273932251</v>
      </c>
      <c r="AE46" s="349"/>
      <c r="AF46" s="61">
        <v>30</v>
      </c>
      <c r="AG46" s="61">
        <v>389</v>
      </c>
      <c r="AH46" s="27">
        <v>1358</v>
      </c>
      <c r="AI46" s="27">
        <v>0.28645066273932251</v>
      </c>
      <c r="AU46" s="605"/>
      <c r="AV46" s="607"/>
      <c r="AW46" s="610"/>
      <c r="AX46" s="607"/>
      <c r="AZ46" s="27"/>
      <c r="BA46" s="27"/>
      <c r="BB46" s="27"/>
      <c r="BC46" s="53"/>
      <c r="BD46" s="45"/>
      <c r="BE46" s="46"/>
      <c r="BF46" s="46"/>
      <c r="BG46" s="46"/>
      <c r="BH46" s="101"/>
      <c r="BI46" s="49"/>
      <c r="CP46" s="47"/>
      <c r="CQ46" s="47"/>
      <c r="CR46" s="47"/>
      <c r="CS46" s="47"/>
      <c r="CT46" s="47"/>
      <c r="CV46" s="47"/>
      <c r="CW46" s="47"/>
      <c r="CX46" s="47"/>
    </row>
    <row r="47" spans="1:107" ht="12.75" x14ac:dyDescent="0.2">
      <c r="A47" s="43"/>
      <c r="C47" s="27" t="s">
        <v>21</v>
      </c>
      <c r="D47" s="27">
        <f t="shared" ca="1" si="24"/>
        <v>9790</v>
      </c>
      <c r="E47" s="27">
        <f t="shared" ca="1" si="23"/>
        <v>1890</v>
      </c>
      <c r="F47" s="27">
        <f t="shared" ca="1" si="23"/>
        <v>4240</v>
      </c>
      <c r="G47" s="27">
        <f t="shared" ca="1" si="23"/>
        <v>0</v>
      </c>
      <c r="H47" s="27">
        <f t="shared" ca="1" si="23"/>
        <v>15920</v>
      </c>
      <c r="P47" s="348"/>
      <c r="Q47" s="61"/>
      <c r="R47" s="85"/>
      <c r="S47" s="84"/>
      <c r="T47" s="61"/>
      <c r="AA47" s="60">
        <v>20</v>
      </c>
      <c r="AB47" s="901">
        <f>COUNTIFS(Kuponger!$U$8:$W$934,AA47)+COUNTIFS(Kuponger!$AD$8:$AF$934,AA47)+COUNTIFS(Kuponger!$AM$8:$AO$934,AA47)+COUNTIFS(Kuponger!$AV$8:$AX$934,AA47)+COUNTIFS(Kuponger!$BE$8:$BG$934,AA47)+COUNTIFS(Kuponger!$BN$8:$BP$934,AA47)+COUNTIFS(Kuponger!$BW$8:$BY$934,AA47)+COUNTIFS(Kuponger!$CF$8:$CH$934,AA47)+COUNTIFS(Kuponger!$CO$8:$CQ$934,AA47)</f>
        <v>412</v>
      </c>
      <c r="AC47" s="27">
        <f>COUNTIFS(Kuponger!$Q$8:$S$934,AA47)+COUNTIFS(Kuponger!$Z$8:$AB$934,AA47)+COUNTIFS(Kuponger!$AI$8:$AK$934,AA47)+COUNTIFS(Kuponger!$AR$8:$AT$934,AA47)+COUNTIFS(Kuponger!$BA$8:$BC$934,AA47)+COUNTIFS(Kuponger!$BJ$8:$BL$934,AA47)+COUNTIFS(Kuponger!$BS$8:$BU$934,AA47)+COUNTIFS(Kuponger!$CB$8:$CD$934,AA47)+COUNTIFS(Kuponger!$CK$8:$CM$934,AA47)</f>
        <v>1495</v>
      </c>
      <c r="AD47" s="901">
        <f t="shared" si="22"/>
        <v>0.27558528428093648</v>
      </c>
      <c r="AE47" s="349"/>
      <c r="AF47" s="61">
        <v>20</v>
      </c>
      <c r="AG47" s="61">
        <v>412</v>
      </c>
      <c r="AH47" s="27">
        <v>1495</v>
      </c>
      <c r="AI47" s="27">
        <v>0.27558528428093648</v>
      </c>
      <c r="AU47" s="605"/>
      <c r="AV47" s="607"/>
      <c r="AW47" s="610"/>
      <c r="AX47" s="607"/>
      <c r="AZ47" s="27"/>
      <c r="BA47" s="27"/>
      <c r="BB47" s="27"/>
      <c r="BC47" s="53"/>
      <c r="BD47" s="45"/>
      <c r="BE47" s="46"/>
      <c r="BF47" s="63"/>
      <c r="BG47" s="46"/>
      <c r="BH47" s="101"/>
      <c r="BI47" s="49"/>
      <c r="CP47" s="47"/>
      <c r="CQ47" s="47"/>
      <c r="CR47" s="47"/>
      <c r="CS47" s="47"/>
      <c r="CT47" s="47"/>
      <c r="CV47" s="47"/>
      <c r="CW47" s="47"/>
      <c r="CX47" s="47"/>
    </row>
    <row r="48" spans="1:107" ht="12.75" x14ac:dyDescent="0.2">
      <c r="A48" s="43"/>
      <c r="C48" s="27" t="s">
        <v>22</v>
      </c>
      <c r="D48" s="27">
        <f t="shared" ca="1" si="24"/>
        <v>9190</v>
      </c>
      <c r="E48" s="27">
        <f t="shared" ca="1" si="23"/>
        <v>2200</v>
      </c>
      <c r="F48" s="27">
        <f t="shared" ca="1" si="23"/>
        <v>4890</v>
      </c>
      <c r="G48" s="27">
        <f t="shared" ca="1" si="23"/>
        <v>-50</v>
      </c>
      <c r="H48" s="27">
        <f t="shared" ca="1" si="23"/>
        <v>16230</v>
      </c>
      <c r="P48" s="350"/>
      <c r="Q48" s="61"/>
      <c r="R48" s="85"/>
      <c r="S48" s="84"/>
      <c r="T48" s="61"/>
      <c r="AA48" s="60">
        <v>10</v>
      </c>
      <c r="AB48" s="901">
        <f>COUNTIFS(Kuponger!$U$8:$W$934,AA48)+COUNTIFS(Kuponger!$AD$8:$AF$934,AA48)+COUNTIFS(Kuponger!$AM$8:$AO$934,AA48)+COUNTIFS(Kuponger!$AV$8:$AX$934,AA48)+COUNTIFS(Kuponger!$BE$8:$BG$934,AA48)+COUNTIFS(Kuponger!$BN$8:$BP$934,AA48)+COUNTIFS(Kuponger!$BW$8:$BY$934,AA48)+COUNTIFS(Kuponger!$CF$8:$CH$934,AA48)+COUNTIFS(Kuponger!$CO$8:$CQ$934,AA48)</f>
        <v>871</v>
      </c>
      <c r="AC48" s="27">
        <f>COUNTIFS(Kuponger!$Q$8:$S$934,AA48)+COUNTIFS(Kuponger!$Z$8:$AB$934,AA48)+COUNTIFS(Kuponger!$AI$8:$AK$934,AA48)+COUNTIFS(Kuponger!$AR$8:$AT$934,AA48)+COUNTIFS(Kuponger!$BA$8:$BC$934,AA48)+COUNTIFS(Kuponger!$BJ$8:$BL$934,AA48)+COUNTIFS(Kuponger!$BS$8:$BU$934,AA48)+COUNTIFS(Kuponger!$CB$8:$CD$934,AA48)+COUNTIFS(Kuponger!$CK$8:$CM$934,AA48)</f>
        <v>3872</v>
      </c>
      <c r="AD48" s="901">
        <f t="shared" si="22"/>
        <v>0.22494834710743802</v>
      </c>
      <c r="AE48" s="349"/>
      <c r="AF48" s="61">
        <v>10</v>
      </c>
      <c r="AG48" s="61">
        <v>871</v>
      </c>
      <c r="AH48" s="27">
        <v>3872</v>
      </c>
      <c r="AI48" s="27">
        <v>0.22494834710743802</v>
      </c>
      <c r="AU48" s="605"/>
      <c r="AV48" s="607"/>
      <c r="AW48" s="610"/>
      <c r="AX48" s="607"/>
      <c r="AZ48" s="27"/>
      <c r="BA48" s="27"/>
      <c r="BB48" s="27"/>
      <c r="BC48" s="58"/>
      <c r="BD48" s="45"/>
      <c r="BE48" s="46"/>
      <c r="BF48" s="63"/>
      <c r="BG48" s="46"/>
      <c r="BH48" s="101"/>
      <c r="BI48" s="49"/>
      <c r="CP48" s="47"/>
      <c r="CQ48" s="47"/>
      <c r="CR48" s="47"/>
      <c r="CS48" s="47"/>
      <c r="CT48" s="47"/>
      <c r="CV48" s="47"/>
      <c r="CW48" s="47"/>
      <c r="CX48" s="47"/>
    </row>
    <row r="49" spans="1:125" ht="12.75" x14ac:dyDescent="0.2">
      <c r="A49" s="43"/>
      <c r="C49" s="27" t="s">
        <v>23</v>
      </c>
      <c r="D49" s="27">
        <f t="shared" ca="1" si="24"/>
        <v>11240</v>
      </c>
      <c r="E49" s="27">
        <f t="shared" ca="1" si="23"/>
        <v>1000</v>
      </c>
      <c r="F49" s="27">
        <f t="shared" ca="1" si="23"/>
        <v>4860</v>
      </c>
      <c r="G49" s="27">
        <f t="shared" ca="1" si="23"/>
        <v>-50</v>
      </c>
      <c r="H49" s="27">
        <f t="shared" ca="1" si="23"/>
        <v>17050</v>
      </c>
      <c r="P49" s="348"/>
      <c r="Q49" s="61"/>
      <c r="R49" s="83"/>
      <c r="S49" s="84"/>
      <c r="T49" s="61"/>
      <c r="AB49" s="61"/>
      <c r="AD49" s="348"/>
      <c r="AE49" s="349"/>
      <c r="AF49" s="61"/>
      <c r="AG49" s="61"/>
      <c r="AU49" s="605"/>
      <c r="AV49" s="607"/>
      <c r="AW49" s="610"/>
      <c r="AX49" s="607"/>
      <c r="AZ49" s="27"/>
      <c r="BA49" s="27"/>
      <c r="BB49" s="27"/>
      <c r="BC49" s="75"/>
      <c r="BD49" s="59"/>
      <c r="BE49" s="56"/>
      <c r="BF49" s="33"/>
      <c r="BG49" s="58"/>
      <c r="BH49" s="103"/>
      <c r="CP49" s="47"/>
      <c r="CQ49" s="47"/>
      <c r="CR49" s="47"/>
      <c r="CS49" s="47"/>
      <c r="CT49" s="47"/>
      <c r="CV49" s="47"/>
      <c r="CW49" s="47"/>
      <c r="CX49" s="47"/>
    </row>
    <row r="50" spans="1:125" ht="12.75" x14ac:dyDescent="0.2">
      <c r="A50" s="43"/>
      <c r="C50" s="27" t="s">
        <v>24</v>
      </c>
      <c r="D50" s="27">
        <f t="shared" ca="1" si="24"/>
        <v>8720</v>
      </c>
      <c r="E50" s="27">
        <f t="shared" ca="1" si="23"/>
        <v>1790</v>
      </c>
      <c r="F50" s="27">
        <f t="shared" ca="1" si="23"/>
        <v>5870</v>
      </c>
      <c r="G50" s="27">
        <f t="shared" ca="1" si="23"/>
        <v>-50</v>
      </c>
      <c r="H50" s="27">
        <f t="shared" ca="1" si="23"/>
        <v>16330</v>
      </c>
      <c r="P50" s="139"/>
      <c r="Q50" s="78"/>
      <c r="R50" s="141"/>
      <c r="S50" s="142"/>
      <c r="T50" s="58"/>
      <c r="U50" s="75"/>
      <c r="Z50" s="45"/>
      <c r="AA50" s="72"/>
      <c r="AE50" s="75"/>
      <c r="AG50" s="53"/>
      <c r="AU50" s="605"/>
      <c r="AV50" s="607"/>
      <c r="AW50" s="610"/>
      <c r="AX50" s="607"/>
      <c r="AZ50" s="27"/>
      <c r="BA50" s="27"/>
      <c r="BB50" s="27"/>
      <c r="BC50" s="27"/>
      <c r="CQ50" s="47"/>
      <c r="CR50" s="47"/>
      <c r="CS50" s="47"/>
      <c r="CT50" s="47"/>
      <c r="CU50" s="47"/>
      <c r="CW50" s="47"/>
      <c r="CX50" s="47"/>
      <c r="CY50" s="47"/>
    </row>
    <row r="51" spans="1:125" ht="12.75" x14ac:dyDescent="0.2">
      <c r="C51" s="27" t="s">
        <v>25</v>
      </c>
      <c r="D51" s="27">
        <f t="shared" ca="1" si="24"/>
        <v>8680</v>
      </c>
      <c r="E51" s="27">
        <f t="shared" ca="1" si="23"/>
        <v>2190</v>
      </c>
      <c r="F51" s="27">
        <f t="shared" ca="1" si="23"/>
        <v>4560</v>
      </c>
      <c r="G51" s="27">
        <f t="shared" ca="1" si="23"/>
        <v>-500</v>
      </c>
      <c r="H51" s="27">
        <f t="shared" ca="1" si="23"/>
        <v>14930</v>
      </c>
      <c r="R51" s="75"/>
      <c r="S51" s="143"/>
      <c r="T51" s="52"/>
      <c r="AA51" s="107"/>
      <c r="AB51" s="108"/>
      <c r="AC51" s="92"/>
      <c r="AD51" s="92"/>
      <c r="AJ51" s="27"/>
      <c r="AK51" s="27"/>
      <c r="AU51" s="605"/>
      <c r="AV51" s="607"/>
      <c r="AW51" s="610"/>
      <c r="AX51" s="612"/>
      <c r="AZ51" s="27"/>
      <c r="BA51" s="27"/>
      <c r="BB51" s="27"/>
      <c r="BC51" s="27"/>
      <c r="CT51" s="47"/>
      <c r="CU51" s="47"/>
      <c r="CV51" s="47"/>
      <c r="CW51" s="47"/>
      <c r="CX51" s="47"/>
      <c r="CZ51" s="47"/>
      <c r="DA51" s="47"/>
      <c r="DB51" s="47"/>
    </row>
    <row r="52" spans="1:125" ht="12.75" x14ac:dyDescent="0.2">
      <c r="C52" s="27" t="s">
        <v>26</v>
      </c>
      <c r="D52" s="27">
        <f t="shared" ca="1" si="24"/>
        <v>10530</v>
      </c>
      <c r="E52" s="27">
        <f t="shared" ca="1" si="23"/>
        <v>1420</v>
      </c>
      <c r="F52" s="27">
        <f t="shared" ca="1" si="23"/>
        <v>4670</v>
      </c>
      <c r="G52" s="27">
        <f t="shared" ca="1" si="23"/>
        <v>0</v>
      </c>
      <c r="H52" s="27">
        <f t="shared" ca="1" si="23"/>
        <v>16620</v>
      </c>
      <c r="W52" s="109"/>
      <c r="X52" s="110"/>
      <c r="Y52" s="111"/>
      <c r="Z52" s="111"/>
      <c r="AA52" s="111"/>
      <c r="AB52" s="112"/>
      <c r="AC52" s="113"/>
      <c r="AD52" s="106"/>
      <c r="AE52" s="114"/>
      <c r="AF52" s="115"/>
      <c r="AG52" s="107"/>
      <c r="AH52" s="116"/>
      <c r="AI52" s="116"/>
      <c r="AJ52" s="115"/>
      <c r="AK52" s="113"/>
      <c r="AL52" s="106"/>
      <c r="AM52" s="109"/>
      <c r="AU52" s="605"/>
      <c r="AV52" s="607"/>
      <c r="AW52" s="610"/>
      <c r="AZ52" s="27"/>
      <c r="BA52" s="27"/>
      <c r="BB52" s="27"/>
      <c r="BC52" s="27"/>
      <c r="BQ52" s="58"/>
      <c r="BR52" s="88"/>
      <c r="BS52" s="56"/>
      <c r="BT52" s="56"/>
      <c r="BU52" s="58"/>
      <c r="BV52" s="58"/>
      <c r="BZ52" s="58"/>
      <c r="CA52" s="88"/>
      <c r="CB52" s="56"/>
      <c r="CC52" s="56"/>
      <c r="CD52" s="58"/>
      <c r="CE52" s="58"/>
      <c r="DM52" s="47"/>
      <c r="DN52" s="47"/>
      <c r="DO52" s="47"/>
      <c r="DP52" s="47"/>
      <c r="DQ52" s="47"/>
      <c r="DS52" s="47"/>
      <c r="DT52" s="47"/>
      <c r="DU52" s="47"/>
    </row>
    <row r="53" spans="1:125" ht="12.75" x14ac:dyDescent="0.2">
      <c r="C53" s="27" t="s">
        <v>27</v>
      </c>
      <c r="D53" s="27">
        <f t="shared" ca="1" si="24"/>
        <v>9780</v>
      </c>
      <c r="E53" s="27">
        <f t="shared" ca="1" si="23"/>
        <v>1820</v>
      </c>
      <c r="F53" s="27">
        <f t="shared" ca="1" si="23"/>
        <v>4650</v>
      </c>
      <c r="G53" s="27">
        <f t="shared" ca="1" si="23"/>
        <v>0</v>
      </c>
      <c r="H53" s="27">
        <f t="shared" ca="1" si="23"/>
        <v>16250</v>
      </c>
      <c r="R53" s="62"/>
      <c r="T53" s="114"/>
      <c r="U53" s="115"/>
      <c r="V53" s="107"/>
      <c r="W53" s="116"/>
      <c r="X53" s="116"/>
      <c r="Y53" s="115"/>
      <c r="Z53" s="118"/>
      <c r="AA53" s="106"/>
      <c r="AB53" s="114"/>
      <c r="AC53" s="115"/>
      <c r="AD53" s="107"/>
      <c r="AE53" s="116"/>
      <c r="AF53" s="116"/>
      <c r="AG53" s="115"/>
      <c r="AH53" s="118"/>
      <c r="AI53" s="106"/>
      <c r="AJ53" s="114"/>
      <c r="AK53" s="115"/>
      <c r="AL53" s="107"/>
      <c r="AM53" s="116"/>
      <c r="AZ53" s="27"/>
      <c r="BA53" s="27"/>
      <c r="BB53" s="27"/>
      <c r="BC53" s="27"/>
      <c r="BI53" s="53"/>
      <c r="BJ53" s="45"/>
      <c r="BK53" s="117"/>
      <c r="BL53" s="55"/>
      <c r="BO53" s="53"/>
      <c r="BP53" s="45"/>
      <c r="BQ53" s="46"/>
      <c r="BR53" s="63"/>
      <c r="BS53" s="46"/>
      <c r="BT53" s="101"/>
      <c r="BX53" s="53"/>
      <c r="BY53" s="45"/>
      <c r="BZ53" s="46"/>
      <c r="CA53" s="63"/>
      <c r="CB53" s="46"/>
      <c r="CC53" s="101"/>
      <c r="CD53" s="49"/>
    </row>
    <row r="54" spans="1:125" ht="12.75" x14ac:dyDescent="0.2">
      <c r="T54" s="114"/>
      <c r="U54" s="115"/>
      <c r="V54" s="107"/>
      <c r="W54" s="116"/>
      <c r="X54" s="116"/>
      <c r="Y54" s="115"/>
      <c r="Z54" s="118"/>
      <c r="AA54" s="106"/>
      <c r="AB54" s="114"/>
      <c r="AC54" s="115"/>
      <c r="AD54" s="107"/>
      <c r="AE54" s="116"/>
      <c r="AF54" s="116"/>
      <c r="AG54" s="115"/>
      <c r="AH54" s="118"/>
      <c r="AI54" s="106"/>
      <c r="AJ54" s="114"/>
      <c r="AK54" s="115"/>
      <c r="AL54" s="107"/>
      <c r="AM54" s="116"/>
      <c r="AO54" s="69"/>
      <c r="AP54" s="46"/>
      <c r="AQ54" s="601"/>
      <c r="AR54" s="604"/>
      <c r="AS54" s="60"/>
      <c r="AZ54" s="27"/>
      <c r="BA54" s="27"/>
      <c r="BB54" s="27"/>
      <c r="BC54" s="59"/>
      <c r="BE54" s="93"/>
      <c r="BF54" s="119"/>
      <c r="BG54" s="53"/>
      <c r="BH54" s="46"/>
      <c r="BI54" s="105"/>
      <c r="BJ54" s="55"/>
      <c r="BO54" s="53"/>
      <c r="BP54" s="45"/>
      <c r="BQ54" s="46"/>
      <c r="BR54" s="63"/>
      <c r="BS54" s="46"/>
      <c r="BT54" s="101"/>
      <c r="BU54" s="49"/>
      <c r="BX54" s="53"/>
      <c r="BY54" s="45"/>
      <c r="BZ54" s="46"/>
      <c r="CA54" s="63"/>
      <c r="CB54" s="46"/>
      <c r="CC54" s="101"/>
      <c r="CD54" s="49"/>
    </row>
    <row r="55" spans="1:125" ht="12.75" x14ac:dyDescent="0.2">
      <c r="T55" s="114"/>
      <c r="U55" s="115"/>
      <c r="V55" s="107"/>
      <c r="W55" s="116"/>
      <c r="X55" s="116"/>
      <c r="Y55" s="115"/>
      <c r="Z55" s="118"/>
      <c r="AA55" s="106"/>
      <c r="AB55" s="114"/>
      <c r="AC55" s="115"/>
      <c r="AD55" s="107"/>
      <c r="AE55" s="116"/>
      <c r="AF55" s="116"/>
      <c r="AG55" s="115"/>
      <c r="AH55" s="118"/>
      <c r="AI55" s="106"/>
      <c r="AJ55" s="114"/>
      <c r="AK55" s="115"/>
      <c r="AL55" s="107"/>
      <c r="AM55" s="116"/>
      <c r="AN55" s="110"/>
      <c r="AO55" s="111"/>
      <c r="AP55" s="111"/>
      <c r="AQ55" s="621"/>
      <c r="AR55" s="613"/>
      <c r="AS55" s="614"/>
      <c r="AT55" s="608"/>
      <c r="AU55" s="608"/>
      <c r="AZ55" s="27"/>
      <c r="BA55" s="27"/>
      <c r="BB55" s="27"/>
      <c r="BC55" s="58"/>
      <c r="BD55" s="79"/>
      <c r="BE55" s="97"/>
      <c r="BF55" s="120"/>
      <c r="BG55" s="53"/>
      <c r="BH55" s="46"/>
      <c r="BI55" s="105"/>
      <c r="BJ55" s="55"/>
      <c r="BO55" s="69"/>
      <c r="BP55" s="45"/>
      <c r="BQ55" s="46"/>
      <c r="BR55" s="63"/>
      <c r="BS55" s="102"/>
      <c r="BT55" s="101"/>
      <c r="BU55" s="49"/>
      <c r="BX55" s="69"/>
      <c r="BY55" s="45"/>
      <c r="BZ55" s="46"/>
      <c r="CA55" s="63"/>
      <c r="CB55" s="102"/>
      <c r="CC55" s="101"/>
      <c r="CD55" s="49"/>
    </row>
    <row r="56" spans="1:125" ht="12.75" x14ac:dyDescent="0.2">
      <c r="T56" s="114"/>
      <c r="U56" s="115"/>
      <c r="V56" s="107"/>
      <c r="W56" s="116"/>
      <c r="X56" s="116"/>
      <c r="Y56" s="115"/>
      <c r="Z56" s="118"/>
      <c r="AA56" s="106"/>
      <c r="AB56" s="114"/>
      <c r="AC56" s="115"/>
      <c r="AD56" s="107"/>
      <c r="AE56" s="116"/>
      <c r="AF56" s="116"/>
      <c r="AG56" s="115"/>
      <c r="AH56" s="118"/>
      <c r="AI56" s="106"/>
      <c r="AJ56" s="114"/>
      <c r="AK56" s="115"/>
      <c r="AL56" s="107"/>
      <c r="AM56" s="116"/>
      <c r="AN56" s="116"/>
      <c r="AO56" s="115"/>
      <c r="AP56" s="118"/>
      <c r="AQ56" s="45"/>
      <c r="AR56" s="604"/>
      <c r="AS56" s="615"/>
      <c r="AZ56" s="27"/>
      <c r="BA56" s="27"/>
      <c r="BB56" s="27"/>
      <c r="BC56" s="100"/>
      <c r="BD56" s="59"/>
      <c r="BE56" s="56"/>
      <c r="BF56" s="56"/>
      <c r="BG56" s="53"/>
      <c r="BJ56" s="55"/>
      <c r="BO56" s="53"/>
      <c r="BP56" s="45"/>
      <c r="BQ56" s="46"/>
      <c r="BR56" s="63"/>
      <c r="BS56" s="46"/>
      <c r="BT56" s="101"/>
      <c r="BU56" s="49"/>
      <c r="BX56" s="53"/>
      <c r="BY56" s="45"/>
      <c r="BZ56" s="46"/>
      <c r="CA56" s="63"/>
      <c r="CB56" s="46"/>
      <c r="CC56" s="101"/>
      <c r="CD56" s="49"/>
    </row>
    <row r="57" spans="1:125" ht="12.75" x14ac:dyDescent="0.2">
      <c r="D57" s="27" t="e" cm="1">
        <f t="array" aca="1" ref="D57" ca="1">INDIRECT("f_"&amp;C45&amp;"!"&amp;C4)</f>
        <v>#REF!</v>
      </c>
      <c r="T57" s="114"/>
      <c r="U57" s="115"/>
      <c r="V57" s="107"/>
      <c r="W57" s="116"/>
      <c r="X57" s="116"/>
      <c r="Y57" s="115"/>
      <c r="Z57" s="118"/>
      <c r="AA57" s="106"/>
      <c r="AB57" s="114"/>
      <c r="AC57" s="115"/>
      <c r="AD57" s="115"/>
      <c r="AE57" s="107"/>
      <c r="AF57" s="107"/>
      <c r="AG57" s="115"/>
      <c r="AH57" s="118"/>
      <c r="AI57" s="106"/>
      <c r="AJ57" s="114"/>
      <c r="AK57" s="115"/>
      <c r="AL57" s="107"/>
      <c r="AM57" s="116"/>
      <c r="AN57" s="116"/>
      <c r="AO57" s="115"/>
      <c r="AP57" s="118"/>
      <c r="AQ57" s="602"/>
      <c r="AR57" s="616"/>
      <c r="AS57" s="615"/>
      <c r="AZ57" s="27"/>
      <c r="BA57" s="49"/>
      <c r="BB57" s="49"/>
      <c r="BC57" s="100"/>
      <c r="BD57" s="45"/>
      <c r="BE57" s="45"/>
      <c r="BF57" s="105"/>
      <c r="BG57" s="61"/>
      <c r="BO57" s="53"/>
      <c r="BP57" s="45"/>
      <c r="BQ57" s="46"/>
      <c r="BR57" s="46"/>
      <c r="BS57" s="46"/>
      <c r="BT57" s="101"/>
      <c r="BU57" s="49"/>
      <c r="BX57" s="53"/>
      <c r="BY57" s="45"/>
      <c r="BZ57" s="46"/>
      <c r="CA57" s="46"/>
      <c r="CB57" s="46"/>
      <c r="CC57" s="101"/>
      <c r="CD57" s="49"/>
    </row>
    <row r="58" spans="1:125" ht="12.75" x14ac:dyDescent="0.2">
      <c r="D58" s="27">
        <f ca="1">f_ahh!C4</f>
        <v>240</v>
      </c>
      <c r="T58" s="114"/>
      <c r="U58" s="115"/>
      <c r="V58" s="115"/>
      <c r="W58" s="107"/>
      <c r="X58" s="107"/>
      <c r="Y58" s="115"/>
      <c r="Z58" s="118"/>
      <c r="AA58" s="106"/>
      <c r="AB58" s="121"/>
      <c r="AC58" s="115"/>
      <c r="AD58" s="107"/>
      <c r="AE58" s="116"/>
      <c r="AF58" s="116"/>
      <c r="AG58" s="115"/>
      <c r="AH58" s="118"/>
      <c r="AI58" s="106"/>
      <c r="AJ58" s="114"/>
      <c r="AK58" s="115"/>
      <c r="AL58" s="115"/>
      <c r="AM58" s="107"/>
      <c r="AN58" s="116"/>
      <c r="AO58" s="115"/>
      <c r="AP58" s="118"/>
      <c r="AQ58" s="602"/>
      <c r="AR58" s="616"/>
      <c r="AS58" s="615"/>
      <c r="AZ58" s="27"/>
      <c r="BA58" s="49"/>
      <c r="BB58" s="49"/>
      <c r="BC58" s="100"/>
      <c r="BD58" s="45"/>
      <c r="BE58" s="46"/>
      <c r="BF58" s="105"/>
      <c r="BG58" s="61"/>
      <c r="BO58" s="53"/>
      <c r="BP58" s="45"/>
      <c r="BQ58" s="46"/>
      <c r="BR58" s="63"/>
      <c r="BS58" s="46"/>
      <c r="BT58" s="101"/>
      <c r="BU58" s="49"/>
      <c r="BX58" s="53"/>
      <c r="BY58" s="45"/>
      <c r="BZ58" s="46"/>
      <c r="CA58" s="63"/>
      <c r="CB58" s="46"/>
      <c r="CC58" s="101"/>
      <c r="CD58" s="49"/>
    </row>
    <row r="59" spans="1:125" ht="12.75" x14ac:dyDescent="0.2">
      <c r="T59" s="121"/>
      <c r="U59" s="115"/>
      <c r="V59" s="107"/>
      <c r="W59" s="116"/>
      <c r="X59" s="116"/>
      <c r="Y59" s="115"/>
      <c r="Z59" s="118"/>
      <c r="AA59" s="106"/>
      <c r="AB59" s="44"/>
      <c r="AC59" s="49"/>
      <c r="AD59" s="49"/>
      <c r="AE59" s="46"/>
      <c r="AF59" s="46"/>
      <c r="AG59" s="49"/>
      <c r="AH59" s="118"/>
      <c r="AI59" s="106"/>
      <c r="AJ59" s="121"/>
      <c r="AK59" s="115"/>
      <c r="AL59" s="107"/>
      <c r="AM59" s="116"/>
      <c r="AN59" s="116"/>
      <c r="AO59" s="115"/>
      <c r="AP59" s="118"/>
      <c r="AQ59" s="602"/>
      <c r="AR59" s="616"/>
      <c r="AS59" s="615"/>
      <c r="AZ59" s="27"/>
      <c r="BA59" s="49"/>
      <c r="BB59" s="49"/>
      <c r="BC59" s="100"/>
      <c r="BD59" s="45"/>
      <c r="BE59" s="46"/>
      <c r="BF59" s="105"/>
      <c r="BG59" s="61"/>
      <c r="BH59" s="59"/>
      <c r="BI59" s="56"/>
      <c r="BO59" s="53"/>
      <c r="BP59" s="45"/>
      <c r="BQ59" s="46"/>
      <c r="BR59" s="63"/>
      <c r="BS59" s="46"/>
      <c r="BT59" s="101"/>
      <c r="BU59" s="49"/>
      <c r="BX59" s="53"/>
      <c r="BY59" s="45"/>
      <c r="BZ59" s="46"/>
      <c r="CA59" s="63"/>
      <c r="CB59" s="46"/>
      <c r="CC59" s="101"/>
      <c r="CD59" s="49"/>
    </row>
    <row r="60" spans="1:125" ht="12.75" x14ac:dyDescent="0.2">
      <c r="T60" s="122"/>
      <c r="U60" s="49"/>
      <c r="V60" s="49"/>
      <c r="W60" s="46"/>
      <c r="X60" s="46"/>
      <c r="Y60" s="49"/>
      <c r="Z60" s="73"/>
      <c r="AA60" s="52"/>
      <c r="AB60" s="58"/>
      <c r="AC60" s="59"/>
      <c r="AD60" s="59"/>
      <c r="AE60" s="33"/>
      <c r="AF60" s="33"/>
      <c r="AG60" s="59"/>
      <c r="AH60" s="73"/>
      <c r="AI60" s="52"/>
      <c r="AJ60" s="74"/>
      <c r="AK60" s="49"/>
      <c r="AL60" s="49"/>
      <c r="AM60" s="46"/>
      <c r="AN60" s="116"/>
      <c r="AO60" s="115"/>
      <c r="AP60" s="118"/>
      <c r="AQ60" s="602"/>
      <c r="AR60" s="616"/>
      <c r="AS60" s="615"/>
      <c r="AZ60" s="27"/>
      <c r="BA60" s="49"/>
      <c r="BB60" s="49"/>
      <c r="BC60" s="100"/>
      <c r="BD60" s="45"/>
      <c r="BE60" s="46"/>
      <c r="BF60" s="105"/>
      <c r="BG60" s="61"/>
      <c r="BH60" s="45"/>
      <c r="BI60" s="46"/>
      <c r="BJ60" s="56"/>
      <c r="BO60" s="75"/>
      <c r="BU60" s="49"/>
      <c r="BX60" s="75"/>
    </row>
    <row r="61" spans="1:125" ht="12.75" x14ac:dyDescent="0.2">
      <c r="T61" s="32"/>
      <c r="U61" s="59"/>
      <c r="V61" s="59"/>
      <c r="W61" s="33"/>
      <c r="X61" s="33"/>
      <c r="Y61" s="59"/>
      <c r="Z61" s="78"/>
      <c r="AA61" s="35"/>
      <c r="AB61" s="49"/>
      <c r="AC61" s="49"/>
      <c r="AD61" s="49"/>
      <c r="AE61" s="49"/>
      <c r="AF61" s="49"/>
      <c r="AG61" s="49"/>
      <c r="AH61" s="78"/>
      <c r="AI61" s="35"/>
      <c r="AJ61" s="58"/>
      <c r="AK61" s="45"/>
      <c r="AL61" s="45"/>
      <c r="AM61" s="46"/>
      <c r="AN61" s="107"/>
      <c r="AO61" s="115"/>
      <c r="AP61" s="118"/>
      <c r="AQ61" s="602"/>
      <c r="AR61" s="616"/>
      <c r="AS61" s="615"/>
      <c r="AZ61" s="27"/>
      <c r="BA61" s="49"/>
      <c r="BB61" s="49"/>
      <c r="BC61" s="123"/>
      <c r="BD61" s="45"/>
      <c r="BE61" s="46"/>
      <c r="BF61" s="105"/>
      <c r="BG61" s="61"/>
      <c r="BH61" s="45"/>
      <c r="BI61" s="46"/>
      <c r="BJ61" s="105"/>
    </row>
    <row r="62" spans="1:125" ht="12.75" x14ac:dyDescent="0.2">
      <c r="T62" s="49"/>
      <c r="U62" s="49"/>
      <c r="V62" s="49"/>
      <c r="W62" s="49"/>
      <c r="X62" s="49"/>
      <c r="Y62" s="49"/>
      <c r="Z62" s="51"/>
      <c r="AA62" s="124"/>
      <c r="AH62" s="51"/>
      <c r="AI62" s="124"/>
      <c r="AJ62" s="49"/>
      <c r="AK62" s="49"/>
      <c r="AL62" s="49"/>
      <c r="AM62" s="49"/>
      <c r="AN62" s="116"/>
      <c r="AO62" s="115"/>
      <c r="AP62" s="118"/>
      <c r="AQ62" s="602"/>
      <c r="AR62" s="616"/>
      <c r="AS62" s="615"/>
      <c r="AZ62" s="27"/>
      <c r="BA62" s="49"/>
      <c r="BB62" s="49"/>
      <c r="BC62" s="100"/>
      <c r="BD62" s="45"/>
      <c r="BE62" s="46"/>
      <c r="BF62" s="105"/>
      <c r="BG62" s="61"/>
      <c r="BH62" s="45"/>
      <c r="BI62" s="46"/>
      <c r="BJ62" s="105"/>
      <c r="BO62" s="49"/>
    </row>
    <row r="63" spans="1:125" ht="12.75" x14ac:dyDescent="0.2">
      <c r="Z63" s="28"/>
      <c r="AA63" s="29"/>
      <c r="AH63" s="28"/>
      <c r="AI63" s="29"/>
      <c r="AJ63" s="27"/>
      <c r="AK63" s="27"/>
      <c r="AN63" s="46"/>
      <c r="AO63" s="49"/>
      <c r="AP63" s="73"/>
      <c r="AQ63" s="45"/>
      <c r="AR63" s="604"/>
      <c r="AS63" s="60"/>
      <c r="AU63" s="611"/>
      <c r="AZ63" s="27"/>
      <c r="BA63" s="49"/>
      <c r="BB63" s="49"/>
      <c r="BC63" s="75"/>
      <c r="BD63" s="45"/>
      <c r="BE63" s="46"/>
      <c r="BF63" s="105"/>
      <c r="BG63" s="61"/>
      <c r="BH63" s="45"/>
      <c r="BI63" s="46"/>
      <c r="BJ63" s="105"/>
      <c r="BO63" s="58"/>
      <c r="BP63" s="59"/>
      <c r="BQ63" s="56"/>
      <c r="BR63" s="56"/>
    </row>
    <row r="64" spans="1:125" ht="12.75" x14ac:dyDescent="0.2">
      <c r="Z64" s="28"/>
      <c r="AA64" s="29"/>
      <c r="AH64" s="28"/>
      <c r="AI64" s="29"/>
      <c r="AJ64" s="27"/>
      <c r="AK64" s="27"/>
      <c r="AN64" s="46"/>
      <c r="AO64" s="45"/>
      <c r="AP64" s="78"/>
      <c r="AQ64" s="622"/>
      <c r="AR64" s="604"/>
      <c r="AS64" s="60"/>
      <c r="AU64" s="617"/>
      <c r="AZ64" s="27"/>
      <c r="BA64" s="27"/>
      <c r="BB64" s="27"/>
      <c r="BC64" s="27"/>
      <c r="BG64" s="45"/>
      <c r="BH64" s="45"/>
      <c r="BI64" s="45"/>
      <c r="BJ64" s="105"/>
      <c r="BN64" s="49"/>
      <c r="BO64" s="53"/>
      <c r="BP64" s="45"/>
      <c r="BQ64" s="46"/>
      <c r="BR64" s="63"/>
      <c r="BS64" s="55"/>
    </row>
    <row r="65" spans="26:102" ht="12.75" x14ac:dyDescent="0.2">
      <c r="Z65" s="28"/>
      <c r="AA65" s="29"/>
      <c r="AH65" s="28"/>
      <c r="AI65" s="29"/>
      <c r="AJ65" s="27"/>
      <c r="AK65" s="27"/>
      <c r="AN65" s="49"/>
      <c r="AO65" s="49"/>
      <c r="AP65" s="51"/>
      <c r="AS65" s="60"/>
      <c r="AU65" s="609"/>
      <c r="AV65" s="609"/>
      <c r="AW65" s="606"/>
      <c r="AX65" s="606"/>
      <c r="AY65" s="609"/>
      <c r="AZ65" s="58"/>
      <c r="BA65" s="27"/>
      <c r="BB65" s="27"/>
      <c r="BC65" s="27"/>
      <c r="BF65" s="69"/>
      <c r="BG65" s="45"/>
      <c r="BH65" s="45"/>
      <c r="BI65" s="46"/>
      <c r="BJ65" s="117"/>
      <c r="BN65" s="49"/>
      <c r="BO65" s="53"/>
      <c r="BP65" s="45"/>
      <c r="BQ65" s="46"/>
      <c r="BR65" s="63"/>
      <c r="BS65" s="55"/>
    </row>
    <row r="66" spans="26:102" ht="12.75" x14ac:dyDescent="0.2">
      <c r="Z66" s="28"/>
      <c r="AA66" s="29"/>
      <c r="AH66" s="28"/>
      <c r="AI66" s="29"/>
      <c r="AJ66" s="27"/>
      <c r="AK66" s="27"/>
      <c r="AP66" s="28"/>
      <c r="AS66" s="60"/>
      <c r="AU66" s="608"/>
      <c r="AV66" s="618"/>
      <c r="AW66" s="618"/>
      <c r="AX66" s="619"/>
      <c r="AY66" s="608"/>
      <c r="AZ66" s="125"/>
      <c r="BA66" s="27"/>
      <c r="BB66" s="27"/>
      <c r="BC66" s="27"/>
      <c r="BF66" s="53"/>
      <c r="BG66" s="45"/>
      <c r="BH66" s="45"/>
      <c r="BI66" s="46"/>
      <c r="BJ66" s="105"/>
      <c r="BN66" s="49"/>
      <c r="BO66" s="69"/>
      <c r="BP66" s="45"/>
      <c r="BQ66" s="46"/>
      <c r="BR66" s="63"/>
      <c r="BS66" s="55"/>
      <c r="BW66" s="49"/>
    </row>
    <row r="67" spans="26:102" ht="12.75" x14ac:dyDescent="0.2">
      <c r="Z67" s="28"/>
      <c r="AA67" s="29"/>
      <c r="AH67" s="28"/>
      <c r="AI67" s="29"/>
      <c r="AJ67" s="27"/>
      <c r="AK67" s="27"/>
      <c r="AP67" s="28"/>
      <c r="AS67" s="60"/>
      <c r="AU67" s="608"/>
      <c r="AV67" s="618"/>
      <c r="AW67" s="618"/>
      <c r="AX67" s="618"/>
      <c r="AY67" s="608"/>
      <c r="AZ67" s="125"/>
      <c r="BA67" s="27"/>
      <c r="BB67" s="27"/>
      <c r="BC67" s="27"/>
      <c r="BF67" s="53"/>
      <c r="BG67" s="45"/>
      <c r="BJ67" s="105"/>
      <c r="BN67" s="49"/>
      <c r="BO67" s="53"/>
      <c r="BP67" s="45"/>
      <c r="BQ67" s="46"/>
      <c r="BR67" s="63"/>
      <c r="BS67" s="55"/>
      <c r="BW67" s="49"/>
    </row>
    <row r="68" spans="26:102" ht="12.75" x14ac:dyDescent="0.2">
      <c r="Z68" s="28"/>
      <c r="AA68" s="29"/>
      <c r="AH68" s="28"/>
      <c r="AI68" s="29"/>
      <c r="AJ68" s="27"/>
      <c r="AK68" s="27"/>
      <c r="AP68" s="28"/>
      <c r="AS68" s="60"/>
      <c r="AU68" s="620"/>
      <c r="AV68" s="618"/>
      <c r="AW68" s="618"/>
      <c r="AX68" s="619"/>
      <c r="AY68" s="620"/>
      <c r="AZ68" s="125"/>
      <c r="BA68" s="27"/>
      <c r="BB68" s="27"/>
      <c r="BC68" s="27"/>
      <c r="BF68" s="53"/>
      <c r="BG68" s="45"/>
      <c r="BN68" s="49"/>
      <c r="BO68" s="53"/>
      <c r="BP68" s="45"/>
      <c r="BQ68" s="45"/>
      <c r="BR68" s="46"/>
      <c r="BS68" s="55"/>
      <c r="BU68" s="49"/>
      <c r="BV68" s="49"/>
      <c r="BW68" s="49"/>
    </row>
    <row r="69" spans="26:102" ht="12.75" x14ac:dyDescent="0.2">
      <c r="Z69" s="28"/>
      <c r="AA69" s="29"/>
      <c r="AH69" s="28"/>
      <c r="AI69" s="29"/>
      <c r="AJ69" s="27"/>
      <c r="AK69" s="27"/>
      <c r="AP69" s="28"/>
      <c r="AS69" s="60"/>
      <c r="AU69" s="608"/>
      <c r="AV69" s="618"/>
      <c r="AW69" s="618"/>
      <c r="AX69" s="619"/>
      <c r="AY69" s="608"/>
      <c r="AZ69" s="125"/>
      <c r="BA69" s="27"/>
      <c r="BB69" s="27"/>
      <c r="BC69" s="27"/>
      <c r="BF69" s="53"/>
      <c r="BG69" s="45"/>
      <c r="BN69" s="49"/>
      <c r="BO69" s="53"/>
      <c r="BP69" s="45"/>
      <c r="BQ69" s="46"/>
      <c r="BR69" s="63"/>
      <c r="BS69" s="55"/>
      <c r="BU69" s="49"/>
      <c r="BV69" s="49"/>
      <c r="BW69" s="49"/>
    </row>
    <row r="70" spans="26:102" ht="12.75" x14ac:dyDescent="0.2">
      <c r="Z70" s="28"/>
      <c r="AA70" s="29"/>
      <c r="AH70" s="28"/>
      <c r="AI70" s="29"/>
      <c r="AJ70" s="27"/>
      <c r="AK70" s="27"/>
      <c r="AP70" s="28"/>
      <c r="AS70" s="60"/>
      <c r="AU70" s="608"/>
      <c r="AV70" s="618"/>
      <c r="AW70" s="618"/>
      <c r="AX70" s="618"/>
      <c r="AY70" s="608"/>
      <c r="AZ70" s="125"/>
      <c r="BA70" s="27"/>
      <c r="BB70" s="27"/>
      <c r="BC70" s="27"/>
      <c r="BF70" s="58"/>
      <c r="BG70" s="59"/>
      <c r="BN70" s="49"/>
      <c r="BO70" s="53"/>
      <c r="BP70" s="126"/>
      <c r="BQ70" s="126"/>
      <c r="BR70" s="127"/>
      <c r="BS70" s="127"/>
      <c r="BT70" s="127"/>
      <c r="BU70" s="127"/>
      <c r="BV70" s="127"/>
      <c r="BW70" s="127"/>
      <c r="BX70" s="127"/>
      <c r="BY70" s="127"/>
      <c r="BZ70" s="127"/>
      <c r="CA70" s="127"/>
      <c r="CB70" s="127"/>
      <c r="CC70" s="127"/>
      <c r="CD70" s="127"/>
      <c r="CE70" s="127"/>
      <c r="CF70" s="127"/>
      <c r="CG70" s="127"/>
      <c r="CH70" s="127"/>
      <c r="CI70" s="127"/>
      <c r="CJ70" s="127"/>
      <c r="CK70" s="127"/>
      <c r="CL70" s="127"/>
      <c r="CM70" s="127"/>
      <c r="CN70" s="127"/>
      <c r="CO70" s="127"/>
      <c r="CP70" s="127"/>
      <c r="CQ70" s="127"/>
      <c r="CR70" s="127"/>
      <c r="CS70" s="127"/>
      <c r="CT70" s="127"/>
      <c r="CU70" s="127"/>
      <c r="CV70" s="127"/>
      <c r="CW70" s="127"/>
      <c r="CX70" s="127"/>
    </row>
    <row r="71" spans="26:102" ht="12.75" x14ac:dyDescent="0.2">
      <c r="Z71" s="28"/>
      <c r="AA71" s="29"/>
      <c r="AH71" s="28"/>
      <c r="AI71" s="29"/>
      <c r="AJ71" s="27"/>
      <c r="AK71" s="27"/>
      <c r="AP71" s="28"/>
      <c r="AS71" s="60"/>
      <c r="AU71" s="608"/>
      <c r="AV71" s="618"/>
      <c r="AW71" s="618"/>
      <c r="AX71" s="619"/>
      <c r="AY71" s="608"/>
      <c r="AZ71" s="125"/>
      <c r="BA71" s="27"/>
      <c r="BB71" s="27"/>
      <c r="BC71" s="27"/>
      <c r="BF71" s="75"/>
      <c r="BN71" s="49"/>
      <c r="BO71" s="75"/>
      <c r="BP71" s="128"/>
      <c r="BQ71" s="129"/>
      <c r="BR71" s="129"/>
      <c r="BS71" s="129"/>
      <c r="BT71" s="129"/>
      <c r="BU71" s="129"/>
      <c r="BV71" s="129"/>
      <c r="BW71" s="129"/>
      <c r="BX71" s="129"/>
      <c r="BY71" s="129"/>
      <c r="BZ71" s="129"/>
      <c r="CA71" s="129"/>
      <c r="CB71" s="129"/>
      <c r="CC71" s="129"/>
      <c r="CD71" s="129"/>
      <c r="CE71" s="129"/>
      <c r="CF71" s="129"/>
      <c r="CG71" s="129"/>
      <c r="CH71" s="129"/>
      <c r="CI71" s="129"/>
      <c r="CJ71" s="129"/>
      <c r="CK71" s="129"/>
      <c r="CL71" s="129"/>
      <c r="CM71" s="129"/>
      <c r="CN71" s="129"/>
      <c r="CO71" s="129"/>
      <c r="CP71" s="129"/>
      <c r="CQ71" s="129"/>
      <c r="CR71" s="129"/>
      <c r="CS71" s="129"/>
      <c r="CT71" s="129"/>
      <c r="CU71" s="129"/>
      <c r="CV71" s="129"/>
      <c r="CW71" s="129"/>
      <c r="CX71" s="129"/>
    </row>
    <row r="72" spans="26:102" ht="12.75" x14ac:dyDescent="0.2">
      <c r="Z72" s="28"/>
      <c r="AA72" s="29"/>
      <c r="AH72" s="28"/>
      <c r="AI72" s="29"/>
      <c r="AJ72" s="27"/>
      <c r="AK72" s="27"/>
      <c r="AP72" s="28"/>
      <c r="AS72" s="60"/>
      <c r="AU72" s="608"/>
      <c r="AV72" s="618"/>
      <c r="AW72" s="618"/>
      <c r="AX72" s="619"/>
      <c r="AY72" s="608"/>
      <c r="AZ72" s="125"/>
      <c r="BA72" s="27"/>
      <c r="BB72" s="27"/>
      <c r="BC72" s="27"/>
      <c r="BO72" s="49"/>
      <c r="BP72" s="128"/>
      <c r="BQ72" s="129"/>
      <c r="BR72" s="129"/>
      <c r="BS72" s="129"/>
      <c r="BT72" s="129"/>
      <c r="BU72" s="129"/>
      <c r="BV72" s="129"/>
      <c r="BW72" s="129"/>
      <c r="BX72" s="129"/>
      <c r="BY72" s="129"/>
      <c r="BZ72" s="129"/>
      <c r="CA72" s="129"/>
      <c r="CB72" s="129"/>
      <c r="CC72" s="129"/>
      <c r="CD72" s="129"/>
      <c r="CE72" s="129"/>
      <c r="CF72" s="129"/>
      <c r="CG72" s="129"/>
      <c r="CH72" s="129"/>
      <c r="CI72" s="129"/>
      <c r="CJ72" s="129"/>
      <c r="CK72" s="129"/>
      <c r="CL72" s="129"/>
      <c r="CM72" s="129"/>
      <c r="CN72" s="129"/>
      <c r="CO72" s="129"/>
      <c r="CP72" s="129"/>
      <c r="CQ72" s="129"/>
      <c r="CR72" s="129"/>
      <c r="CS72" s="129"/>
      <c r="CT72" s="129"/>
      <c r="CU72" s="129"/>
      <c r="CV72" s="129"/>
      <c r="CW72" s="129"/>
      <c r="CX72" s="129"/>
    </row>
    <row r="73" spans="26:102" ht="12.75" x14ac:dyDescent="0.2">
      <c r="Z73" s="28"/>
      <c r="AA73" s="29"/>
      <c r="AH73" s="28"/>
      <c r="AI73" s="29"/>
      <c r="AJ73" s="27"/>
      <c r="AK73" s="27"/>
      <c r="AP73" s="28"/>
      <c r="AS73" s="60"/>
      <c r="AU73" s="609"/>
      <c r="AV73" s="609"/>
      <c r="AW73" s="606"/>
      <c r="AX73" s="609"/>
      <c r="AY73" s="609"/>
      <c r="AZ73" s="103"/>
      <c r="BA73" s="27"/>
      <c r="BB73" s="27"/>
      <c r="BC73" s="27"/>
      <c r="BF73" s="49"/>
      <c r="BN73" s="49"/>
      <c r="BP73" s="128"/>
      <c r="BQ73" s="129"/>
      <c r="BR73" s="129"/>
      <c r="BS73" s="129"/>
      <c r="BT73" s="129"/>
      <c r="BU73" s="129"/>
      <c r="BV73" s="129"/>
      <c r="BW73" s="129"/>
      <c r="BX73" s="129"/>
      <c r="BY73" s="129"/>
      <c r="BZ73" s="129"/>
      <c r="CA73" s="129"/>
      <c r="CB73" s="129"/>
      <c r="CC73" s="129"/>
      <c r="CD73" s="129"/>
      <c r="CE73" s="129"/>
      <c r="CF73" s="129"/>
      <c r="CG73" s="129"/>
      <c r="CH73" s="129"/>
      <c r="CI73" s="129"/>
      <c r="CJ73" s="129"/>
      <c r="CK73" s="129"/>
      <c r="CL73" s="129"/>
      <c r="CM73" s="129"/>
      <c r="CN73" s="129"/>
      <c r="CO73" s="129"/>
      <c r="CP73" s="129"/>
      <c r="CQ73" s="129"/>
      <c r="CR73" s="129"/>
      <c r="CS73" s="129"/>
      <c r="CT73" s="129"/>
      <c r="CU73" s="129"/>
      <c r="CV73" s="129"/>
      <c r="CW73" s="129"/>
      <c r="CX73" s="129"/>
    </row>
    <row r="74" spans="26:102" ht="12.75" x14ac:dyDescent="0.2">
      <c r="Z74" s="28"/>
      <c r="AA74" s="29"/>
      <c r="AH74" s="28"/>
      <c r="AI74" s="29"/>
      <c r="AJ74" s="27"/>
      <c r="AK74" s="27"/>
      <c r="AP74" s="28"/>
      <c r="AS74" s="60"/>
      <c r="AZ74" s="27"/>
      <c r="BA74" s="27"/>
      <c r="BB74" s="27"/>
      <c r="BC74" s="32"/>
      <c r="BE74" s="49"/>
      <c r="BF74" s="58"/>
      <c r="BG74" s="59"/>
      <c r="BP74" s="128"/>
      <c r="BQ74" s="129"/>
      <c r="BR74" s="129"/>
      <c r="BS74" s="129"/>
      <c r="BT74" s="129"/>
      <c r="BU74" s="129"/>
      <c r="BV74" s="129"/>
      <c r="BW74" s="129"/>
      <c r="BX74" s="129"/>
      <c r="BY74" s="129"/>
      <c r="BZ74" s="129"/>
      <c r="CA74" s="129"/>
      <c r="CB74" s="129"/>
      <c r="CC74" s="129"/>
      <c r="CD74" s="129"/>
      <c r="CE74" s="129"/>
      <c r="CF74" s="129"/>
      <c r="CG74" s="129"/>
      <c r="CH74" s="129"/>
      <c r="CI74" s="129"/>
      <c r="CJ74" s="129"/>
      <c r="CK74" s="129"/>
      <c r="CL74" s="129"/>
      <c r="CM74" s="129"/>
      <c r="CN74" s="129"/>
      <c r="CO74" s="129"/>
      <c r="CP74" s="129"/>
      <c r="CQ74" s="129"/>
      <c r="CR74" s="129"/>
      <c r="CS74" s="129"/>
      <c r="CT74" s="129"/>
      <c r="CU74" s="129"/>
      <c r="CV74" s="129"/>
      <c r="CW74" s="129"/>
      <c r="CX74" s="129"/>
    </row>
    <row r="75" spans="26:102" ht="12.75" x14ac:dyDescent="0.2">
      <c r="Z75" s="28"/>
      <c r="AA75" s="29"/>
      <c r="AH75" s="28"/>
      <c r="AI75" s="29"/>
      <c r="AJ75" s="27"/>
      <c r="AK75" s="27"/>
      <c r="AP75" s="28"/>
      <c r="AS75" s="60"/>
      <c r="AZ75" s="27"/>
      <c r="BA75" s="27"/>
      <c r="BB75" s="27"/>
      <c r="BC75" s="58"/>
      <c r="BG75" s="45"/>
      <c r="BP75" s="128"/>
      <c r="BQ75" s="129"/>
      <c r="BR75" s="129"/>
      <c r="BS75" s="129"/>
      <c r="BT75" s="129"/>
      <c r="BU75" s="129"/>
      <c r="BV75" s="129"/>
      <c r="BW75" s="129"/>
      <c r="BX75" s="129"/>
      <c r="BY75" s="129"/>
      <c r="BZ75" s="129"/>
      <c r="CA75" s="129"/>
      <c r="CB75" s="129"/>
      <c r="CC75" s="129"/>
      <c r="CD75" s="129"/>
      <c r="CE75" s="129"/>
      <c r="CF75" s="129"/>
      <c r="CG75" s="129"/>
      <c r="CH75" s="129"/>
      <c r="CI75" s="129"/>
      <c r="CJ75" s="129"/>
      <c r="CK75" s="129"/>
      <c r="CL75" s="129"/>
      <c r="CM75" s="129"/>
      <c r="CN75" s="129"/>
      <c r="CO75" s="129"/>
      <c r="CP75" s="129"/>
      <c r="CQ75" s="129"/>
      <c r="CR75" s="129"/>
      <c r="CS75" s="129"/>
      <c r="CT75" s="129"/>
      <c r="CU75" s="129"/>
      <c r="CV75" s="129"/>
      <c r="CW75" s="129"/>
      <c r="CX75" s="129"/>
    </row>
    <row r="76" spans="26:102" ht="12.75" x14ac:dyDescent="0.2">
      <c r="Z76" s="28"/>
      <c r="AA76" s="29"/>
      <c r="AH76" s="28"/>
      <c r="AI76" s="29"/>
      <c r="AJ76" s="27"/>
      <c r="AK76" s="27"/>
      <c r="AP76" s="28"/>
      <c r="AS76" s="60"/>
      <c r="AZ76" s="27"/>
      <c r="BA76" s="27"/>
      <c r="BB76" s="27"/>
      <c r="BC76" s="100"/>
      <c r="BD76" s="46"/>
      <c r="BE76" s="56"/>
      <c r="BF76" s="56"/>
      <c r="BG76" s="45"/>
      <c r="BP76" s="128"/>
      <c r="BQ76" s="129"/>
      <c r="BR76" s="129"/>
      <c r="BS76" s="129"/>
      <c r="BT76" s="129"/>
      <c r="BU76" s="129"/>
      <c r="BV76" s="129"/>
      <c r="BW76" s="129"/>
      <c r="BX76" s="129"/>
      <c r="BY76" s="129"/>
      <c r="BZ76" s="129"/>
      <c r="CA76" s="129"/>
      <c r="CB76" s="129"/>
      <c r="CC76" s="129"/>
      <c r="CD76" s="129"/>
      <c r="CE76" s="129"/>
      <c r="CF76" s="129"/>
      <c r="CG76" s="129"/>
      <c r="CH76" s="129"/>
      <c r="CI76" s="129"/>
      <c r="CJ76" s="129"/>
      <c r="CK76" s="129"/>
      <c r="CL76" s="129"/>
      <c r="CM76" s="129"/>
      <c r="CN76" s="129"/>
      <c r="CO76" s="129"/>
      <c r="CP76" s="129"/>
      <c r="CQ76" s="129"/>
      <c r="CR76" s="129"/>
      <c r="CS76" s="129"/>
      <c r="CT76" s="129"/>
      <c r="CU76" s="129"/>
      <c r="CV76" s="129"/>
      <c r="CW76" s="129"/>
      <c r="CX76" s="129"/>
    </row>
    <row r="77" spans="26:102" ht="12.75" x14ac:dyDescent="0.2">
      <c r="Z77" s="28"/>
      <c r="AA77" s="29"/>
      <c r="AH77" s="28"/>
      <c r="AI77" s="29"/>
      <c r="AJ77" s="27"/>
      <c r="AK77" s="27"/>
      <c r="AP77" s="28"/>
      <c r="AS77" s="60"/>
      <c r="AZ77" s="27"/>
      <c r="BA77" s="27"/>
      <c r="BB77" s="27"/>
      <c r="BC77" s="100"/>
      <c r="BD77" s="105"/>
      <c r="BE77" s="105"/>
      <c r="BF77" s="105"/>
      <c r="BG77" s="45"/>
      <c r="BP77" s="128"/>
      <c r="BQ77" s="129"/>
      <c r="BR77" s="129"/>
      <c r="BS77" s="129"/>
      <c r="BT77" s="129"/>
      <c r="BU77" s="129"/>
      <c r="BV77" s="129"/>
      <c r="BW77" s="129"/>
      <c r="BX77" s="129"/>
      <c r="BY77" s="129"/>
      <c r="BZ77" s="129"/>
      <c r="CA77" s="129"/>
      <c r="CB77" s="129"/>
      <c r="CC77" s="129"/>
      <c r="CD77" s="129"/>
      <c r="CE77" s="129"/>
      <c r="CF77" s="129"/>
      <c r="CG77" s="129"/>
      <c r="CH77" s="129"/>
      <c r="CI77" s="129"/>
      <c r="CJ77" s="129"/>
      <c r="CK77" s="129"/>
      <c r="CL77" s="129"/>
      <c r="CM77" s="129"/>
      <c r="CN77" s="129"/>
      <c r="CO77" s="129"/>
      <c r="CP77" s="129"/>
      <c r="CQ77" s="129"/>
      <c r="CR77" s="129"/>
      <c r="CS77" s="129"/>
      <c r="CT77" s="129"/>
      <c r="CU77" s="129"/>
      <c r="CV77" s="129"/>
      <c r="CW77" s="129"/>
      <c r="CX77" s="129"/>
    </row>
    <row r="78" spans="26:102" ht="12.75" x14ac:dyDescent="0.2">
      <c r="Z78" s="28"/>
      <c r="AA78" s="29"/>
      <c r="AH78" s="28"/>
      <c r="AI78" s="29"/>
      <c r="AJ78" s="27"/>
      <c r="AK78" s="27"/>
      <c r="AP78" s="28"/>
      <c r="AS78" s="60"/>
      <c r="AZ78" s="27"/>
      <c r="BA78" s="80"/>
      <c r="BB78" s="80"/>
      <c r="BC78" s="123"/>
      <c r="BD78" s="105"/>
      <c r="BE78" s="105"/>
      <c r="BF78" s="105"/>
      <c r="BG78" s="45"/>
      <c r="BP78" s="126"/>
      <c r="BQ78" s="126"/>
      <c r="BR78" s="126"/>
      <c r="BS78" s="126"/>
      <c r="BT78" s="126"/>
      <c r="BU78" s="126"/>
      <c r="BV78" s="126"/>
      <c r="BW78" s="126"/>
      <c r="BX78" s="126"/>
      <c r="BY78" s="126"/>
      <c r="BZ78" s="126"/>
      <c r="CA78" s="126"/>
      <c r="CB78" s="126"/>
      <c r="CC78" s="126"/>
      <c r="CD78" s="126"/>
      <c r="CE78" s="126"/>
      <c r="CF78" s="126"/>
      <c r="CG78" s="126"/>
      <c r="CH78" s="126"/>
      <c r="CI78" s="126"/>
      <c r="CJ78" s="126"/>
      <c r="CK78" s="126"/>
      <c r="CL78" s="126"/>
      <c r="CM78" s="126"/>
      <c r="CN78" s="126"/>
      <c r="CO78" s="126"/>
      <c r="CP78" s="126"/>
      <c r="CQ78" s="126"/>
      <c r="CR78" s="126"/>
      <c r="CS78" s="126"/>
      <c r="CT78" s="126"/>
      <c r="CU78" s="126"/>
      <c r="CV78" s="126"/>
      <c r="CW78" s="126"/>
      <c r="CX78" s="126"/>
    </row>
    <row r="79" spans="26:102" ht="12.75" x14ac:dyDescent="0.2">
      <c r="Z79" s="28"/>
      <c r="AA79" s="29"/>
      <c r="AH79" s="28"/>
      <c r="AI79" s="29"/>
      <c r="AJ79" s="27"/>
      <c r="AK79" s="27"/>
      <c r="AP79" s="28"/>
      <c r="AS79" s="60"/>
      <c r="AZ79" s="27"/>
      <c r="BA79" s="58"/>
      <c r="BB79" s="58"/>
      <c r="BC79" s="100"/>
      <c r="BD79" s="105"/>
      <c r="BE79" s="105"/>
      <c r="BF79" s="105"/>
      <c r="BG79" s="45"/>
    </row>
    <row r="80" spans="26:102" ht="12.75" x14ac:dyDescent="0.2">
      <c r="Z80" s="28"/>
      <c r="AA80" s="29"/>
      <c r="AH80" s="28"/>
      <c r="AI80" s="29"/>
      <c r="AJ80" s="27"/>
      <c r="AK80" s="27"/>
      <c r="AP80" s="28"/>
      <c r="AS80" s="60"/>
      <c r="AZ80" s="27"/>
      <c r="BA80" s="100"/>
      <c r="BB80" s="100"/>
      <c r="BC80" s="100"/>
      <c r="BD80" s="105"/>
      <c r="BE80" s="105"/>
      <c r="BF80" s="105"/>
      <c r="BG80" s="45"/>
      <c r="BM80" s="56"/>
    </row>
    <row r="81" spans="20:105" ht="12.75" x14ac:dyDescent="0.2">
      <c r="Z81" s="28"/>
      <c r="AA81" s="29"/>
      <c r="AH81" s="28"/>
      <c r="AI81" s="29"/>
      <c r="AJ81" s="27"/>
      <c r="AK81" s="27"/>
      <c r="AP81" s="28"/>
      <c r="AS81" s="60"/>
      <c r="AZ81" s="27"/>
      <c r="BA81" s="100"/>
      <c r="BB81" s="100"/>
      <c r="BC81" s="100"/>
      <c r="BD81" s="117"/>
      <c r="BE81" s="117"/>
      <c r="BF81" s="117"/>
      <c r="BG81" s="45"/>
      <c r="BM81" s="63"/>
    </row>
    <row r="82" spans="20:105" ht="12.75" x14ac:dyDescent="0.2">
      <c r="AB82" s="28"/>
      <c r="AC82" s="29"/>
      <c r="AP82" s="28"/>
      <c r="AS82" s="60"/>
      <c r="AZ82" s="27"/>
      <c r="BA82" s="123"/>
      <c r="BB82" s="123"/>
      <c r="BC82" s="27"/>
      <c r="BD82" s="105"/>
      <c r="BE82" s="105"/>
      <c r="BF82" s="105"/>
      <c r="BM82" s="63"/>
      <c r="BO82" s="63"/>
    </row>
    <row r="83" spans="20:105" ht="12.75" x14ac:dyDescent="0.2">
      <c r="Z83" s="28"/>
      <c r="AA83" s="29"/>
      <c r="AH83" s="28"/>
      <c r="AI83" s="29"/>
      <c r="AJ83" s="27"/>
      <c r="AK83" s="27"/>
      <c r="AP83" s="28"/>
      <c r="AS83" s="60"/>
      <c r="AZ83" s="27"/>
      <c r="BA83" s="27"/>
      <c r="BB83" s="27"/>
      <c r="BC83" s="100"/>
      <c r="BD83" s="53"/>
      <c r="BE83" s="100"/>
      <c r="BF83" s="105"/>
      <c r="BG83" s="105"/>
      <c r="BH83" s="105"/>
    </row>
    <row r="84" spans="20:105" ht="12.75" x14ac:dyDescent="0.2">
      <c r="Z84" s="28"/>
      <c r="AA84" s="29"/>
      <c r="AH84" s="28"/>
      <c r="AI84" s="29"/>
      <c r="AJ84" s="27"/>
      <c r="AK84" s="27"/>
      <c r="AP84" s="28"/>
      <c r="AS84" s="60"/>
      <c r="AZ84" s="27"/>
      <c r="BA84" s="53"/>
      <c r="BB84" s="53"/>
      <c r="BC84" s="123"/>
      <c r="BD84" s="105"/>
      <c r="BE84" s="105"/>
      <c r="BF84" s="105"/>
      <c r="BG84" s="80"/>
      <c r="BM84" s="63"/>
    </row>
    <row r="85" spans="20:105" ht="12.75" x14ac:dyDescent="0.2">
      <c r="Z85" s="28"/>
      <c r="AA85" s="29"/>
      <c r="AH85" s="28"/>
      <c r="AI85" s="29"/>
      <c r="AJ85" s="27"/>
      <c r="AK85" s="27"/>
      <c r="AS85" s="60"/>
      <c r="AZ85" s="27"/>
      <c r="BA85" s="75"/>
      <c r="BB85" s="75"/>
      <c r="BC85" s="100"/>
      <c r="BD85" s="105"/>
      <c r="BE85" s="105"/>
      <c r="BF85" s="105"/>
      <c r="BG85" s="58"/>
      <c r="BM85" s="46"/>
    </row>
    <row r="86" spans="20:105" ht="12.75" x14ac:dyDescent="0.2">
      <c r="Z86" s="28"/>
      <c r="AA86" s="29"/>
      <c r="AH86" s="28"/>
      <c r="AI86" s="29"/>
      <c r="AJ86" s="27"/>
      <c r="AK86" s="27"/>
      <c r="AP86" s="28"/>
      <c r="AS86" s="60"/>
      <c r="AU86" s="609"/>
      <c r="AV86" s="609"/>
      <c r="AW86" s="606"/>
      <c r="AX86" s="606"/>
      <c r="AY86" s="609"/>
      <c r="AZ86" s="27"/>
      <c r="BA86" s="53"/>
      <c r="BB86" s="53"/>
      <c r="BC86" s="100"/>
      <c r="BD86" s="105"/>
      <c r="BE86" s="105"/>
      <c r="BF86" s="105"/>
      <c r="BG86" s="100"/>
      <c r="BM86" s="63"/>
    </row>
    <row r="87" spans="20:105" ht="12.75" x14ac:dyDescent="0.2">
      <c r="T87" s="75"/>
      <c r="Z87" s="28"/>
      <c r="AA87" s="29"/>
      <c r="AH87" s="28"/>
      <c r="AI87" s="29"/>
      <c r="AJ87" s="27"/>
      <c r="AK87" s="27"/>
      <c r="AP87" s="28"/>
      <c r="AS87" s="60"/>
      <c r="AU87" s="608"/>
      <c r="AV87" s="618"/>
      <c r="AW87" s="618"/>
      <c r="AX87" s="619"/>
      <c r="AY87" s="608"/>
      <c r="AZ87" s="27"/>
      <c r="BA87" s="75"/>
      <c r="BB87" s="75"/>
      <c r="BC87" s="100"/>
      <c r="BD87" s="117"/>
      <c r="BE87" s="117"/>
      <c r="BF87" s="117"/>
      <c r="BG87" s="100"/>
      <c r="BM87" s="63"/>
      <c r="CM87" s="49"/>
    </row>
    <row r="88" spans="20:105" ht="12.75" x14ac:dyDescent="0.2">
      <c r="AD88" s="28"/>
      <c r="AE88" s="29"/>
      <c r="AJ88" s="27"/>
      <c r="AK88" s="27"/>
      <c r="AL88" s="28"/>
      <c r="AM88" s="29"/>
      <c r="AP88" s="28"/>
      <c r="AS88" s="60"/>
      <c r="AU88" s="620"/>
      <c r="AV88" s="618"/>
      <c r="AW88" s="618"/>
      <c r="AX88" s="619"/>
      <c r="AY88" s="620"/>
      <c r="AZ88" s="27"/>
      <c r="BA88" s="27"/>
      <c r="BB88" s="27"/>
      <c r="BC88" s="130"/>
      <c r="BD88" s="105"/>
      <c r="BE88" s="105"/>
      <c r="BF88" s="105"/>
      <c r="BG88" s="123"/>
      <c r="CP88" s="49"/>
      <c r="CQ88" s="58"/>
      <c r="CR88" s="59"/>
      <c r="CS88" s="56"/>
      <c r="CT88" s="56"/>
    </row>
    <row r="89" spans="20:105" ht="12.75" x14ac:dyDescent="0.2">
      <c r="AD89" s="28"/>
      <c r="AE89" s="29"/>
      <c r="AJ89" s="27"/>
      <c r="AK89" s="27"/>
      <c r="AL89" s="28"/>
      <c r="AM89" s="29"/>
      <c r="AP89" s="28"/>
      <c r="AS89" s="60"/>
      <c r="AU89" s="608"/>
      <c r="AV89" s="618"/>
      <c r="AW89" s="618"/>
      <c r="AX89" s="619"/>
      <c r="AY89" s="608"/>
      <c r="AZ89" s="27"/>
      <c r="BA89" s="130"/>
      <c r="BB89" s="130"/>
      <c r="BC89" s="131"/>
      <c r="BD89" s="100"/>
      <c r="BG89" s="75"/>
      <c r="BJ89" s="47"/>
      <c r="BK89" s="53"/>
      <c r="CP89" s="49"/>
      <c r="CQ89" s="53"/>
      <c r="CR89" s="45"/>
      <c r="CS89" s="46"/>
      <c r="CT89" s="63"/>
      <c r="CU89" s="55"/>
    </row>
    <row r="90" spans="20:105" ht="12.75" x14ac:dyDescent="0.2">
      <c r="AD90" s="28"/>
      <c r="AE90" s="29"/>
      <c r="AJ90" s="27"/>
      <c r="AK90" s="27"/>
      <c r="AL90" s="28"/>
      <c r="AM90" s="29"/>
      <c r="AP90" s="28"/>
      <c r="AS90" s="60"/>
      <c r="AU90" s="608"/>
      <c r="AV90" s="618"/>
      <c r="AW90" s="618"/>
      <c r="AX90" s="619"/>
      <c r="AY90" s="608"/>
      <c r="AZ90" s="27"/>
      <c r="BA90" s="130"/>
      <c r="BB90" s="130"/>
      <c r="BC90" s="131"/>
      <c r="BD90" s="100"/>
      <c r="BG90" s="45"/>
      <c r="BH90" s="45"/>
      <c r="BI90" s="46"/>
      <c r="BK90" s="53"/>
      <c r="CP90" s="49"/>
      <c r="CQ90" s="53"/>
      <c r="CR90" s="45"/>
      <c r="CS90" s="46"/>
      <c r="CT90" s="63"/>
      <c r="CU90" s="55"/>
    </row>
    <row r="91" spans="20:105" ht="12.75" x14ac:dyDescent="0.2">
      <c r="AD91" s="28"/>
      <c r="AE91" s="29"/>
      <c r="AJ91" s="27"/>
      <c r="AK91" s="27"/>
      <c r="AL91" s="28"/>
      <c r="AM91" s="29"/>
      <c r="AS91" s="60"/>
      <c r="AY91" s="608"/>
      <c r="AZ91" s="130"/>
      <c r="BA91" s="130"/>
      <c r="BB91" s="130"/>
      <c r="BC91" s="27"/>
      <c r="BD91" s="100"/>
      <c r="BG91" s="45"/>
      <c r="BH91" s="46"/>
      <c r="BI91" s="63"/>
      <c r="BK91" s="53"/>
      <c r="BL91" s="132"/>
      <c r="BM91" s="126"/>
      <c r="CP91" s="49"/>
      <c r="CQ91" s="69"/>
      <c r="CR91" s="45"/>
      <c r="CS91" s="46"/>
      <c r="CT91" s="63"/>
      <c r="CU91" s="55"/>
    </row>
    <row r="92" spans="20:105" ht="12.75" x14ac:dyDescent="0.2">
      <c r="AD92" s="28"/>
      <c r="AE92" s="29"/>
      <c r="AJ92" s="27"/>
      <c r="AK92" s="27"/>
      <c r="AL92" s="28"/>
      <c r="AM92" s="29"/>
      <c r="AS92" s="60"/>
      <c r="AY92" s="608"/>
      <c r="AZ92" s="130"/>
      <c r="BA92" s="27"/>
      <c r="BB92" s="27"/>
      <c r="BC92" s="27"/>
      <c r="BG92" s="45"/>
      <c r="BH92" s="46"/>
      <c r="BI92" s="63"/>
      <c r="BK92" s="75"/>
      <c r="BL92" s="129"/>
      <c r="BM92" s="129"/>
      <c r="BN92" s="126"/>
      <c r="CP92" s="49"/>
      <c r="CQ92" s="53"/>
      <c r="CR92" s="45"/>
      <c r="CS92" s="46"/>
      <c r="CT92" s="63"/>
      <c r="CU92" s="55"/>
    </row>
    <row r="93" spans="20:105" ht="12.75" x14ac:dyDescent="0.2">
      <c r="AS93" s="60"/>
      <c r="AY93" s="608"/>
      <c r="AZ93" s="130"/>
      <c r="BA93" s="27"/>
      <c r="BB93" s="27"/>
      <c r="BL93" s="129"/>
      <c r="BM93" s="129"/>
      <c r="BN93" s="129"/>
      <c r="BR93" s="133"/>
      <c r="BS93" s="129"/>
      <c r="BT93" s="129"/>
      <c r="CV93" s="49"/>
      <c r="CW93" s="53"/>
      <c r="CX93" s="45"/>
      <c r="CY93" s="45"/>
      <c r="CZ93" s="46"/>
      <c r="DA93" s="55"/>
    </row>
    <row r="94" spans="20:105" ht="12.75" x14ac:dyDescent="0.2">
      <c r="AS94" s="60"/>
      <c r="AZ94" s="27"/>
      <c r="BR94" s="129"/>
      <c r="BS94" s="129"/>
      <c r="BT94" s="129"/>
      <c r="CV94" s="49"/>
      <c r="CW94" s="53"/>
      <c r="CX94" s="45"/>
      <c r="CY94" s="46"/>
      <c r="CZ94" s="63"/>
      <c r="DA94" s="55"/>
    </row>
    <row r="95" spans="20:105" ht="12.75" x14ac:dyDescent="0.2">
      <c r="AS95" s="60"/>
      <c r="AZ95" s="27"/>
      <c r="BR95" s="129"/>
      <c r="BS95" s="129"/>
      <c r="BT95" s="129"/>
      <c r="BU95" s="126"/>
      <c r="BV95" s="126"/>
      <c r="CV95" s="49"/>
      <c r="CW95" s="53"/>
      <c r="CX95" s="45"/>
      <c r="CY95" s="46"/>
      <c r="CZ95" s="63"/>
      <c r="DA95" s="55"/>
    </row>
    <row r="96" spans="20:105" ht="12.75" x14ac:dyDescent="0.2">
      <c r="BR96" s="129"/>
      <c r="BS96" s="129"/>
      <c r="BT96" s="129"/>
      <c r="BU96" s="129"/>
      <c r="BV96" s="129"/>
    </row>
    <row r="97" spans="58:74" ht="12.75" x14ac:dyDescent="0.2">
      <c r="BF97" s="58"/>
      <c r="BG97" s="88"/>
      <c r="BH97" s="56"/>
      <c r="BI97" s="56"/>
      <c r="BJ97" s="58"/>
      <c r="BK97" s="58"/>
      <c r="BL97" s="88"/>
      <c r="BR97" s="129"/>
      <c r="BS97" s="129"/>
      <c r="BT97" s="129"/>
      <c r="BU97" s="129"/>
      <c r="BV97" s="129"/>
    </row>
    <row r="98" spans="58:74" ht="12.75" x14ac:dyDescent="0.2">
      <c r="BF98" s="100"/>
      <c r="BG98" s="129"/>
      <c r="BH98" s="130"/>
      <c r="BI98" s="131"/>
      <c r="BJ98" s="134"/>
      <c r="BK98" s="134"/>
      <c r="BL98" s="129"/>
      <c r="BT98" s="129"/>
      <c r="BU98" s="129"/>
      <c r="BV98" s="129"/>
    </row>
    <row r="99" spans="58:74" ht="12.75" x14ac:dyDescent="0.2">
      <c r="BF99" s="100"/>
      <c r="BG99" s="129"/>
      <c r="BH99" s="130"/>
      <c r="BI99" s="131"/>
      <c r="BJ99" s="134"/>
      <c r="BK99" s="134"/>
      <c r="BL99" s="129"/>
      <c r="BU99" s="129"/>
      <c r="BV99" s="129"/>
    </row>
    <row r="100" spans="58:74" ht="12.75" x14ac:dyDescent="0.2">
      <c r="BF100" s="123"/>
      <c r="BG100" s="129"/>
      <c r="BH100" s="130"/>
      <c r="BI100" s="131"/>
      <c r="BJ100" s="135"/>
      <c r="BK100" s="135"/>
      <c r="BL100" s="129"/>
      <c r="BU100" s="129"/>
      <c r="BV100" s="129"/>
    </row>
    <row r="101" spans="58:74" ht="12.75" x14ac:dyDescent="0.2">
      <c r="BF101" s="100"/>
      <c r="BG101" s="129"/>
      <c r="BH101" s="130"/>
      <c r="BI101" s="131"/>
      <c r="BJ101" s="134"/>
      <c r="BK101" s="134"/>
      <c r="BL101" s="129"/>
      <c r="BU101" s="129"/>
      <c r="BV101" s="129"/>
    </row>
    <row r="102" spans="58:74" ht="12.75" x14ac:dyDescent="0.2">
      <c r="BF102" s="100"/>
      <c r="BG102" s="129"/>
      <c r="BH102" s="129"/>
      <c r="BI102" s="130"/>
      <c r="BJ102" s="134"/>
      <c r="BK102" s="134"/>
      <c r="BL102" s="129"/>
      <c r="BO102" s="58"/>
      <c r="BP102" s="58"/>
      <c r="BQ102" s="88"/>
      <c r="BU102" s="129"/>
      <c r="BV102" s="129"/>
    </row>
    <row r="103" spans="58:74" ht="12.75" x14ac:dyDescent="0.2">
      <c r="BF103" s="100"/>
      <c r="BG103" s="129"/>
      <c r="BH103" s="130"/>
      <c r="BI103" s="131"/>
      <c r="BJ103" s="134"/>
      <c r="BK103" s="134"/>
      <c r="BL103" s="129"/>
      <c r="BM103" s="56"/>
      <c r="BN103" s="56"/>
      <c r="BO103" s="134"/>
      <c r="BP103" s="134"/>
      <c r="BQ103" s="96"/>
    </row>
    <row r="104" spans="58:74" ht="12.75" x14ac:dyDescent="0.2">
      <c r="BF104" s="100"/>
      <c r="BG104" s="129"/>
      <c r="BH104" s="130"/>
      <c r="BI104" s="131"/>
      <c r="BJ104" s="134"/>
      <c r="BK104" s="134"/>
      <c r="BL104" s="129"/>
      <c r="BM104" s="130"/>
      <c r="BN104" s="131"/>
      <c r="BO104" s="134"/>
      <c r="BP104" s="134"/>
      <c r="BQ104" s="96"/>
    </row>
    <row r="105" spans="58:74" ht="12.75" x14ac:dyDescent="0.2">
      <c r="BF105" s="75"/>
      <c r="BM105" s="130"/>
      <c r="BN105" s="131"/>
      <c r="BO105" s="135"/>
      <c r="BP105" s="135"/>
      <c r="BQ105" s="96"/>
    </row>
    <row r="106" spans="58:74" ht="12.75" x14ac:dyDescent="0.2">
      <c r="BM106" s="130"/>
      <c r="BN106" s="131"/>
      <c r="BO106" s="134"/>
      <c r="BP106" s="134"/>
      <c r="BQ106" s="96"/>
    </row>
    <row r="107" spans="58:74" ht="12.75" x14ac:dyDescent="0.2">
      <c r="BM107" s="130"/>
      <c r="BN107" s="131"/>
      <c r="BO107" s="134"/>
      <c r="BP107" s="134"/>
      <c r="BQ107" s="96"/>
    </row>
    <row r="108" spans="58:74" ht="12.75" x14ac:dyDescent="0.2">
      <c r="BM108" s="129"/>
      <c r="BN108" s="130"/>
      <c r="BO108" s="134"/>
      <c r="BP108" s="134"/>
      <c r="BQ108" s="96"/>
    </row>
    <row r="109" spans="58:74" ht="12.75" x14ac:dyDescent="0.2">
      <c r="BM109" s="130"/>
      <c r="BN109" s="131"/>
      <c r="BO109" s="134"/>
      <c r="BP109" s="134"/>
      <c r="BQ109" s="96"/>
    </row>
    <row r="110" spans="58:74" ht="12.75" x14ac:dyDescent="0.2">
      <c r="BM110" s="130"/>
      <c r="BN110" s="131"/>
    </row>
    <row r="111" spans="58:74" ht="12.75" x14ac:dyDescent="0.2">
      <c r="BF111" s="58"/>
      <c r="BG111" s="126"/>
      <c r="BH111" s="126"/>
      <c r="BI111" s="126"/>
      <c r="BJ111" s="132"/>
      <c r="BK111" s="132"/>
      <c r="BL111" s="126"/>
    </row>
    <row r="112" spans="58:74" ht="12.75" x14ac:dyDescent="0.2">
      <c r="BF112" s="100"/>
      <c r="BG112" s="129"/>
      <c r="BH112" s="129"/>
      <c r="BI112" s="136"/>
      <c r="BJ112" s="129"/>
      <c r="BK112" s="129"/>
      <c r="BL112" s="129"/>
    </row>
    <row r="113" spans="58:69" ht="12.75" x14ac:dyDescent="0.2">
      <c r="BF113" s="100"/>
      <c r="BG113" s="129"/>
      <c r="BH113" s="129"/>
      <c r="BI113" s="136"/>
      <c r="BJ113" s="129"/>
      <c r="BK113" s="129"/>
      <c r="BL113" s="129"/>
    </row>
    <row r="114" spans="58:69" ht="12.75" x14ac:dyDescent="0.2">
      <c r="BF114" s="123"/>
      <c r="BG114" s="129"/>
      <c r="BH114" s="129"/>
      <c r="BI114" s="136"/>
      <c r="BJ114" s="133"/>
      <c r="BK114" s="133"/>
      <c r="BL114" s="129"/>
    </row>
    <row r="115" spans="58:69" ht="12.75" x14ac:dyDescent="0.2">
      <c r="BF115" s="100"/>
      <c r="BG115" s="129"/>
      <c r="BH115" s="129"/>
      <c r="BI115" s="136"/>
      <c r="BJ115" s="129"/>
      <c r="BK115" s="129"/>
      <c r="BL115" s="129"/>
    </row>
    <row r="116" spans="58:69" ht="12.75" x14ac:dyDescent="0.2">
      <c r="BF116" s="100"/>
      <c r="BG116" s="129"/>
      <c r="BH116" s="129"/>
      <c r="BI116" s="129"/>
      <c r="BJ116" s="129"/>
      <c r="BK116" s="129"/>
      <c r="BL116" s="129"/>
      <c r="BO116" s="132"/>
      <c r="BP116" s="132"/>
      <c r="BQ116" s="126"/>
    </row>
    <row r="117" spans="58:69" ht="12.75" x14ac:dyDescent="0.2">
      <c r="BF117" s="100"/>
      <c r="BG117" s="129"/>
      <c r="BH117" s="129"/>
      <c r="BI117" s="136"/>
      <c r="BJ117" s="129"/>
      <c r="BK117" s="129"/>
      <c r="BL117" s="129"/>
      <c r="BM117" s="126"/>
      <c r="BN117" s="126"/>
      <c r="BO117" s="129"/>
      <c r="BP117" s="129"/>
      <c r="BQ117" s="129"/>
    </row>
    <row r="118" spans="58:69" ht="12.75" x14ac:dyDescent="0.2">
      <c r="BF118" s="100"/>
      <c r="BG118" s="129"/>
      <c r="BH118" s="129"/>
      <c r="BI118" s="136"/>
      <c r="BJ118" s="129"/>
      <c r="BK118" s="129"/>
      <c r="BL118" s="129"/>
      <c r="BM118" s="129"/>
      <c r="BN118" s="136"/>
      <c r="BO118" s="129"/>
      <c r="BP118" s="129"/>
      <c r="BQ118" s="129"/>
    </row>
    <row r="119" spans="58:69" ht="12.75" x14ac:dyDescent="0.2">
      <c r="BF119" s="75"/>
      <c r="BM119" s="129"/>
      <c r="BN119" s="136"/>
      <c r="BO119" s="133"/>
      <c r="BP119" s="133"/>
      <c r="BQ119" s="129"/>
    </row>
    <row r="120" spans="58:69" ht="12.75" x14ac:dyDescent="0.2">
      <c r="BM120" s="129"/>
      <c r="BN120" s="136"/>
      <c r="BO120" s="129"/>
      <c r="BP120" s="129"/>
      <c r="BQ120" s="129"/>
    </row>
    <row r="121" spans="58:69" ht="12.75" x14ac:dyDescent="0.2">
      <c r="BM121" s="129"/>
      <c r="BN121" s="136"/>
      <c r="BO121" s="129"/>
      <c r="BP121" s="129"/>
      <c r="BQ121" s="129"/>
    </row>
    <row r="122" spans="58:69" ht="12.75" x14ac:dyDescent="0.2">
      <c r="BM122" s="129"/>
      <c r="BN122" s="129"/>
      <c r="BO122" s="129"/>
      <c r="BP122" s="129"/>
      <c r="BQ122" s="129"/>
    </row>
    <row r="123" spans="58:69" ht="12.75" x14ac:dyDescent="0.2">
      <c r="BM123" s="129"/>
      <c r="BN123" s="136"/>
      <c r="BO123" s="129"/>
      <c r="BP123" s="129"/>
      <c r="BQ123" s="129"/>
    </row>
    <row r="124" spans="58:69" ht="12.75" x14ac:dyDescent="0.2">
      <c r="BM124" s="129"/>
      <c r="BN124" s="136"/>
    </row>
    <row r="125" spans="58:69" ht="12.75" x14ac:dyDescent="0.2"/>
    <row r="126" spans="58:69" ht="12.75" x14ac:dyDescent="0.2"/>
    <row r="127" spans="58:69" ht="12.75" x14ac:dyDescent="0.2"/>
    <row r="128" spans="58:69" ht="12.75" x14ac:dyDescent="0.2"/>
    <row r="129" ht="12.75" x14ac:dyDescent="0.2"/>
    <row r="130" ht="12.75" x14ac:dyDescent="0.2"/>
    <row r="131" ht="12.75" x14ac:dyDescent="0.2"/>
    <row r="132" ht="12.75" x14ac:dyDescent="0.2"/>
    <row r="133" ht="12.75" x14ac:dyDescent="0.2"/>
    <row r="134" ht="12.75" x14ac:dyDescent="0.2"/>
    <row r="135" ht="12.75" x14ac:dyDescent="0.2"/>
    <row r="136" ht="12.75" x14ac:dyDescent="0.2"/>
    <row r="137" ht="12.75" x14ac:dyDescent="0.2"/>
    <row r="138" ht="12.75" x14ac:dyDescent="0.2"/>
    <row r="139" ht="12.75" x14ac:dyDescent="0.2"/>
    <row r="140" ht="12.75" x14ac:dyDescent="0.2"/>
    <row r="141" ht="12.75" x14ac:dyDescent="0.2"/>
    <row r="142" ht="12.75" x14ac:dyDescent="0.2"/>
    <row r="143" ht="12.75" x14ac:dyDescent="0.2"/>
    <row r="144" ht="12.75" x14ac:dyDescent="0.2"/>
    <row r="145" ht="12.75" x14ac:dyDescent="0.2"/>
    <row r="146" ht="12.75" x14ac:dyDescent="0.2"/>
    <row r="147" ht="12.75" x14ac:dyDescent="0.2"/>
    <row r="148" ht="12.75" x14ac:dyDescent="0.2"/>
    <row r="149" ht="12.75" x14ac:dyDescent="0.2"/>
    <row r="150" ht="12.75" x14ac:dyDescent="0.2"/>
    <row r="151" ht="12.75" x14ac:dyDescent="0.2"/>
    <row r="152" ht="12.75" x14ac:dyDescent="0.2"/>
    <row r="153" ht="12.75" x14ac:dyDescent="0.2"/>
    <row r="154" ht="12.75" x14ac:dyDescent="0.2"/>
    <row r="155" ht="12.75" x14ac:dyDescent="0.2"/>
    <row r="156" ht="12.75" x14ac:dyDescent="0.2"/>
    <row r="157" ht="12.75" x14ac:dyDescent="0.2"/>
    <row r="158" ht="12.75" x14ac:dyDescent="0.2"/>
    <row r="159" ht="12.75" x14ac:dyDescent="0.2"/>
    <row r="160" ht="12.75" x14ac:dyDescent="0.2"/>
    <row r="161" ht="12.75" x14ac:dyDescent="0.2"/>
    <row r="162" ht="12.75" x14ac:dyDescent="0.2"/>
    <row r="163" ht="12.75" x14ac:dyDescent="0.2"/>
    <row r="164" ht="12.75" x14ac:dyDescent="0.2"/>
    <row r="165" ht="12.75" x14ac:dyDescent="0.2"/>
    <row r="166" ht="12.75" x14ac:dyDescent="0.2"/>
    <row r="167" ht="12.75" x14ac:dyDescent="0.2"/>
    <row r="168" ht="12.75" x14ac:dyDescent="0.2"/>
    <row r="169" ht="12.75" x14ac:dyDescent="0.2"/>
    <row r="170" ht="12.75" x14ac:dyDescent="0.2"/>
    <row r="171" ht="12.75" x14ac:dyDescent="0.2"/>
    <row r="172" ht="12.75" x14ac:dyDescent="0.2"/>
    <row r="173" ht="12.75" x14ac:dyDescent="0.2"/>
    <row r="174" ht="12.75" x14ac:dyDescent="0.2"/>
    <row r="175" ht="12.75" x14ac:dyDescent="0.2"/>
    <row r="176" ht="12.75" x14ac:dyDescent="0.2"/>
    <row r="177" ht="12.75" x14ac:dyDescent="0.2"/>
    <row r="178" ht="12.75" x14ac:dyDescent="0.2"/>
    <row r="179" ht="12.75" x14ac:dyDescent="0.2"/>
    <row r="180" ht="12.75" x14ac:dyDescent="0.2"/>
    <row r="181" ht="12.75" x14ac:dyDescent="0.2"/>
    <row r="182" ht="12.75" x14ac:dyDescent="0.2"/>
    <row r="183" ht="12.75" x14ac:dyDescent="0.2"/>
    <row r="184" ht="12.75" x14ac:dyDescent="0.2"/>
    <row r="185" ht="12.75" x14ac:dyDescent="0.2"/>
    <row r="186" ht="12.75" x14ac:dyDescent="0.2"/>
    <row r="187" ht="12.75" x14ac:dyDescent="0.2"/>
    <row r="188" ht="12.75" x14ac:dyDescent="0.2"/>
    <row r="189" ht="12.75" x14ac:dyDescent="0.2"/>
    <row r="190" ht="12.75" x14ac:dyDescent="0.2"/>
    <row r="191" ht="12.75" x14ac:dyDescent="0.2"/>
    <row r="192" ht="12.75" x14ac:dyDescent="0.2"/>
    <row r="193" ht="12.75" x14ac:dyDescent="0.2"/>
    <row r="194" ht="12.75" x14ac:dyDescent="0.2"/>
    <row r="195" ht="12.75" x14ac:dyDescent="0.2"/>
    <row r="196" ht="12.75" x14ac:dyDescent="0.2"/>
    <row r="197" ht="12.75" x14ac:dyDescent="0.2"/>
    <row r="198" ht="12.75" x14ac:dyDescent="0.2"/>
    <row r="199" ht="12.75" x14ac:dyDescent="0.2"/>
    <row r="200" ht="12.75" x14ac:dyDescent="0.2"/>
    <row r="201" ht="12.75" x14ac:dyDescent="0.2"/>
    <row r="202" ht="12.75" x14ac:dyDescent="0.2"/>
    <row r="203" ht="12.75" x14ac:dyDescent="0.2"/>
    <row r="204" ht="12.75" x14ac:dyDescent="0.2"/>
    <row r="205" ht="12.75" x14ac:dyDescent="0.2"/>
    <row r="206" ht="12.75" x14ac:dyDescent="0.2"/>
    <row r="207" ht="12.75" x14ac:dyDescent="0.2"/>
    <row r="208" ht="12.75" x14ac:dyDescent="0.2"/>
    <row r="209" ht="12.75" x14ac:dyDescent="0.2"/>
    <row r="210" ht="12.75" x14ac:dyDescent="0.2"/>
    <row r="211" ht="12.75" x14ac:dyDescent="0.2"/>
    <row r="212" ht="12.75" x14ac:dyDescent="0.2"/>
    <row r="213" ht="12.75" x14ac:dyDescent="0.2"/>
    <row r="214" ht="12.75" x14ac:dyDescent="0.2"/>
    <row r="215" ht="12.75" x14ac:dyDescent="0.2"/>
    <row r="216" ht="12.75" x14ac:dyDescent="0.2"/>
    <row r="217" ht="12.75" x14ac:dyDescent="0.2"/>
    <row r="218" ht="12.75" x14ac:dyDescent="0.2"/>
    <row r="219" ht="12.75" x14ac:dyDescent="0.2"/>
    <row r="220" ht="12.75" x14ac:dyDescent="0.2"/>
    <row r="221" ht="12.75" x14ac:dyDescent="0.2"/>
    <row r="222" ht="12.75" x14ac:dyDescent="0.2"/>
    <row r="223" ht="12.75" x14ac:dyDescent="0.2"/>
    <row r="224" ht="12.75" x14ac:dyDescent="0.2"/>
    <row r="225" ht="12.75" x14ac:dyDescent="0.2"/>
    <row r="226" ht="12.75" x14ac:dyDescent="0.2"/>
    <row r="227" ht="12.75" x14ac:dyDescent="0.2"/>
    <row r="228" ht="12.75" x14ac:dyDescent="0.2"/>
    <row r="229" ht="12.75" x14ac:dyDescent="0.2"/>
    <row r="230" ht="12.75" x14ac:dyDescent="0.2"/>
    <row r="231" ht="12.75" x14ac:dyDescent="0.2"/>
    <row r="232" ht="12.75" x14ac:dyDescent="0.2"/>
    <row r="233" ht="12.75" x14ac:dyDescent="0.2"/>
    <row r="234" ht="12.75" x14ac:dyDescent="0.2"/>
    <row r="235" ht="12.75" x14ac:dyDescent="0.2"/>
    <row r="236" ht="12.75" x14ac:dyDescent="0.2"/>
    <row r="237" ht="12.75" x14ac:dyDescent="0.2"/>
    <row r="238" ht="12.75" x14ac:dyDescent="0.2"/>
    <row r="239" ht="12.75" x14ac:dyDescent="0.2"/>
    <row r="240" ht="12.75" x14ac:dyDescent="0.2"/>
    <row r="241" ht="12.75" x14ac:dyDescent="0.2"/>
    <row r="242" ht="12.75" x14ac:dyDescent="0.2"/>
    <row r="243" ht="12.75" x14ac:dyDescent="0.2"/>
    <row r="244" ht="12.75" x14ac:dyDescent="0.2"/>
    <row r="245" ht="12.75" x14ac:dyDescent="0.2"/>
    <row r="246" ht="12.75" x14ac:dyDescent="0.2"/>
    <row r="247" ht="12.75" x14ac:dyDescent="0.2"/>
    <row r="248" ht="12.75" x14ac:dyDescent="0.2"/>
    <row r="249" ht="12.75" x14ac:dyDescent="0.2"/>
    <row r="250" ht="12.75" x14ac:dyDescent="0.2"/>
    <row r="251" ht="12.75" x14ac:dyDescent="0.2"/>
    <row r="252" ht="12.75" x14ac:dyDescent="0.2"/>
    <row r="253" ht="12.75" x14ac:dyDescent="0.2"/>
    <row r="254" ht="12.75" x14ac:dyDescent="0.2"/>
    <row r="255" ht="12.75" x14ac:dyDescent="0.2"/>
    <row r="256" ht="12.75" x14ac:dyDescent="0.2"/>
    <row r="257" ht="12.75" x14ac:dyDescent="0.2"/>
    <row r="258" ht="12.75" x14ac:dyDescent="0.2"/>
    <row r="259" ht="12.75" x14ac:dyDescent="0.2"/>
    <row r="260" ht="12.75" x14ac:dyDescent="0.2"/>
    <row r="261" ht="12.75" x14ac:dyDescent="0.2"/>
    <row r="262" ht="12.75" x14ac:dyDescent="0.2"/>
    <row r="263" ht="12.75" x14ac:dyDescent="0.2"/>
    <row r="264" ht="12.75" x14ac:dyDescent="0.2"/>
    <row r="265" ht="12.75" x14ac:dyDescent="0.2"/>
    <row r="266" ht="12.75" x14ac:dyDescent="0.2"/>
    <row r="267" ht="12.75" x14ac:dyDescent="0.2"/>
    <row r="268" ht="12.75" x14ac:dyDescent="0.2"/>
    <row r="269" ht="12.75" x14ac:dyDescent="0.2"/>
    <row r="270" ht="12.75" x14ac:dyDescent="0.2"/>
    <row r="271" ht="12.75" x14ac:dyDescent="0.2"/>
    <row r="272" ht="12.75" x14ac:dyDescent="0.2"/>
    <row r="273" ht="12.75" x14ac:dyDescent="0.2"/>
    <row r="274" ht="12.75" x14ac:dyDescent="0.2"/>
    <row r="275" ht="12.75" x14ac:dyDescent="0.2"/>
    <row r="276" ht="12.75" x14ac:dyDescent="0.2"/>
    <row r="277" ht="12.75" x14ac:dyDescent="0.2"/>
    <row r="278" ht="12.75" x14ac:dyDescent="0.2"/>
    <row r="279" ht="12.75" x14ac:dyDescent="0.2"/>
    <row r="280" ht="12.75" x14ac:dyDescent="0.2"/>
    <row r="281" ht="12.75" x14ac:dyDescent="0.2"/>
    <row r="282" ht="12.75" x14ac:dyDescent="0.2"/>
    <row r="283" ht="12.75" x14ac:dyDescent="0.2"/>
    <row r="284" ht="12.75" x14ac:dyDescent="0.2"/>
    <row r="285" ht="12.75" x14ac:dyDescent="0.2"/>
    <row r="286" ht="12.75" x14ac:dyDescent="0.2"/>
    <row r="287" ht="12.75" x14ac:dyDescent="0.2"/>
    <row r="288" ht="12.75" x14ac:dyDescent="0.2"/>
    <row r="289" ht="12.75" x14ac:dyDescent="0.2"/>
    <row r="290" ht="12.75" x14ac:dyDescent="0.2"/>
    <row r="291" ht="12.75" x14ac:dyDescent="0.2"/>
    <row r="292" ht="12.75" x14ac:dyDescent="0.2"/>
    <row r="293" ht="12.75" x14ac:dyDescent="0.2"/>
    <row r="294" ht="12.75" x14ac:dyDescent="0.2"/>
    <row r="295" ht="12.75" x14ac:dyDescent="0.2"/>
    <row r="296" ht="12.75" x14ac:dyDescent="0.2"/>
    <row r="297" ht="12.75" x14ac:dyDescent="0.2"/>
    <row r="298" ht="12.75" x14ac:dyDescent="0.2"/>
    <row r="299" ht="12.75" x14ac:dyDescent="0.2"/>
    <row r="300" ht="12.75" x14ac:dyDescent="0.2"/>
    <row r="301" ht="12.75" x14ac:dyDescent="0.2"/>
    <row r="302" ht="12.75" x14ac:dyDescent="0.2"/>
    <row r="303" ht="12.75" x14ac:dyDescent="0.2"/>
    <row r="304" ht="12.75" x14ac:dyDescent="0.2"/>
    <row r="305" ht="12.75" x14ac:dyDescent="0.2"/>
    <row r="306" ht="12.75" x14ac:dyDescent="0.2"/>
    <row r="307" ht="12.75" x14ac:dyDescent="0.2"/>
    <row r="308" ht="12.75" x14ac:dyDescent="0.2"/>
    <row r="309" ht="12.75" x14ac:dyDescent="0.2"/>
    <row r="310" ht="12.75" x14ac:dyDescent="0.2"/>
    <row r="311" ht="12.75" x14ac:dyDescent="0.2"/>
    <row r="312" ht="12.75" x14ac:dyDescent="0.2"/>
    <row r="313" ht="12.75" x14ac:dyDescent="0.2"/>
    <row r="314" ht="12.75" x14ac:dyDescent="0.2"/>
    <row r="315" ht="12.75" x14ac:dyDescent="0.2"/>
    <row r="316" ht="12.75" x14ac:dyDescent="0.2"/>
    <row r="317" ht="12.75" x14ac:dyDescent="0.2"/>
    <row r="318" ht="12.75" x14ac:dyDescent="0.2"/>
    <row r="319" ht="12.75" x14ac:dyDescent="0.2"/>
    <row r="320" ht="12.75" x14ac:dyDescent="0.2"/>
    <row r="321" ht="12.75" x14ac:dyDescent="0.2"/>
    <row r="322" ht="12.75" x14ac:dyDescent="0.2"/>
    <row r="323" ht="12.75" x14ac:dyDescent="0.2"/>
    <row r="324" ht="12.75" x14ac:dyDescent="0.2"/>
    <row r="325" ht="12.75" x14ac:dyDescent="0.2"/>
    <row r="326" ht="12.75" x14ac:dyDescent="0.2"/>
    <row r="327" ht="12.75" x14ac:dyDescent="0.2"/>
    <row r="328" ht="12.75" x14ac:dyDescent="0.2"/>
    <row r="329" ht="12.75" x14ac:dyDescent="0.2"/>
    <row r="330" ht="12.75" x14ac:dyDescent="0.2"/>
    <row r="331" ht="12.75" x14ac:dyDescent="0.2"/>
    <row r="332" ht="12.75" x14ac:dyDescent="0.2"/>
    <row r="333" ht="12.75" x14ac:dyDescent="0.2"/>
    <row r="334" ht="12.75" x14ac:dyDescent="0.2"/>
    <row r="335" ht="12.75" x14ac:dyDescent="0.2"/>
    <row r="336" ht="12.75" x14ac:dyDescent="0.2"/>
    <row r="337" ht="12.75" x14ac:dyDescent="0.2"/>
    <row r="338" ht="12.75" x14ac:dyDescent="0.2"/>
    <row r="339" ht="12.75" x14ac:dyDescent="0.2"/>
    <row r="340" ht="12.75" x14ac:dyDescent="0.2"/>
    <row r="341" ht="12.75" x14ac:dyDescent="0.2"/>
    <row r="342" ht="12.75" x14ac:dyDescent="0.2"/>
    <row r="343" ht="12.75" x14ac:dyDescent="0.2"/>
    <row r="344" ht="12.75" x14ac:dyDescent="0.2"/>
    <row r="345" ht="12.75" x14ac:dyDescent="0.2"/>
    <row r="346" ht="12.75" x14ac:dyDescent="0.2"/>
    <row r="347" ht="12.75" x14ac:dyDescent="0.2"/>
    <row r="348" ht="12.75" x14ac:dyDescent="0.2"/>
    <row r="349" ht="12.75" x14ac:dyDescent="0.2"/>
    <row r="350" ht="12.75" x14ac:dyDescent="0.2"/>
    <row r="351" ht="12.75" x14ac:dyDescent="0.2"/>
    <row r="352" ht="12.75" x14ac:dyDescent="0.2"/>
    <row r="353" ht="12.75" x14ac:dyDescent="0.2"/>
    <row r="354" ht="12.75" x14ac:dyDescent="0.2"/>
    <row r="355" ht="12.75" x14ac:dyDescent="0.2"/>
    <row r="356" ht="12.75" x14ac:dyDescent="0.2"/>
    <row r="357" ht="12.75" x14ac:dyDescent="0.2"/>
    <row r="358" ht="12.75" x14ac:dyDescent="0.2"/>
    <row r="359" ht="12.75" x14ac:dyDescent="0.2"/>
    <row r="360" ht="12.75" x14ac:dyDescent="0.2"/>
    <row r="361" ht="12.75" x14ac:dyDescent="0.2"/>
    <row r="362" ht="12.75" x14ac:dyDescent="0.2"/>
    <row r="363" ht="12.75" x14ac:dyDescent="0.2"/>
    <row r="364" ht="12.75" x14ac:dyDescent="0.2"/>
    <row r="365" ht="12.75" x14ac:dyDescent="0.2"/>
    <row r="366" ht="12.75" x14ac:dyDescent="0.2"/>
    <row r="367" ht="12.75" x14ac:dyDescent="0.2"/>
    <row r="368" ht="12.75" x14ac:dyDescent="0.2"/>
    <row r="369" ht="12.75" x14ac:dyDescent="0.2"/>
    <row r="370" ht="12.75" x14ac:dyDescent="0.2"/>
    <row r="371" ht="12.75" x14ac:dyDescent="0.2"/>
    <row r="372" ht="12.75" x14ac:dyDescent="0.2"/>
    <row r="373" ht="12.75" x14ac:dyDescent="0.2"/>
    <row r="374" ht="12.75" x14ac:dyDescent="0.2"/>
    <row r="375" ht="12.75" x14ac:dyDescent="0.2"/>
    <row r="376" ht="12.75" x14ac:dyDescent="0.2"/>
    <row r="377" ht="12.75" x14ac:dyDescent="0.2"/>
    <row r="378" ht="12.75" x14ac:dyDescent="0.2"/>
    <row r="379" ht="12.75" x14ac:dyDescent="0.2"/>
    <row r="380" ht="12.75" x14ac:dyDescent="0.2"/>
    <row r="381" ht="12.75" x14ac:dyDescent="0.2"/>
    <row r="382" ht="12.75" x14ac:dyDescent="0.2"/>
    <row r="383" ht="12.75" x14ac:dyDescent="0.2"/>
    <row r="384" ht="12.75" x14ac:dyDescent="0.2"/>
    <row r="385" ht="12.75" x14ac:dyDescent="0.2"/>
    <row r="386" ht="12.75" x14ac:dyDescent="0.2"/>
    <row r="387" ht="12.75" x14ac:dyDescent="0.2"/>
    <row r="388" ht="12.75" x14ac:dyDescent="0.2"/>
    <row r="389" ht="12.75" x14ac:dyDescent="0.2"/>
    <row r="390" ht="12.75" x14ac:dyDescent="0.2"/>
    <row r="391" ht="12.75" x14ac:dyDescent="0.2"/>
    <row r="392" ht="12.75" x14ac:dyDescent="0.2"/>
    <row r="393" ht="12.75" x14ac:dyDescent="0.2"/>
    <row r="394" ht="12.75" x14ac:dyDescent="0.2"/>
    <row r="395" ht="12.75" x14ac:dyDescent="0.2"/>
    <row r="396" ht="12.75" x14ac:dyDescent="0.2"/>
    <row r="397" ht="12.75" x14ac:dyDescent="0.2"/>
    <row r="398" ht="12.75" x14ac:dyDescent="0.2"/>
    <row r="399" ht="12.75" x14ac:dyDescent="0.2"/>
    <row r="400" ht="12.75" x14ac:dyDescent="0.2"/>
    <row r="401" ht="12.75" x14ac:dyDescent="0.2"/>
    <row r="402" ht="12.75" x14ac:dyDescent="0.2"/>
    <row r="403" ht="12.75" x14ac:dyDescent="0.2"/>
    <row r="404" ht="12.75" x14ac:dyDescent="0.2"/>
    <row r="405" ht="12.75" x14ac:dyDescent="0.2"/>
    <row r="406" ht="12.75" x14ac:dyDescent="0.2"/>
    <row r="407" ht="12.75" x14ac:dyDescent="0.2"/>
    <row r="408" ht="12.75" x14ac:dyDescent="0.2"/>
    <row r="409" ht="12.75" x14ac:dyDescent="0.2"/>
    <row r="410" ht="12.75" x14ac:dyDescent="0.2"/>
    <row r="411" ht="12.75" x14ac:dyDescent="0.2"/>
    <row r="412" ht="12.75" x14ac:dyDescent="0.2"/>
    <row r="413" ht="12.75" x14ac:dyDescent="0.2"/>
    <row r="414" ht="12.75" x14ac:dyDescent="0.2"/>
    <row r="415" ht="12.75" x14ac:dyDescent="0.2"/>
    <row r="416" ht="12.75" x14ac:dyDescent="0.2"/>
    <row r="417" ht="12.75" x14ac:dyDescent="0.2"/>
    <row r="418" ht="12.75" x14ac:dyDescent="0.2"/>
    <row r="419" ht="12.75" x14ac:dyDescent="0.2"/>
    <row r="420" ht="12.75" x14ac:dyDescent="0.2"/>
    <row r="421" ht="12.75" x14ac:dyDescent="0.2"/>
    <row r="422" ht="12.75" x14ac:dyDescent="0.2"/>
    <row r="423" ht="12.75" x14ac:dyDescent="0.2"/>
    <row r="424" ht="12.75" x14ac:dyDescent="0.2"/>
    <row r="425" ht="12.75" x14ac:dyDescent="0.2"/>
    <row r="426" ht="12.75" x14ac:dyDescent="0.2"/>
    <row r="427" ht="12.75" x14ac:dyDescent="0.2"/>
    <row r="428" ht="12.75" x14ac:dyDescent="0.2"/>
    <row r="429" ht="12.75" x14ac:dyDescent="0.2"/>
    <row r="430" ht="12.75" x14ac:dyDescent="0.2"/>
    <row r="431" ht="12.75" x14ac:dyDescent="0.2"/>
    <row r="432" ht="12.75" x14ac:dyDescent="0.2"/>
    <row r="433" ht="12.75" x14ac:dyDescent="0.2"/>
    <row r="434" ht="12.75" x14ac:dyDescent="0.2"/>
    <row r="435" ht="12.75" x14ac:dyDescent="0.2"/>
    <row r="436" ht="12.75" x14ac:dyDescent="0.2"/>
    <row r="437" ht="12.75" x14ac:dyDescent="0.2"/>
    <row r="438" ht="12.75" x14ac:dyDescent="0.2"/>
    <row r="439" ht="12.75" x14ac:dyDescent="0.2"/>
    <row r="440" ht="12.75" x14ac:dyDescent="0.2"/>
    <row r="441" ht="12.75" x14ac:dyDescent="0.2"/>
    <row r="442" ht="12.75" x14ac:dyDescent="0.2"/>
    <row r="443" ht="12.75" x14ac:dyDescent="0.2"/>
    <row r="444" ht="12.75" x14ac:dyDescent="0.2"/>
    <row r="445" ht="12.75" x14ac:dyDescent="0.2"/>
    <row r="446" ht="12.75" x14ac:dyDescent="0.2"/>
    <row r="447" ht="12.75" x14ac:dyDescent="0.2"/>
    <row r="448" ht="12.75" x14ac:dyDescent="0.2"/>
    <row r="449" ht="12.75" x14ac:dyDescent="0.2"/>
    <row r="450" ht="12.75" x14ac:dyDescent="0.2"/>
    <row r="451" ht="12.75" x14ac:dyDescent="0.2"/>
    <row r="452" ht="12.75" x14ac:dyDescent="0.2"/>
    <row r="453" ht="12.75" x14ac:dyDescent="0.2"/>
    <row r="454" ht="12.75" x14ac:dyDescent="0.2"/>
    <row r="455" ht="12.75" x14ac:dyDescent="0.2"/>
    <row r="456" ht="12.75" x14ac:dyDescent="0.2"/>
    <row r="457" ht="12.75" x14ac:dyDescent="0.2"/>
    <row r="458" ht="12.75" x14ac:dyDescent="0.2"/>
    <row r="459" ht="12.75" x14ac:dyDescent="0.2"/>
    <row r="460" ht="12.75" x14ac:dyDescent="0.2"/>
    <row r="461" ht="12.75" x14ac:dyDescent="0.2"/>
    <row r="462" ht="12.75" x14ac:dyDescent="0.2"/>
    <row r="463" ht="12.75" x14ac:dyDescent="0.2"/>
    <row r="464" ht="12.75" x14ac:dyDescent="0.2"/>
    <row r="465" ht="12.75" x14ac:dyDescent="0.2"/>
    <row r="466" ht="12.75" x14ac:dyDescent="0.2"/>
    <row r="467" ht="12.75" x14ac:dyDescent="0.2"/>
    <row r="468" ht="12.75" x14ac:dyDescent="0.2"/>
    <row r="469" ht="12.75" x14ac:dyDescent="0.2"/>
    <row r="470" ht="12.75" x14ac:dyDescent="0.2"/>
    <row r="471" ht="12.75" x14ac:dyDescent="0.2"/>
    <row r="472" ht="12.75" x14ac:dyDescent="0.2"/>
    <row r="473" ht="12.75" x14ac:dyDescent="0.2"/>
    <row r="474" ht="12.75" x14ac:dyDescent="0.2"/>
    <row r="475" ht="12.75" x14ac:dyDescent="0.2"/>
    <row r="476" ht="12.75" x14ac:dyDescent="0.2"/>
    <row r="477" ht="12.75" x14ac:dyDescent="0.2"/>
    <row r="478" ht="12.75" x14ac:dyDescent="0.2"/>
    <row r="479" ht="12.75" x14ac:dyDescent="0.2"/>
    <row r="480" ht="12.75" x14ac:dyDescent="0.2"/>
    <row r="481" ht="12.75" x14ac:dyDescent="0.2"/>
    <row r="482" ht="12.75" x14ac:dyDescent="0.2"/>
    <row r="483" ht="12.75" x14ac:dyDescent="0.2"/>
    <row r="484" ht="12.75" x14ac:dyDescent="0.2"/>
    <row r="485" ht="12.75" x14ac:dyDescent="0.2"/>
    <row r="486" ht="12.75" x14ac:dyDescent="0.2"/>
    <row r="487" ht="12.75" x14ac:dyDescent="0.2"/>
    <row r="488" ht="12.75" x14ac:dyDescent="0.2"/>
    <row r="489" ht="12.75" x14ac:dyDescent="0.2"/>
    <row r="490" ht="12.75" x14ac:dyDescent="0.2"/>
    <row r="491" ht="12.75" x14ac:dyDescent="0.2"/>
    <row r="492" ht="12.75" x14ac:dyDescent="0.2"/>
    <row r="493" ht="12.75" x14ac:dyDescent="0.2"/>
    <row r="494" ht="12.75" x14ac:dyDescent="0.2"/>
    <row r="495" ht="12.75" x14ac:dyDescent="0.2"/>
    <row r="496" ht="12.75" x14ac:dyDescent="0.2"/>
    <row r="497" ht="12.75" x14ac:dyDescent="0.2"/>
    <row r="498" ht="12.75" x14ac:dyDescent="0.2"/>
    <row r="499" ht="12.75" x14ac:dyDescent="0.2"/>
    <row r="500" ht="12.75" x14ac:dyDescent="0.2"/>
    <row r="501" ht="12.75" x14ac:dyDescent="0.2"/>
    <row r="502" ht="12.75" x14ac:dyDescent="0.2"/>
    <row r="503" ht="12.75" x14ac:dyDescent="0.2"/>
    <row r="504" ht="12.75" x14ac:dyDescent="0.2"/>
    <row r="505" ht="12.75" x14ac:dyDescent="0.2"/>
    <row r="506" ht="12.75" x14ac:dyDescent="0.2"/>
    <row r="507" ht="12.75" x14ac:dyDescent="0.2"/>
    <row r="508" ht="12.75" x14ac:dyDescent="0.2"/>
    <row r="509" ht="12.75" x14ac:dyDescent="0.2"/>
    <row r="510" ht="12.75" x14ac:dyDescent="0.2"/>
    <row r="511" ht="12.75" x14ac:dyDescent="0.2"/>
    <row r="512" ht="12.75" x14ac:dyDescent="0.2"/>
    <row r="513" ht="12.75" x14ac:dyDescent="0.2"/>
    <row r="514" ht="12.75" x14ac:dyDescent="0.2"/>
    <row r="515" ht="12.75" x14ac:dyDescent="0.2"/>
    <row r="516" ht="12.75" x14ac:dyDescent="0.2"/>
    <row r="517" ht="12.75" x14ac:dyDescent="0.2"/>
    <row r="518" ht="12.75" x14ac:dyDescent="0.2"/>
    <row r="519" ht="12.75" x14ac:dyDescent="0.2"/>
    <row r="520" ht="12.75" x14ac:dyDescent="0.2"/>
    <row r="521" ht="12.75" x14ac:dyDescent="0.2"/>
    <row r="522" ht="12.75" x14ac:dyDescent="0.2"/>
    <row r="523" ht="12.75" x14ac:dyDescent="0.2"/>
    <row r="524" ht="12.75" x14ac:dyDescent="0.2"/>
    <row r="525" ht="12.75" x14ac:dyDescent="0.2"/>
    <row r="526" ht="12.75" x14ac:dyDescent="0.2"/>
    <row r="527" ht="12.75" x14ac:dyDescent="0.2"/>
    <row r="528" ht="12.75" x14ac:dyDescent="0.2"/>
    <row r="529" ht="12.75" x14ac:dyDescent="0.2"/>
    <row r="530" ht="12.75" x14ac:dyDescent="0.2"/>
    <row r="531" ht="12.75" x14ac:dyDescent="0.2"/>
    <row r="532" ht="12.75" x14ac:dyDescent="0.2"/>
    <row r="533" ht="12.75" x14ac:dyDescent="0.2"/>
    <row r="534" ht="12.75" x14ac:dyDescent="0.2"/>
    <row r="535" ht="12.75" x14ac:dyDescent="0.2"/>
    <row r="536" ht="12.75" x14ac:dyDescent="0.2"/>
    <row r="537" ht="12.75" x14ac:dyDescent="0.2"/>
    <row r="538" ht="12.75" x14ac:dyDescent="0.2"/>
    <row r="539" ht="12.75" x14ac:dyDescent="0.2"/>
    <row r="540" ht="12.75" x14ac:dyDescent="0.2"/>
    <row r="541" ht="12.75" x14ac:dyDescent="0.2"/>
    <row r="542" ht="12.75" x14ac:dyDescent="0.2"/>
    <row r="543" ht="12.75" x14ac:dyDescent="0.2"/>
    <row r="544" ht="12.75" x14ac:dyDescent="0.2"/>
    <row r="545" ht="12.75" x14ac:dyDescent="0.2"/>
    <row r="546" ht="12.75" x14ac:dyDescent="0.2"/>
    <row r="547" ht="12.75" x14ac:dyDescent="0.2"/>
    <row r="548" ht="12.75" x14ac:dyDescent="0.2"/>
    <row r="549" ht="12.75" x14ac:dyDescent="0.2"/>
    <row r="550" ht="12.75" x14ac:dyDescent="0.2"/>
    <row r="551" ht="12.75" x14ac:dyDescent="0.2"/>
    <row r="552" ht="12.75" x14ac:dyDescent="0.2"/>
    <row r="553" ht="12.75" x14ac:dyDescent="0.2"/>
    <row r="554" ht="12.75" x14ac:dyDescent="0.2"/>
    <row r="555" ht="12.75" x14ac:dyDescent="0.2"/>
    <row r="556" ht="12.75" x14ac:dyDescent="0.2"/>
    <row r="557" ht="12.75" x14ac:dyDescent="0.2"/>
    <row r="558" ht="12.75" x14ac:dyDescent="0.2"/>
    <row r="559" ht="12.75" x14ac:dyDescent="0.2"/>
    <row r="560" ht="12.75" x14ac:dyDescent="0.2"/>
    <row r="561" ht="12.75" x14ac:dyDescent="0.2"/>
    <row r="562" ht="12.75" x14ac:dyDescent="0.2"/>
    <row r="563" ht="12.75" x14ac:dyDescent="0.2"/>
    <row r="564" ht="12.75" x14ac:dyDescent="0.2"/>
    <row r="565" ht="12.75" x14ac:dyDescent="0.2"/>
    <row r="566" ht="12.75" x14ac:dyDescent="0.2"/>
    <row r="567" ht="12.75" x14ac:dyDescent="0.2"/>
    <row r="568" ht="12.75" x14ac:dyDescent="0.2"/>
    <row r="569" ht="12.75" x14ac:dyDescent="0.2"/>
    <row r="570" ht="12.75" x14ac:dyDescent="0.2"/>
    <row r="571" ht="12.75" x14ac:dyDescent="0.2"/>
    <row r="572" ht="12.75" x14ac:dyDescent="0.2"/>
    <row r="573" ht="12.75" x14ac:dyDescent="0.2"/>
    <row r="574" ht="12.75" x14ac:dyDescent="0.2"/>
    <row r="575" ht="12.75" x14ac:dyDescent="0.2"/>
    <row r="576" ht="12.75" x14ac:dyDescent="0.2"/>
    <row r="577" ht="12.75" x14ac:dyDescent="0.2"/>
    <row r="578" ht="12.75" x14ac:dyDescent="0.2"/>
    <row r="579" ht="12.75" x14ac:dyDescent="0.2"/>
    <row r="580" ht="12.75" x14ac:dyDescent="0.2"/>
    <row r="581" ht="12.75" x14ac:dyDescent="0.2"/>
    <row r="582" ht="12.75" x14ac:dyDescent="0.2"/>
    <row r="583" ht="12.75" x14ac:dyDescent="0.2"/>
    <row r="584" ht="12.75" x14ac:dyDescent="0.2"/>
    <row r="585" ht="12.75" x14ac:dyDescent="0.2"/>
    <row r="586" ht="12.75" x14ac:dyDescent="0.2"/>
    <row r="587" ht="12.75" x14ac:dyDescent="0.2"/>
    <row r="588" ht="12.75" x14ac:dyDescent="0.2"/>
    <row r="589" ht="12.75" x14ac:dyDescent="0.2"/>
    <row r="590" ht="12.75" x14ac:dyDescent="0.2"/>
    <row r="591" ht="12.75" x14ac:dyDescent="0.2"/>
    <row r="592" ht="12.75" x14ac:dyDescent="0.2"/>
    <row r="593" ht="12.75" x14ac:dyDescent="0.2"/>
    <row r="594" ht="12.75" x14ac:dyDescent="0.2"/>
    <row r="595" ht="12.75" x14ac:dyDescent="0.2"/>
    <row r="596" ht="12.75" x14ac:dyDescent="0.2"/>
    <row r="597" ht="12.75" x14ac:dyDescent="0.2"/>
    <row r="598" ht="12.75" x14ac:dyDescent="0.2"/>
    <row r="599" ht="12.75" x14ac:dyDescent="0.2"/>
    <row r="600" ht="12.75" x14ac:dyDescent="0.2"/>
    <row r="601" ht="12.75" x14ac:dyDescent="0.2"/>
    <row r="602" ht="12.75" x14ac:dyDescent="0.2"/>
    <row r="603" ht="12.75" x14ac:dyDescent="0.2"/>
    <row r="604" ht="12.75" x14ac:dyDescent="0.2"/>
    <row r="605" ht="12.75" x14ac:dyDescent="0.2"/>
    <row r="606" ht="12.75" x14ac:dyDescent="0.2"/>
    <row r="607" ht="12.75" x14ac:dyDescent="0.2"/>
    <row r="608" ht="12.75" x14ac:dyDescent="0.2"/>
    <row r="609" ht="12.75" x14ac:dyDescent="0.2"/>
    <row r="610" ht="12.75" x14ac:dyDescent="0.2"/>
    <row r="611" ht="12.75" x14ac:dyDescent="0.2"/>
    <row r="612" ht="12.75" x14ac:dyDescent="0.2"/>
    <row r="613" ht="12.75" x14ac:dyDescent="0.2"/>
    <row r="614" ht="12.75" x14ac:dyDescent="0.2"/>
    <row r="615" ht="12.75" x14ac:dyDescent="0.2"/>
    <row r="616" ht="12.75" x14ac:dyDescent="0.2"/>
    <row r="617" ht="12.75" x14ac:dyDescent="0.2"/>
    <row r="618" ht="12.75" x14ac:dyDescent="0.2"/>
    <row r="619" ht="12.75" x14ac:dyDescent="0.2"/>
    <row r="620" ht="12.75" x14ac:dyDescent="0.2"/>
    <row r="621" ht="12.75" x14ac:dyDescent="0.2"/>
    <row r="622" ht="12.75" x14ac:dyDescent="0.2"/>
    <row r="623" ht="12.75" x14ac:dyDescent="0.2"/>
    <row r="624" ht="12.75" x14ac:dyDescent="0.2"/>
    <row r="625" ht="12.75" x14ac:dyDescent="0.2"/>
    <row r="626" ht="12.75" x14ac:dyDescent="0.2"/>
    <row r="627" ht="12.75" x14ac:dyDescent="0.2"/>
    <row r="628" ht="12.75" x14ac:dyDescent="0.2"/>
    <row r="629" ht="12.75" x14ac:dyDescent="0.2"/>
    <row r="630" ht="12.75" x14ac:dyDescent="0.2"/>
    <row r="631" ht="12.75" x14ac:dyDescent="0.2"/>
    <row r="632" ht="12.75" x14ac:dyDescent="0.2"/>
    <row r="633" ht="12.75" x14ac:dyDescent="0.2"/>
    <row r="634" ht="12.75" x14ac:dyDescent="0.2"/>
    <row r="635" ht="12.75" x14ac:dyDescent="0.2"/>
    <row r="636" ht="12.75" x14ac:dyDescent="0.2"/>
    <row r="637" ht="12.75" x14ac:dyDescent="0.2"/>
    <row r="638" ht="12.75" x14ac:dyDescent="0.2"/>
    <row r="639" ht="12.75" x14ac:dyDescent="0.2"/>
    <row r="640" ht="12.75" x14ac:dyDescent="0.2"/>
    <row r="641" ht="12.75" x14ac:dyDescent="0.2"/>
    <row r="642" ht="12.75" x14ac:dyDescent="0.2"/>
    <row r="643" ht="12.75" x14ac:dyDescent="0.2"/>
    <row r="644" ht="12.75" x14ac:dyDescent="0.2"/>
    <row r="645" ht="12.75" x14ac:dyDescent="0.2"/>
    <row r="646" ht="12.75" x14ac:dyDescent="0.2"/>
    <row r="647" ht="12.75" x14ac:dyDescent="0.2"/>
    <row r="648" ht="12.75" x14ac:dyDescent="0.2"/>
    <row r="649" ht="12.75" x14ac:dyDescent="0.2"/>
    <row r="650" ht="12.75" x14ac:dyDescent="0.2"/>
    <row r="651" ht="12.75" x14ac:dyDescent="0.2"/>
    <row r="652" ht="12.75" x14ac:dyDescent="0.2"/>
    <row r="653" ht="12.75" x14ac:dyDescent="0.2"/>
    <row r="654" ht="12.75" x14ac:dyDescent="0.2"/>
    <row r="655" ht="12.75" x14ac:dyDescent="0.2"/>
    <row r="656" ht="12.75" x14ac:dyDescent="0.2"/>
    <row r="657" ht="12.75" x14ac:dyDescent="0.2"/>
    <row r="658" ht="12.75" x14ac:dyDescent="0.2"/>
    <row r="659" ht="12.75" x14ac:dyDescent="0.2"/>
    <row r="660" ht="12.75" x14ac:dyDescent="0.2"/>
    <row r="661" ht="12.75" x14ac:dyDescent="0.2"/>
    <row r="662" ht="12.75" x14ac:dyDescent="0.2"/>
    <row r="663" ht="12.75" x14ac:dyDescent="0.2"/>
    <row r="664" ht="12.75" x14ac:dyDescent="0.2"/>
    <row r="665" ht="12.75" x14ac:dyDescent="0.2"/>
    <row r="666" ht="12.75" x14ac:dyDescent="0.2"/>
    <row r="667" ht="12.75" x14ac:dyDescent="0.2"/>
    <row r="668" ht="12.75" x14ac:dyDescent="0.2"/>
    <row r="669" ht="12.75" x14ac:dyDescent="0.2"/>
    <row r="670" ht="12.75" x14ac:dyDescent="0.2"/>
    <row r="671" ht="12.75" x14ac:dyDescent="0.2"/>
    <row r="672" ht="12.75" x14ac:dyDescent="0.2"/>
    <row r="673" ht="12.75" x14ac:dyDescent="0.2"/>
    <row r="674" ht="12.75" x14ac:dyDescent="0.2"/>
    <row r="675" ht="12.75" x14ac:dyDescent="0.2"/>
    <row r="676" ht="12.75" x14ac:dyDescent="0.2"/>
    <row r="677" ht="12.75" x14ac:dyDescent="0.2"/>
    <row r="678" ht="12.75" x14ac:dyDescent="0.2"/>
    <row r="679" ht="12.75" x14ac:dyDescent="0.2"/>
    <row r="680" ht="12.75" x14ac:dyDescent="0.2"/>
    <row r="681" ht="12.75" x14ac:dyDescent="0.2"/>
    <row r="682" ht="12.75" x14ac:dyDescent="0.2"/>
    <row r="683" ht="12.75" x14ac:dyDescent="0.2"/>
    <row r="684" ht="12.75" x14ac:dyDescent="0.2"/>
    <row r="685" ht="12.75" x14ac:dyDescent="0.2"/>
    <row r="686" ht="12.75" x14ac:dyDescent="0.2"/>
    <row r="687" ht="12.75" x14ac:dyDescent="0.2"/>
    <row r="688" ht="12.75" x14ac:dyDescent="0.2"/>
    <row r="689" ht="12.75" x14ac:dyDescent="0.2"/>
    <row r="690" ht="12.75" x14ac:dyDescent="0.2"/>
    <row r="691" ht="12.75" x14ac:dyDescent="0.2"/>
    <row r="692" ht="12.75" x14ac:dyDescent="0.2"/>
    <row r="693" ht="12.75" x14ac:dyDescent="0.2"/>
    <row r="694" ht="12.75" x14ac:dyDescent="0.2"/>
    <row r="695" ht="12.75" x14ac:dyDescent="0.2"/>
    <row r="696" ht="12.75" x14ac:dyDescent="0.2"/>
    <row r="697" ht="12.75" x14ac:dyDescent="0.2"/>
    <row r="698" ht="12.75" x14ac:dyDescent="0.2"/>
    <row r="699" ht="12.75" x14ac:dyDescent="0.2"/>
    <row r="700" ht="12.75" x14ac:dyDescent="0.2"/>
    <row r="701" ht="12.75" x14ac:dyDescent="0.2"/>
    <row r="702" ht="12.75" x14ac:dyDescent="0.2"/>
    <row r="703" ht="12.75" x14ac:dyDescent="0.2"/>
    <row r="704" ht="12.75" x14ac:dyDescent="0.2"/>
    <row r="705" ht="12.75" x14ac:dyDescent="0.2"/>
    <row r="706" ht="12.75" x14ac:dyDescent="0.2"/>
    <row r="707" ht="12.75" x14ac:dyDescent="0.2"/>
    <row r="708" ht="12.75" x14ac:dyDescent="0.2"/>
    <row r="709" ht="12.75" x14ac:dyDescent="0.2"/>
    <row r="710" ht="12.75" x14ac:dyDescent="0.2"/>
    <row r="711" ht="12.75" x14ac:dyDescent="0.2"/>
    <row r="712" ht="12.75" x14ac:dyDescent="0.2"/>
    <row r="713" ht="12.75" x14ac:dyDescent="0.2"/>
    <row r="714" ht="12.75" x14ac:dyDescent="0.2"/>
    <row r="715" ht="12.75" x14ac:dyDescent="0.2"/>
    <row r="716" ht="12.75" x14ac:dyDescent="0.2"/>
    <row r="717" ht="12.75" x14ac:dyDescent="0.2"/>
    <row r="718" ht="12.75" x14ac:dyDescent="0.2"/>
    <row r="719" ht="12.75" x14ac:dyDescent="0.2"/>
    <row r="720" ht="12.75" x14ac:dyDescent="0.2"/>
    <row r="721" ht="12.75" x14ac:dyDescent="0.2"/>
    <row r="722" ht="12.75" x14ac:dyDescent="0.2"/>
    <row r="723" ht="12.75" x14ac:dyDescent="0.2"/>
    <row r="724" ht="12.75" x14ac:dyDescent="0.2"/>
    <row r="725" ht="12.75" x14ac:dyDescent="0.2"/>
    <row r="726" ht="12.75" x14ac:dyDescent="0.2"/>
    <row r="727" ht="12.75" x14ac:dyDescent="0.2"/>
    <row r="728" ht="12.75" x14ac:dyDescent="0.2"/>
    <row r="729" ht="12.75" x14ac:dyDescent="0.2"/>
    <row r="730" ht="12.75" x14ac:dyDescent="0.2"/>
    <row r="731" ht="12.75" x14ac:dyDescent="0.2"/>
    <row r="732" ht="12.75" x14ac:dyDescent="0.2"/>
    <row r="733" ht="12.75" x14ac:dyDescent="0.2"/>
    <row r="734" ht="12.75" x14ac:dyDescent="0.2"/>
    <row r="735" ht="12.75" x14ac:dyDescent="0.2"/>
    <row r="736" ht="12.75" x14ac:dyDescent="0.2"/>
    <row r="737" ht="12.75" x14ac:dyDescent="0.2"/>
    <row r="738" ht="12.75" x14ac:dyDescent="0.2"/>
    <row r="739" ht="12.75" x14ac:dyDescent="0.2"/>
    <row r="740" ht="12.75" x14ac:dyDescent="0.2"/>
    <row r="741" ht="12.75" x14ac:dyDescent="0.2"/>
    <row r="742" ht="12.75" x14ac:dyDescent="0.2"/>
    <row r="743" ht="12.75" x14ac:dyDescent="0.2"/>
    <row r="744" ht="12.75" x14ac:dyDescent="0.2"/>
    <row r="745" ht="12.75" x14ac:dyDescent="0.2"/>
    <row r="746" ht="12.75" x14ac:dyDescent="0.2"/>
    <row r="747" ht="12.75" x14ac:dyDescent="0.2"/>
    <row r="748" ht="12.75" x14ac:dyDescent="0.2"/>
    <row r="749" ht="12.75" x14ac:dyDescent="0.2"/>
    <row r="750" ht="12.75" x14ac:dyDescent="0.2"/>
    <row r="751" ht="12.75" x14ac:dyDescent="0.2"/>
    <row r="752" ht="12.75" x14ac:dyDescent="0.2"/>
    <row r="753" ht="12.75" x14ac:dyDescent="0.2"/>
    <row r="754" ht="12.75" x14ac:dyDescent="0.2"/>
    <row r="755" ht="12.75" x14ac:dyDescent="0.2"/>
    <row r="756" ht="12.75" x14ac:dyDescent="0.2"/>
    <row r="757" ht="12.75" x14ac:dyDescent="0.2"/>
    <row r="758" ht="12.75" x14ac:dyDescent="0.2"/>
    <row r="759" ht="12.75" x14ac:dyDescent="0.2"/>
    <row r="760" ht="12.75" x14ac:dyDescent="0.2"/>
    <row r="761" ht="12.75" x14ac:dyDescent="0.2"/>
    <row r="762" ht="12.75" x14ac:dyDescent="0.2"/>
    <row r="763" ht="12.75" x14ac:dyDescent="0.2"/>
    <row r="764" ht="12.75" x14ac:dyDescent="0.2"/>
    <row r="765" ht="12.75" x14ac:dyDescent="0.2"/>
    <row r="766" ht="12.75" x14ac:dyDescent="0.2"/>
    <row r="767" ht="12.75" x14ac:dyDescent="0.2"/>
    <row r="768" ht="12.75" x14ac:dyDescent="0.2"/>
    <row r="769" ht="12.75" x14ac:dyDescent="0.2"/>
    <row r="770" ht="12.75" x14ac:dyDescent="0.2"/>
    <row r="771" ht="12.75" x14ac:dyDescent="0.2"/>
    <row r="772" ht="12.75" x14ac:dyDescent="0.2"/>
    <row r="773" ht="12.75" x14ac:dyDescent="0.2"/>
    <row r="774" ht="12.75" x14ac:dyDescent="0.2"/>
    <row r="775" ht="12.75" x14ac:dyDescent="0.2"/>
    <row r="776" ht="12.75" x14ac:dyDescent="0.2"/>
    <row r="777" ht="12.75" x14ac:dyDescent="0.2"/>
    <row r="778" ht="12.75" x14ac:dyDescent="0.2"/>
    <row r="779" ht="12.75" x14ac:dyDescent="0.2"/>
    <row r="780" ht="12.75" x14ac:dyDescent="0.2"/>
    <row r="781" ht="12.75" x14ac:dyDescent="0.2"/>
    <row r="782" ht="12.75" x14ac:dyDescent="0.2"/>
    <row r="783" ht="12.75" x14ac:dyDescent="0.2"/>
    <row r="784" ht="12.75" x14ac:dyDescent="0.2"/>
    <row r="785" ht="12.75" x14ac:dyDescent="0.2"/>
    <row r="786" ht="12.75" x14ac:dyDescent="0.2"/>
    <row r="787" ht="12.75" x14ac:dyDescent="0.2"/>
    <row r="788" ht="12.75" x14ac:dyDescent="0.2"/>
    <row r="789" ht="12.75" x14ac:dyDescent="0.2"/>
    <row r="790" ht="12.75" x14ac:dyDescent="0.2"/>
    <row r="791" ht="12.75" x14ac:dyDescent="0.2"/>
    <row r="792" ht="12.75" x14ac:dyDescent="0.2"/>
    <row r="793" ht="12.75" x14ac:dyDescent="0.2"/>
    <row r="794" ht="12.75" x14ac:dyDescent="0.2"/>
    <row r="795" ht="12.75" x14ac:dyDescent="0.2"/>
    <row r="796" ht="12.75" x14ac:dyDescent="0.2"/>
    <row r="797" ht="12.75" x14ac:dyDescent="0.2"/>
    <row r="798" ht="12.75" x14ac:dyDescent="0.2"/>
    <row r="799" ht="12.75" x14ac:dyDescent="0.2"/>
    <row r="800" ht="12.75" x14ac:dyDescent="0.2"/>
    <row r="801" ht="12.75" x14ac:dyDescent="0.2"/>
    <row r="802" ht="12.75" x14ac:dyDescent="0.2"/>
    <row r="803" ht="12.75" x14ac:dyDescent="0.2"/>
    <row r="804" ht="12.75" x14ac:dyDescent="0.2"/>
    <row r="805" ht="12.75" x14ac:dyDescent="0.2"/>
    <row r="806" ht="12.75" x14ac:dyDescent="0.2"/>
    <row r="807" ht="12.75" x14ac:dyDescent="0.2"/>
    <row r="808" ht="12.75" x14ac:dyDescent="0.2"/>
    <row r="809" ht="12.75" x14ac:dyDescent="0.2"/>
    <row r="810" ht="12.75" x14ac:dyDescent="0.2"/>
    <row r="811" ht="12.75" x14ac:dyDescent="0.2"/>
    <row r="812" ht="12.75" x14ac:dyDescent="0.2"/>
    <row r="813" ht="12.75" x14ac:dyDescent="0.2"/>
    <row r="814" ht="12.75" x14ac:dyDescent="0.2"/>
    <row r="815" ht="12.75" x14ac:dyDescent="0.2"/>
    <row r="816" ht="12.75" x14ac:dyDescent="0.2"/>
    <row r="817" ht="12.75" x14ac:dyDescent="0.2"/>
    <row r="818" ht="12.75" x14ac:dyDescent="0.2"/>
    <row r="819" ht="12.75" x14ac:dyDescent="0.2"/>
    <row r="820" ht="12.75" x14ac:dyDescent="0.2"/>
    <row r="821" ht="12.75" x14ac:dyDescent="0.2"/>
    <row r="822" ht="12.75" x14ac:dyDescent="0.2"/>
    <row r="823" ht="12.75" x14ac:dyDescent="0.2"/>
    <row r="824" ht="12.75" x14ac:dyDescent="0.2"/>
    <row r="825" ht="12.75" x14ac:dyDescent="0.2"/>
    <row r="826" ht="12.75" x14ac:dyDescent="0.2"/>
    <row r="827" ht="12.75" x14ac:dyDescent="0.2"/>
    <row r="828" ht="12.75" x14ac:dyDescent="0.2"/>
    <row r="829" ht="12.75" x14ac:dyDescent="0.2"/>
    <row r="830" ht="12.75" x14ac:dyDescent="0.2"/>
    <row r="831" ht="12.75" x14ac:dyDescent="0.2"/>
    <row r="832" ht="12.75" x14ac:dyDescent="0.2"/>
    <row r="833" ht="12.75" x14ac:dyDescent="0.2"/>
    <row r="834" ht="12.75" x14ac:dyDescent="0.2"/>
    <row r="835" ht="12.75" x14ac:dyDescent="0.2"/>
    <row r="836" ht="12.75" x14ac:dyDescent="0.2"/>
    <row r="837" ht="12.75" x14ac:dyDescent="0.2"/>
    <row r="838" ht="12.75" x14ac:dyDescent="0.2"/>
    <row r="839" ht="12.75" x14ac:dyDescent="0.2"/>
    <row r="840" ht="12.75" x14ac:dyDescent="0.2"/>
    <row r="841" ht="12.75" x14ac:dyDescent="0.2"/>
    <row r="842" ht="12.75" x14ac:dyDescent="0.2"/>
    <row r="843" ht="12.75" x14ac:dyDescent="0.2"/>
    <row r="844" ht="12.75" x14ac:dyDescent="0.2"/>
    <row r="845" ht="12.75" x14ac:dyDescent="0.2"/>
    <row r="846" ht="12.75" x14ac:dyDescent="0.2"/>
    <row r="847" ht="12.75" x14ac:dyDescent="0.2"/>
    <row r="848" ht="12.75" x14ac:dyDescent="0.2"/>
    <row r="849" ht="12.75" x14ac:dyDescent="0.2"/>
    <row r="850" ht="12.75" x14ac:dyDescent="0.2"/>
    <row r="851" ht="12.75" x14ac:dyDescent="0.2"/>
    <row r="852" ht="12.75" x14ac:dyDescent="0.2"/>
    <row r="853" ht="12.75" x14ac:dyDescent="0.2"/>
    <row r="854" ht="12.75" x14ac:dyDescent="0.2"/>
    <row r="855" ht="12.75" x14ac:dyDescent="0.2"/>
    <row r="856" ht="12.75" x14ac:dyDescent="0.2"/>
    <row r="857" ht="12.75" x14ac:dyDescent="0.2"/>
    <row r="858" ht="12.75" x14ac:dyDescent="0.2"/>
    <row r="859" ht="12.75" x14ac:dyDescent="0.2"/>
    <row r="860" ht="12.75" x14ac:dyDescent="0.2"/>
    <row r="861" ht="12.75" x14ac:dyDescent="0.2"/>
    <row r="862" ht="12.75" x14ac:dyDescent="0.2"/>
    <row r="863" ht="12.75" x14ac:dyDescent="0.2"/>
    <row r="864" ht="12.75" x14ac:dyDescent="0.2"/>
    <row r="865" ht="12.75" x14ac:dyDescent="0.2"/>
    <row r="866" ht="12.75" x14ac:dyDescent="0.2"/>
    <row r="867" ht="12.75" x14ac:dyDescent="0.2"/>
    <row r="868" ht="12.75" x14ac:dyDescent="0.2"/>
    <row r="869" ht="12.75" x14ac:dyDescent="0.2"/>
    <row r="870" ht="12.75" x14ac:dyDescent="0.2"/>
    <row r="871" ht="12.75" x14ac:dyDescent="0.2"/>
    <row r="872" ht="12.75" x14ac:dyDescent="0.2"/>
    <row r="873" ht="12.75" x14ac:dyDescent="0.2"/>
    <row r="874" ht="12.75" x14ac:dyDescent="0.2"/>
    <row r="875" ht="12.75" x14ac:dyDescent="0.2"/>
    <row r="876" ht="12.75" x14ac:dyDescent="0.2"/>
    <row r="877" ht="12.75" x14ac:dyDescent="0.2"/>
    <row r="878" ht="12.75" x14ac:dyDescent="0.2"/>
    <row r="879" ht="12.75" x14ac:dyDescent="0.2"/>
    <row r="880" ht="12.75" x14ac:dyDescent="0.2"/>
    <row r="881" ht="12.75" x14ac:dyDescent="0.2"/>
    <row r="882" ht="12.75" x14ac:dyDescent="0.2"/>
    <row r="883" ht="12.75" x14ac:dyDescent="0.2"/>
    <row r="884" ht="12.75" x14ac:dyDescent="0.2"/>
    <row r="885" ht="12.75" x14ac:dyDescent="0.2"/>
    <row r="886" ht="12.75" x14ac:dyDescent="0.2"/>
    <row r="887" ht="12.75" x14ac:dyDescent="0.2"/>
    <row r="888" ht="12.75" x14ac:dyDescent="0.2"/>
    <row r="889" ht="12.75" x14ac:dyDescent="0.2"/>
    <row r="890" ht="12.75" x14ac:dyDescent="0.2"/>
    <row r="891" ht="12.75" x14ac:dyDescent="0.2"/>
    <row r="892" ht="12.75" x14ac:dyDescent="0.2"/>
    <row r="893" ht="12.75" x14ac:dyDescent="0.2"/>
    <row r="894" ht="12.75" x14ac:dyDescent="0.2"/>
    <row r="895" ht="12.75" x14ac:dyDescent="0.2"/>
    <row r="896" ht="12.75" x14ac:dyDescent="0.2"/>
    <row r="897" ht="12.75" x14ac:dyDescent="0.2"/>
    <row r="898" ht="12.75" x14ac:dyDescent="0.2"/>
    <row r="899" ht="12.75" x14ac:dyDescent="0.2"/>
    <row r="900" ht="12.75" x14ac:dyDescent="0.2"/>
    <row r="901" ht="12.75" x14ac:dyDescent="0.2"/>
    <row r="902" ht="12.75" x14ac:dyDescent="0.2"/>
    <row r="903" ht="12.75" x14ac:dyDescent="0.2"/>
    <row r="904" ht="12.75" x14ac:dyDescent="0.2"/>
    <row r="905" ht="12.75" x14ac:dyDescent="0.2"/>
    <row r="906" ht="12.75" x14ac:dyDescent="0.2"/>
    <row r="907" ht="12.75" x14ac:dyDescent="0.2"/>
    <row r="908" ht="12.75" x14ac:dyDescent="0.2"/>
    <row r="909" ht="12.75" x14ac:dyDescent="0.2"/>
    <row r="910" ht="12.75" x14ac:dyDescent="0.2"/>
    <row r="911" ht="12.75" x14ac:dyDescent="0.2"/>
    <row r="912" ht="12.75" x14ac:dyDescent="0.2"/>
    <row r="913" ht="12.75" x14ac:dyDescent="0.2"/>
    <row r="914" ht="12.75" x14ac:dyDescent="0.2"/>
    <row r="915" ht="12.75" x14ac:dyDescent="0.2"/>
    <row r="916" ht="12.75" x14ac:dyDescent="0.2"/>
    <row r="917" ht="12.75" x14ac:dyDescent="0.2"/>
    <row r="918" ht="12.75" x14ac:dyDescent="0.2"/>
    <row r="919" ht="12.75" x14ac:dyDescent="0.2"/>
    <row r="920" ht="12.75" x14ac:dyDescent="0.2"/>
    <row r="921" ht="12.75" x14ac:dyDescent="0.2"/>
    <row r="922" ht="12.75" x14ac:dyDescent="0.2"/>
    <row r="923" ht="12.75" x14ac:dyDescent="0.2"/>
    <row r="924" ht="12.75" x14ac:dyDescent="0.2"/>
    <row r="925" ht="12.75" x14ac:dyDescent="0.2"/>
    <row r="926" ht="12.75" x14ac:dyDescent="0.2"/>
    <row r="927" ht="12.75" x14ac:dyDescent="0.2"/>
    <row r="928" ht="12.75" x14ac:dyDescent="0.2"/>
    <row r="929" ht="12.75" x14ac:dyDescent="0.2"/>
    <row r="930" ht="12.75" x14ac:dyDescent="0.2"/>
    <row r="931" ht="12.75" x14ac:dyDescent="0.2"/>
    <row r="932" ht="12.75" x14ac:dyDescent="0.2"/>
    <row r="933" ht="12.75" x14ac:dyDescent="0.2"/>
    <row r="934" ht="12.75" x14ac:dyDescent="0.2"/>
    <row r="935" ht="12.75" x14ac:dyDescent="0.2"/>
    <row r="936" ht="12.75" x14ac:dyDescent="0.2"/>
    <row r="937" ht="12.75" x14ac:dyDescent="0.2"/>
    <row r="938" ht="12.75" x14ac:dyDescent="0.2"/>
    <row r="939" ht="12.75" x14ac:dyDescent="0.2"/>
    <row r="940" ht="12.75" x14ac:dyDescent="0.2"/>
    <row r="941" ht="12.75" x14ac:dyDescent="0.2"/>
    <row r="942" ht="12.75" x14ac:dyDescent="0.2"/>
    <row r="943" ht="12.75" x14ac:dyDescent="0.2"/>
    <row r="944" ht="12.75" x14ac:dyDescent="0.2"/>
    <row r="945" ht="12.75" x14ac:dyDescent="0.2"/>
    <row r="946" ht="12.75" x14ac:dyDescent="0.2"/>
    <row r="947" ht="12.75" x14ac:dyDescent="0.2"/>
    <row r="948" ht="12.75" x14ac:dyDescent="0.2"/>
    <row r="949" ht="12.75" x14ac:dyDescent="0.2"/>
    <row r="950" ht="12.75" x14ac:dyDescent="0.2"/>
    <row r="951" ht="12.75" x14ac:dyDescent="0.2"/>
    <row r="952" ht="12.75" x14ac:dyDescent="0.2"/>
    <row r="953" ht="12.75" x14ac:dyDescent="0.2"/>
    <row r="954" ht="12.75" x14ac:dyDescent="0.2"/>
    <row r="955" ht="12.75" x14ac:dyDescent="0.2"/>
    <row r="956" ht="12.75" x14ac:dyDescent="0.2"/>
    <row r="957" ht="12.75" x14ac:dyDescent="0.2"/>
    <row r="958" ht="12.75" x14ac:dyDescent="0.2"/>
    <row r="959" ht="12.75" x14ac:dyDescent="0.2"/>
    <row r="960" ht="12.75" x14ac:dyDescent="0.2"/>
    <row r="961" ht="12.75" x14ac:dyDescent="0.2"/>
    <row r="962" ht="12.75" x14ac:dyDescent="0.2"/>
    <row r="963" ht="12.75" x14ac:dyDescent="0.2"/>
    <row r="964" ht="12.75" x14ac:dyDescent="0.2"/>
    <row r="965" ht="12.75" x14ac:dyDescent="0.2"/>
    <row r="966" ht="12.75" x14ac:dyDescent="0.2"/>
    <row r="967" ht="12.75" x14ac:dyDescent="0.2"/>
    <row r="968" ht="12.75" x14ac:dyDescent="0.2"/>
    <row r="969" ht="12.75" x14ac:dyDescent="0.2"/>
    <row r="970" ht="12.75" x14ac:dyDescent="0.2"/>
    <row r="971" ht="12.75" x14ac:dyDescent="0.2"/>
    <row r="972" ht="12.75" x14ac:dyDescent="0.2"/>
    <row r="973" ht="12.75" x14ac:dyDescent="0.2"/>
    <row r="974" ht="12.75" x14ac:dyDescent="0.2"/>
    <row r="975" ht="12.75" x14ac:dyDescent="0.2"/>
    <row r="976" ht="12.75" x14ac:dyDescent="0.2"/>
    <row r="977" ht="12.75" x14ac:dyDescent="0.2"/>
    <row r="978" ht="12.75" x14ac:dyDescent="0.2"/>
    <row r="979" ht="12.75" x14ac:dyDescent="0.2"/>
    <row r="980" ht="12.75" x14ac:dyDescent="0.2"/>
    <row r="981" ht="12.75" x14ac:dyDescent="0.2"/>
    <row r="982" ht="12.75" x14ac:dyDescent="0.2"/>
    <row r="983" ht="12.75" x14ac:dyDescent="0.2"/>
    <row r="984" ht="12.75" x14ac:dyDescent="0.2"/>
    <row r="985" ht="12.75" x14ac:dyDescent="0.2"/>
    <row r="986" ht="12.75" x14ac:dyDescent="0.2"/>
    <row r="987" ht="12.75" x14ac:dyDescent="0.2"/>
    <row r="988" ht="12.75" x14ac:dyDescent="0.2"/>
    <row r="989" ht="12.75" x14ac:dyDescent="0.2"/>
    <row r="990" ht="12.75" x14ac:dyDescent="0.2"/>
    <row r="991" ht="12.75" x14ac:dyDescent="0.2"/>
    <row r="992" ht="12.75" x14ac:dyDescent="0.2"/>
    <row r="993" ht="12.75" x14ac:dyDescent="0.2"/>
    <row r="994" ht="12.75" x14ac:dyDescent="0.2"/>
    <row r="995" ht="12.75" x14ac:dyDescent="0.2"/>
    <row r="996" ht="12.75" x14ac:dyDescent="0.2"/>
    <row r="997" ht="12.75" x14ac:dyDescent="0.2"/>
    <row r="998" ht="12.75" x14ac:dyDescent="0.2"/>
    <row r="999" ht="12.75" x14ac:dyDescent="0.2"/>
    <row r="1000" ht="12.75" x14ac:dyDescent="0.2"/>
    <row r="1001" ht="12.75" x14ac:dyDescent="0.2"/>
    <row r="1002" ht="12.75" x14ac:dyDescent="0.2"/>
    <row r="1003" ht="12.75" x14ac:dyDescent="0.2"/>
    <row r="1004" ht="12.75" x14ac:dyDescent="0.2"/>
    <row r="1005" ht="12.75" x14ac:dyDescent="0.2"/>
    <row r="1006" ht="12.75" x14ac:dyDescent="0.2"/>
    <row r="1007" ht="12.75" x14ac:dyDescent="0.2"/>
    <row r="1008" ht="12.75" x14ac:dyDescent="0.2"/>
    <row r="1009" ht="12.75" x14ac:dyDescent="0.2"/>
    <row r="1010" ht="12.75" x14ac:dyDescent="0.2"/>
    <row r="1011" ht="12.75" x14ac:dyDescent="0.2"/>
    <row r="1012" ht="12.75" x14ac:dyDescent="0.2"/>
    <row r="1013" ht="12.75" x14ac:dyDescent="0.2"/>
    <row r="1014" ht="12.75" x14ac:dyDescent="0.2"/>
    <row r="1015" ht="12.75" x14ac:dyDescent="0.2"/>
    <row r="1016" ht="12.75" x14ac:dyDescent="0.2"/>
    <row r="1017" ht="12.75" x14ac:dyDescent="0.2"/>
    <row r="1018" ht="12.75" x14ac:dyDescent="0.2"/>
    <row r="1019" ht="12.75" x14ac:dyDescent="0.2"/>
    <row r="1020" ht="12.75" x14ac:dyDescent="0.2"/>
    <row r="1021" ht="12.75" x14ac:dyDescent="0.2"/>
    <row r="1022" ht="12.75" x14ac:dyDescent="0.2"/>
    <row r="1023" ht="12.75" x14ac:dyDescent="0.2"/>
    <row r="1024" ht="12.75" x14ac:dyDescent="0.2"/>
    <row r="1025" ht="12.75" x14ac:dyDescent="0.2"/>
    <row r="1026" ht="12.75" x14ac:dyDescent="0.2"/>
    <row r="1027" ht="12.75" x14ac:dyDescent="0.2"/>
    <row r="1028" ht="12.75" x14ac:dyDescent="0.2"/>
    <row r="1029" ht="12.75" x14ac:dyDescent="0.2"/>
    <row r="1030" ht="12.75" x14ac:dyDescent="0.2"/>
    <row r="1031" ht="12.75" x14ac:dyDescent="0.2"/>
    <row r="1032" ht="12.75" x14ac:dyDescent="0.2"/>
    <row r="1033" ht="12.75" x14ac:dyDescent="0.2"/>
    <row r="1034" ht="12.75" x14ac:dyDescent="0.2"/>
    <row r="1035" ht="12.75" x14ac:dyDescent="0.2"/>
    <row r="1036" ht="12.75" x14ac:dyDescent="0.2"/>
    <row r="1037" ht="12.75" x14ac:dyDescent="0.2"/>
    <row r="1038" ht="12.75" x14ac:dyDescent="0.2"/>
    <row r="1039" ht="12.75" x14ac:dyDescent="0.2"/>
    <row r="1040" ht="12.75" x14ac:dyDescent="0.2"/>
    <row r="1041" ht="12.75" x14ac:dyDescent="0.2"/>
    <row r="1042" ht="12.75" x14ac:dyDescent="0.2"/>
    <row r="1043" ht="12.75" x14ac:dyDescent="0.2"/>
    <row r="1044" ht="12.75" x14ac:dyDescent="0.2"/>
    <row r="1045" ht="12.75" x14ac:dyDescent="0.2"/>
    <row r="1046" ht="12.75" x14ac:dyDescent="0.2"/>
    <row r="1047" ht="12.75" x14ac:dyDescent="0.2"/>
    <row r="1048" ht="12.75" x14ac:dyDescent="0.2"/>
    <row r="1049" ht="12.75" x14ac:dyDescent="0.2"/>
    <row r="1050" ht="12.75" x14ac:dyDescent="0.2"/>
    <row r="1051" ht="12.75" x14ac:dyDescent="0.2"/>
    <row r="1052" ht="12.75" x14ac:dyDescent="0.2"/>
    <row r="1053" ht="12.75" x14ac:dyDescent="0.2"/>
    <row r="1054" ht="12.75" x14ac:dyDescent="0.2"/>
    <row r="1055" ht="12.75" x14ac:dyDescent="0.2"/>
    <row r="1056" ht="12.75" x14ac:dyDescent="0.2"/>
    <row r="1057" ht="12.75" x14ac:dyDescent="0.2"/>
    <row r="1058" ht="12.75" x14ac:dyDescent="0.2"/>
    <row r="1059" ht="12.75" x14ac:dyDescent="0.2"/>
    <row r="1060" ht="12.75" x14ac:dyDescent="0.2"/>
    <row r="1061" ht="12.75" x14ac:dyDescent="0.2"/>
    <row r="1062" ht="12.75" x14ac:dyDescent="0.2"/>
    <row r="1063" ht="12.75" x14ac:dyDescent="0.2"/>
    <row r="1064" ht="12.75" x14ac:dyDescent="0.2"/>
    <row r="1065" ht="12.75" x14ac:dyDescent="0.2"/>
    <row r="1066" ht="12.75" x14ac:dyDescent="0.2"/>
    <row r="1067" ht="12.75" x14ac:dyDescent="0.2"/>
    <row r="1068" ht="12.75" x14ac:dyDescent="0.2"/>
    <row r="1069" ht="12.75" x14ac:dyDescent="0.2"/>
    <row r="1070" ht="12.75" x14ac:dyDescent="0.2"/>
    <row r="1071" ht="12.75" x14ac:dyDescent="0.2"/>
    <row r="1072" ht="12.75" x14ac:dyDescent="0.2"/>
    <row r="1073" ht="12.75" x14ac:dyDescent="0.2"/>
    <row r="1074" ht="12.75" x14ac:dyDescent="0.2"/>
    <row r="1075" ht="12.75" x14ac:dyDescent="0.2"/>
    <row r="1076" ht="12.75" x14ac:dyDescent="0.2"/>
    <row r="1077" ht="12.75" x14ac:dyDescent="0.2"/>
    <row r="1078" ht="12.75" x14ac:dyDescent="0.2"/>
    <row r="1079" ht="12.75" x14ac:dyDescent="0.2"/>
    <row r="1080" ht="12.75" x14ac:dyDescent="0.2"/>
    <row r="1081" ht="12.75" x14ac:dyDescent="0.2"/>
    <row r="1082" ht="12.75" x14ac:dyDescent="0.2"/>
    <row r="1083" ht="12.75" x14ac:dyDescent="0.2"/>
    <row r="1084" ht="12.75" x14ac:dyDescent="0.2"/>
    <row r="1085" ht="12.75" x14ac:dyDescent="0.2"/>
    <row r="1086" ht="12.75" x14ac:dyDescent="0.2"/>
    <row r="1087" ht="12.75" x14ac:dyDescent="0.2"/>
    <row r="1088" ht="12.75" x14ac:dyDescent="0.2"/>
    <row r="1089" ht="12.75" x14ac:dyDescent="0.2"/>
    <row r="1090" ht="12.75" x14ac:dyDescent="0.2"/>
    <row r="1091" ht="12.75" x14ac:dyDescent="0.2"/>
    <row r="1092" ht="12.75" x14ac:dyDescent="0.2"/>
    <row r="1093" ht="12.75" x14ac:dyDescent="0.2"/>
    <row r="1094" ht="12.75" x14ac:dyDescent="0.2"/>
    <row r="1095" ht="12.75" x14ac:dyDescent="0.2"/>
    <row r="1096" ht="12.75" x14ac:dyDescent="0.2"/>
    <row r="1097" ht="12.75" x14ac:dyDescent="0.2"/>
    <row r="1098" ht="12.75" x14ac:dyDescent="0.2"/>
    <row r="1099" ht="12.75" x14ac:dyDescent="0.2"/>
    <row r="1100" ht="12.75" x14ac:dyDescent="0.2"/>
    <row r="1101" ht="12.75" x14ac:dyDescent="0.2"/>
    <row r="1102" ht="12.75" x14ac:dyDescent="0.2"/>
    <row r="1103" ht="12.75" x14ac:dyDescent="0.2"/>
    <row r="1104" ht="12.75" x14ac:dyDescent="0.2"/>
    <row r="1105" ht="12.75" x14ac:dyDescent="0.2"/>
    <row r="1106" ht="12.75" x14ac:dyDescent="0.2"/>
    <row r="1107" ht="12.75" x14ac:dyDescent="0.2"/>
    <row r="1108" ht="12.75" x14ac:dyDescent="0.2"/>
    <row r="1109" ht="12.75" x14ac:dyDescent="0.2"/>
    <row r="1110" ht="12.75" x14ac:dyDescent="0.2"/>
    <row r="1111" ht="12.75" x14ac:dyDescent="0.2"/>
    <row r="1112" ht="12.75" x14ac:dyDescent="0.2"/>
    <row r="1113" ht="12.75" x14ac:dyDescent="0.2"/>
    <row r="1114" ht="12.75" x14ac:dyDescent="0.2"/>
    <row r="1115" ht="12.75" x14ac:dyDescent="0.2"/>
    <row r="1116" ht="12.75" x14ac:dyDescent="0.2"/>
    <row r="1117" ht="12.75" x14ac:dyDescent="0.2"/>
    <row r="1118" ht="12.75" x14ac:dyDescent="0.2"/>
    <row r="1119" ht="12.75" x14ac:dyDescent="0.2"/>
    <row r="1120" ht="12.75" x14ac:dyDescent="0.2"/>
    <row r="1121" ht="12.75" x14ac:dyDescent="0.2"/>
    <row r="1122" ht="12.75" x14ac:dyDescent="0.2"/>
    <row r="1123" ht="12.75" x14ac:dyDescent="0.2"/>
    <row r="1124" ht="12.75" x14ac:dyDescent="0.2"/>
    <row r="1125" ht="12.75" x14ac:dyDescent="0.2"/>
    <row r="1126" ht="12.75" x14ac:dyDescent="0.2"/>
    <row r="1127" ht="12.75" x14ac:dyDescent="0.2"/>
    <row r="1128" ht="12.75" x14ac:dyDescent="0.2"/>
    <row r="1129" ht="12.75" x14ac:dyDescent="0.2"/>
    <row r="1130" ht="12.75" x14ac:dyDescent="0.2"/>
    <row r="1131" ht="12.75" x14ac:dyDescent="0.2"/>
    <row r="1132" ht="12.75" x14ac:dyDescent="0.2"/>
    <row r="1133" ht="12.75" x14ac:dyDescent="0.2"/>
    <row r="1134" ht="12.75" x14ac:dyDescent="0.2"/>
    <row r="1135" ht="12.75" x14ac:dyDescent="0.2"/>
    <row r="1136" ht="12.75" x14ac:dyDescent="0.2"/>
    <row r="1137" ht="12.75" x14ac:dyDescent="0.2"/>
    <row r="1138" ht="12.75" x14ac:dyDescent="0.2"/>
    <row r="1139" ht="12.75" x14ac:dyDescent="0.2"/>
    <row r="1140" ht="12.75" x14ac:dyDescent="0.2"/>
    <row r="1141" ht="12.75" x14ac:dyDescent="0.2"/>
    <row r="1142" ht="12.75" x14ac:dyDescent="0.2"/>
    <row r="1143" ht="12.75" x14ac:dyDescent="0.2"/>
    <row r="1144" ht="12.75" x14ac:dyDescent="0.2"/>
    <row r="1145" ht="12.75" x14ac:dyDescent="0.2"/>
    <row r="1146" ht="12.75" x14ac:dyDescent="0.2"/>
    <row r="1147" ht="12.75" x14ac:dyDescent="0.2"/>
    <row r="1148" ht="12.75" x14ac:dyDescent="0.2"/>
    <row r="1149" ht="12.75" x14ac:dyDescent="0.2"/>
    <row r="1150" ht="12.75" x14ac:dyDescent="0.2"/>
    <row r="1151" ht="12.75" x14ac:dyDescent="0.2"/>
    <row r="1152" ht="12.75" x14ac:dyDescent="0.2"/>
    <row r="1153" ht="12.75" x14ac:dyDescent="0.2"/>
    <row r="1154" ht="12.75" x14ac:dyDescent="0.2"/>
    <row r="1155" ht="12.75" x14ac:dyDescent="0.2"/>
    <row r="1156" ht="12.75" x14ac:dyDescent="0.2"/>
    <row r="1157" ht="12.75" x14ac:dyDescent="0.2"/>
    <row r="1158" ht="12.75" x14ac:dyDescent="0.2"/>
    <row r="1159" ht="12.75" x14ac:dyDescent="0.2"/>
    <row r="1160" ht="12.75" x14ac:dyDescent="0.2"/>
    <row r="1161" ht="12.75" x14ac:dyDescent="0.2"/>
    <row r="1162" ht="12.75" x14ac:dyDescent="0.2"/>
    <row r="1163" ht="12.75" x14ac:dyDescent="0.2"/>
    <row r="1164" ht="12.75" x14ac:dyDescent="0.2"/>
    <row r="1165" ht="12.75" x14ac:dyDescent="0.2"/>
    <row r="1166" ht="12.75" x14ac:dyDescent="0.2"/>
    <row r="1167" ht="12.75" x14ac:dyDescent="0.2"/>
    <row r="1168" ht="12.75" x14ac:dyDescent="0.2"/>
    <row r="1169" ht="12.75" x14ac:dyDescent="0.2"/>
    <row r="1170" ht="12.75" x14ac:dyDescent="0.2"/>
    <row r="1171" ht="12.75" x14ac:dyDescent="0.2"/>
    <row r="1172" ht="12.75" x14ac:dyDescent="0.2"/>
    <row r="1173" ht="12.75" x14ac:dyDescent="0.2"/>
    <row r="1174" ht="12.75" x14ac:dyDescent="0.2"/>
    <row r="1175" ht="12.75" x14ac:dyDescent="0.2"/>
    <row r="1176" ht="12.75" x14ac:dyDescent="0.2"/>
    <row r="1177" ht="12.75" x14ac:dyDescent="0.2"/>
    <row r="1178" ht="12.75" x14ac:dyDescent="0.2"/>
    <row r="1179" ht="12.75" x14ac:dyDescent="0.2"/>
    <row r="1180" ht="12.75" x14ac:dyDescent="0.2"/>
    <row r="1181" ht="12.75" x14ac:dyDescent="0.2"/>
    <row r="1182" ht="12.75" x14ac:dyDescent="0.2"/>
    <row r="1183" ht="12.75" x14ac:dyDescent="0.2"/>
    <row r="1184" ht="12.75" x14ac:dyDescent="0.2"/>
    <row r="1185" ht="12.75" x14ac:dyDescent="0.2"/>
    <row r="1186" ht="12.75" x14ac:dyDescent="0.2"/>
    <row r="1187" ht="12.75" x14ac:dyDescent="0.2"/>
    <row r="1188" ht="12.75" x14ac:dyDescent="0.2"/>
    <row r="1189" ht="12.75" x14ac:dyDescent="0.2"/>
    <row r="1190" ht="12.75" x14ac:dyDescent="0.2"/>
    <row r="1191" ht="12.75" x14ac:dyDescent="0.2"/>
    <row r="1192" ht="12.75" x14ac:dyDescent="0.2"/>
    <row r="1193" ht="12.75" x14ac:dyDescent="0.2"/>
    <row r="1194" ht="12.75" x14ac:dyDescent="0.2"/>
    <row r="1195" ht="12.75" x14ac:dyDescent="0.2"/>
    <row r="1196" ht="12.75" x14ac:dyDescent="0.2"/>
    <row r="1197" ht="12.75" x14ac:dyDescent="0.2"/>
    <row r="1198" ht="12.75" x14ac:dyDescent="0.2"/>
    <row r="1199" ht="12.75" x14ac:dyDescent="0.2"/>
    <row r="1200" ht="12.75" x14ac:dyDescent="0.2"/>
    <row r="1201" ht="12.75" x14ac:dyDescent="0.2"/>
    <row r="1202" ht="12.75" x14ac:dyDescent="0.2"/>
    <row r="1203" ht="12.75" x14ac:dyDescent="0.2"/>
    <row r="1204" ht="12.75" x14ac:dyDescent="0.2"/>
    <row r="1205" ht="12.75" x14ac:dyDescent="0.2"/>
    <row r="1206" ht="12.75" x14ac:dyDescent="0.2"/>
    <row r="1207" ht="12.75" x14ac:dyDescent="0.2"/>
    <row r="1208" ht="12.75" x14ac:dyDescent="0.2"/>
    <row r="1209" ht="12.75" x14ac:dyDescent="0.2"/>
    <row r="1210" ht="12.75" x14ac:dyDescent="0.2"/>
    <row r="1211" ht="12.75" x14ac:dyDescent="0.2"/>
    <row r="1212" ht="12.75" x14ac:dyDescent="0.2"/>
    <row r="1213" ht="12.75" x14ac:dyDescent="0.2"/>
    <row r="1214" ht="12.75" x14ac:dyDescent="0.2"/>
    <row r="1215" ht="12.75" x14ac:dyDescent="0.2"/>
    <row r="1216" ht="12.75" x14ac:dyDescent="0.2"/>
    <row r="1217" ht="12.75" x14ac:dyDescent="0.2"/>
    <row r="1218" ht="12.75" x14ac:dyDescent="0.2"/>
    <row r="1219" ht="12.75" x14ac:dyDescent="0.2"/>
    <row r="1220" ht="12.75" x14ac:dyDescent="0.2"/>
    <row r="1221" ht="12.75" x14ac:dyDescent="0.2"/>
    <row r="1222" ht="12.75" x14ac:dyDescent="0.2"/>
    <row r="1223" ht="12.75" x14ac:dyDescent="0.2"/>
    <row r="1224" ht="12.75" x14ac:dyDescent="0.2"/>
    <row r="1225" ht="12.75" x14ac:dyDescent="0.2"/>
    <row r="1226" ht="12.75" x14ac:dyDescent="0.2"/>
    <row r="1227" ht="12.75" x14ac:dyDescent="0.2"/>
    <row r="1228" ht="12.75" x14ac:dyDescent="0.2"/>
    <row r="1229" ht="12.75" x14ac:dyDescent="0.2"/>
    <row r="1230" ht="12.75" x14ac:dyDescent="0.2"/>
    <row r="1231" ht="12.75" x14ac:dyDescent="0.2"/>
    <row r="1232" ht="12.75" x14ac:dyDescent="0.2"/>
    <row r="1233" ht="12.75" x14ac:dyDescent="0.2"/>
    <row r="1234" ht="12.75" x14ac:dyDescent="0.2"/>
    <row r="1235" ht="12.75" x14ac:dyDescent="0.2"/>
    <row r="1236" ht="12.75" x14ac:dyDescent="0.2"/>
    <row r="1237" ht="12.75" x14ac:dyDescent="0.2"/>
    <row r="1238" ht="12.75" x14ac:dyDescent="0.2"/>
    <row r="1239" ht="12.75" x14ac:dyDescent="0.2"/>
    <row r="1240" ht="12.75" x14ac:dyDescent="0.2"/>
    <row r="1241" ht="12.75" x14ac:dyDescent="0.2"/>
    <row r="1242" ht="12.75" x14ac:dyDescent="0.2"/>
    <row r="1243" ht="12.75" x14ac:dyDescent="0.2"/>
    <row r="1244" ht="12.75" x14ac:dyDescent="0.2"/>
    <row r="1245" ht="12.75" x14ac:dyDescent="0.2"/>
    <row r="1246" ht="12.75" x14ac:dyDescent="0.2"/>
    <row r="1247" ht="12.75" x14ac:dyDescent="0.2"/>
    <row r="1248" ht="12.75" x14ac:dyDescent="0.2"/>
    <row r="1249" ht="12.75" x14ac:dyDescent="0.2"/>
    <row r="1250" ht="12.75" x14ac:dyDescent="0.2"/>
    <row r="1251" ht="12.75" x14ac:dyDescent="0.2"/>
    <row r="1252" ht="12.75" x14ac:dyDescent="0.2"/>
    <row r="1253" ht="12.75" x14ac:dyDescent="0.2"/>
    <row r="1254" ht="12.75" x14ac:dyDescent="0.2"/>
    <row r="1255" ht="12.75" x14ac:dyDescent="0.2"/>
    <row r="1256" ht="12.75" x14ac:dyDescent="0.2"/>
    <row r="1257" ht="12.75" x14ac:dyDescent="0.2"/>
    <row r="1258" ht="12.75" x14ac:dyDescent="0.2"/>
    <row r="1259" ht="12.75" x14ac:dyDescent="0.2"/>
    <row r="1260" ht="12.75" x14ac:dyDescent="0.2"/>
    <row r="1261" ht="12.75" x14ac:dyDescent="0.2"/>
    <row r="1262" ht="12.75" x14ac:dyDescent="0.2"/>
    <row r="1263" ht="12.75" x14ac:dyDescent="0.2"/>
    <row r="1264" ht="12.75" x14ac:dyDescent="0.2"/>
    <row r="1265" ht="12.75" x14ac:dyDescent="0.2"/>
    <row r="1266" ht="12.75" x14ac:dyDescent="0.2"/>
    <row r="1267" ht="12.75" x14ac:dyDescent="0.2"/>
    <row r="1268" ht="12.75" x14ac:dyDescent="0.2"/>
    <row r="1269" ht="12.75" x14ac:dyDescent="0.2"/>
    <row r="1270" ht="12.75" x14ac:dyDescent="0.2"/>
    <row r="1271" ht="12.75" x14ac:dyDescent="0.2"/>
    <row r="1272" ht="12.75" x14ac:dyDescent="0.2"/>
    <row r="1273" ht="12.75" x14ac:dyDescent="0.2"/>
    <row r="1274" ht="12.75" x14ac:dyDescent="0.2"/>
    <row r="1275" ht="12.75" x14ac:dyDescent="0.2"/>
    <row r="1276" ht="12.75" x14ac:dyDescent="0.2"/>
    <row r="1277" ht="12.75" x14ac:dyDescent="0.2"/>
    <row r="1278" ht="12.75" x14ac:dyDescent="0.2"/>
    <row r="1279" ht="12.75" x14ac:dyDescent="0.2"/>
    <row r="1280" ht="12.75" x14ac:dyDescent="0.2"/>
    <row r="1281" ht="12.75" x14ac:dyDescent="0.2"/>
    <row r="1282" ht="12.75" x14ac:dyDescent="0.2"/>
    <row r="1283" ht="12.75" x14ac:dyDescent="0.2"/>
    <row r="1284" ht="12.75" x14ac:dyDescent="0.2"/>
    <row r="1285" ht="12.75" x14ac:dyDescent="0.2"/>
    <row r="1286" ht="12.75" x14ac:dyDescent="0.2"/>
    <row r="1287" ht="12.75" x14ac:dyDescent="0.2"/>
    <row r="1288" ht="12.75" x14ac:dyDescent="0.2"/>
    <row r="1289" ht="12.75" x14ac:dyDescent="0.2"/>
    <row r="1290" ht="12.75" x14ac:dyDescent="0.2"/>
    <row r="1291" ht="12.75" x14ac:dyDescent="0.2"/>
    <row r="1292" ht="12.75" x14ac:dyDescent="0.2"/>
    <row r="1293" ht="12.75" x14ac:dyDescent="0.2"/>
    <row r="1294" ht="12.75" x14ac:dyDescent="0.2"/>
    <row r="1295" ht="12.75" x14ac:dyDescent="0.2"/>
    <row r="1296" ht="12.75" x14ac:dyDescent="0.2"/>
    <row r="1297" ht="12.75" x14ac:dyDescent="0.2"/>
    <row r="1298" ht="12.75" x14ac:dyDescent="0.2"/>
    <row r="1299" ht="12.75" x14ac:dyDescent="0.2"/>
    <row r="1300" ht="12.75" x14ac:dyDescent="0.2"/>
    <row r="1301" ht="12.75" x14ac:dyDescent="0.2"/>
    <row r="1302" ht="12.75" x14ac:dyDescent="0.2"/>
    <row r="1303" ht="12.75" x14ac:dyDescent="0.2"/>
    <row r="1304" ht="12.75" x14ac:dyDescent="0.2"/>
    <row r="1305" ht="12.75" x14ac:dyDescent="0.2"/>
    <row r="1306" ht="12.75" x14ac:dyDescent="0.2"/>
    <row r="1307" ht="12.75" x14ac:dyDescent="0.2"/>
    <row r="1308" ht="12.75" x14ac:dyDescent="0.2"/>
    <row r="1309" ht="12.75" x14ac:dyDescent="0.2"/>
    <row r="1310" ht="12.75" x14ac:dyDescent="0.2"/>
    <row r="1311" ht="12.75" x14ac:dyDescent="0.2"/>
    <row r="1312" ht="12.75" x14ac:dyDescent="0.2"/>
    <row r="1313" ht="12.75" x14ac:dyDescent="0.2"/>
    <row r="1314" ht="12.75" x14ac:dyDescent="0.2"/>
    <row r="1315" ht="12.75" x14ac:dyDescent="0.2"/>
    <row r="1316" ht="12.75" x14ac:dyDescent="0.2"/>
    <row r="1317" ht="12.75" x14ac:dyDescent="0.2"/>
    <row r="1318" ht="12.75" x14ac:dyDescent="0.2"/>
    <row r="1319" ht="12.75" x14ac:dyDescent="0.2"/>
    <row r="1320" ht="12.75" x14ac:dyDescent="0.2"/>
    <row r="1321" ht="12.75" x14ac:dyDescent="0.2"/>
    <row r="1322" ht="12.75" x14ac:dyDescent="0.2"/>
    <row r="1323" ht="12.75" x14ac:dyDescent="0.2"/>
    <row r="1324" ht="12.75" x14ac:dyDescent="0.2"/>
    <row r="1325" ht="12.75" x14ac:dyDescent="0.2"/>
    <row r="1326" ht="12.75" x14ac:dyDescent="0.2"/>
    <row r="1327" ht="12.75" x14ac:dyDescent="0.2"/>
    <row r="1328" ht="12.75" x14ac:dyDescent="0.2"/>
    <row r="1329" ht="12.75" x14ac:dyDescent="0.2"/>
    <row r="1330" ht="12.75" x14ac:dyDescent="0.2"/>
    <row r="1331" ht="12.75" x14ac:dyDescent="0.2"/>
    <row r="1332" ht="12.75" x14ac:dyDescent="0.2"/>
    <row r="1333" ht="12.75" x14ac:dyDescent="0.2"/>
    <row r="1334" ht="12.75" x14ac:dyDescent="0.2"/>
    <row r="1335" ht="12.75" x14ac:dyDescent="0.2"/>
    <row r="1336" ht="12.75" x14ac:dyDescent="0.2"/>
    <row r="1337" ht="12.75" x14ac:dyDescent="0.2"/>
    <row r="1338" ht="12.75" x14ac:dyDescent="0.2"/>
    <row r="1339" ht="12.75" x14ac:dyDescent="0.2"/>
    <row r="1340" ht="12.75" x14ac:dyDescent="0.2"/>
    <row r="1341" ht="12.75" x14ac:dyDescent="0.2"/>
    <row r="1342" ht="12.75" x14ac:dyDescent="0.2"/>
    <row r="1343" ht="12.75" x14ac:dyDescent="0.2"/>
    <row r="1344" ht="12.75" x14ac:dyDescent="0.2"/>
    <row r="1345" ht="12.75" x14ac:dyDescent="0.2"/>
    <row r="1346" ht="12.75" x14ac:dyDescent="0.2"/>
    <row r="1347" ht="12.75" x14ac:dyDescent="0.2"/>
    <row r="1348" ht="12.75" x14ac:dyDescent="0.2"/>
    <row r="1349" ht="12.75" x14ac:dyDescent="0.2"/>
    <row r="1350" ht="12.75" x14ac:dyDescent="0.2"/>
    <row r="1351" ht="12.75" x14ac:dyDescent="0.2"/>
    <row r="1352" ht="12.75" x14ac:dyDescent="0.2"/>
    <row r="1353" ht="12.75" x14ac:dyDescent="0.2"/>
    <row r="1354" ht="12.75" x14ac:dyDescent="0.2"/>
    <row r="1355" ht="12.75" x14ac:dyDescent="0.2"/>
    <row r="1356" ht="12.75" x14ac:dyDescent="0.2"/>
    <row r="1357" ht="12.75" x14ac:dyDescent="0.2"/>
    <row r="1358" ht="12.75" x14ac:dyDescent="0.2"/>
    <row r="1359" ht="12.75" x14ac:dyDescent="0.2"/>
    <row r="1360" ht="12.75" x14ac:dyDescent="0.2"/>
    <row r="1361" ht="12.75" x14ac:dyDescent="0.2"/>
    <row r="1362" ht="12.75" x14ac:dyDescent="0.2"/>
    <row r="1363" ht="12.75" x14ac:dyDescent="0.2"/>
    <row r="1364" ht="12.75" x14ac:dyDescent="0.2"/>
    <row r="1365" ht="12.75" x14ac:dyDescent="0.2"/>
    <row r="1366" ht="12.75" x14ac:dyDescent="0.2"/>
    <row r="1367" ht="12.75" x14ac:dyDescent="0.2"/>
    <row r="1368" ht="12.75" x14ac:dyDescent="0.2"/>
    <row r="1369" ht="12.75" x14ac:dyDescent="0.2"/>
    <row r="1370" ht="12.75" x14ac:dyDescent="0.2"/>
    <row r="1371" ht="12.75" x14ac:dyDescent="0.2"/>
    <row r="1372" ht="12.75" x14ac:dyDescent="0.2"/>
    <row r="1373" ht="12.75" x14ac:dyDescent="0.2"/>
    <row r="1374" ht="12.75" x14ac:dyDescent="0.2"/>
    <row r="1375" ht="12.75" x14ac:dyDescent="0.2"/>
    <row r="1376" ht="12.75" x14ac:dyDescent="0.2"/>
    <row r="1377" ht="12.75" x14ac:dyDescent="0.2"/>
    <row r="1378" ht="12.75" x14ac:dyDescent="0.2"/>
    <row r="1379" ht="12.75" x14ac:dyDescent="0.2"/>
    <row r="1380" ht="12.75" x14ac:dyDescent="0.2"/>
    <row r="1381" ht="12.75" x14ac:dyDescent="0.2"/>
    <row r="1382" ht="12.75" x14ac:dyDescent="0.2"/>
    <row r="1383" ht="12.75" x14ac:dyDescent="0.2"/>
    <row r="1384" ht="12.75" x14ac:dyDescent="0.2"/>
    <row r="1385" ht="12.75" x14ac:dyDescent="0.2"/>
    <row r="1386" ht="12.75" x14ac:dyDescent="0.2"/>
    <row r="1387" ht="12.75" x14ac:dyDescent="0.2"/>
    <row r="1388" ht="12.75" x14ac:dyDescent="0.2"/>
    <row r="1389" ht="12.75" x14ac:dyDescent="0.2"/>
    <row r="1390" ht="12.75" x14ac:dyDescent="0.2"/>
    <row r="1391" ht="12.75" x14ac:dyDescent="0.2"/>
    <row r="1392" ht="12.75" x14ac:dyDescent="0.2"/>
    <row r="1393" ht="12.75" x14ac:dyDescent="0.2"/>
    <row r="1394" ht="12.75" x14ac:dyDescent="0.2"/>
    <row r="1395" ht="12.75" x14ac:dyDescent="0.2"/>
    <row r="1396" ht="12.75" x14ac:dyDescent="0.2"/>
    <row r="1397" ht="12.75" x14ac:dyDescent="0.2"/>
    <row r="1398" ht="12.75" x14ac:dyDescent="0.2"/>
    <row r="1399" ht="12.75" x14ac:dyDescent="0.2"/>
    <row r="1400" ht="12.75" x14ac:dyDescent="0.2"/>
    <row r="1401" ht="12.75" x14ac:dyDescent="0.2"/>
    <row r="1402" ht="12.75" x14ac:dyDescent="0.2"/>
    <row r="1403" ht="12.75" x14ac:dyDescent="0.2"/>
    <row r="1404" ht="12.75" x14ac:dyDescent="0.2"/>
    <row r="1405" ht="12.75" x14ac:dyDescent="0.2"/>
    <row r="1406" ht="12.75" x14ac:dyDescent="0.2"/>
    <row r="1407" ht="12.75" x14ac:dyDescent="0.2"/>
    <row r="1408" ht="12.75" x14ac:dyDescent="0.2"/>
    <row r="1409" ht="12.75" x14ac:dyDescent="0.2"/>
    <row r="1410" ht="12.75" x14ac:dyDescent="0.2"/>
    <row r="1411" ht="12.75" x14ac:dyDescent="0.2"/>
    <row r="1412" ht="12.75" x14ac:dyDescent="0.2"/>
    <row r="1413" ht="12.75" x14ac:dyDescent="0.2"/>
    <row r="1414" ht="12.75" x14ac:dyDescent="0.2"/>
    <row r="1415" ht="12.75" x14ac:dyDescent="0.2"/>
    <row r="1416" ht="12.75" x14ac:dyDescent="0.2"/>
    <row r="1417" ht="12.75" x14ac:dyDescent="0.2"/>
    <row r="1418" ht="12.75" x14ac:dyDescent="0.2"/>
    <row r="1419" ht="12.75" x14ac:dyDescent="0.2"/>
    <row r="1420" ht="12.75" x14ac:dyDescent="0.2"/>
    <row r="1421" ht="12.75" x14ac:dyDescent="0.2"/>
    <row r="1422" ht="12.75" x14ac:dyDescent="0.2"/>
    <row r="1423" ht="12.75" x14ac:dyDescent="0.2"/>
    <row r="1424" ht="12.75" x14ac:dyDescent="0.2"/>
    <row r="1425" ht="12.75" x14ac:dyDescent="0.2"/>
    <row r="1426" ht="12.75" x14ac:dyDescent="0.2"/>
    <row r="1427" ht="12.75" x14ac:dyDescent="0.2"/>
    <row r="1428" ht="12.75" x14ac:dyDescent="0.2"/>
    <row r="1429" ht="12.75" x14ac:dyDescent="0.2"/>
    <row r="1430" ht="12.75" x14ac:dyDescent="0.2"/>
    <row r="1431" ht="12.75" x14ac:dyDescent="0.2"/>
    <row r="1432" ht="12.75" x14ac:dyDescent="0.2"/>
    <row r="1433" ht="12.75" x14ac:dyDescent="0.2"/>
    <row r="1434" ht="12.75" x14ac:dyDescent="0.2"/>
    <row r="1435" ht="12.75" x14ac:dyDescent="0.2"/>
    <row r="1436" ht="12.75" x14ac:dyDescent="0.2"/>
    <row r="1437" ht="12.75" x14ac:dyDescent="0.2"/>
    <row r="1438" ht="12.75" x14ac:dyDescent="0.2"/>
    <row r="1439" ht="12.75" x14ac:dyDescent="0.2"/>
    <row r="1440" ht="12.75" x14ac:dyDescent="0.2"/>
    <row r="1441" ht="12.75" x14ac:dyDescent="0.2"/>
    <row r="1442" ht="12.75" x14ac:dyDescent="0.2"/>
    <row r="1443" ht="12.75" x14ac:dyDescent="0.2"/>
    <row r="1444" ht="12.75" x14ac:dyDescent="0.2"/>
    <row r="1445" ht="12.75" x14ac:dyDescent="0.2"/>
    <row r="1446" ht="12.75" x14ac:dyDescent="0.2"/>
    <row r="1447" ht="12.75" x14ac:dyDescent="0.2"/>
    <row r="1448" ht="12.75" x14ac:dyDescent="0.2"/>
    <row r="1449" ht="12.75" x14ac:dyDescent="0.2"/>
    <row r="1450" ht="12.75" x14ac:dyDescent="0.2"/>
    <row r="1451" ht="12.75" x14ac:dyDescent="0.2"/>
    <row r="1452" ht="12.75" x14ac:dyDescent="0.2"/>
    <row r="1453" ht="12.75" x14ac:dyDescent="0.2"/>
    <row r="1454" ht="12.75" x14ac:dyDescent="0.2"/>
    <row r="1455" ht="12.75" x14ac:dyDescent="0.2"/>
    <row r="1456" ht="12.75" x14ac:dyDescent="0.2"/>
    <row r="1457" ht="12.75" x14ac:dyDescent="0.2"/>
    <row r="1458" ht="12.75" x14ac:dyDescent="0.2"/>
    <row r="1459" ht="12.75" x14ac:dyDescent="0.2"/>
    <row r="1460" ht="12.75" x14ac:dyDescent="0.2"/>
    <row r="1461" ht="12.75" x14ac:dyDescent="0.2"/>
    <row r="1462" ht="12.75" x14ac:dyDescent="0.2"/>
    <row r="1463" ht="12.75" x14ac:dyDescent="0.2"/>
    <row r="1464" ht="12.75" x14ac:dyDescent="0.2"/>
    <row r="1465" ht="12.75" x14ac:dyDescent="0.2"/>
    <row r="1466" ht="12.75" x14ac:dyDescent="0.2"/>
    <row r="1467" ht="12.75" x14ac:dyDescent="0.2"/>
    <row r="1468" ht="12.75" x14ac:dyDescent="0.2"/>
    <row r="1469" ht="12.75" x14ac:dyDescent="0.2"/>
    <row r="1470" ht="12.75" x14ac:dyDescent="0.2"/>
    <row r="1471" ht="12.75" x14ac:dyDescent="0.2"/>
    <row r="1472" ht="12.75" x14ac:dyDescent="0.2"/>
    <row r="1473" ht="12.75" x14ac:dyDescent="0.2"/>
    <row r="1474" ht="12.75" x14ac:dyDescent="0.2"/>
    <row r="1475" ht="12.75" x14ac:dyDescent="0.2"/>
    <row r="1476" ht="12.75" x14ac:dyDescent="0.2"/>
    <row r="1477" ht="12.75" x14ac:dyDescent="0.2"/>
    <row r="1478" ht="12.75" x14ac:dyDescent="0.2"/>
    <row r="1479" ht="12.75" x14ac:dyDescent="0.2"/>
    <row r="1480" ht="12.75" x14ac:dyDescent="0.2"/>
    <row r="1481" ht="12.75" x14ac:dyDescent="0.2"/>
    <row r="1482" ht="12.75" x14ac:dyDescent="0.2"/>
    <row r="1483" ht="12.75" x14ac:dyDescent="0.2"/>
    <row r="1484" ht="12.75" x14ac:dyDescent="0.2"/>
    <row r="1485" ht="12.75" x14ac:dyDescent="0.2"/>
    <row r="1486" ht="12.75" x14ac:dyDescent="0.2"/>
    <row r="1487" ht="12.75" x14ac:dyDescent="0.2"/>
    <row r="1488" ht="12.75" x14ac:dyDescent="0.2"/>
    <row r="1489" ht="12.75" x14ac:dyDescent="0.2"/>
    <row r="1490" ht="12.75" x14ac:dyDescent="0.2"/>
    <row r="1491" ht="12.75" x14ac:dyDescent="0.2"/>
    <row r="1492" ht="12.75" x14ac:dyDescent="0.2"/>
    <row r="1493" ht="12.75" x14ac:dyDescent="0.2"/>
    <row r="1494" ht="12.75" x14ac:dyDescent="0.2"/>
    <row r="1495" ht="12.75" x14ac:dyDescent="0.2"/>
    <row r="1496" ht="12.75" x14ac:dyDescent="0.2"/>
    <row r="1497" ht="12.75" x14ac:dyDescent="0.2"/>
    <row r="1498" ht="12.75" x14ac:dyDescent="0.2"/>
    <row r="1499" ht="12.75" x14ac:dyDescent="0.2"/>
    <row r="1500" ht="12.75" x14ac:dyDescent="0.2"/>
    <row r="1501" ht="12.75" x14ac:dyDescent="0.2"/>
    <row r="1502" ht="12.75" x14ac:dyDescent="0.2"/>
    <row r="1503" ht="12.75" x14ac:dyDescent="0.2"/>
    <row r="1504" ht="12.75" x14ac:dyDescent="0.2"/>
    <row r="1505" ht="12.75" x14ac:dyDescent="0.2"/>
    <row r="1506" ht="12.75" x14ac:dyDescent="0.2"/>
    <row r="1507" ht="12.75" x14ac:dyDescent="0.2"/>
    <row r="1508" ht="12.75" x14ac:dyDescent="0.2"/>
    <row r="1509" ht="12.75" x14ac:dyDescent="0.2"/>
    <row r="1510" ht="12.75" x14ac:dyDescent="0.2"/>
    <row r="1511" ht="12.75" x14ac:dyDescent="0.2"/>
    <row r="1512" ht="12.75" x14ac:dyDescent="0.2"/>
    <row r="1513" ht="12.75" x14ac:dyDescent="0.2"/>
    <row r="1514" ht="12.75" x14ac:dyDescent="0.2"/>
    <row r="1515" ht="12.75" x14ac:dyDescent="0.2"/>
    <row r="1516" ht="12.75" x14ac:dyDescent="0.2"/>
    <row r="1517" ht="12.75" x14ac:dyDescent="0.2"/>
    <row r="1518" ht="12.75" x14ac:dyDescent="0.2"/>
    <row r="1519" ht="12.75" x14ac:dyDescent="0.2"/>
    <row r="1520" ht="12.75" x14ac:dyDescent="0.2"/>
    <row r="1521" ht="12.75" x14ac:dyDescent="0.2"/>
    <row r="1522" ht="12.75" x14ac:dyDescent="0.2"/>
    <row r="1523" ht="12.75" x14ac:dyDescent="0.2"/>
    <row r="1524" ht="12.75" x14ac:dyDescent="0.2"/>
    <row r="1525" ht="12.75" x14ac:dyDescent="0.2"/>
    <row r="1526" ht="12.75" x14ac:dyDescent="0.2"/>
    <row r="1527" ht="12.75" x14ac:dyDescent="0.2"/>
    <row r="1528" ht="12.75" x14ac:dyDescent="0.2"/>
    <row r="1529" ht="12.75" x14ac:dyDescent="0.2"/>
    <row r="1530" ht="12.75" x14ac:dyDescent="0.2"/>
    <row r="1531" ht="12.75" x14ac:dyDescent="0.2"/>
    <row r="1532" ht="12.75" x14ac:dyDescent="0.2"/>
    <row r="1533" ht="12.75" x14ac:dyDescent="0.2"/>
    <row r="1534" ht="12.75" x14ac:dyDescent="0.2"/>
    <row r="1535" ht="12.75" x14ac:dyDescent="0.2"/>
    <row r="1536" ht="12.75" x14ac:dyDescent="0.2"/>
    <row r="1537" ht="12.75" x14ac:dyDescent="0.2"/>
    <row r="1538" ht="12.75" x14ac:dyDescent="0.2"/>
    <row r="1539" ht="12.75" x14ac:dyDescent="0.2"/>
    <row r="1540" ht="12.75" x14ac:dyDescent="0.2"/>
    <row r="1541" ht="12.75" x14ac:dyDescent="0.2"/>
    <row r="1542" ht="12.75" x14ac:dyDescent="0.2"/>
    <row r="1543" ht="12.75" x14ac:dyDescent="0.2"/>
    <row r="1544" ht="12.75" x14ac:dyDescent="0.2"/>
    <row r="1545" ht="12.75" x14ac:dyDescent="0.2"/>
    <row r="1546" ht="12.75" x14ac:dyDescent="0.2"/>
    <row r="1547" ht="12.75" x14ac:dyDescent="0.2"/>
    <row r="1548" ht="12.75" x14ac:dyDescent="0.2"/>
    <row r="1549" ht="12.75" x14ac:dyDescent="0.2"/>
    <row r="1550" ht="12.75" x14ac:dyDescent="0.2"/>
    <row r="1551" ht="12.75" x14ac:dyDescent="0.2"/>
    <row r="1552" ht="12.75" x14ac:dyDescent="0.2"/>
    <row r="1553" ht="12.75" x14ac:dyDescent="0.2"/>
    <row r="1554" ht="12.75" x14ac:dyDescent="0.2"/>
    <row r="1555" ht="12.75" x14ac:dyDescent="0.2"/>
    <row r="1556" ht="12.75" x14ac:dyDescent="0.2"/>
    <row r="1557" ht="12.75" x14ac:dyDescent="0.2"/>
    <row r="1558" ht="12.75" x14ac:dyDescent="0.2"/>
    <row r="1559" ht="12.75" x14ac:dyDescent="0.2"/>
    <row r="1560" ht="12.75" x14ac:dyDescent="0.2"/>
    <row r="1561" ht="12.75" x14ac:dyDescent="0.2"/>
    <row r="1562" ht="12.75" x14ac:dyDescent="0.2"/>
    <row r="1563" ht="12.75" x14ac:dyDescent="0.2"/>
    <row r="1564" ht="12.75" x14ac:dyDescent="0.2"/>
    <row r="1565" ht="12.75" x14ac:dyDescent="0.2"/>
    <row r="1566" ht="12.75" x14ac:dyDescent="0.2"/>
    <row r="1567" ht="12.75" x14ac:dyDescent="0.2"/>
    <row r="1568" ht="12.75" x14ac:dyDescent="0.2"/>
    <row r="1569" ht="12.75" x14ac:dyDescent="0.2"/>
    <row r="1570" ht="12.75" x14ac:dyDescent="0.2"/>
    <row r="1571" ht="12.75" x14ac:dyDescent="0.2"/>
    <row r="1572" ht="12.75" x14ac:dyDescent="0.2"/>
    <row r="1573" ht="12.75" x14ac:dyDescent="0.2"/>
    <row r="1574" ht="12.75" x14ac:dyDescent="0.2"/>
    <row r="1575" ht="12.75" x14ac:dyDescent="0.2"/>
    <row r="1576" ht="12.75" x14ac:dyDescent="0.2"/>
    <row r="1577" ht="12.75" x14ac:dyDescent="0.2"/>
    <row r="1578" ht="12.75" x14ac:dyDescent="0.2"/>
    <row r="1579" ht="12.75" x14ac:dyDescent="0.2"/>
    <row r="1580" ht="12.75" x14ac:dyDescent="0.2"/>
    <row r="1581" ht="12.75" x14ac:dyDescent="0.2"/>
    <row r="1582" ht="12.75" x14ac:dyDescent="0.2"/>
    <row r="1583" ht="12.75" x14ac:dyDescent="0.2"/>
    <row r="1584" ht="12.75" x14ac:dyDescent="0.2"/>
    <row r="1585" ht="12.75" x14ac:dyDescent="0.2"/>
    <row r="1586" ht="12.75" x14ac:dyDescent="0.2"/>
    <row r="1587" ht="12.75" x14ac:dyDescent="0.2"/>
    <row r="1588" ht="12.75" x14ac:dyDescent="0.2"/>
    <row r="1589" ht="12.75" x14ac:dyDescent="0.2"/>
    <row r="1590" ht="12.75" x14ac:dyDescent="0.2"/>
    <row r="1591" ht="12.75" x14ac:dyDescent="0.2"/>
    <row r="1592" ht="12.75" x14ac:dyDescent="0.2"/>
    <row r="1593" ht="12.75" x14ac:dyDescent="0.2"/>
    <row r="1594" ht="12.75" x14ac:dyDescent="0.2"/>
    <row r="1595" ht="12.75" x14ac:dyDescent="0.2"/>
    <row r="1596" ht="12.75" x14ac:dyDescent="0.2"/>
    <row r="1597" ht="12.75" x14ac:dyDescent="0.2"/>
    <row r="1598" ht="12.75" x14ac:dyDescent="0.2"/>
    <row r="1599" ht="12.75" x14ac:dyDescent="0.2"/>
    <row r="1600" ht="12.75" x14ac:dyDescent="0.2"/>
    <row r="1601" ht="12.75" x14ac:dyDescent="0.2"/>
    <row r="1602" ht="12.75" x14ac:dyDescent="0.2"/>
    <row r="1603" ht="12.75" x14ac:dyDescent="0.2"/>
    <row r="1604" ht="12.75" x14ac:dyDescent="0.2"/>
    <row r="1605" ht="12.75" x14ac:dyDescent="0.2"/>
    <row r="1606" ht="12.75" x14ac:dyDescent="0.2"/>
    <row r="1607" ht="12.75" x14ac:dyDescent="0.2"/>
    <row r="1608" ht="12.75" x14ac:dyDescent="0.2"/>
    <row r="1609" ht="12.75" x14ac:dyDescent="0.2"/>
    <row r="1610" ht="12.75" x14ac:dyDescent="0.2"/>
    <row r="1611" ht="12.75" x14ac:dyDescent="0.2"/>
    <row r="1612" ht="12.75" x14ac:dyDescent="0.2"/>
    <row r="1613" ht="12.75" x14ac:dyDescent="0.2"/>
    <row r="1614" ht="12.75" x14ac:dyDescent="0.2"/>
    <row r="1615" ht="12.75" x14ac:dyDescent="0.2"/>
    <row r="1616" ht="12.75" x14ac:dyDescent="0.2"/>
    <row r="1617" ht="12.75" x14ac:dyDescent="0.2"/>
    <row r="1618" ht="12.75" x14ac:dyDescent="0.2"/>
    <row r="1619" ht="12.75" x14ac:dyDescent="0.2"/>
    <row r="1620" ht="12.75" x14ac:dyDescent="0.2"/>
    <row r="1621" ht="12.75" x14ac:dyDescent="0.2"/>
    <row r="1622" ht="12.75" x14ac:dyDescent="0.2"/>
    <row r="1623" ht="12.75" x14ac:dyDescent="0.2"/>
    <row r="1624" ht="12.75" x14ac:dyDescent="0.2"/>
    <row r="1625" ht="12.75" x14ac:dyDescent="0.2"/>
    <row r="1626" ht="12.75" x14ac:dyDescent="0.2"/>
    <row r="1627" ht="12.75" x14ac:dyDescent="0.2"/>
    <row r="1628" ht="12.75" x14ac:dyDescent="0.2"/>
    <row r="1629" ht="12.75" x14ac:dyDescent="0.2"/>
    <row r="1630" ht="12.75" x14ac:dyDescent="0.2"/>
    <row r="1631" ht="12.75" x14ac:dyDescent="0.2"/>
    <row r="1632" ht="12.75" x14ac:dyDescent="0.2"/>
    <row r="1633" ht="12.75" x14ac:dyDescent="0.2"/>
    <row r="1634" ht="12.75" x14ac:dyDescent="0.2"/>
    <row r="1635" ht="12.75" x14ac:dyDescent="0.2"/>
    <row r="1636" ht="12.75" x14ac:dyDescent="0.2"/>
    <row r="1637" ht="12.75" x14ac:dyDescent="0.2"/>
    <row r="1638" ht="12.75" x14ac:dyDescent="0.2"/>
    <row r="1639" ht="12.75" x14ac:dyDescent="0.2"/>
    <row r="1640" ht="12.75" x14ac:dyDescent="0.2"/>
    <row r="1641" ht="12.75" x14ac:dyDescent="0.2"/>
    <row r="1642" ht="12.75" x14ac:dyDescent="0.2"/>
    <row r="1643" ht="12.75" x14ac:dyDescent="0.2"/>
    <row r="1644" ht="12.75" x14ac:dyDescent="0.2"/>
    <row r="1645" ht="12.75" x14ac:dyDescent="0.2"/>
    <row r="1646" ht="12.75" x14ac:dyDescent="0.2"/>
    <row r="1647" ht="12.75" x14ac:dyDescent="0.2"/>
    <row r="1648" ht="12.75" x14ac:dyDescent="0.2"/>
    <row r="1649" ht="12.75" x14ac:dyDescent="0.2"/>
    <row r="1650" ht="12.75" x14ac:dyDescent="0.2"/>
    <row r="1651" ht="12.75" x14ac:dyDescent="0.2"/>
    <row r="1652" ht="12.75" x14ac:dyDescent="0.2"/>
    <row r="1653" ht="12.75" x14ac:dyDescent="0.2"/>
    <row r="1654" ht="12.75" x14ac:dyDescent="0.2"/>
    <row r="1655" ht="12.75" x14ac:dyDescent="0.2"/>
    <row r="1656" ht="12.75" x14ac:dyDescent="0.2"/>
    <row r="1657" ht="12.75" x14ac:dyDescent="0.2"/>
    <row r="1658" ht="12.75" x14ac:dyDescent="0.2"/>
    <row r="1659" ht="12.75" x14ac:dyDescent="0.2"/>
    <row r="1660" ht="12.75" x14ac:dyDescent="0.2"/>
    <row r="1661" ht="12.75" x14ac:dyDescent="0.2"/>
    <row r="1662" ht="12.75" x14ac:dyDescent="0.2"/>
    <row r="1663" ht="12.75" x14ac:dyDescent="0.2"/>
    <row r="1664" ht="12.75" x14ac:dyDescent="0.2"/>
    <row r="1665" ht="12.75" x14ac:dyDescent="0.2"/>
    <row r="1666" ht="12.75" x14ac:dyDescent="0.2"/>
    <row r="1667" ht="12.75" x14ac:dyDescent="0.2"/>
    <row r="1668" ht="12.75" x14ac:dyDescent="0.2"/>
    <row r="1669" ht="12.75" x14ac:dyDescent="0.2"/>
    <row r="1670" ht="12.75" x14ac:dyDescent="0.2"/>
    <row r="1671" ht="12.75" x14ac:dyDescent="0.2"/>
    <row r="1672" ht="12.75" x14ac:dyDescent="0.2"/>
    <row r="1673" ht="12.75" x14ac:dyDescent="0.2"/>
    <row r="1674" ht="12.75" x14ac:dyDescent="0.2"/>
    <row r="1675" ht="12.75" x14ac:dyDescent="0.2"/>
    <row r="1676" ht="12.75" x14ac:dyDescent="0.2"/>
    <row r="1677" ht="12.75" x14ac:dyDescent="0.2"/>
    <row r="1678" ht="12.75" x14ac:dyDescent="0.2"/>
    <row r="1679" ht="12.75" x14ac:dyDescent="0.2"/>
    <row r="1680" ht="12.75" x14ac:dyDescent="0.2"/>
    <row r="1681" ht="12.75" x14ac:dyDescent="0.2"/>
    <row r="1682" ht="12.75" x14ac:dyDescent="0.2"/>
    <row r="1683" ht="12.75" x14ac:dyDescent="0.2"/>
    <row r="1684" ht="12.75" x14ac:dyDescent="0.2"/>
    <row r="1685" ht="12.75" x14ac:dyDescent="0.2"/>
    <row r="1686" ht="12.75" x14ac:dyDescent="0.2"/>
    <row r="1687" ht="12.75" x14ac:dyDescent="0.2"/>
    <row r="1688" ht="12.75" x14ac:dyDescent="0.2"/>
    <row r="1689" ht="12.75" x14ac:dyDescent="0.2"/>
    <row r="1690" ht="12.75" x14ac:dyDescent="0.2"/>
    <row r="1691" ht="12.75" x14ac:dyDescent="0.2"/>
    <row r="1692" ht="12.75" x14ac:dyDescent="0.2"/>
    <row r="1693" ht="12.75" x14ac:dyDescent="0.2"/>
    <row r="1694" ht="12.75" x14ac:dyDescent="0.2"/>
    <row r="1695" ht="12.75" x14ac:dyDescent="0.2"/>
    <row r="1696" ht="12.75" x14ac:dyDescent="0.2"/>
    <row r="1697" ht="12.75" x14ac:dyDescent="0.2"/>
    <row r="1698" ht="12.75" x14ac:dyDescent="0.2"/>
    <row r="1699" ht="12.75" x14ac:dyDescent="0.2"/>
    <row r="1700" ht="12.75" x14ac:dyDescent="0.2"/>
    <row r="1701" ht="12.75" x14ac:dyDescent="0.2"/>
    <row r="1702" ht="12.75" x14ac:dyDescent="0.2"/>
    <row r="1703" ht="12.75" x14ac:dyDescent="0.2"/>
    <row r="1704" ht="12.75" x14ac:dyDescent="0.2"/>
    <row r="1705" ht="12.75" x14ac:dyDescent="0.2"/>
    <row r="1706" ht="12.75" x14ac:dyDescent="0.2"/>
    <row r="1707" ht="12.75" x14ac:dyDescent="0.2"/>
    <row r="1708" ht="12.75" x14ac:dyDescent="0.2"/>
    <row r="1709" ht="12.75" x14ac:dyDescent="0.2"/>
    <row r="1710" ht="12.75" x14ac:dyDescent="0.2"/>
    <row r="1711" ht="12.75" x14ac:dyDescent="0.2"/>
    <row r="1712" ht="12.75" x14ac:dyDescent="0.2"/>
    <row r="1713" ht="12.75" x14ac:dyDescent="0.2"/>
    <row r="1714" ht="12.75" x14ac:dyDescent="0.2"/>
    <row r="1715" ht="12.75" x14ac:dyDescent="0.2"/>
    <row r="1716" ht="12.75" x14ac:dyDescent="0.2"/>
    <row r="1717" ht="12.75" x14ac:dyDescent="0.2"/>
    <row r="1718" ht="12.75" x14ac:dyDescent="0.2"/>
    <row r="1719" ht="12.75" x14ac:dyDescent="0.2"/>
    <row r="1720" ht="12.75" x14ac:dyDescent="0.2"/>
    <row r="1721" ht="12.75" x14ac:dyDescent="0.2"/>
    <row r="1722" ht="12.75" x14ac:dyDescent="0.2"/>
    <row r="1723" ht="12.75" x14ac:dyDescent="0.2"/>
    <row r="1724" ht="12.75" x14ac:dyDescent="0.2"/>
    <row r="1725" ht="12.75" x14ac:dyDescent="0.2"/>
    <row r="1726" ht="12.75" x14ac:dyDescent="0.2"/>
    <row r="1727" ht="12.75" x14ac:dyDescent="0.2"/>
    <row r="1728" ht="12.75" x14ac:dyDescent="0.2"/>
    <row r="1729" ht="12.75" x14ac:dyDescent="0.2"/>
    <row r="1730" ht="12.75" x14ac:dyDescent="0.2"/>
    <row r="1731" ht="12.75" x14ac:dyDescent="0.2"/>
    <row r="1732" ht="12.75" x14ac:dyDescent="0.2"/>
    <row r="1733" ht="12.75" x14ac:dyDescent="0.2"/>
    <row r="1734" ht="12.75" x14ac:dyDescent="0.2"/>
    <row r="1735" ht="12.75" x14ac:dyDescent="0.2"/>
    <row r="1736" ht="12.75" x14ac:dyDescent="0.2"/>
    <row r="1737" ht="12.75" x14ac:dyDescent="0.2"/>
    <row r="1738" ht="12.75" x14ac:dyDescent="0.2"/>
    <row r="1739" ht="12.75" x14ac:dyDescent="0.2"/>
    <row r="1740" ht="12.75" x14ac:dyDescent="0.2"/>
    <row r="1741" ht="12.75" x14ac:dyDescent="0.2"/>
    <row r="1742" ht="12.75" x14ac:dyDescent="0.2"/>
    <row r="1743" ht="12.75" x14ac:dyDescent="0.2"/>
    <row r="1744" ht="12.75" x14ac:dyDescent="0.2"/>
    <row r="1745" ht="12.75" x14ac:dyDescent="0.2"/>
    <row r="1746" ht="12.75" x14ac:dyDescent="0.2"/>
    <row r="1747" ht="12.75" x14ac:dyDescent="0.2"/>
    <row r="1748" ht="12.75" x14ac:dyDescent="0.2"/>
    <row r="1749" ht="12.75" x14ac:dyDescent="0.2"/>
    <row r="1750" ht="12.75" x14ac:dyDescent="0.2"/>
    <row r="1751" ht="12.75" x14ac:dyDescent="0.2"/>
    <row r="1752" ht="12.75" x14ac:dyDescent="0.2"/>
    <row r="1753" ht="12.75" x14ac:dyDescent="0.2"/>
    <row r="1754" ht="12.75" x14ac:dyDescent="0.2"/>
    <row r="1755" ht="12.75" x14ac:dyDescent="0.2"/>
    <row r="1756" ht="12.75" x14ac:dyDescent="0.2"/>
    <row r="1757" ht="12.75" x14ac:dyDescent="0.2"/>
    <row r="1758" ht="12.75" x14ac:dyDescent="0.2"/>
    <row r="1759" ht="12.75" x14ac:dyDescent="0.2"/>
    <row r="1760" ht="12.75" x14ac:dyDescent="0.2"/>
    <row r="1761" ht="12.75" x14ac:dyDescent="0.2"/>
    <row r="1762" ht="12.75" x14ac:dyDescent="0.2"/>
    <row r="1763" ht="12.75" x14ac:dyDescent="0.2"/>
    <row r="1764" ht="12.75" x14ac:dyDescent="0.2"/>
    <row r="1765" ht="12.75" x14ac:dyDescent="0.2"/>
    <row r="1766" ht="12.75" x14ac:dyDescent="0.2"/>
    <row r="1767" ht="12.75" x14ac:dyDescent="0.2"/>
    <row r="1768" ht="12.75" x14ac:dyDescent="0.2"/>
    <row r="1769" ht="12.75" x14ac:dyDescent="0.2"/>
    <row r="1770" ht="12.75" x14ac:dyDescent="0.2"/>
    <row r="1771" ht="12.75" x14ac:dyDescent="0.2"/>
    <row r="1772" ht="12.75" x14ac:dyDescent="0.2"/>
    <row r="1773" ht="12.75" x14ac:dyDescent="0.2"/>
    <row r="1774" ht="12.75" x14ac:dyDescent="0.2"/>
    <row r="1775" ht="12.75" x14ac:dyDescent="0.2"/>
    <row r="1776" ht="12.75" x14ac:dyDescent="0.2"/>
    <row r="1777" ht="12.75" x14ac:dyDescent="0.2"/>
    <row r="1778" ht="12.75" x14ac:dyDescent="0.2"/>
    <row r="1779" ht="12.75" x14ac:dyDescent="0.2"/>
    <row r="1780" ht="12.75" x14ac:dyDescent="0.2"/>
    <row r="1781" ht="12.75" x14ac:dyDescent="0.2"/>
    <row r="1782" ht="12.75" x14ac:dyDescent="0.2"/>
    <row r="1783" ht="12.75" x14ac:dyDescent="0.2"/>
    <row r="1784" ht="12.75" x14ac:dyDescent="0.2"/>
    <row r="1785" ht="12.75" x14ac:dyDescent="0.2"/>
    <row r="1786" ht="12.75" x14ac:dyDescent="0.2"/>
    <row r="1787" ht="12.75" x14ac:dyDescent="0.2"/>
    <row r="1788" ht="12.75" x14ac:dyDescent="0.2"/>
    <row r="1789" ht="12.75" x14ac:dyDescent="0.2"/>
    <row r="1790" ht="12.75" x14ac:dyDescent="0.2"/>
    <row r="1791" ht="12.75" x14ac:dyDescent="0.2"/>
    <row r="1792" ht="12.75" x14ac:dyDescent="0.2"/>
    <row r="1793" ht="12.75" x14ac:dyDescent="0.2"/>
    <row r="1794" ht="12.75" x14ac:dyDescent="0.2"/>
    <row r="1795" ht="12.75" x14ac:dyDescent="0.2"/>
    <row r="1796" ht="12.75" x14ac:dyDescent="0.2"/>
    <row r="1797" ht="12.75" x14ac:dyDescent="0.2"/>
    <row r="1798" ht="12.75" x14ac:dyDescent="0.2"/>
    <row r="1799" ht="12.75" x14ac:dyDescent="0.2"/>
    <row r="1800" ht="12.75" x14ac:dyDescent="0.2"/>
    <row r="1801" ht="12.75" x14ac:dyDescent="0.2"/>
    <row r="1802" ht="12.75" x14ac:dyDescent="0.2"/>
    <row r="1803" ht="12.75" x14ac:dyDescent="0.2"/>
    <row r="1804" ht="12.75" x14ac:dyDescent="0.2"/>
    <row r="1805" ht="12.75" x14ac:dyDescent="0.2"/>
    <row r="1806" ht="12.75" x14ac:dyDescent="0.2"/>
    <row r="1807" ht="12.75" x14ac:dyDescent="0.2"/>
    <row r="1808" ht="12.75" x14ac:dyDescent="0.2"/>
    <row r="1809" ht="12.75" x14ac:dyDescent="0.2"/>
    <row r="1810" ht="12.75" x14ac:dyDescent="0.2"/>
    <row r="1811" ht="12.75" x14ac:dyDescent="0.2"/>
    <row r="1812" ht="12.75" x14ac:dyDescent="0.2"/>
    <row r="1813" ht="12.75" x14ac:dyDescent="0.2"/>
    <row r="1814" ht="12.75" x14ac:dyDescent="0.2"/>
    <row r="1815" ht="12.75" x14ac:dyDescent="0.2"/>
    <row r="1816" ht="12.75" x14ac:dyDescent="0.2"/>
    <row r="1817" ht="12.75" x14ac:dyDescent="0.2"/>
    <row r="1818" ht="12.75" x14ac:dyDescent="0.2"/>
    <row r="1819" ht="12.75" x14ac:dyDescent="0.2"/>
    <row r="1820" ht="12.75" x14ac:dyDescent="0.2"/>
    <row r="1821" ht="12.75" x14ac:dyDescent="0.2"/>
    <row r="1822" ht="12.75" x14ac:dyDescent="0.2"/>
    <row r="1823" ht="12.75" x14ac:dyDescent="0.2"/>
    <row r="1824" ht="12.75" x14ac:dyDescent="0.2"/>
    <row r="1825" ht="12.75" x14ac:dyDescent="0.2"/>
    <row r="1826" ht="12.75" x14ac:dyDescent="0.2"/>
    <row r="1827" ht="12.75" x14ac:dyDescent="0.2"/>
    <row r="1828" ht="12.75" x14ac:dyDescent="0.2"/>
    <row r="1829" ht="12.75" x14ac:dyDescent="0.2"/>
    <row r="1830" ht="12.75" x14ac:dyDescent="0.2"/>
    <row r="1831" ht="12.75" x14ac:dyDescent="0.2"/>
    <row r="1832" ht="12.75" x14ac:dyDescent="0.2"/>
    <row r="1833" ht="12.75" x14ac:dyDescent="0.2"/>
    <row r="1834" ht="12.75" x14ac:dyDescent="0.2"/>
    <row r="1835" ht="12.75" x14ac:dyDescent="0.2"/>
    <row r="1836" ht="12.75" x14ac:dyDescent="0.2"/>
    <row r="1837" ht="12.75" x14ac:dyDescent="0.2"/>
    <row r="1838" ht="12.75" x14ac:dyDescent="0.2"/>
    <row r="1839" ht="12.75" x14ac:dyDescent="0.2"/>
    <row r="1840" ht="12.75" x14ac:dyDescent="0.2"/>
    <row r="1841" ht="12.75" x14ac:dyDescent="0.2"/>
    <row r="1842" ht="12.75" x14ac:dyDescent="0.2"/>
    <row r="1843" ht="12.75" x14ac:dyDescent="0.2"/>
    <row r="1844" ht="12.75" x14ac:dyDescent="0.2"/>
    <row r="1845" ht="12.75" x14ac:dyDescent="0.2"/>
    <row r="1846" ht="12.75" x14ac:dyDescent="0.2"/>
    <row r="1847" ht="12.75" x14ac:dyDescent="0.2"/>
    <row r="1848" ht="12.75" x14ac:dyDescent="0.2"/>
    <row r="1849" ht="12.75" x14ac:dyDescent="0.2"/>
    <row r="1850" ht="12.75" x14ac:dyDescent="0.2"/>
    <row r="1851" ht="12.75" x14ac:dyDescent="0.2"/>
    <row r="1852" ht="12.75" x14ac:dyDescent="0.2"/>
    <row r="1853" ht="12.75" x14ac:dyDescent="0.2"/>
    <row r="1854" ht="12.75" x14ac:dyDescent="0.2"/>
    <row r="1855" ht="12.75" x14ac:dyDescent="0.2"/>
    <row r="1856" ht="12.75" x14ac:dyDescent="0.2"/>
    <row r="1857" ht="12.75" x14ac:dyDescent="0.2"/>
    <row r="1858" ht="12.75" x14ac:dyDescent="0.2"/>
    <row r="1859" ht="12.75" x14ac:dyDescent="0.2"/>
    <row r="1860" ht="12.75" x14ac:dyDescent="0.2"/>
    <row r="1861" ht="12.75" x14ac:dyDescent="0.2"/>
    <row r="1862" ht="12.75" x14ac:dyDescent="0.2"/>
    <row r="1863" ht="12.75" x14ac:dyDescent="0.2"/>
    <row r="1864" ht="12.75" x14ac:dyDescent="0.2"/>
    <row r="1865" ht="12.75" x14ac:dyDescent="0.2"/>
    <row r="1866" ht="12.75" x14ac:dyDescent="0.2"/>
    <row r="1867" ht="12.75" x14ac:dyDescent="0.2"/>
    <row r="1868" ht="12.75" x14ac:dyDescent="0.2"/>
    <row r="1869" ht="12.75" x14ac:dyDescent="0.2"/>
    <row r="1870" ht="12.75" x14ac:dyDescent="0.2"/>
    <row r="1871" ht="12.75" x14ac:dyDescent="0.2"/>
    <row r="1872" ht="12.75" x14ac:dyDescent="0.2"/>
    <row r="1873" ht="12.75" x14ac:dyDescent="0.2"/>
    <row r="1874" ht="12.75" x14ac:dyDescent="0.2"/>
    <row r="1875" ht="12.75" x14ac:dyDescent="0.2"/>
    <row r="1876" ht="12.75" x14ac:dyDescent="0.2"/>
    <row r="1877" ht="12.75" x14ac:dyDescent="0.2"/>
    <row r="1878" ht="12.75" x14ac:dyDescent="0.2"/>
    <row r="1879" ht="12.75" x14ac:dyDescent="0.2"/>
    <row r="1880" ht="12.75" x14ac:dyDescent="0.2"/>
    <row r="1881" ht="12.75" x14ac:dyDescent="0.2"/>
    <row r="1882" ht="12.75" x14ac:dyDescent="0.2"/>
    <row r="1883" ht="12.75" x14ac:dyDescent="0.2"/>
    <row r="1884" ht="12.75" x14ac:dyDescent="0.2"/>
    <row r="1885" ht="12.75" x14ac:dyDescent="0.2"/>
    <row r="1886" ht="12.75" x14ac:dyDescent="0.2"/>
    <row r="1887" ht="12.75" x14ac:dyDescent="0.2"/>
    <row r="1888" ht="12.75" x14ac:dyDescent="0.2"/>
    <row r="1889" ht="12.75" x14ac:dyDescent="0.2"/>
    <row r="1890" ht="12.75" x14ac:dyDescent="0.2"/>
    <row r="1891" ht="12.75" x14ac:dyDescent="0.2"/>
    <row r="1892" ht="12.75" x14ac:dyDescent="0.2"/>
    <row r="1893" ht="12.75" x14ac:dyDescent="0.2"/>
    <row r="1894" ht="12.75" x14ac:dyDescent="0.2"/>
    <row r="1895" ht="12.75" x14ac:dyDescent="0.2"/>
    <row r="1896" ht="12.75" x14ac:dyDescent="0.2"/>
    <row r="1897" ht="12.75" x14ac:dyDescent="0.2"/>
    <row r="1898" ht="12.75" x14ac:dyDescent="0.2"/>
    <row r="1899" ht="12.75" x14ac:dyDescent="0.2"/>
    <row r="1900" ht="12.75" x14ac:dyDescent="0.2"/>
    <row r="1901" ht="12.75" x14ac:dyDescent="0.2"/>
    <row r="1902" ht="12.75" x14ac:dyDescent="0.2"/>
    <row r="1903" ht="12.75" x14ac:dyDescent="0.2"/>
    <row r="1904" ht="12.75" x14ac:dyDescent="0.2"/>
    <row r="1905" ht="12.75" x14ac:dyDescent="0.2"/>
    <row r="1906" ht="12.75" x14ac:dyDescent="0.2"/>
    <row r="1907" ht="12.75" x14ac:dyDescent="0.2"/>
    <row r="1908" ht="12.75" x14ac:dyDescent="0.2"/>
    <row r="1909" ht="12.75" x14ac:dyDescent="0.2"/>
    <row r="1910" ht="12.75" x14ac:dyDescent="0.2"/>
    <row r="1911" ht="12.75" x14ac:dyDescent="0.2"/>
    <row r="1912" ht="12.75" x14ac:dyDescent="0.2"/>
    <row r="1913" ht="12.75" x14ac:dyDescent="0.2"/>
    <row r="1914" ht="12.75" x14ac:dyDescent="0.2"/>
    <row r="1915" ht="12.75" x14ac:dyDescent="0.2"/>
    <row r="1916" ht="12.75" x14ac:dyDescent="0.2"/>
    <row r="1917" ht="12.75" x14ac:dyDescent="0.2"/>
    <row r="1918" ht="12.75" x14ac:dyDescent="0.2"/>
    <row r="1919" ht="12.75" x14ac:dyDescent="0.2"/>
    <row r="1920" ht="12.75" x14ac:dyDescent="0.2"/>
    <row r="1921" ht="12.75" x14ac:dyDescent="0.2"/>
    <row r="1922" ht="12.75" x14ac:dyDescent="0.2"/>
    <row r="1923" ht="12.75" x14ac:dyDescent="0.2"/>
    <row r="1924" ht="12.75" x14ac:dyDescent="0.2"/>
    <row r="1925" ht="12.75" x14ac:dyDescent="0.2"/>
    <row r="1926" ht="12.75" x14ac:dyDescent="0.2"/>
    <row r="1927" ht="12.75" x14ac:dyDescent="0.2"/>
    <row r="1928" ht="12.75" x14ac:dyDescent="0.2"/>
    <row r="1929" ht="12.75" x14ac:dyDescent="0.2"/>
    <row r="1930" ht="12.75" x14ac:dyDescent="0.2"/>
    <row r="1931" ht="12.75" x14ac:dyDescent="0.2"/>
    <row r="1932" ht="12.75" x14ac:dyDescent="0.2"/>
    <row r="1933" ht="12.75" x14ac:dyDescent="0.2"/>
    <row r="1934" ht="12.75" x14ac:dyDescent="0.2"/>
    <row r="1935" ht="12.75" x14ac:dyDescent="0.2"/>
    <row r="1936" ht="12.75" x14ac:dyDescent="0.2"/>
    <row r="1937" ht="12.75" x14ac:dyDescent="0.2"/>
    <row r="1938" ht="12.75" x14ac:dyDescent="0.2"/>
    <row r="1939" ht="12.75" x14ac:dyDescent="0.2"/>
    <row r="1940" ht="12.75" x14ac:dyDescent="0.2"/>
    <row r="1941" ht="12.75" x14ac:dyDescent="0.2"/>
    <row r="1942" ht="12.75" x14ac:dyDescent="0.2"/>
    <row r="1943" ht="12.75" x14ac:dyDescent="0.2"/>
    <row r="1944" ht="12.75" x14ac:dyDescent="0.2"/>
    <row r="1945" ht="12.75" x14ac:dyDescent="0.2"/>
    <row r="1946" ht="12.75" x14ac:dyDescent="0.2"/>
    <row r="1947" ht="12.75" x14ac:dyDescent="0.2"/>
    <row r="1948" ht="12.75" x14ac:dyDescent="0.2"/>
    <row r="1949" ht="12.75" x14ac:dyDescent="0.2"/>
    <row r="1950" ht="12.75" x14ac:dyDescent="0.2"/>
    <row r="1951" ht="12.75" x14ac:dyDescent="0.2"/>
    <row r="1952" ht="12.75" x14ac:dyDescent="0.2"/>
    <row r="1953" ht="12.75" x14ac:dyDescent="0.2"/>
    <row r="1954" ht="12.75" x14ac:dyDescent="0.2"/>
    <row r="1955" ht="12.75" x14ac:dyDescent="0.2"/>
    <row r="1956" ht="12.75" x14ac:dyDescent="0.2"/>
    <row r="1957" ht="12.75" x14ac:dyDescent="0.2"/>
    <row r="1958" ht="12.75" x14ac:dyDescent="0.2"/>
    <row r="1959" ht="12.75" x14ac:dyDescent="0.2"/>
    <row r="1960" ht="12.75" x14ac:dyDescent="0.2"/>
    <row r="1961" ht="12.75" x14ac:dyDescent="0.2"/>
    <row r="1962" ht="12.75" x14ac:dyDescent="0.2"/>
    <row r="1963" ht="12.75" x14ac:dyDescent="0.2"/>
    <row r="1964" ht="12.75" x14ac:dyDescent="0.2"/>
    <row r="1965" ht="12.75" x14ac:dyDescent="0.2"/>
    <row r="1966" ht="12.75" x14ac:dyDescent="0.2"/>
    <row r="1967" ht="12.75" x14ac:dyDescent="0.2"/>
    <row r="1968" ht="12.75" x14ac:dyDescent="0.2"/>
    <row r="1969" ht="12.75" x14ac:dyDescent="0.2"/>
    <row r="1970" ht="12.75" x14ac:dyDescent="0.2"/>
    <row r="1971" ht="12.75" x14ac:dyDescent="0.2"/>
    <row r="1972" ht="12.75" x14ac:dyDescent="0.2"/>
    <row r="1973" ht="12.75" x14ac:dyDescent="0.2"/>
    <row r="1974" ht="12.75" x14ac:dyDescent="0.2"/>
    <row r="1975" ht="12.75" x14ac:dyDescent="0.2"/>
    <row r="1976" ht="12.75" x14ac:dyDescent="0.2"/>
    <row r="1977" ht="12.75" x14ac:dyDescent="0.2"/>
    <row r="1978" ht="12.75" x14ac:dyDescent="0.2"/>
    <row r="1979" ht="12.75" x14ac:dyDescent="0.2"/>
    <row r="1980" ht="12.75" x14ac:dyDescent="0.2"/>
    <row r="1981" ht="12.75" x14ac:dyDescent="0.2"/>
    <row r="1982" ht="12.75" x14ac:dyDescent="0.2"/>
    <row r="1983" ht="12.75" x14ac:dyDescent="0.2"/>
    <row r="1984" ht="12.75" x14ac:dyDescent="0.2"/>
    <row r="1985" ht="12.75" x14ac:dyDescent="0.2"/>
    <row r="1986" ht="12.75" x14ac:dyDescent="0.2"/>
    <row r="1987" ht="12.75" x14ac:dyDescent="0.2"/>
    <row r="1988" ht="12.75" x14ac:dyDescent="0.2"/>
    <row r="1989" ht="12.75" x14ac:dyDescent="0.2"/>
    <row r="1990" ht="12.75" x14ac:dyDescent="0.2"/>
    <row r="1991" ht="12.75" x14ac:dyDescent="0.2"/>
    <row r="1992" ht="12.75" x14ac:dyDescent="0.2"/>
    <row r="1993" ht="12.75" x14ac:dyDescent="0.2"/>
    <row r="1994" ht="12.75" x14ac:dyDescent="0.2"/>
    <row r="1995" ht="12.75" x14ac:dyDescent="0.2"/>
    <row r="1996" ht="12.75" x14ac:dyDescent="0.2"/>
    <row r="1997" ht="12.75" x14ac:dyDescent="0.2"/>
    <row r="1998" ht="12.75" x14ac:dyDescent="0.2"/>
    <row r="1999" ht="12.75" x14ac:dyDescent="0.2"/>
    <row r="2000" ht="12.75" x14ac:dyDescent="0.2"/>
    <row r="2001" ht="12.75" x14ac:dyDescent="0.2"/>
    <row r="2002" ht="12.75" x14ac:dyDescent="0.2"/>
    <row r="2003" ht="12.75" x14ac:dyDescent="0.2"/>
    <row r="2004" ht="12.75" x14ac:dyDescent="0.2"/>
    <row r="2005" ht="12.75" x14ac:dyDescent="0.2"/>
    <row r="2006" ht="12.75" x14ac:dyDescent="0.2"/>
    <row r="2007" ht="12.75" x14ac:dyDescent="0.2"/>
    <row r="2008" ht="12.75" x14ac:dyDescent="0.2"/>
    <row r="2009" ht="12.75" x14ac:dyDescent="0.2"/>
    <row r="2010" ht="12.75" x14ac:dyDescent="0.2"/>
    <row r="2011" ht="12.75" x14ac:dyDescent="0.2"/>
    <row r="2012" ht="12.75" x14ac:dyDescent="0.2"/>
    <row r="2013" ht="12.75" x14ac:dyDescent="0.2"/>
    <row r="2014" ht="12.75" x14ac:dyDescent="0.2"/>
    <row r="2015" ht="12.75" x14ac:dyDescent="0.2"/>
    <row r="2016" ht="12.75" x14ac:dyDescent="0.2"/>
    <row r="2017" ht="12.75" x14ac:dyDescent="0.2"/>
    <row r="2018" ht="12.75" x14ac:dyDescent="0.2"/>
    <row r="2019" ht="12.75" x14ac:dyDescent="0.2"/>
    <row r="2020" ht="12.75" x14ac:dyDescent="0.2"/>
    <row r="2021" ht="12.75" x14ac:dyDescent="0.2"/>
    <row r="2022" ht="12.75" x14ac:dyDescent="0.2"/>
    <row r="2023" ht="12.75" x14ac:dyDescent="0.2"/>
    <row r="2024" ht="12.75" x14ac:dyDescent="0.2"/>
    <row r="2025" ht="12.75" x14ac:dyDescent="0.2"/>
    <row r="2026" ht="12.75" x14ac:dyDescent="0.2"/>
    <row r="2027" ht="12.75" x14ac:dyDescent="0.2"/>
    <row r="2028" ht="12.75" x14ac:dyDescent="0.2"/>
    <row r="2029" ht="12.75" x14ac:dyDescent="0.2"/>
    <row r="2030" ht="12.75" x14ac:dyDescent="0.2"/>
    <row r="2031" ht="12.75" x14ac:dyDescent="0.2"/>
    <row r="2032" ht="12.75" x14ac:dyDescent="0.2"/>
    <row r="2033" ht="12.75" x14ac:dyDescent="0.2"/>
    <row r="2034" ht="12.75" x14ac:dyDescent="0.2"/>
    <row r="2035" ht="12.75" x14ac:dyDescent="0.2"/>
    <row r="2036" ht="12.75" x14ac:dyDescent="0.2"/>
    <row r="2037" ht="12.75" x14ac:dyDescent="0.2"/>
    <row r="2038" ht="12.75" x14ac:dyDescent="0.2"/>
    <row r="2039" ht="12.75" x14ac:dyDescent="0.2"/>
    <row r="2040" ht="12.75" x14ac:dyDescent="0.2"/>
    <row r="2041" ht="12.75" x14ac:dyDescent="0.2"/>
    <row r="2042" ht="12.75" x14ac:dyDescent="0.2"/>
    <row r="2043" ht="12.75" x14ac:dyDescent="0.2"/>
    <row r="2044" ht="12.75" x14ac:dyDescent="0.2"/>
    <row r="2045" ht="12.75" x14ac:dyDescent="0.2"/>
    <row r="2046" ht="12.75" x14ac:dyDescent="0.2"/>
    <row r="2047" ht="12.75" x14ac:dyDescent="0.2"/>
    <row r="2048" ht="12.75" x14ac:dyDescent="0.2"/>
    <row r="2049" ht="12.75" x14ac:dyDescent="0.2"/>
    <row r="2050" ht="12.75" x14ac:dyDescent="0.2"/>
    <row r="2051" ht="12.75" x14ac:dyDescent="0.2"/>
    <row r="2052" ht="12.75" x14ac:dyDescent="0.2"/>
    <row r="2053" ht="12.75" x14ac:dyDescent="0.2"/>
    <row r="2054" ht="12.75" x14ac:dyDescent="0.2"/>
    <row r="2055" ht="12.75" x14ac:dyDescent="0.2"/>
    <row r="2056" ht="12.75" x14ac:dyDescent="0.2"/>
    <row r="2057" ht="12.75" x14ac:dyDescent="0.2"/>
    <row r="2058" ht="12.75" x14ac:dyDescent="0.2"/>
    <row r="2059" ht="12.75" x14ac:dyDescent="0.2"/>
    <row r="2060" ht="12.75" x14ac:dyDescent="0.2"/>
    <row r="2061" ht="12.75" x14ac:dyDescent="0.2"/>
    <row r="2062" ht="12.75" x14ac:dyDescent="0.2"/>
    <row r="2063" ht="12.75" x14ac:dyDescent="0.2"/>
    <row r="2064" ht="12.75" x14ac:dyDescent="0.2"/>
    <row r="2065" ht="12.75" x14ac:dyDescent="0.2"/>
    <row r="2066" ht="12.75" x14ac:dyDescent="0.2"/>
    <row r="2067" ht="12.75" x14ac:dyDescent="0.2"/>
    <row r="2068" ht="12.75" x14ac:dyDescent="0.2"/>
    <row r="2069" ht="12.75" x14ac:dyDescent="0.2"/>
    <row r="2070" ht="12.75" x14ac:dyDescent="0.2"/>
    <row r="2071" ht="12.75" x14ac:dyDescent="0.2"/>
    <row r="2072" ht="12.75" x14ac:dyDescent="0.2"/>
    <row r="2073" ht="12.75" x14ac:dyDescent="0.2"/>
    <row r="2074" ht="12.75" x14ac:dyDescent="0.2"/>
    <row r="2075" ht="12.75" x14ac:dyDescent="0.2"/>
    <row r="2076" ht="12.75" x14ac:dyDescent="0.2"/>
    <row r="2077" ht="12.75" x14ac:dyDescent="0.2"/>
    <row r="2078" ht="12.75" x14ac:dyDescent="0.2"/>
    <row r="2079" ht="12.75" x14ac:dyDescent="0.2"/>
    <row r="2080" ht="12.75" x14ac:dyDescent="0.2"/>
    <row r="2081" ht="12.75" x14ac:dyDescent="0.2"/>
    <row r="2082" ht="12.75" x14ac:dyDescent="0.2"/>
    <row r="2083" ht="12.75" x14ac:dyDescent="0.2"/>
    <row r="2084" ht="12.75" x14ac:dyDescent="0.2"/>
    <row r="2085" ht="12.75" x14ac:dyDescent="0.2"/>
    <row r="2086" ht="12.75" x14ac:dyDescent="0.2"/>
    <row r="2087" ht="12.75" x14ac:dyDescent="0.2"/>
    <row r="2088" ht="12.75" x14ac:dyDescent="0.2"/>
    <row r="2089" ht="12.75" x14ac:dyDescent="0.2"/>
    <row r="2090" ht="12.75" x14ac:dyDescent="0.2"/>
    <row r="2091" ht="12.75" x14ac:dyDescent="0.2"/>
    <row r="2092" ht="12.75" x14ac:dyDescent="0.2"/>
    <row r="2093" ht="12.75" x14ac:dyDescent="0.2"/>
    <row r="2094" ht="12.75" x14ac:dyDescent="0.2"/>
    <row r="2095" ht="12.75" x14ac:dyDescent="0.2"/>
    <row r="2096" ht="12.75" x14ac:dyDescent="0.2"/>
    <row r="2097" ht="12.75" x14ac:dyDescent="0.2"/>
    <row r="2098" ht="12.75" x14ac:dyDescent="0.2"/>
    <row r="2099" ht="12.75" x14ac:dyDescent="0.2"/>
    <row r="2100" ht="12.75" x14ac:dyDescent="0.2"/>
    <row r="2101" ht="12.75" x14ac:dyDescent="0.2"/>
    <row r="2102" ht="12.75" x14ac:dyDescent="0.2"/>
    <row r="2103" ht="12.75" x14ac:dyDescent="0.2"/>
    <row r="2104" ht="12.75" x14ac:dyDescent="0.2"/>
    <row r="2105" ht="12.75" x14ac:dyDescent="0.2"/>
    <row r="2106" ht="12.75" x14ac:dyDescent="0.2"/>
    <row r="2107" ht="12.75" x14ac:dyDescent="0.2"/>
    <row r="2108" ht="12.75" x14ac:dyDescent="0.2"/>
    <row r="2109" ht="12.75" x14ac:dyDescent="0.2"/>
    <row r="2110" ht="12.75" x14ac:dyDescent="0.2"/>
    <row r="2111" ht="12.75" x14ac:dyDescent="0.2"/>
    <row r="2112" ht="12.75" x14ac:dyDescent="0.2"/>
    <row r="2113" ht="12.75" x14ac:dyDescent="0.2"/>
    <row r="2114" ht="12.75" x14ac:dyDescent="0.2"/>
    <row r="2115" ht="12.75" x14ac:dyDescent="0.2"/>
    <row r="2116" ht="12.75" x14ac:dyDescent="0.2"/>
    <row r="2117" ht="12.75" x14ac:dyDescent="0.2"/>
    <row r="2118" ht="12.75" x14ac:dyDescent="0.2"/>
    <row r="2119" ht="12.75" x14ac:dyDescent="0.2"/>
    <row r="2120" ht="12.75" x14ac:dyDescent="0.2"/>
    <row r="2121" ht="12.75" x14ac:dyDescent="0.2"/>
    <row r="2122" ht="12.75" x14ac:dyDescent="0.2"/>
    <row r="2123" ht="12.75" x14ac:dyDescent="0.2"/>
    <row r="2124" ht="12.75" x14ac:dyDescent="0.2"/>
    <row r="2125" ht="12.75" x14ac:dyDescent="0.2"/>
    <row r="2126" ht="12.75" x14ac:dyDescent="0.2"/>
    <row r="2127" ht="12.75" x14ac:dyDescent="0.2"/>
    <row r="2128" ht="12.75" x14ac:dyDescent="0.2"/>
    <row r="2129" ht="12.75" x14ac:dyDescent="0.2"/>
    <row r="2130" ht="12.75" x14ac:dyDescent="0.2"/>
    <row r="2131" ht="12.75" x14ac:dyDescent="0.2"/>
    <row r="2132" ht="12.75" x14ac:dyDescent="0.2"/>
    <row r="2133" ht="12.75" x14ac:dyDescent="0.2"/>
    <row r="2134" ht="12.75" x14ac:dyDescent="0.2"/>
    <row r="2135" ht="12.75" x14ac:dyDescent="0.2"/>
    <row r="2136" ht="12.75" x14ac:dyDescent="0.2"/>
    <row r="2137" ht="12.75" x14ac:dyDescent="0.2"/>
    <row r="2138" ht="12.75" x14ac:dyDescent="0.2"/>
    <row r="2139" ht="12.75" x14ac:dyDescent="0.2"/>
    <row r="2140" ht="12.75" x14ac:dyDescent="0.2"/>
    <row r="2141" ht="12.75" x14ac:dyDescent="0.2"/>
    <row r="2142" ht="12.75" x14ac:dyDescent="0.2"/>
    <row r="2143" ht="12.75" x14ac:dyDescent="0.2"/>
    <row r="2144" ht="12.75" x14ac:dyDescent="0.2"/>
    <row r="2145" ht="12.75" x14ac:dyDescent="0.2"/>
    <row r="2146" ht="12.75" x14ac:dyDescent="0.2"/>
    <row r="2147" ht="12.75" x14ac:dyDescent="0.2"/>
    <row r="2148" ht="12.75" x14ac:dyDescent="0.2"/>
    <row r="2149" ht="12.75" x14ac:dyDescent="0.2"/>
    <row r="2150" ht="12.75" x14ac:dyDescent="0.2"/>
    <row r="2151" ht="12.75" x14ac:dyDescent="0.2"/>
    <row r="2152" ht="12.75" x14ac:dyDescent="0.2"/>
    <row r="2153" ht="12.75" x14ac:dyDescent="0.2"/>
    <row r="2154" ht="12.75" x14ac:dyDescent="0.2"/>
    <row r="2155" ht="12.75" x14ac:dyDescent="0.2"/>
    <row r="2156" ht="12.75" x14ac:dyDescent="0.2"/>
    <row r="2157" ht="12.75" x14ac:dyDescent="0.2"/>
    <row r="2158" ht="12.75" x14ac:dyDescent="0.2"/>
    <row r="2159" ht="12.75" x14ac:dyDescent="0.2"/>
    <row r="2160" ht="12.75" x14ac:dyDescent="0.2"/>
    <row r="2161" ht="12.75" x14ac:dyDescent="0.2"/>
    <row r="2162" ht="12.75" x14ac:dyDescent="0.2"/>
    <row r="2163" ht="12.75" x14ac:dyDescent="0.2"/>
    <row r="2164" ht="12.75" x14ac:dyDescent="0.2"/>
    <row r="2165" ht="12.75" x14ac:dyDescent="0.2"/>
    <row r="2166" ht="12.75" x14ac:dyDescent="0.2"/>
    <row r="2167" ht="12.75" x14ac:dyDescent="0.2"/>
    <row r="2168" ht="12.75" x14ac:dyDescent="0.2"/>
    <row r="2169" ht="12.75" x14ac:dyDescent="0.2"/>
    <row r="2170" ht="12.75" x14ac:dyDescent="0.2"/>
    <row r="2171" ht="12.75" x14ac:dyDescent="0.2"/>
    <row r="2172" ht="12.75" x14ac:dyDescent="0.2"/>
    <row r="2173" ht="12.75" x14ac:dyDescent="0.2"/>
    <row r="2174" ht="12.75" x14ac:dyDescent="0.2"/>
    <row r="2175" ht="12.75" x14ac:dyDescent="0.2"/>
    <row r="2176" ht="12.75" x14ac:dyDescent="0.2"/>
    <row r="2177" ht="12.75" x14ac:dyDescent="0.2"/>
    <row r="2178" ht="12.75" x14ac:dyDescent="0.2"/>
    <row r="2179" ht="12.75" x14ac:dyDescent="0.2"/>
    <row r="2180" ht="12.75" x14ac:dyDescent="0.2"/>
    <row r="2181" ht="12.75" x14ac:dyDescent="0.2"/>
    <row r="2182" ht="12.75" x14ac:dyDescent="0.2"/>
    <row r="2183" ht="12.75" x14ac:dyDescent="0.2"/>
    <row r="2184" ht="12.75" x14ac:dyDescent="0.2"/>
    <row r="2185" ht="12.75" x14ac:dyDescent="0.2"/>
    <row r="2186" ht="12.75" x14ac:dyDescent="0.2"/>
    <row r="2187" ht="12.75" x14ac:dyDescent="0.2"/>
    <row r="2188" ht="12.75" x14ac:dyDescent="0.2"/>
    <row r="2189" ht="12.75" x14ac:dyDescent="0.2"/>
    <row r="2190" ht="12.75" x14ac:dyDescent="0.2"/>
    <row r="2191" ht="12.75" x14ac:dyDescent="0.2"/>
    <row r="2192" ht="12.75" x14ac:dyDescent="0.2"/>
    <row r="2193" ht="12.75" x14ac:dyDescent="0.2"/>
    <row r="2194" ht="12.75" x14ac:dyDescent="0.2"/>
    <row r="2195" ht="12.75" x14ac:dyDescent="0.2"/>
    <row r="2196" ht="12.75" x14ac:dyDescent="0.2"/>
    <row r="2197" ht="12.75" x14ac:dyDescent="0.2"/>
    <row r="2198" ht="12.75" x14ac:dyDescent="0.2"/>
    <row r="2199" ht="12.75" x14ac:dyDescent="0.2"/>
    <row r="2200" ht="12.75" x14ac:dyDescent="0.2"/>
    <row r="2201" ht="12.75" x14ac:dyDescent="0.2"/>
    <row r="2202" ht="12.75" x14ac:dyDescent="0.2"/>
    <row r="2203" ht="12.75" x14ac:dyDescent="0.2"/>
    <row r="2204" ht="12.75" x14ac:dyDescent="0.2"/>
    <row r="2205" ht="12.75" x14ac:dyDescent="0.2"/>
    <row r="2206" ht="12.75" x14ac:dyDescent="0.2"/>
    <row r="2207" ht="12.75" x14ac:dyDescent="0.2"/>
    <row r="2208" ht="12.75" x14ac:dyDescent="0.2"/>
    <row r="2209" ht="12.75" x14ac:dyDescent="0.2"/>
    <row r="2210" ht="12.75" x14ac:dyDescent="0.2"/>
    <row r="2211" ht="12.75" x14ac:dyDescent="0.2"/>
    <row r="2212" ht="12.75" x14ac:dyDescent="0.2"/>
    <row r="2213" ht="12.75" x14ac:dyDescent="0.2"/>
    <row r="2214" ht="12.75" x14ac:dyDescent="0.2"/>
    <row r="2215" ht="12.75" x14ac:dyDescent="0.2"/>
    <row r="2216" ht="12.75" x14ac:dyDescent="0.2"/>
    <row r="2217" ht="12.75" x14ac:dyDescent="0.2"/>
    <row r="2218" ht="12.75" x14ac:dyDescent="0.2"/>
    <row r="2219" ht="12.75" x14ac:dyDescent="0.2"/>
    <row r="2220" ht="12.75" x14ac:dyDescent="0.2"/>
    <row r="2221" ht="12.75" x14ac:dyDescent="0.2"/>
    <row r="2222" ht="12.75" x14ac:dyDescent="0.2"/>
    <row r="2223" ht="12.75" x14ac:dyDescent="0.2"/>
    <row r="2224" ht="12.75" x14ac:dyDescent="0.2"/>
    <row r="2225" ht="12.75" x14ac:dyDescent="0.2"/>
    <row r="2226" ht="12.75" x14ac:dyDescent="0.2"/>
    <row r="2227" ht="12.75" x14ac:dyDescent="0.2"/>
    <row r="2228" ht="12.75" x14ac:dyDescent="0.2"/>
    <row r="2229" ht="12.75" x14ac:dyDescent="0.2"/>
    <row r="2230" ht="12.75" x14ac:dyDescent="0.2"/>
    <row r="2231" ht="12.75" x14ac:dyDescent="0.2"/>
    <row r="2232" ht="12.75" x14ac:dyDescent="0.2"/>
    <row r="2233" ht="12.75" x14ac:dyDescent="0.2"/>
    <row r="2234" ht="12.75" x14ac:dyDescent="0.2"/>
    <row r="2235" ht="12.75" x14ac:dyDescent="0.2"/>
    <row r="2236" ht="12.75" x14ac:dyDescent="0.2"/>
    <row r="2237" ht="12.75" x14ac:dyDescent="0.2"/>
    <row r="2238" ht="12.75" x14ac:dyDescent="0.2"/>
    <row r="2239" ht="12.75" x14ac:dyDescent="0.2"/>
    <row r="2240" ht="12.75" x14ac:dyDescent="0.2"/>
    <row r="2241" ht="12.75" x14ac:dyDescent="0.2"/>
    <row r="2242" ht="12.75" x14ac:dyDescent="0.2"/>
    <row r="2243" ht="12.75" x14ac:dyDescent="0.2"/>
    <row r="2244" ht="12.75" x14ac:dyDescent="0.2"/>
    <row r="2245" ht="12.75" x14ac:dyDescent="0.2"/>
    <row r="2246" ht="12.75" x14ac:dyDescent="0.2"/>
    <row r="2247" ht="12.75" x14ac:dyDescent="0.2"/>
    <row r="2248" ht="12.75" x14ac:dyDescent="0.2"/>
    <row r="2249" ht="12.75" x14ac:dyDescent="0.2"/>
    <row r="2250" ht="12.75" x14ac:dyDescent="0.2"/>
    <row r="2251" ht="12.75" x14ac:dyDescent="0.2"/>
    <row r="2252" ht="12.75" x14ac:dyDescent="0.2"/>
    <row r="2253" ht="12.75" x14ac:dyDescent="0.2"/>
    <row r="2254" ht="12.75" x14ac:dyDescent="0.2"/>
    <row r="2255" ht="12.75" x14ac:dyDescent="0.2"/>
    <row r="2256" ht="12.75" x14ac:dyDescent="0.2"/>
    <row r="2257" ht="12.75" x14ac:dyDescent="0.2"/>
    <row r="2258" ht="12.75" x14ac:dyDescent="0.2"/>
    <row r="2259" ht="12.75" x14ac:dyDescent="0.2"/>
    <row r="2260" ht="12.75" x14ac:dyDescent="0.2"/>
    <row r="2261" ht="12.75" x14ac:dyDescent="0.2"/>
    <row r="2262" ht="12.75" x14ac:dyDescent="0.2"/>
    <row r="2263" ht="12.75" x14ac:dyDescent="0.2"/>
    <row r="2264" ht="12.75" x14ac:dyDescent="0.2"/>
    <row r="2265" ht="12.75" x14ac:dyDescent="0.2"/>
    <row r="2266" ht="12.75" x14ac:dyDescent="0.2"/>
    <row r="2267" ht="12.75" x14ac:dyDescent="0.2"/>
    <row r="2268" ht="12.75" x14ac:dyDescent="0.2"/>
    <row r="2269" ht="12.75" x14ac:dyDescent="0.2"/>
    <row r="2270" ht="12.75" x14ac:dyDescent="0.2"/>
    <row r="2271" ht="12.75" x14ac:dyDescent="0.2"/>
    <row r="2272" ht="12.75" x14ac:dyDescent="0.2"/>
    <row r="2273" ht="12.75" x14ac:dyDescent="0.2"/>
    <row r="2274" ht="12.75" x14ac:dyDescent="0.2"/>
    <row r="2275" ht="12.75" x14ac:dyDescent="0.2"/>
    <row r="2276" ht="12.75" x14ac:dyDescent="0.2"/>
    <row r="2277" ht="12.75" x14ac:dyDescent="0.2"/>
    <row r="2278" ht="12.75" x14ac:dyDescent="0.2"/>
    <row r="2279" ht="12.75" x14ac:dyDescent="0.2"/>
    <row r="2280" ht="12.75" x14ac:dyDescent="0.2"/>
    <row r="2281" ht="12.75" x14ac:dyDescent="0.2"/>
    <row r="2282" ht="12.75" x14ac:dyDescent="0.2"/>
    <row r="2283" ht="12.75" x14ac:dyDescent="0.2"/>
    <row r="2284" ht="12.75" x14ac:dyDescent="0.2"/>
    <row r="2285" ht="12.75" x14ac:dyDescent="0.2"/>
    <row r="2286" ht="12.75" x14ac:dyDescent="0.2"/>
    <row r="2287" ht="12.75" x14ac:dyDescent="0.2"/>
    <row r="2288" ht="12.75" x14ac:dyDescent="0.2"/>
    <row r="2289" ht="12.75" x14ac:dyDescent="0.2"/>
    <row r="2290" ht="12.75" x14ac:dyDescent="0.2"/>
    <row r="2291" ht="12.75" x14ac:dyDescent="0.2"/>
    <row r="2292" ht="12.75" x14ac:dyDescent="0.2"/>
    <row r="2293" ht="12.75" x14ac:dyDescent="0.2"/>
    <row r="2294" ht="12.75" x14ac:dyDescent="0.2"/>
    <row r="2295" ht="12.75" x14ac:dyDescent="0.2"/>
    <row r="2296" ht="12.75" x14ac:dyDescent="0.2"/>
    <row r="2297" ht="12.75" x14ac:dyDescent="0.2"/>
    <row r="2298" ht="12.75" x14ac:dyDescent="0.2"/>
    <row r="2299" ht="12.75" x14ac:dyDescent="0.2"/>
    <row r="2300" ht="12.75" x14ac:dyDescent="0.2"/>
    <row r="2301" ht="12.75" x14ac:dyDescent="0.2"/>
    <row r="2302" ht="12.75" x14ac:dyDescent="0.2"/>
    <row r="2303" ht="12.75" x14ac:dyDescent="0.2"/>
    <row r="2304" ht="12.75" x14ac:dyDescent="0.2"/>
    <row r="2305" ht="12.75" x14ac:dyDescent="0.2"/>
    <row r="2306" ht="12.75" x14ac:dyDescent="0.2"/>
    <row r="2307" ht="12.75" x14ac:dyDescent="0.2"/>
    <row r="2308" ht="12.75" x14ac:dyDescent="0.2"/>
    <row r="2309" ht="12.75" x14ac:dyDescent="0.2"/>
    <row r="2310" ht="12.75" x14ac:dyDescent="0.2"/>
    <row r="2311" ht="12.75" x14ac:dyDescent="0.2"/>
    <row r="2312" ht="12.75" x14ac:dyDescent="0.2"/>
    <row r="2313" ht="12.75" x14ac:dyDescent="0.2"/>
    <row r="2314" ht="12.75" x14ac:dyDescent="0.2"/>
    <row r="2315" ht="12.75" x14ac:dyDescent="0.2"/>
    <row r="2316" ht="12.75" x14ac:dyDescent="0.2"/>
    <row r="2317" ht="12.75" x14ac:dyDescent="0.2"/>
    <row r="2318" ht="12.75" x14ac:dyDescent="0.2"/>
    <row r="2319" ht="12.75" x14ac:dyDescent="0.2"/>
    <row r="2320" ht="12.75" x14ac:dyDescent="0.2"/>
    <row r="2321" ht="12.75" x14ac:dyDescent="0.2"/>
    <row r="2322" ht="12.75" x14ac:dyDescent="0.2"/>
    <row r="2323" ht="12.75" x14ac:dyDescent="0.2"/>
    <row r="2324" ht="12.75" x14ac:dyDescent="0.2"/>
    <row r="2325" ht="12.75" x14ac:dyDescent="0.2"/>
    <row r="2326" ht="12.75" x14ac:dyDescent="0.2"/>
    <row r="2327" ht="12.75" x14ac:dyDescent="0.2"/>
    <row r="2328" ht="12.75" x14ac:dyDescent="0.2"/>
    <row r="2329" ht="12.75" x14ac:dyDescent="0.2"/>
    <row r="2330" ht="12.75" x14ac:dyDescent="0.2"/>
    <row r="2331" ht="12.75" x14ac:dyDescent="0.2"/>
    <row r="2332" ht="12.75" x14ac:dyDescent="0.2"/>
    <row r="2333" ht="12.75" x14ac:dyDescent="0.2"/>
    <row r="2334" ht="12.75" x14ac:dyDescent="0.2"/>
    <row r="2335" ht="12.75" x14ac:dyDescent="0.2"/>
    <row r="2336" ht="12.75" x14ac:dyDescent="0.2"/>
    <row r="2337" ht="12.75" x14ac:dyDescent="0.2"/>
    <row r="2338" ht="12.75" x14ac:dyDescent="0.2"/>
    <row r="2339" ht="12.75" x14ac:dyDescent="0.2"/>
    <row r="2340" ht="12.75" x14ac:dyDescent="0.2"/>
    <row r="2341" ht="12.75" x14ac:dyDescent="0.2"/>
    <row r="2342" ht="12.75" x14ac:dyDescent="0.2"/>
    <row r="2343" ht="12.75" x14ac:dyDescent="0.2"/>
    <row r="2344" ht="12.75" x14ac:dyDescent="0.2"/>
    <row r="2345" ht="12.75" x14ac:dyDescent="0.2"/>
    <row r="2346" ht="12.75" x14ac:dyDescent="0.2"/>
    <row r="2347" ht="12.75" x14ac:dyDescent="0.2"/>
    <row r="2348" ht="12.75" x14ac:dyDescent="0.2"/>
    <row r="2349" ht="12.75" x14ac:dyDescent="0.2"/>
    <row r="2350" ht="12.75" x14ac:dyDescent="0.2"/>
    <row r="2351" ht="12.75" x14ac:dyDescent="0.2"/>
    <row r="2352" ht="12.75" x14ac:dyDescent="0.2"/>
    <row r="2353" ht="12.75" x14ac:dyDescent="0.2"/>
    <row r="2354" ht="12.75" x14ac:dyDescent="0.2"/>
    <row r="2355" ht="12.75" x14ac:dyDescent="0.2"/>
    <row r="2356" ht="12.75" x14ac:dyDescent="0.2"/>
    <row r="2357" ht="12.75" x14ac:dyDescent="0.2"/>
    <row r="2358" ht="12.75" x14ac:dyDescent="0.2"/>
    <row r="2359" ht="12.75" x14ac:dyDescent="0.2"/>
    <row r="2360" ht="12.75" x14ac:dyDescent="0.2"/>
    <row r="2361" ht="12.75" x14ac:dyDescent="0.2"/>
    <row r="2362" ht="12.75" x14ac:dyDescent="0.2"/>
    <row r="2363" ht="12.75" x14ac:dyDescent="0.2"/>
    <row r="2364" ht="12.75" x14ac:dyDescent="0.2"/>
    <row r="2365" ht="12.75" x14ac:dyDescent="0.2"/>
    <row r="2366" ht="12.75" x14ac:dyDescent="0.2"/>
    <row r="2367" ht="12.75" x14ac:dyDescent="0.2"/>
    <row r="2368" ht="12.75" x14ac:dyDescent="0.2"/>
    <row r="2369" ht="12.75" x14ac:dyDescent="0.2"/>
    <row r="2370" ht="12.75" x14ac:dyDescent="0.2"/>
    <row r="2371" ht="12.75" x14ac:dyDescent="0.2"/>
    <row r="2372" ht="12.75" x14ac:dyDescent="0.2"/>
    <row r="2373" ht="12.75" x14ac:dyDescent="0.2"/>
    <row r="2374" ht="12.75" x14ac:dyDescent="0.2"/>
    <row r="2375" ht="12.75" x14ac:dyDescent="0.2"/>
    <row r="2376" ht="12.75" x14ac:dyDescent="0.2"/>
    <row r="2377" ht="12.75" x14ac:dyDescent="0.2"/>
    <row r="2378" ht="12.75" x14ac:dyDescent="0.2"/>
    <row r="2379" ht="12.75" x14ac:dyDescent="0.2"/>
    <row r="2380" ht="12.75" x14ac:dyDescent="0.2"/>
    <row r="2381" ht="12.75" x14ac:dyDescent="0.2"/>
    <row r="2382" ht="12.75" x14ac:dyDescent="0.2"/>
    <row r="2383" ht="12.75" x14ac:dyDescent="0.2"/>
    <row r="2384" ht="12.75" x14ac:dyDescent="0.2"/>
    <row r="2385" ht="12.75" x14ac:dyDescent="0.2"/>
    <row r="2386" ht="12.75" x14ac:dyDescent="0.2"/>
    <row r="2387" ht="12.75" x14ac:dyDescent="0.2"/>
    <row r="2388" ht="12.75" x14ac:dyDescent="0.2"/>
    <row r="2389" ht="12.75" x14ac:dyDescent="0.2"/>
    <row r="2390" ht="12.75" x14ac:dyDescent="0.2"/>
    <row r="2391" ht="12.75" x14ac:dyDescent="0.2"/>
    <row r="2392" ht="12.75" x14ac:dyDescent="0.2"/>
    <row r="2393" ht="12.75" x14ac:dyDescent="0.2"/>
    <row r="2394" ht="12.75" x14ac:dyDescent="0.2"/>
    <row r="2395" ht="12.75" x14ac:dyDescent="0.2"/>
    <row r="2396" ht="12.75" x14ac:dyDescent="0.2"/>
    <row r="2397" ht="12.75" x14ac:dyDescent="0.2"/>
    <row r="2398" ht="12.75" x14ac:dyDescent="0.2"/>
    <row r="2399" ht="12.75" x14ac:dyDescent="0.2"/>
    <row r="2400" ht="12.75" x14ac:dyDescent="0.2"/>
    <row r="2401" ht="12.75" x14ac:dyDescent="0.2"/>
    <row r="2402" ht="12.75" x14ac:dyDescent="0.2"/>
    <row r="2403" ht="12.75" x14ac:dyDescent="0.2"/>
    <row r="2404" ht="12.75" x14ac:dyDescent="0.2"/>
    <row r="2405" ht="12.75" x14ac:dyDescent="0.2"/>
    <row r="2406" ht="12.75" x14ac:dyDescent="0.2"/>
    <row r="2407" ht="12.75" x14ac:dyDescent="0.2"/>
    <row r="2408" ht="12.75" x14ac:dyDescent="0.2"/>
    <row r="2409" ht="12.75" x14ac:dyDescent="0.2"/>
    <row r="2410" ht="12.75" x14ac:dyDescent="0.2"/>
    <row r="2411" ht="12.75" x14ac:dyDescent="0.2"/>
    <row r="2412" ht="12.75" x14ac:dyDescent="0.2"/>
    <row r="2413" ht="12.75" x14ac:dyDescent="0.2"/>
    <row r="2414" ht="12.75" x14ac:dyDescent="0.2"/>
    <row r="2415" ht="12.75" x14ac:dyDescent="0.2"/>
    <row r="2416" ht="12.75" x14ac:dyDescent="0.2"/>
    <row r="2417" ht="12.75" x14ac:dyDescent="0.2"/>
    <row r="2418" ht="12.75" x14ac:dyDescent="0.2"/>
    <row r="2419" ht="12.75" x14ac:dyDescent="0.2"/>
    <row r="2420" ht="12.75" x14ac:dyDescent="0.2"/>
    <row r="2421" ht="12.75" x14ac:dyDescent="0.2"/>
    <row r="2422" ht="12.75" x14ac:dyDescent="0.2"/>
    <row r="2423" ht="12.75" x14ac:dyDescent="0.2"/>
    <row r="2424" ht="12.75" x14ac:dyDescent="0.2"/>
    <row r="2425" ht="12.75" x14ac:dyDescent="0.2"/>
    <row r="2426" ht="12.75" x14ac:dyDescent="0.2"/>
    <row r="2427" ht="12.75" x14ac:dyDescent="0.2"/>
    <row r="2428" ht="12.75" x14ac:dyDescent="0.2"/>
    <row r="2429" ht="12.75" x14ac:dyDescent="0.2"/>
    <row r="2430" ht="12.75" x14ac:dyDescent="0.2"/>
    <row r="2431" ht="12.75" x14ac:dyDescent="0.2"/>
    <row r="2432" ht="12.75" x14ac:dyDescent="0.2"/>
    <row r="2433" ht="12.75" x14ac:dyDescent="0.2"/>
    <row r="2434" ht="12.75" x14ac:dyDescent="0.2"/>
    <row r="2435" ht="12.75" x14ac:dyDescent="0.2"/>
    <row r="2436" ht="12.75" x14ac:dyDescent="0.2"/>
    <row r="2437" ht="12.75" x14ac:dyDescent="0.2"/>
    <row r="2438" ht="12.75" x14ac:dyDescent="0.2"/>
    <row r="2439" ht="12.75" x14ac:dyDescent="0.2"/>
    <row r="2440" ht="12.75" x14ac:dyDescent="0.2"/>
    <row r="2441" ht="12.75" x14ac:dyDescent="0.2"/>
    <row r="2442" ht="12.75" x14ac:dyDescent="0.2"/>
    <row r="2443" ht="12.75" x14ac:dyDescent="0.2"/>
    <row r="2444" ht="12.75" x14ac:dyDescent="0.2"/>
    <row r="2445" ht="12.75" x14ac:dyDescent="0.2"/>
    <row r="2446" ht="12.75" x14ac:dyDescent="0.2"/>
    <row r="2447" ht="12.75" x14ac:dyDescent="0.2"/>
    <row r="2448" ht="12.75" x14ac:dyDescent="0.2"/>
    <row r="2449" ht="12.75" x14ac:dyDescent="0.2"/>
    <row r="2450" ht="12.75" x14ac:dyDescent="0.2"/>
    <row r="2451" ht="12.75" x14ac:dyDescent="0.2"/>
    <row r="2452" ht="12.75" x14ac:dyDescent="0.2"/>
    <row r="2453" ht="12.75" x14ac:dyDescent="0.2"/>
    <row r="2454" ht="12.75" x14ac:dyDescent="0.2"/>
    <row r="2455" ht="12.75" x14ac:dyDescent="0.2"/>
    <row r="2456" ht="12.75" x14ac:dyDescent="0.2"/>
    <row r="2457" ht="12.75" x14ac:dyDescent="0.2"/>
    <row r="2458" ht="12.75" x14ac:dyDescent="0.2"/>
    <row r="2459" ht="12.75" x14ac:dyDescent="0.2"/>
    <row r="2460" ht="12.75" x14ac:dyDescent="0.2"/>
    <row r="2461" ht="12.75" x14ac:dyDescent="0.2"/>
    <row r="2462" ht="12.75" x14ac:dyDescent="0.2"/>
    <row r="2463" ht="12.75" x14ac:dyDescent="0.2"/>
    <row r="2464" ht="12.75" x14ac:dyDescent="0.2"/>
    <row r="2465" ht="12.75" x14ac:dyDescent="0.2"/>
    <row r="2466" ht="12.75" x14ac:dyDescent="0.2"/>
    <row r="2467" ht="12.75" x14ac:dyDescent="0.2"/>
    <row r="2468" ht="12.75" x14ac:dyDescent="0.2"/>
    <row r="2469" ht="12.75" x14ac:dyDescent="0.2"/>
    <row r="2470" ht="12.75" x14ac:dyDescent="0.2"/>
    <row r="2471" ht="12.75" x14ac:dyDescent="0.2"/>
    <row r="2472" ht="12.75" x14ac:dyDescent="0.2"/>
    <row r="2473" ht="12.75" x14ac:dyDescent="0.2"/>
    <row r="2474" ht="12.75" x14ac:dyDescent="0.2"/>
    <row r="2475" ht="12.75" x14ac:dyDescent="0.2"/>
    <row r="2476" ht="12.75" x14ac:dyDescent="0.2"/>
    <row r="2477" ht="12.75" x14ac:dyDescent="0.2"/>
    <row r="2478" ht="12.75" x14ac:dyDescent="0.2"/>
    <row r="2479" ht="12.75" x14ac:dyDescent="0.2"/>
    <row r="2480" ht="12.75" x14ac:dyDescent="0.2"/>
    <row r="2481" ht="12.75" x14ac:dyDescent="0.2"/>
    <row r="2482" ht="12.75" x14ac:dyDescent="0.2"/>
    <row r="2483" ht="12.75" x14ac:dyDescent="0.2"/>
    <row r="2484" ht="12.75" x14ac:dyDescent="0.2"/>
    <row r="2485" ht="12.75" x14ac:dyDescent="0.2"/>
    <row r="2486" ht="12.75" x14ac:dyDescent="0.2"/>
    <row r="2487" ht="12.75" x14ac:dyDescent="0.2"/>
    <row r="2488" ht="12.75" x14ac:dyDescent="0.2"/>
    <row r="2489" ht="12.75" x14ac:dyDescent="0.2"/>
    <row r="2490" ht="12.75" x14ac:dyDescent="0.2"/>
    <row r="2491" ht="12.75" x14ac:dyDescent="0.2"/>
    <row r="2492" ht="12.75" x14ac:dyDescent="0.2"/>
    <row r="2493" ht="12.75" x14ac:dyDescent="0.2"/>
    <row r="2494" ht="12.75" x14ac:dyDescent="0.2"/>
    <row r="2495" ht="12.75" x14ac:dyDescent="0.2"/>
    <row r="2496" ht="12.75" x14ac:dyDescent="0.2"/>
    <row r="2497" ht="12.75" x14ac:dyDescent="0.2"/>
    <row r="2498" ht="12.75" x14ac:dyDescent="0.2"/>
    <row r="2499" ht="12.75" x14ac:dyDescent="0.2"/>
    <row r="2500" ht="12.75" x14ac:dyDescent="0.2"/>
    <row r="2501" ht="12.75" x14ac:dyDescent="0.2"/>
    <row r="2502" ht="12.75" x14ac:dyDescent="0.2"/>
    <row r="2503" ht="12.75" x14ac:dyDescent="0.2"/>
    <row r="2504" ht="12.75" x14ac:dyDescent="0.2"/>
    <row r="2505" ht="12.75" x14ac:dyDescent="0.2"/>
    <row r="2506" ht="12.75" x14ac:dyDescent="0.2"/>
    <row r="2507" ht="12.75" x14ac:dyDescent="0.2"/>
    <row r="2508" ht="12.75" x14ac:dyDescent="0.2"/>
    <row r="2509" ht="12.75" x14ac:dyDescent="0.2"/>
    <row r="2510" ht="12.75" x14ac:dyDescent="0.2"/>
    <row r="2511" ht="12.75" x14ac:dyDescent="0.2"/>
    <row r="2512" ht="12.75" x14ac:dyDescent="0.2"/>
    <row r="2513" ht="12.75" x14ac:dyDescent="0.2"/>
    <row r="2514" ht="12.75" x14ac:dyDescent="0.2"/>
    <row r="2515" ht="12.75" x14ac:dyDescent="0.2"/>
    <row r="2516" ht="12.75" x14ac:dyDescent="0.2"/>
    <row r="2517" ht="12.75" x14ac:dyDescent="0.2"/>
    <row r="2518" ht="12.75" x14ac:dyDescent="0.2"/>
    <row r="2519" ht="12.75" x14ac:dyDescent="0.2"/>
    <row r="2520" ht="12.75" x14ac:dyDescent="0.2"/>
    <row r="2521" ht="12.75" x14ac:dyDescent="0.2"/>
    <row r="2522" ht="12.75" x14ac:dyDescent="0.2"/>
    <row r="2523" ht="12.75" x14ac:dyDescent="0.2"/>
    <row r="2524" ht="12.75" x14ac:dyDescent="0.2"/>
    <row r="2525" ht="12.75" x14ac:dyDescent="0.2"/>
    <row r="2526" ht="12.75" x14ac:dyDescent="0.2"/>
    <row r="2527" ht="12.75" x14ac:dyDescent="0.2"/>
    <row r="2528" ht="12.75" x14ac:dyDescent="0.2"/>
    <row r="2529" ht="12.75" x14ac:dyDescent="0.2"/>
    <row r="2530" ht="12.75" x14ac:dyDescent="0.2"/>
    <row r="2531" ht="12.75" x14ac:dyDescent="0.2"/>
    <row r="2532" ht="12.75" x14ac:dyDescent="0.2"/>
    <row r="2533" ht="12.75" x14ac:dyDescent="0.2"/>
    <row r="2534" ht="12.75" x14ac:dyDescent="0.2"/>
    <row r="2535" ht="12.75" x14ac:dyDescent="0.2"/>
    <row r="2536" ht="12.75" x14ac:dyDescent="0.2"/>
    <row r="2537" ht="12.75" x14ac:dyDescent="0.2"/>
    <row r="2538" ht="12.75" x14ac:dyDescent="0.2"/>
    <row r="2539" ht="12.75" x14ac:dyDescent="0.2"/>
    <row r="2540" ht="12.75" x14ac:dyDescent="0.2"/>
    <row r="2541" ht="12.75" x14ac:dyDescent="0.2"/>
    <row r="2542" ht="12.75" x14ac:dyDescent="0.2"/>
    <row r="2543" ht="12.75" x14ac:dyDescent="0.2"/>
    <row r="2544" ht="12.75" x14ac:dyDescent="0.2"/>
    <row r="2545" ht="12.75" x14ac:dyDescent="0.2"/>
    <row r="2546" ht="12.75" x14ac:dyDescent="0.2"/>
    <row r="2547" ht="12.75" x14ac:dyDescent="0.2"/>
    <row r="2548" ht="12.75" x14ac:dyDescent="0.2"/>
    <row r="2549" ht="12.75" x14ac:dyDescent="0.2"/>
    <row r="2550" ht="12.75" x14ac:dyDescent="0.2"/>
    <row r="2551" ht="12.75" x14ac:dyDescent="0.2"/>
    <row r="2552" ht="12.75" x14ac:dyDescent="0.2"/>
    <row r="2553" ht="12.75" x14ac:dyDescent="0.2"/>
    <row r="2554" ht="12.75" x14ac:dyDescent="0.2"/>
    <row r="2555" ht="12.75" x14ac:dyDescent="0.2"/>
    <row r="2556" ht="12.75" x14ac:dyDescent="0.2"/>
    <row r="2557" ht="12.75" x14ac:dyDescent="0.2"/>
    <row r="2558" ht="12.75" x14ac:dyDescent="0.2"/>
    <row r="2559" ht="12.75" x14ac:dyDescent="0.2"/>
    <row r="2560" ht="12.75" x14ac:dyDescent="0.2"/>
    <row r="2561" ht="12.75" x14ac:dyDescent="0.2"/>
    <row r="2562" ht="12.75" x14ac:dyDescent="0.2"/>
    <row r="2563" ht="12.75" x14ac:dyDescent="0.2"/>
    <row r="2564" ht="12.75" x14ac:dyDescent="0.2"/>
    <row r="2565" ht="12.75" x14ac:dyDescent="0.2"/>
    <row r="2566" ht="12.75" x14ac:dyDescent="0.2"/>
    <row r="2567" ht="12.75" x14ac:dyDescent="0.2"/>
    <row r="2568" ht="12.75" x14ac:dyDescent="0.2"/>
    <row r="2569" ht="12.75" x14ac:dyDescent="0.2"/>
    <row r="2570" ht="12.75" x14ac:dyDescent="0.2"/>
    <row r="2571" ht="12.75" x14ac:dyDescent="0.2"/>
    <row r="2572" ht="12.75" x14ac:dyDescent="0.2"/>
    <row r="2573" ht="12.75" x14ac:dyDescent="0.2"/>
    <row r="2574" ht="12.75" x14ac:dyDescent="0.2"/>
    <row r="2575" ht="12.75" x14ac:dyDescent="0.2"/>
    <row r="2576" ht="12.75" x14ac:dyDescent="0.2"/>
    <row r="2577" ht="12.75" x14ac:dyDescent="0.2"/>
    <row r="2578" ht="12.75" x14ac:dyDescent="0.2"/>
    <row r="2579" ht="12.75" x14ac:dyDescent="0.2"/>
    <row r="2580" ht="12.75" x14ac:dyDescent="0.2"/>
    <row r="2581" ht="12.75" x14ac:dyDescent="0.2"/>
    <row r="2582" ht="12.75" x14ac:dyDescent="0.2"/>
    <row r="2583" ht="12.75" x14ac:dyDescent="0.2"/>
    <row r="2584" ht="12.75" x14ac:dyDescent="0.2"/>
    <row r="2585" ht="12.75" x14ac:dyDescent="0.2"/>
    <row r="2586" ht="12.75" x14ac:dyDescent="0.2"/>
    <row r="2587" ht="12.75" x14ac:dyDescent="0.2"/>
    <row r="2588" ht="12.75" x14ac:dyDescent="0.2"/>
    <row r="2589" ht="12.75" x14ac:dyDescent="0.2"/>
    <row r="2590" ht="12.75" x14ac:dyDescent="0.2"/>
    <row r="2591" ht="12.75" x14ac:dyDescent="0.2"/>
    <row r="2592" ht="12.75" x14ac:dyDescent="0.2"/>
    <row r="2593" ht="12.75" x14ac:dyDescent="0.2"/>
    <row r="2594" ht="12.75" x14ac:dyDescent="0.2"/>
    <row r="2595" ht="12.75" x14ac:dyDescent="0.2"/>
    <row r="2596" ht="12.75" x14ac:dyDescent="0.2"/>
    <row r="2597" ht="12.75" x14ac:dyDescent="0.2"/>
    <row r="2598" ht="12.75" x14ac:dyDescent="0.2"/>
    <row r="2599" ht="12.75" x14ac:dyDescent="0.2"/>
    <row r="2600" ht="12.75" x14ac:dyDescent="0.2"/>
    <row r="2601" ht="12.75" x14ac:dyDescent="0.2"/>
    <row r="2602" ht="12.75" x14ac:dyDescent="0.2"/>
    <row r="2603" ht="12.75" x14ac:dyDescent="0.2"/>
    <row r="2604" ht="12.75" x14ac:dyDescent="0.2"/>
    <row r="2605" ht="12.75" x14ac:dyDescent="0.2"/>
    <row r="2606" ht="12.75" x14ac:dyDescent="0.2"/>
    <row r="2607" ht="12.75" x14ac:dyDescent="0.2"/>
    <row r="2608" ht="12.75" x14ac:dyDescent="0.2"/>
    <row r="2609" ht="12.75" x14ac:dyDescent="0.2"/>
    <row r="2610" ht="12.75" x14ac:dyDescent="0.2"/>
    <row r="2611" ht="12.75" x14ac:dyDescent="0.2"/>
    <row r="2612" ht="12.75" x14ac:dyDescent="0.2"/>
    <row r="2613" ht="12.75" x14ac:dyDescent="0.2"/>
    <row r="2614" ht="12.75" x14ac:dyDescent="0.2"/>
    <row r="2615" ht="12.75" x14ac:dyDescent="0.2"/>
    <row r="2616" ht="12.75" x14ac:dyDescent="0.2"/>
    <row r="2617" ht="12.75" x14ac:dyDescent="0.2"/>
    <row r="2618" ht="12.75" x14ac:dyDescent="0.2"/>
    <row r="2619" ht="12.75" x14ac:dyDescent="0.2"/>
    <row r="2620" ht="12.75" x14ac:dyDescent="0.2"/>
    <row r="2621" ht="12.75" x14ac:dyDescent="0.2"/>
    <row r="2622" ht="12.75" x14ac:dyDescent="0.2"/>
    <row r="2623" ht="12.75" x14ac:dyDescent="0.2"/>
    <row r="2624" ht="12.75" x14ac:dyDescent="0.2"/>
    <row r="2625" ht="12.75" x14ac:dyDescent="0.2"/>
    <row r="2626" ht="12.75" x14ac:dyDescent="0.2"/>
    <row r="2627" ht="12.75" x14ac:dyDescent="0.2"/>
    <row r="2628" ht="12.75" x14ac:dyDescent="0.2"/>
    <row r="2629" ht="12.75" x14ac:dyDescent="0.2"/>
    <row r="2630" ht="12.75" x14ac:dyDescent="0.2"/>
    <row r="2631" ht="12.75" x14ac:dyDescent="0.2"/>
    <row r="2632" ht="12.75" x14ac:dyDescent="0.2"/>
    <row r="2633" ht="12.75" x14ac:dyDescent="0.2"/>
    <row r="2634" ht="12.75" x14ac:dyDescent="0.2"/>
    <row r="2635" ht="12.75" x14ac:dyDescent="0.2"/>
    <row r="2636" ht="12.75" x14ac:dyDescent="0.2"/>
    <row r="2637" ht="12.75" x14ac:dyDescent="0.2"/>
    <row r="2638" ht="12.75" x14ac:dyDescent="0.2"/>
    <row r="2639" ht="12.75" x14ac:dyDescent="0.2"/>
    <row r="2640" ht="12.75" x14ac:dyDescent="0.2"/>
    <row r="2641" ht="12.75" x14ac:dyDescent="0.2"/>
    <row r="2642" ht="12.75" x14ac:dyDescent="0.2"/>
    <row r="2643" ht="12.75" x14ac:dyDescent="0.2"/>
    <row r="2644" ht="12.75" x14ac:dyDescent="0.2"/>
    <row r="2645" ht="12.75" x14ac:dyDescent="0.2"/>
    <row r="2646" ht="12.75" x14ac:dyDescent="0.2"/>
    <row r="2647" ht="12.75" x14ac:dyDescent="0.2"/>
    <row r="2648" ht="12.75" x14ac:dyDescent="0.2"/>
    <row r="2649" ht="12.75" x14ac:dyDescent="0.2"/>
    <row r="2650" ht="12.75" x14ac:dyDescent="0.2"/>
    <row r="2651" ht="12.75" x14ac:dyDescent="0.2"/>
    <row r="2652" ht="12.75" x14ac:dyDescent="0.2"/>
    <row r="2653" ht="12.75" x14ac:dyDescent="0.2"/>
    <row r="2654" ht="12.75" x14ac:dyDescent="0.2"/>
    <row r="2655" ht="12.75" x14ac:dyDescent="0.2"/>
    <row r="2656" ht="12.75" x14ac:dyDescent="0.2"/>
    <row r="2657" ht="12.75" x14ac:dyDescent="0.2"/>
    <row r="2658" ht="12.75" x14ac:dyDescent="0.2"/>
    <row r="2659" ht="12.75" x14ac:dyDescent="0.2"/>
    <row r="2660" ht="12.75" x14ac:dyDescent="0.2"/>
    <row r="2661" ht="12.75" x14ac:dyDescent="0.2"/>
    <row r="2662" ht="12.75" x14ac:dyDescent="0.2"/>
    <row r="2663" ht="12.75" x14ac:dyDescent="0.2"/>
    <row r="2664" ht="12.75" x14ac:dyDescent="0.2"/>
    <row r="2665" ht="12.75" x14ac:dyDescent="0.2"/>
    <row r="2666" ht="12.75" x14ac:dyDescent="0.2"/>
    <row r="2667" ht="12.75" x14ac:dyDescent="0.2"/>
    <row r="2668" ht="12.75" x14ac:dyDescent="0.2"/>
    <row r="2669" ht="12.75" x14ac:dyDescent="0.2"/>
    <row r="2670" ht="12.75" x14ac:dyDescent="0.2"/>
    <row r="2671" ht="12.75" x14ac:dyDescent="0.2"/>
    <row r="2672" ht="12.75" x14ac:dyDescent="0.2"/>
    <row r="2673" ht="12.75" x14ac:dyDescent="0.2"/>
    <row r="2674" ht="12.75" x14ac:dyDescent="0.2"/>
    <row r="2675" ht="12.75" x14ac:dyDescent="0.2"/>
    <row r="2676" ht="12.75" x14ac:dyDescent="0.2"/>
    <row r="2677" ht="12.75" x14ac:dyDescent="0.2"/>
    <row r="2678" ht="12.75" x14ac:dyDescent="0.2"/>
    <row r="2679" ht="12.75" x14ac:dyDescent="0.2"/>
    <row r="2680" ht="12.75" x14ac:dyDescent="0.2"/>
    <row r="2681" ht="12.75" x14ac:dyDescent="0.2"/>
    <row r="2682" ht="12.75" x14ac:dyDescent="0.2"/>
    <row r="2683" ht="12.75" x14ac:dyDescent="0.2"/>
    <row r="2684" ht="12.75" x14ac:dyDescent="0.2"/>
    <row r="2685" ht="12.75" x14ac:dyDescent="0.2"/>
    <row r="2686" ht="12.75" x14ac:dyDescent="0.2"/>
    <row r="2687" ht="12.75" x14ac:dyDescent="0.2"/>
    <row r="2688" ht="12.75" x14ac:dyDescent="0.2"/>
    <row r="2689" ht="12.75" x14ac:dyDescent="0.2"/>
    <row r="2690" ht="12.75" x14ac:dyDescent="0.2"/>
    <row r="2691" ht="12.75" x14ac:dyDescent="0.2"/>
    <row r="2692" ht="12.75" x14ac:dyDescent="0.2"/>
    <row r="2693" ht="12.75" x14ac:dyDescent="0.2"/>
    <row r="2694" ht="12.75" x14ac:dyDescent="0.2"/>
    <row r="2695" ht="12.75" x14ac:dyDescent="0.2"/>
    <row r="2696" ht="12.75" x14ac:dyDescent="0.2"/>
    <row r="2697" ht="12.75" x14ac:dyDescent="0.2"/>
    <row r="2698" ht="12.75" x14ac:dyDescent="0.2"/>
    <row r="2699" ht="12.75" x14ac:dyDescent="0.2"/>
    <row r="2700" ht="12.75" x14ac:dyDescent="0.2"/>
    <row r="2701" ht="12.75" x14ac:dyDescent="0.2"/>
    <row r="2702" ht="12.75" x14ac:dyDescent="0.2"/>
    <row r="2703" ht="12.75" x14ac:dyDescent="0.2"/>
    <row r="2704" ht="12.75" x14ac:dyDescent="0.2"/>
    <row r="2705" ht="12.75" x14ac:dyDescent="0.2"/>
    <row r="2706" ht="12.75" x14ac:dyDescent="0.2"/>
    <row r="2707" ht="12.75" x14ac:dyDescent="0.2"/>
    <row r="2708" ht="12.75" x14ac:dyDescent="0.2"/>
    <row r="2709" ht="12.75" x14ac:dyDescent="0.2"/>
    <row r="2710" ht="12.75" x14ac:dyDescent="0.2"/>
    <row r="2711" ht="12.75" x14ac:dyDescent="0.2"/>
    <row r="2712" ht="12.75" x14ac:dyDescent="0.2"/>
    <row r="2713" ht="12.75" x14ac:dyDescent="0.2"/>
    <row r="2714" ht="12.75" x14ac:dyDescent="0.2"/>
    <row r="2715" ht="12.75" x14ac:dyDescent="0.2"/>
    <row r="2716" ht="12.75" x14ac:dyDescent="0.2"/>
    <row r="2717" ht="12.75" x14ac:dyDescent="0.2"/>
    <row r="2718" ht="12.75" x14ac:dyDescent="0.2"/>
    <row r="2719" ht="12.75" x14ac:dyDescent="0.2"/>
    <row r="2720" ht="12.75" x14ac:dyDescent="0.2"/>
    <row r="2721" ht="12.75" x14ac:dyDescent="0.2"/>
    <row r="2722" ht="12.75" x14ac:dyDescent="0.2"/>
    <row r="2723" ht="12.75" x14ac:dyDescent="0.2"/>
    <row r="2724" ht="12.75" x14ac:dyDescent="0.2"/>
    <row r="2725" ht="12.75" x14ac:dyDescent="0.2"/>
    <row r="2726" ht="12.75" x14ac:dyDescent="0.2"/>
    <row r="2727" ht="12.75" x14ac:dyDescent="0.2"/>
    <row r="2728" ht="12.75" x14ac:dyDescent="0.2"/>
    <row r="2729" ht="12.75" x14ac:dyDescent="0.2"/>
    <row r="2730" ht="12.75" x14ac:dyDescent="0.2"/>
    <row r="2731" ht="12.75" x14ac:dyDescent="0.2"/>
    <row r="2732" ht="12.75" x14ac:dyDescent="0.2"/>
    <row r="2733" ht="12.75" x14ac:dyDescent="0.2"/>
    <row r="2734" ht="12.75" x14ac:dyDescent="0.2"/>
    <row r="2735" ht="12.75" x14ac:dyDescent="0.2"/>
    <row r="2736" ht="12.75" x14ac:dyDescent="0.2"/>
    <row r="2737" ht="12.75" x14ac:dyDescent="0.2"/>
    <row r="2738" ht="12.75" x14ac:dyDescent="0.2"/>
    <row r="2739" ht="12.75" x14ac:dyDescent="0.2"/>
    <row r="2740" ht="12.75" x14ac:dyDescent="0.2"/>
    <row r="2741" ht="12.75" x14ac:dyDescent="0.2"/>
    <row r="2742" ht="12.75" x14ac:dyDescent="0.2"/>
    <row r="2743" ht="12.75" x14ac:dyDescent="0.2"/>
    <row r="2744" ht="12.75" x14ac:dyDescent="0.2"/>
    <row r="2745" ht="12.75" x14ac:dyDescent="0.2"/>
    <row r="2746" ht="12.75" x14ac:dyDescent="0.2"/>
    <row r="2747" ht="12.75" x14ac:dyDescent="0.2"/>
    <row r="2748" ht="12.75" x14ac:dyDescent="0.2"/>
    <row r="2749" ht="12.75" x14ac:dyDescent="0.2"/>
    <row r="2750" ht="12.75" x14ac:dyDescent="0.2"/>
    <row r="2751" ht="12.75" x14ac:dyDescent="0.2"/>
    <row r="2752" ht="12.75" x14ac:dyDescent="0.2"/>
    <row r="2753" ht="12.75" x14ac:dyDescent="0.2"/>
    <row r="2754" ht="12.75" x14ac:dyDescent="0.2"/>
    <row r="2755" ht="12.75" x14ac:dyDescent="0.2"/>
    <row r="2756" ht="12.75" x14ac:dyDescent="0.2"/>
    <row r="2757" ht="12.75" x14ac:dyDescent="0.2"/>
    <row r="2758" ht="12.75" x14ac:dyDescent="0.2"/>
    <row r="2759" ht="12.75" x14ac:dyDescent="0.2"/>
    <row r="2760" ht="12.75" x14ac:dyDescent="0.2"/>
    <row r="2761" ht="12.75" x14ac:dyDescent="0.2"/>
    <row r="2762" ht="12.75" x14ac:dyDescent="0.2"/>
    <row r="2763" ht="12.75" x14ac:dyDescent="0.2"/>
    <row r="2764" ht="12.75" x14ac:dyDescent="0.2"/>
    <row r="2765" ht="12.75" x14ac:dyDescent="0.2"/>
    <row r="2766" ht="12.75" x14ac:dyDescent="0.2"/>
    <row r="2767" ht="12.75" x14ac:dyDescent="0.2"/>
    <row r="2768" ht="12.75" x14ac:dyDescent="0.2"/>
    <row r="2769" ht="12.75" x14ac:dyDescent="0.2"/>
    <row r="2770" ht="12.75" x14ac:dyDescent="0.2"/>
    <row r="2771" ht="12.75" x14ac:dyDescent="0.2"/>
    <row r="2772" ht="12.75" x14ac:dyDescent="0.2"/>
    <row r="2773" ht="12.75" x14ac:dyDescent="0.2"/>
    <row r="2774" ht="12.75" x14ac:dyDescent="0.2"/>
    <row r="2775" ht="12.75" x14ac:dyDescent="0.2"/>
    <row r="2776" ht="12.75" x14ac:dyDescent="0.2"/>
    <row r="2777" ht="12.75" x14ac:dyDescent="0.2"/>
    <row r="2778" ht="12.75" x14ac:dyDescent="0.2"/>
    <row r="2779" ht="12.75" x14ac:dyDescent="0.2"/>
    <row r="2780" ht="12.75" x14ac:dyDescent="0.2"/>
    <row r="2781" ht="12.75" x14ac:dyDescent="0.2"/>
    <row r="2782" ht="12.75" x14ac:dyDescent="0.2"/>
    <row r="2783" ht="12.75" x14ac:dyDescent="0.2"/>
    <row r="2784" ht="12.75" x14ac:dyDescent="0.2"/>
    <row r="2785" ht="12.75" x14ac:dyDescent="0.2"/>
    <row r="2786" ht="12.75" x14ac:dyDescent="0.2"/>
    <row r="2787" ht="12.75" x14ac:dyDescent="0.2"/>
    <row r="2788" ht="12.75" x14ac:dyDescent="0.2"/>
    <row r="2789" ht="12.75" x14ac:dyDescent="0.2"/>
    <row r="2790" ht="12.75" x14ac:dyDescent="0.2"/>
    <row r="2791" ht="12.75" x14ac:dyDescent="0.2"/>
    <row r="2792" ht="12.75" x14ac:dyDescent="0.2"/>
    <row r="2793" ht="12.75" x14ac:dyDescent="0.2"/>
    <row r="2794" ht="12.75" x14ac:dyDescent="0.2"/>
    <row r="2795" ht="12.75" x14ac:dyDescent="0.2"/>
    <row r="2796" ht="12.75" x14ac:dyDescent="0.2"/>
    <row r="2797" ht="12.75" x14ac:dyDescent="0.2"/>
    <row r="2798" ht="12.75" x14ac:dyDescent="0.2"/>
    <row r="2799" ht="12.75" x14ac:dyDescent="0.2"/>
    <row r="2800" ht="12.75" x14ac:dyDescent="0.2"/>
    <row r="2801" ht="12.75" x14ac:dyDescent="0.2"/>
    <row r="2802" ht="12.75" x14ac:dyDescent="0.2"/>
    <row r="2803" ht="12.75" x14ac:dyDescent="0.2"/>
    <row r="2804" ht="12.75" x14ac:dyDescent="0.2"/>
    <row r="2805" ht="12.75" x14ac:dyDescent="0.2"/>
    <row r="2806" ht="12.75" x14ac:dyDescent="0.2"/>
    <row r="2807" ht="12.75" x14ac:dyDescent="0.2"/>
    <row r="2808" ht="12.75" x14ac:dyDescent="0.2"/>
    <row r="2809" ht="12.75" x14ac:dyDescent="0.2"/>
    <row r="2810" ht="12.75" x14ac:dyDescent="0.2"/>
    <row r="2811" ht="12.75" x14ac:dyDescent="0.2"/>
    <row r="2812" ht="12.75" x14ac:dyDescent="0.2"/>
    <row r="2813" ht="12.75" x14ac:dyDescent="0.2"/>
    <row r="2814" ht="12.75" x14ac:dyDescent="0.2"/>
    <row r="2815" ht="12.75" x14ac:dyDescent="0.2"/>
    <row r="2816" ht="12.75" x14ac:dyDescent="0.2"/>
    <row r="2817" ht="12.75" x14ac:dyDescent="0.2"/>
    <row r="2818" ht="12.75" x14ac:dyDescent="0.2"/>
    <row r="2819" ht="12.75" x14ac:dyDescent="0.2"/>
    <row r="2820" ht="12.75" x14ac:dyDescent="0.2"/>
    <row r="2821" ht="12.75" x14ac:dyDescent="0.2"/>
    <row r="2822" ht="12.75" x14ac:dyDescent="0.2"/>
    <row r="2823" ht="12.75" x14ac:dyDescent="0.2"/>
    <row r="2824" ht="12.75" x14ac:dyDescent="0.2"/>
    <row r="2825" ht="12.75" x14ac:dyDescent="0.2"/>
    <row r="2826" ht="12.75" x14ac:dyDescent="0.2"/>
    <row r="2827" ht="12.75" x14ac:dyDescent="0.2"/>
    <row r="2828" ht="12.75" x14ac:dyDescent="0.2"/>
    <row r="2829" ht="12.75" x14ac:dyDescent="0.2"/>
    <row r="2830" ht="12.75" x14ac:dyDescent="0.2"/>
    <row r="2831" ht="12.75" x14ac:dyDescent="0.2"/>
    <row r="2832" ht="12.75" x14ac:dyDescent="0.2"/>
    <row r="2833" ht="12.75" x14ac:dyDescent="0.2"/>
    <row r="2834" ht="12.75" x14ac:dyDescent="0.2"/>
    <row r="2835" ht="12.75" x14ac:dyDescent="0.2"/>
    <row r="2836" ht="12.75" x14ac:dyDescent="0.2"/>
    <row r="2837" ht="12.75" x14ac:dyDescent="0.2"/>
    <row r="2838" ht="12.75" x14ac:dyDescent="0.2"/>
    <row r="2839" ht="12.75" x14ac:dyDescent="0.2"/>
    <row r="2840" ht="12.75" x14ac:dyDescent="0.2"/>
    <row r="2841" ht="12.75" x14ac:dyDescent="0.2"/>
    <row r="2842" ht="12.75" x14ac:dyDescent="0.2"/>
    <row r="2843" ht="12.75" x14ac:dyDescent="0.2"/>
    <row r="2844" ht="12.75" x14ac:dyDescent="0.2"/>
    <row r="2845" ht="12.75" x14ac:dyDescent="0.2"/>
    <row r="2846" ht="12.75" x14ac:dyDescent="0.2"/>
    <row r="2847" ht="12.75" x14ac:dyDescent="0.2"/>
    <row r="2848" ht="12.75" x14ac:dyDescent="0.2"/>
    <row r="2849" ht="12.75" x14ac:dyDescent="0.2"/>
    <row r="2850" ht="12.75" x14ac:dyDescent="0.2"/>
    <row r="2851" ht="12.75" x14ac:dyDescent="0.2"/>
    <row r="2852" ht="12.75" x14ac:dyDescent="0.2"/>
    <row r="2853" ht="12.75" x14ac:dyDescent="0.2"/>
    <row r="2854" ht="12.75" x14ac:dyDescent="0.2"/>
    <row r="2855" ht="12.75" x14ac:dyDescent="0.2"/>
    <row r="2856" ht="12.75" x14ac:dyDescent="0.2"/>
    <row r="2857" ht="12.75" x14ac:dyDescent="0.2"/>
    <row r="2858" ht="12.75" x14ac:dyDescent="0.2"/>
    <row r="2859" ht="12.75" x14ac:dyDescent="0.2"/>
    <row r="2860" ht="12.75" x14ac:dyDescent="0.2"/>
    <row r="2861" ht="12.75" x14ac:dyDescent="0.2"/>
    <row r="2862" ht="12.75" x14ac:dyDescent="0.2"/>
    <row r="2863" ht="12.75" x14ac:dyDescent="0.2"/>
    <row r="2864" ht="12.75" x14ac:dyDescent="0.2"/>
    <row r="2865" ht="12.75" x14ac:dyDescent="0.2"/>
    <row r="2866" ht="12.75" x14ac:dyDescent="0.2"/>
    <row r="2867" ht="12.75" x14ac:dyDescent="0.2"/>
    <row r="2868" ht="12.75" x14ac:dyDescent="0.2"/>
    <row r="2869" ht="12.75" x14ac:dyDescent="0.2"/>
    <row r="2870" ht="12.75" x14ac:dyDescent="0.2"/>
    <row r="2871" ht="12.75" x14ac:dyDescent="0.2"/>
    <row r="2872" ht="12.75" x14ac:dyDescent="0.2"/>
    <row r="2873" ht="12.75" x14ac:dyDescent="0.2"/>
    <row r="2874" ht="12.75" x14ac:dyDescent="0.2"/>
    <row r="2875" ht="12.75" x14ac:dyDescent="0.2"/>
    <row r="2876" ht="12.75" x14ac:dyDescent="0.2"/>
    <row r="2877" ht="12.75" x14ac:dyDescent="0.2"/>
    <row r="2878" ht="12.75" x14ac:dyDescent="0.2"/>
    <row r="2879" ht="12.75" x14ac:dyDescent="0.2"/>
    <row r="2880" ht="12.75" x14ac:dyDescent="0.2"/>
    <row r="2881" ht="12.75" x14ac:dyDescent="0.2"/>
    <row r="2882" ht="12.75" x14ac:dyDescent="0.2"/>
    <row r="2883" ht="12.75" x14ac:dyDescent="0.2"/>
    <row r="2884" ht="12.75" x14ac:dyDescent="0.2"/>
    <row r="2885" ht="12.75" x14ac:dyDescent="0.2"/>
    <row r="2886" ht="12.75" x14ac:dyDescent="0.2"/>
    <row r="2887" ht="12.75" x14ac:dyDescent="0.2"/>
    <row r="2888" ht="12.75" x14ac:dyDescent="0.2"/>
    <row r="2889" ht="12.75" x14ac:dyDescent="0.2"/>
    <row r="2890" ht="12.75" x14ac:dyDescent="0.2"/>
    <row r="2891" ht="12.75" x14ac:dyDescent="0.2"/>
    <row r="2892" ht="12.75" x14ac:dyDescent="0.2"/>
    <row r="2893" ht="12.75" x14ac:dyDescent="0.2"/>
    <row r="2894" ht="12.75" x14ac:dyDescent="0.2"/>
    <row r="2895" ht="12.75" x14ac:dyDescent="0.2"/>
    <row r="2896" ht="12.75" x14ac:dyDescent="0.2"/>
    <row r="2897" ht="12.75" x14ac:dyDescent="0.2"/>
    <row r="2898" ht="12.75" x14ac:dyDescent="0.2"/>
    <row r="2899" ht="12.75" x14ac:dyDescent="0.2"/>
    <row r="2900" ht="12.75" x14ac:dyDescent="0.2"/>
    <row r="2901" ht="12.75" x14ac:dyDescent="0.2"/>
    <row r="2902" ht="12.75" x14ac:dyDescent="0.2"/>
    <row r="2903" ht="12.75" x14ac:dyDescent="0.2"/>
    <row r="2904" ht="12.75" x14ac:dyDescent="0.2"/>
    <row r="2905" ht="12.75" x14ac:dyDescent="0.2"/>
    <row r="2906" ht="12.75" x14ac:dyDescent="0.2"/>
    <row r="2907" ht="12.75" x14ac:dyDescent="0.2"/>
    <row r="2908" ht="12.75" x14ac:dyDescent="0.2"/>
    <row r="2909" ht="12.75" x14ac:dyDescent="0.2"/>
    <row r="2910" ht="12.75" x14ac:dyDescent="0.2"/>
    <row r="2911" ht="12.75" x14ac:dyDescent="0.2"/>
    <row r="2912" ht="12.75" x14ac:dyDescent="0.2"/>
    <row r="2913" ht="12.75" x14ac:dyDescent="0.2"/>
    <row r="2914" ht="12.75" x14ac:dyDescent="0.2"/>
    <row r="2915" ht="12.75" x14ac:dyDescent="0.2"/>
    <row r="2916" ht="12.75" x14ac:dyDescent="0.2"/>
    <row r="2917" ht="12.75" x14ac:dyDescent="0.2"/>
    <row r="2918" ht="12.75" x14ac:dyDescent="0.2"/>
    <row r="2919" ht="12.75" x14ac:dyDescent="0.2"/>
    <row r="2920" ht="12.75" x14ac:dyDescent="0.2"/>
    <row r="2921" ht="12.75" x14ac:dyDescent="0.2"/>
    <row r="2922" ht="12.75" x14ac:dyDescent="0.2"/>
    <row r="2923" ht="12.75" x14ac:dyDescent="0.2"/>
    <row r="2924" ht="12.75" x14ac:dyDescent="0.2"/>
    <row r="2925" ht="12.75" x14ac:dyDescent="0.2"/>
    <row r="2926" ht="12.75" x14ac:dyDescent="0.2"/>
    <row r="2927" ht="12.75" x14ac:dyDescent="0.2"/>
    <row r="2928" ht="12.75" x14ac:dyDescent="0.2"/>
    <row r="2929" ht="12.75" x14ac:dyDescent="0.2"/>
    <row r="2930" ht="12.75" x14ac:dyDescent="0.2"/>
    <row r="2931" ht="12.75" x14ac:dyDescent="0.2"/>
    <row r="2932" ht="12.75" x14ac:dyDescent="0.2"/>
    <row r="2933" ht="12.75" x14ac:dyDescent="0.2"/>
    <row r="2934" ht="12.75" x14ac:dyDescent="0.2"/>
    <row r="2935" ht="12.75" x14ac:dyDescent="0.2"/>
    <row r="2936" ht="12.75" x14ac:dyDescent="0.2"/>
    <row r="2937" ht="12.75" x14ac:dyDescent="0.2"/>
    <row r="2938" ht="12.75" x14ac:dyDescent="0.2"/>
    <row r="2939" ht="12.75" x14ac:dyDescent="0.2"/>
    <row r="2940" ht="12.75" x14ac:dyDescent="0.2"/>
    <row r="2941" ht="12.75" x14ac:dyDescent="0.2"/>
    <row r="2942" ht="12.75" x14ac:dyDescent="0.2"/>
    <row r="2943" ht="12.75" x14ac:dyDescent="0.2"/>
    <row r="2944" ht="12.75" x14ac:dyDescent="0.2"/>
    <row r="2945" ht="12.75" x14ac:dyDescent="0.2"/>
    <row r="2946" ht="12.75" x14ac:dyDescent="0.2"/>
    <row r="2947" ht="12.75" x14ac:dyDescent="0.2"/>
    <row r="2948" ht="12.75" x14ac:dyDescent="0.2"/>
    <row r="2949" ht="12.75" x14ac:dyDescent="0.2"/>
    <row r="2950" ht="12.75" x14ac:dyDescent="0.2"/>
    <row r="2951" ht="12.75" x14ac:dyDescent="0.2"/>
    <row r="2952" ht="12.75" x14ac:dyDescent="0.2"/>
    <row r="2953" ht="12.75" x14ac:dyDescent="0.2"/>
    <row r="2954" ht="12.75" x14ac:dyDescent="0.2"/>
    <row r="2955" ht="12.75" x14ac:dyDescent="0.2"/>
    <row r="2956" ht="12.75" x14ac:dyDescent="0.2"/>
    <row r="2957" ht="12.75" x14ac:dyDescent="0.2"/>
    <row r="2958" ht="12.75" x14ac:dyDescent="0.2"/>
    <row r="2959" ht="12.75" x14ac:dyDescent="0.2"/>
    <row r="2960" ht="12.75" x14ac:dyDescent="0.2"/>
    <row r="2961" ht="12.75" x14ac:dyDescent="0.2"/>
    <row r="2962" ht="12.75" x14ac:dyDescent="0.2"/>
    <row r="2963" ht="12.75" x14ac:dyDescent="0.2"/>
    <row r="2964" ht="12.75" x14ac:dyDescent="0.2"/>
    <row r="2965" ht="12.75" x14ac:dyDescent="0.2"/>
    <row r="2966" ht="12.75" x14ac:dyDescent="0.2"/>
    <row r="2967" ht="12.75" x14ac:dyDescent="0.2"/>
    <row r="2968" ht="12.75" x14ac:dyDescent="0.2"/>
    <row r="2969" ht="12.75" x14ac:dyDescent="0.2"/>
    <row r="2970" ht="12.75" x14ac:dyDescent="0.2"/>
    <row r="2971" ht="12.75" x14ac:dyDescent="0.2"/>
    <row r="2972" ht="12.75" x14ac:dyDescent="0.2"/>
    <row r="2973" ht="12.75" x14ac:dyDescent="0.2"/>
    <row r="2974" ht="12.75" x14ac:dyDescent="0.2"/>
    <row r="2975" ht="12.75" x14ac:dyDescent="0.2"/>
    <row r="2976" ht="12.75" x14ac:dyDescent="0.2"/>
    <row r="2977" ht="12.75" x14ac:dyDescent="0.2"/>
    <row r="2978" ht="12.75" x14ac:dyDescent="0.2"/>
    <row r="2979" ht="12.75" x14ac:dyDescent="0.2"/>
    <row r="2980" ht="12.75" x14ac:dyDescent="0.2"/>
    <row r="2981" ht="12.75" x14ac:dyDescent="0.2"/>
    <row r="2982" ht="12.75" x14ac:dyDescent="0.2"/>
    <row r="2983" ht="12.75" x14ac:dyDescent="0.2"/>
    <row r="2984" ht="12.75" x14ac:dyDescent="0.2"/>
    <row r="2985" ht="12.75" x14ac:dyDescent="0.2"/>
    <row r="2986" ht="12.75" x14ac:dyDescent="0.2"/>
    <row r="2987" ht="12.75" x14ac:dyDescent="0.2"/>
    <row r="2988" ht="12.75" x14ac:dyDescent="0.2"/>
    <row r="2989" ht="12.75" x14ac:dyDescent="0.2"/>
    <row r="2990" ht="12.75" x14ac:dyDescent="0.2"/>
    <row r="2991" ht="12.75" x14ac:dyDescent="0.2"/>
    <row r="2992" ht="12.75" x14ac:dyDescent="0.2"/>
    <row r="2993" ht="12.75" x14ac:dyDescent="0.2"/>
    <row r="2994" ht="12.75" x14ac:dyDescent="0.2"/>
    <row r="2995" ht="12.75" x14ac:dyDescent="0.2"/>
    <row r="2996" ht="12.75" x14ac:dyDescent="0.2"/>
    <row r="2997" ht="12.75" x14ac:dyDescent="0.2"/>
    <row r="2998" ht="12.75" x14ac:dyDescent="0.2"/>
    <row r="2999" ht="12.75" x14ac:dyDescent="0.2"/>
    <row r="3000" ht="12.75" x14ac:dyDescent="0.2"/>
    <row r="3001" ht="12.75" x14ac:dyDescent="0.2"/>
    <row r="3002" ht="12.75" x14ac:dyDescent="0.2"/>
    <row r="3003" ht="12.75" x14ac:dyDescent="0.2"/>
    <row r="3004" ht="12.75" x14ac:dyDescent="0.2"/>
    <row r="3005" ht="12.75" x14ac:dyDescent="0.2"/>
    <row r="3006" ht="12.75" x14ac:dyDescent="0.2"/>
    <row r="3007" ht="12.75" x14ac:dyDescent="0.2"/>
    <row r="3008" ht="12.75" x14ac:dyDescent="0.2"/>
    <row r="3009" ht="12.75" x14ac:dyDescent="0.2"/>
    <row r="3010" ht="12.75" x14ac:dyDescent="0.2"/>
    <row r="3011" ht="12.75" x14ac:dyDescent="0.2"/>
    <row r="3012" ht="12.75" x14ac:dyDescent="0.2"/>
    <row r="3013" ht="12.75" x14ac:dyDescent="0.2"/>
    <row r="3014" ht="12.75" x14ac:dyDescent="0.2"/>
    <row r="3015" ht="12.75" x14ac:dyDescent="0.2"/>
    <row r="3016" ht="12.75" x14ac:dyDescent="0.2"/>
    <row r="3017" ht="12.75" x14ac:dyDescent="0.2"/>
    <row r="3018" ht="12.75" x14ac:dyDescent="0.2"/>
    <row r="3019" ht="12.75" x14ac:dyDescent="0.2"/>
    <row r="3020" ht="12.75" x14ac:dyDescent="0.2"/>
    <row r="3021" ht="12.75" x14ac:dyDescent="0.2"/>
    <row r="3022" ht="12.75" x14ac:dyDescent="0.2"/>
    <row r="3023" ht="12.75" x14ac:dyDescent="0.2"/>
    <row r="3024" ht="12.75" x14ac:dyDescent="0.2"/>
    <row r="3025" ht="12.75" x14ac:dyDescent="0.2"/>
    <row r="3026" ht="12.75" x14ac:dyDescent="0.2"/>
    <row r="3027" ht="12.75" x14ac:dyDescent="0.2"/>
    <row r="3028" ht="12.75" x14ac:dyDescent="0.2"/>
    <row r="3029" ht="12.75" x14ac:dyDescent="0.2"/>
    <row r="3030" ht="12.75" x14ac:dyDescent="0.2"/>
    <row r="3031" ht="12.75" x14ac:dyDescent="0.2"/>
    <row r="3032" ht="12.75" x14ac:dyDescent="0.2"/>
    <row r="3033" ht="12.75" x14ac:dyDescent="0.2"/>
    <row r="3034" ht="12.75" x14ac:dyDescent="0.2"/>
    <row r="3035" ht="12.75" x14ac:dyDescent="0.2"/>
    <row r="3036" ht="12.75" x14ac:dyDescent="0.2"/>
    <row r="3037" ht="12.75" x14ac:dyDescent="0.2"/>
    <row r="3038" ht="12.75" x14ac:dyDescent="0.2"/>
    <row r="3039" ht="12.75" x14ac:dyDescent="0.2"/>
    <row r="3040" ht="12.75" x14ac:dyDescent="0.2"/>
    <row r="3041" ht="12.75" x14ac:dyDescent="0.2"/>
    <row r="3042" ht="12.75" x14ac:dyDescent="0.2"/>
    <row r="3043" ht="12.75" x14ac:dyDescent="0.2"/>
    <row r="3044" ht="12.75" x14ac:dyDescent="0.2"/>
    <row r="3045" ht="12.75" x14ac:dyDescent="0.2"/>
    <row r="3046" ht="12.75" x14ac:dyDescent="0.2"/>
    <row r="3047" ht="12.75" x14ac:dyDescent="0.2"/>
    <row r="3048" ht="12.75" x14ac:dyDescent="0.2"/>
    <row r="3049" ht="12.75" x14ac:dyDescent="0.2"/>
    <row r="3050" ht="12.75" x14ac:dyDescent="0.2"/>
    <row r="3051" ht="12.75" x14ac:dyDescent="0.2"/>
    <row r="3052" ht="12.75" x14ac:dyDescent="0.2"/>
    <row r="3053" ht="12.75" x14ac:dyDescent="0.2"/>
    <row r="3054" ht="12.75" x14ac:dyDescent="0.2"/>
    <row r="3055" ht="12.75" x14ac:dyDescent="0.2"/>
    <row r="3056" ht="12.75" x14ac:dyDescent="0.2"/>
    <row r="3057" ht="12.75" x14ac:dyDescent="0.2"/>
    <row r="3058" ht="12.75" x14ac:dyDescent="0.2"/>
    <row r="3059" ht="12.75" x14ac:dyDescent="0.2"/>
    <row r="3060" ht="12.75" x14ac:dyDescent="0.2"/>
    <row r="3061" ht="12.75" x14ac:dyDescent="0.2"/>
    <row r="3062" ht="12.75" x14ac:dyDescent="0.2"/>
    <row r="3063" ht="12.75" x14ac:dyDescent="0.2"/>
    <row r="3064" ht="12.75" x14ac:dyDescent="0.2"/>
    <row r="3065" ht="12.75" x14ac:dyDescent="0.2"/>
    <row r="3066" ht="12.75" x14ac:dyDescent="0.2"/>
    <row r="3067" ht="12.75" x14ac:dyDescent="0.2"/>
    <row r="3068" ht="12.75" x14ac:dyDescent="0.2"/>
    <row r="3069" ht="12.75" x14ac:dyDescent="0.2"/>
    <row r="3070" ht="12.75" x14ac:dyDescent="0.2"/>
    <row r="3071" ht="12.75" x14ac:dyDescent="0.2"/>
    <row r="3072" ht="12.75" x14ac:dyDescent="0.2"/>
    <row r="3073" ht="12.75" x14ac:dyDescent="0.2"/>
    <row r="3074" ht="12.75" x14ac:dyDescent="0.2"/>
    <row r="3075" ht="12.75" x14ac:dyDescent="0.2"/>
    <row r="3076" ht="12.75" x14ac:dyDescent="0.2"/>
    <row r="3077" ht="12.75" x14ac:dyDescent="0.2"/>
    <row r="3078" ht="12.75" x14ac:dyDescent="0.2"/>
    <row r="3079" ht="12.75" x14ac:dyDescent="0.2"/>
    <row r="3080" ht="12.75" x14ac:dyDescent="0.2"/>
    <row r="3081" ht="12.75" x14ac:dyDescent="0.2"/>
    <row r="3082" ht="12.75" x14ac:dyDescent="0.2"/>
    <row r="3083" ht="12.75" x14ac:dyDescent="0.2"/>
    <row r="3084" ht="12.75" x14ac:dyDescent="0.2"/>
    <row r="3085" ht="12.75" x14ac:dyDescent="0.2"/>
    <row r="3086" ht="12.75" x14ac:dyDescent="0.2"/>
    <row r="3087" ht="12.75" x14ac:dyDescent="0.2"/>
    <row r="3088" ht="12.75" x14ac:dyDescent="0.2"/>
    <row r="3089" ht="12.75" x14ac:dyDescent="0.2"/>
    <row r="3090" ht="12.75" x14ac:dyDescent="0.2"/>
    <row r="3091" ht="12.75" x14ac:dyDescent="0.2"/>
    <row r="3092" ht="12.75" x14ac:dyDescent="0.2"/>
    <row r="3093" ht="12.75" x14ac:dyDescent="0.2"/>
    <row r="3094" ht="12.75" x14ac:dyDescent="0.2"/>
    <row r="3095" ht="12.75" x14ac:dyDescent="0.2"/>
    <row r="3096" ht="12.75" x14ac:dyDescent="0.2"/>
    <row r="3097" ht="12.75" x14ac:dyDescent="0.2"/>
    <row r="3098" ht="12.75" x14ac:dyDescent="0.2"/>
    <row r="3099" ht="12.75" x14ac:dyDescent="0.2"/>
    <row r="3100" ht="12.75" x14ac:dyDescent="0.2"/>
    <row r="3101" ht="12.75" x14ac:dyDescent="0.2"/>
    <row r="3102" ht="12.75" x14ac:dyDescent="0.2"/>
    <row r="3103" ht="12.75" x14ac:dyDescent="0.2"/>
    <row r="3104" ht="12.75" x14ac:dyDescent="0.2"/>
    <row r="3105" ht="12.75" x14ac:dyDescent="0.2"/>
    <row r="3106" ht="12.75" x14ac:dyDescent="0.2"/>
    <row r="3107" ht="12.75" x14ac:dyDescent="0.2"/>
    <row r="3108" ht="12.75" x14ac:dyDescent="0.2"/>
    <row r="3109" ht="12.75" x14ac:dyDescent="0.2"/>
    <row r="3110" ht="12.75" x14ac:dyDescent="0.2"/>
    <row r="3111" ht="12.75" x14ac:dyDescent="0.2"/>
    <row r="3112" ht="12.75" x14ac:dyDescent="0.2"/>
    <row r="3113" ht="12.75" x14ac:dyDescent="0.2"/>
    <row r="3114" ht="12.75" x14ac:dyDescent="0.2"/>
    <row r="3115" ht="12.75" x14ac:dyDescent="0.2"/>
    <row r="3116" ht="12.75" x14ac:dyDescent="0.2"/>
    <row r="3117" ht="12.75" x14ac:dyDescent="0.2"/>
    <row r="3118" ht="12.75" x14ac:dyDescent="0.2"/>
    <row r="3119" ht="12.75" x14ac:dyDescent="0.2"/>
    <row r="3120" ht="12.75" x14ac:dyDescent="0.2"/>
    <row r="3121" ht="12.75" x14ac:dyDescent="0.2"/>
    <row r="3122" ht="12.75" x14ac:dyDescent="0.2"/>
    <row r="3123" ht="12.75" x14ac:dyDescent="0.2"/>
    <row r="3124" ht="12.75" x14ac:dyDescent="0.2"/>
    <row r="3125" ht="12.75" x14ac:dyDescent="0.2"/>
    <row r="3126" ht="12.75" x14ac:dyDescent="0.2"/>
    <row r="3127" ht="12.75" x14ac:dyDescent="0.2"/>
    <row r="3128" ht="12.75" x14ac:dyDescent="0.2"/>
    <row r="3129" ht="12.75" x14ac:dyDescent="0.2"/>
    <row r="3130" ht="12.75" x14ac:dyDescent="0.2"/>
    <row r="3131" ht="12.75" x14ac:dyDescent="0.2"/>
    <row r="3132" ht="12.75" x14ac:dyDescent="0.2"/>
    <row r="3133" ht="12.75" x14ac:dyDescent="0.2"/>
    <row r="3134" ht="12.75" x14ac:dyDescent="0.2"/>
    <row r="3135" ht="12.75" x14ac:dyDescent="0.2"/>
    <row r="3136" ht="12.75" x14ac:dyDescent="0.2"/>
    <row r="3137" ht="12.75" x14ac:dyDescent="0.2"/>
    <row r="3138" ht="12.75" x14ac:dyDescent="0.2"/>
    <row r="3139" ht="12.75" x14ac:dyDescent="0.2"/>
    <row r="3140" ht="12.75" x14ac:dyDescent="0.2"/>
    <row r="3141" ht="12.75" x14ac:dyDescent="0.2"/>
    <row r="3142" ht="12.75" x14ac:dyDescent="0.2"/>
    <row r="3143" ht="12.75" x14ac:dyDescent="0.2"/>
    <row r="3144" ht="12.75" x14ac:dyDescent="0.2"/>
    <row r="3145" ht="12.75" x14ac:dyDescent="0.2"/>
    <row r="3146" ht="12.75" x14ac:dyDescent="0.2"/>
    <row r="3147" ht="12.75" x14ac:dyDescent="0.2"/>
    <row r="3148" ht="12.75" x14ac:dyDescent="0.2"/>
    <row r="3149" ht="12.75" x14ac:dyDescent="0.2"/>
    <row r="3150" ht="12.75" x14ac:dyDescent="0.2"/>
    <row r="3151" ht="12.75" x14ac:dyDescent="0.2"/>
    <row r="3152" ht="12.75" x14ac:dyDescent="0.2"/>
    <row r="3153" ht="12.75" x14ac:dyDescent="0.2"/>
    <row r="3154" ht="12.75" x14ac:dyDescent="0.2"/>
    <row r="3155" ht="12.75" x14ac:dyDescent="0.2"/>
    <row r="3156" ht="12.75" x14ac:dyDescent="0.2"/>
    <row r="3157" ht="12.75" x14ac:dyDescent="0.2"/>
    <row r="3158" ht="12.75" x14ac:dyDescent="0.2"/>
    <row r="3159" ht="12.75" x14ac:dyDescent="0.2"/>
    <row r="3160" ht="12.75" x14ac:dyDescent="0.2"/>
    <row r="3161" ht="12.75" x14ac:dyDescent="0.2"/>
    <row r="3162" ht="12.75" x14ac:dyDescent="0.2"/>
    <row r="3163" ht="12.75" x14ac:dyDescent="0.2"/>
    <row r="3164" ht="12.75" x14ac:dyDescent="0.2"/>
    <row r="3165" ht="12.75" x14ac:dyDescent="0.2"/>
    <row r="3166" ht="12.75" x14ac:dyDescent="0.2"/>
    <row r="3167" ht="12.75" x14ac:dyDescent="0.2"/>
    <row r="3168" ht="12.75" x14ac:dyDescent="0.2"/>
    <row r="3169" ht="12.75" x14ac:dyDescent="0.2"/>
    <row r="3170" ht="12.75" x14ac:dyDescent="0.2"/>
    <row r="3171" ht="12.75" x14ac:dyDescent="0.2"/>
    <row r="3172" ht="12.75" x14ac:dyDescent="0.2"/>
    <row r="3173" ht="12.75" x14ac:dyDescent="0.2"/>
    <row r="3174" ht="12.75" x14ac:dyDescent="0.2"/>
    <row r="3175" ht="12.75" x14ac:dyDescent="0.2"/>
    <row r="3176" ht="12.75" x14ac:dyDescent="0.2"/>
    <row r="3177" ht="12.75" x14ac:dyDescent="0.2"/>
    <row r="3178" ht="12.75" x14ac:dyDescent="0.2"/>
    <row r="3179" ht="12.75" x14ac:dyDescent="0.2"/>
    <row r="3180" ht="12.75" x14ac:dyDescent="0.2"/>
    <row r="3181" ht="12.75" x14ac:dyDescent="0.2"/>
    <row r="3182" ht="12.75" x14ac:dyDescent="0.2"/>
    <row r="3183" ht="12.75" x14ac:dyDescent="0.2"/>
    <row r="3184" ht="12.75" x14ac:dyDescent="0.2"/>
    <row r="3185" ht="12.75" x14ac:dyDescent="0.2"/>
    <row r="3186" ht="12.75" x14ac:dyDescent="0.2"/>
    <row r="3187" ht="12.75" x14ac:dyDescent="0.2"/>
    <row r="3188" ht="12.75" x14ac:dyDescent="0.2"/>
    <row r="3189" ht="12.75" x14ac:dyDescent="0.2"/>
    <row r="3190" ht="12.75" x14ac:dyDescent="0.2"/>
    <row r="3191" ht="12.75" x14ac:dyDescent="0.2"/>
    <row r="3192" ht="12.75" x14ac:dyDescent="0.2"/>
    <row r="3193" ht="12.75" x14ac:dyDescent="0.2"/>
    <row r="3194" ht="12.75" x14ac:dyDescent="0.2"/>
    <row r="3195" ht="12.75" x14ac:dyDescent="0.2"/>
    <row r="3196" ht="12.75" x14ac:dyDescent="0.2"/>
    <row r="3197" ht="12.75" x14ac:dyDescent="0.2"/>
    <row r="3198" ht="12.75" x14ac:dyDescent="0.2"/>
    <row r="3199" ht="12.75" x14ac:dyDescent="0.2"/>
    <row r="3200" ht="12.75" x14ac:dyDescent="0.2"/>
    <row r="3201" ht="12.75" x14ac:dyDescent="0.2"/>
    <row r="3202" ht="12.75" x14ac:dyDescent="0.2"/>
    <row r="3203" ht="12.75" x14ac:dyDescent="0.2"/>
    <row r="3204" ht="12.75" x14ac:dyDescent="0.2"/>
    <row r="3205" ht="12.75" x14ac:dyDescent="0.2"/>
    <row r="3206" ht="12.75" x14ac:dyDescent="0.2"/>
    <row r="3207" ht="12.75" x14ac:dyDescent="0.2"/>
    <row r="3208" ht="12.75" x14ac:dyDescent="0.2"/>
    <row r="3209" ht="12.75" x14ac:dyDescent="0.2"/>
    <row r="3210" ht="12.75" x14ac:dyDescent="0.2"/>
    <row r="3211" ht="12.75" x14ac:dyDescent="0.2"/>
    <row r="3212" ht="12.75" x14ac:dyDescent="0.2"/>
    <row r="3213" ht="12.75" x14ac:dyDescent="0.2"/>
    <row r="3214" ht="12.75" x14ac:dyDescent="0.2"/>
    <row r="3215" ht="12.75" x14ac:dyDescent="0.2"/>
    <row r="3216" ht="12.75" x14ac:dyDescent="0.2"/>
    <row r="3217" ht="12.75" x14ac:dyDescent="0.2"/>
    <row r="3218" ht="12.75" x14ac:dyDescent="0.2"/>
    <row r="3219" ht="12.75" x14ac:dyDescent="0.2"/>
    <row r="3220" ht="12.75" x14ac:dyDescent="0.2"/>
    <row r="3221" ht="12.75" x14ac:dyDescent="0.2"/>
    <row r="3222" ht="12.75" x14ac:dyDescent="0.2"/>
    <row r="3223" ht="12.75" x14ac:dyDescent="0.2"/>
    <row r="3224" ht="12.75" x14ac:dyDescent="0.2"/>
    <row r="3225" ht="12.75" x14ac:dyDescent="0.2"/>
    <row r="3226" ht="12.75" x14ac:dyDescent="0.2"/>
    <row r="3227" ht="12.75" x14ac:dyDescent="0.2"/>
    <row r="3228" ht="12.75" x14ac:dyDescent="0.2"/>
    <row r="3229" ht="12.75" x14ac:dyDescent="0.2"/>
    <row r="3230" ht="12.75" x14ac:dyDescent="0.2"/>
    <row r="3231" ht="12.75" x14ac:dyDescent="0.2"/>
    <row r="3232" ht="12.75" x14ac:dyDescent="0.2"/>
    <row r="3233" ht="12.75" x14ac:dyDescent="0.2"/>
    <row r="3234" ht="12.75" x14ac:dyDescent="0.2"/>
    <row r="3235" ht="12.75" x14ac:dyDescent="0.2"/>
    <row r="3236" ht="12.75" x14ac:dyDescent="0.2"/>
    <row r="3237" ht="12.75" x14ac:dyDescent="0.2"/>
    <row r="3238" ht="12.75" x14ac:dyDescent="0.2"/>
    <row r="3239" ht="12.75" x14ac:dyDescent="0.2"/>
    <row r="3240" ht="12.75" x14ac:dyDescent="0.2"/>
    <row r="3241" ht="12.75" x14ac:dyDescent="0.2"/>
    <row r="3242" ht="12.75" x14ac:dyDescent="0.2"/>
    <row r="3243" ht="12.75" x14ac:dyDescent="0.2"/>
    <row r="3244" ht="12.75" x14ac:dyDescent="0.2"/>
    <row r="3245" ht="12.75" x14ac:dyDescent="0.2"/>
    <row r="3246" ht="12.75" x14ac:dyDescent="0.2"/>
    <row r="3247" ht="12.75" x14ac:dyDescent="0.2"/>
    <row r="3248" ht="12.75" x14ac:dyDescent="0.2"/>
    <row r="3249" ht="12.75" x14ac:dyDescent="0.2"/>
    <row r="3250" ht="12.75" x14ac:dyDescent="0.2"/>
    <row r="3251" ht="12.75" x14ac:dyDescent="0.2"/>
    <row r="3252" ht="12.75" x14ac:dyDescent="0.2"/>
    <row r="3253" ht="12.75" x14ac:dyDescent="0.2"/>
    <row r="3254" ht="12.75" x14ac:dyDescent="0.2"/>
    <row r="3255" ht="12.75" x14ac:dyDescent="0.2"/>
    <row r="3256" ht="12.75" x14ac:dyDescent="0.2"/>
    <row r="3257" ht="12.75" x14ac:dyDescent="0.2"/>
    <row r="3258" ht="12.75" x14ac:dyDescent="0.2"/>
    <row r="3259" ht="12.75" x14ac:dyDescent="0.2"/>
    <row r="3260" ht="12.75" x14ac:dyDescent="0.2"/>
    <row r="3261" ht="12.75" x14ac:dyDescent="0.2"/>
    <row r="3262" ht="12.75" x14ac:dyDescent="0.2"/>
    <row r="3263" ht="12.75" x14ac:dyDescent="0.2"/>
    <row r="3264" ht="12.75" x14ac:dyDescent="0.2"/>
    <row r="3265" ht="12.75" x14ac:dyDescent="0.2"/>
    <row r="3266" ht="12.75" x14ac:dyDescent="0.2"/>
    <row r="3267" ht="12.75" x14ac:dyDescent="0.2"/>
    <row r="3268" ht="12.75" x14ac:dyDescent="0.2"/>
    <row r="3269" ht="12.75" x14ac:dyDescent="0.2"/>
    <row r="3270" ht="12.75" x14ac:dyDescent="0.2"/>
    <row r="3271" ht="12.75" x14ac:dyDescent="0.2"/>
    <row r="3272" ht="12.75" x14ac:dyDescent="0.2"/>
    <row r="3273" ht="12.75" x14ac:dyDescent="0.2"/>
    <row r="3274" ht="12.75" x14ac:dyDescent="0.2"/>
    <row r="3275" ht="12.75" x14ac:dyDescent="0.2"/>
    <row r="3276" ht="12.75" x14ac:dyDescent="0.2"/>
    <row r="3277" ht="12.75" x14ac:dyDescent="0.2"/>
    <row r="3278" ht="12.75" x14ac:dyDescent="0.2"/>
    <row r="3279" ht="12.75" x14ac:dyDescent="0.2"/>
    <row r="3280" ht="12.75" x14ac:dyDescent="0.2"/>
    <row r="3281" ht="12.75" x14ac:dyDescent="0.2"/>
    <row r="3282" ht="12.75" x14ac:dyDescent="0.2"/>
    <row r="3283" ht="12.75" x14ac:dyDescent="0.2"/>
    <row r="3284" ht="12.75" x14ac:dyDescent="0.2"/>
    <row r="3285" ht="12.75" x14ac:dyDescent="0.2"/>
    <row r="3286" ht="12.75" x14ac:dyDescent="0.2"/>
    <row r="3287" ht="12.75" x14ac:dyDescent="0.2"/>
    <row r="3288" ht="12.75" x14ac:dyDescent="0.2"/>
    <row r="3289" ht="12.75" x14ac:dyDescent="0.2"/>
    <row r="3290" ht="12.75" x14ac:dyDescent="0.2"/>
    <row r="3291" ht="12.75" x14ac:dyDescent="0.2"/>
    <row r="3292" ht="12.75" x14ac:dyDescent="0.2"/>
    <row r="3293" ht="12.75" x14ac:dyDescent="0.2"/>
    <row r="3294" ht="12.75" x14ac:dyDescent="0.2"/>
    <row r="3295" ht="12.75" x14ac:dyDescent="0.2"/>
    <row r="3296" ht="12.75" x14ac:dyDescent="0.2"/>
    <row r="3297" ht="12.75" x14ac:dyDescent="0.2"/>
    <row r="3298" ht="12.75" x14ac:dyDescent="0.2"/>
    <row r="3299" ht="12.75" x14ac:dyDescent="0.2"/>
    <row r="3300" ht="12.75" x14ac:dyDescent="0.2"/>
    <row r="3301" ht="12.75" x14ac:dyDescent="0.2"/>
    <row r="3302" ht="12.75" x14ac:dyDescent="0.2"/>
    <row r="3303" ht="12.75" x14ac:dyDescent="0.2"/>
    <row r="3304" ht="12.75" x14ac:dyDescent="0.2"/>
    <row r="3305" ht="12.75" x14ac:dyDescent="0.2"/>
    <row r="3306" ht="12.75" x14ac:dyDescent="0.2"/>
    <row r="3307" ht="12.75" x14ac:dyDescent="0.2"/>
    <row r="3308" ht="12.75" x14ac:dyDescent="0.2"/>
    <row r="3309" ht="12.75" x14ac:dyDescent="0.2"/>
    <row r="3310" ht="12.75" x14ac:dyDescent="0.2"/>
    <row r="3311" ht="12.75" x14ac:dyDescent="0.2"/>
    <row r="3312" ht="12.75" x14ac:dyDescent="0.2"/>
    <row r="3313" ht="12.75" x14ac:dyDescent="0.2"/>
    <row r="3314" ht="12.75" x14ac:dyDescent="0.2"/>
    <row r="3315" ht="12.75" x14ac:dyDescent="0.2"/>
    <row r="3316" ht="12.75" x14ac:dyDescent="0.2"/>
    <row r="3317" ht="12.75" x14ac:dyDescent="0.2"/>
    <row r="3318" ht="12.75" x14ac:dyDescent="0.2"/>
    <row r="3319" ht="12.75" x14ac:dyDescent="0.2"/>
    <row r="3320" ht="12.75" x14ac:dyDescent="0.2"/>
    <row r="3321" ht="12.75" x14ac:dyDescent="0.2"/>
    <row r="3322" ht="12.75" x14ac:dyDescent="0.2"/>
    <row r="3323" ht="12.75" x14ac:dyDescent="0.2"/>
    <row r="3324" ht="12.75" x14ac:dyDescent="0.2"/>
    <row r="3325" ht="12.75" x14ac:dyDescent="0.2"/>
    <row r="3326" ht="12.75" x14ac:dyDescent="0.2"/>
    <row r="3327" ht="12.75" x14ac:dyDescent="0.2"/>
    <row r="3328" ht="12.75" x14ac:dyDescent="0.2"/>
    <row r="3329" ht="12.75" x14ac:dyDescent="0.2"/>
    <row r="3330" ht="12.75" x14ac:dyDescent="0.2"/>
    <row r="3331" ht="12.75" x14ac:dyDescent="0.2"/>
    <row r="3332" ht="12.75" x14ac:dyDescent="0.2"/>
    <row r="3333" ht="12.75" x14ac:dyDescent="0.2"/>
    <row r="3334" ht="12.75" x14ac:dyDescent="0.2"/>
    <row r="3335" ht="12.75" x14ac:dyDescent="0.2"/>
    <row r="3336" ht="12.75" x14ac:dyDescent="0.2"/>
    <row r="3337" ht="12.75" x14ac:dyDescent="0.2"/>
    <row r="3338" ht="12.75" x14ac:dyDescent="0.2"/>
    <row r="3339" ht="12.75" x14ac:dyDescent="0.2"/>
    <row r="3340" ht="12.75" x14ac:dyDescent="0.2"/>
    <row r="3341" ht="12.75" x14ac:dyDescent="0.2"/>
    <row r="3342" ht="12.75" x14ac:dyDescent="0.2"/>
    <row r="3343" ht="12.75" x14ac:dyDescent="0.2"/>
    <row r="3344" ht="12.75" x14ac:dyDescent="0.2"/>
    <row r="3345" ht="12.75" x14ac:dyDescent="0.2"/>
    <row r="3346" ht="12.75" x14ac:dyDescent="0.2"/>
    <row r="3347" ht="12.75" x14ac:dyDescent="0.2"/>
    <row r="3348" ht="12.75" x14ac:dyDescent="0.2"/>
    <row r="3349" ht="12.75" x14ac:dyDescent="0.2"/>
    <row r="3350" ht="12.75" x14ac:dyDescent="0.2"/>
    <row r="3351" ht="12.75" x14ac:dyDescent="0.2"/>
    <row r="3352" ht="12.75" x14ac:dyDescent="0.2"/>
    <row r="3353" ht="12.75" x14ac:dyDescent="0.2"/>
    <row r="3354" ht="12.75" x14ac:dyDescent="0.2"/>
    <row r="3355" ht="12.75" x14ac:dyDescent="0.2"/>
    <row r="3356" ht="12.75" x14ac:dyDescent="0.2"/>
    <row r="3357" ht="12.75" x14ac:dyDescent="0.2"/>
    <row r="3358" ht="12.75" x14ac:dyDescent="0.2"/>
    <row r="3359" ht="12.75" x14ac:dyDescent="0.2"/>
    <row r="3360" ht="12.75" x14ac:dyDescent="0.2"/>
    <row r="3361" ht="12.75" x14ac:dyDescent="0.2"/>
    <row r="3362" ht="12.75" x14ac:dyDescent="0.2"/>
    <row r="3363" ht="12.75" x14ac:dyDescent="0.2"/>
    <row r="3364" ht="12.75" x14ac:dyDescent="0.2"/>
    <row r="3365" ht="12.75" x14ac:dyDescent="0.2"/>
    <row r="3366" ht="12.75" x14ac:dyDescent="0.2"/>
    <row r="3367" ht="12.75" x14ac:dyDescent="0.2"/>
    <row r="3368" ht="12.75" x14ac:dyDescent="0.2"/>
    <row r="3369" ht="12.75" x14ac:dyDescent="0.2"/>
    <row r="3370" ht="12.75" x14ac:dyDescent="0.2"/>
    <row r="3371" ht="12.75" x14ac:dyDescent="0.2"/>
    <row r="3372" ht="12.75" x14ac:dyDescent="0.2"/>
    <row r="3373" ht="12.75" x14ac:dyDescent="0.2"/>
    <row r="3374" ht="12.75" x14ac:dyDescent="0.2"/>
    <row r="3375" ht="12.75" x14ac:dyDescent="0.2"/>
    <row r="3376" ht="12.75" x14ac:dyDescent="0.2"/>
    <row r="3377" ht="12.75" x14ac:dyDescent="0.2"/>
    <row r="3378" ht="12.75" x14ac:dyDescent="0.2"/>
    <row r="3379" ht="12.75" x14ac:dyDescent="0.2"/>
    <row r="3380" ht="12.75" x14ac:dyDescent="0.2"/>
    <row r="3381" ht="12.75" x14ac:dyDescent="0.2"/>
    <row r="3382" ht="12.75" x14ac:dyDescent="0.2"/>
    <row r="3383" ht="12.75" x14ac:dyDescent="0.2"/>
    <row r="3384" ht="12.75" x14ac:dyDescent="0.2"/>
    <row r="3385" ht="12.75" x14ac:dyDescent="0.2"/>
    <row r="3386" ht="12.75" x14ac:dyDescent="0.2"/>
    <row r="3387" ht="12.75" x14ac:dyDescent="0.2"/>
    <row r="3388" ht="12.75" x14ac:dyDescent="0.2"/>
    <row r="3389" ht="12.75" x14ac:dyDescent="0.2"/>
    <row r="3390" ht="12.75" x14ac:dyDescent="0.2"/>
    <row r="3391" ht="12.75" x14ac:dyDescent="0.2"/>
    <row r="3392" ht="12.75" x14ac:dyDescent="0.2"/>
    <row r="3393" ht="12.75" x14ac:dyDescent="0.2"/>
    <row r="3394" ht="12.75" x14ac:dyDescent="0.2"/>
    <row r="3395" ht="12.75" x14ac:dyDescent="0.2"/>
    <row r="3396" ht="12.75" x14ac:dyDescent="0.2"/>
    <row r="3397" ht="12.75" x14ac:dyDescent="0.2"/>
    <row r="3398" ht="12.75" x14ac:dyDescent="0.2"/>
    <row r="3399" ht="12.75" x14ac:dyDescent="0.2"/>
    <row r="3400" ht="12.75" x14ac:dyDescent="0.2"/>
    <row r="3401" ht="12.75" x14ac:dyDescent="0.2"/>
    <row r="3402" ht="12.75" x14ac:dyDescent="0.2"/>
    <row r="3403" ht="12.75" x14ac:dyDescent="0.2"/>
    <row r="3404" ht="12.75" x14ac:dyDescent="0.2"/>
    <row r="3405" ht="12.75" x14ac:dyDescent="0.2"/>
    <row r="3406" ht="12.75" x14ac:dyDescent="0.2"/>
    <row r="3407" ht="12.75" x14ac:dyDescent="0.2"/>
    <row r="3408" ht="12.75" x14ac:dyDescent="0.2"/>
    <row r="3409" ht="12.75" x14ac:dyDescent="0.2"/>
    <row r="3410" ht="12.75" x14ac:dyDescent="0.2"/>
    <row r="3411" ht="12.75" x14ac:dyDescent="0.2"/>
    <row r="3412" ht="12.75" x14ac:dyDescent="0.2"/>
    <row r="3413" ht="12.75" x14ac:dyDescent="0.2"/>
    <row r="3414" ht="12.75" x14ac:dyDescent="0.2"/>
    <row r="3415" ht="12.75" x14ac:dyDescent="0.2"/>
    <row r="3416" ht="12.75" x14ac:dyDescent="0.2"/>
    <row r="3417" ht="12.75" x14ac:dyDescent="0.2"/>
    <row r="3418" ht="12.75" x14ac:dyDescent="0.2"/>
    <row r="3419" ht="12.75" x14ac:dyDescent="0.2"/>
    <row r="3420" ht="12.75" x14ac:dyDescent="0.2"/>
    <row r="3421" ht="12.75" x14ac:dyDescent="0.2"/>
    <row r="3422" ht="12.75" x14ac:dyDescent="0.2"/>
    <row r="3423" ht="12.75" x14ac:dyDescent="0.2"/>
    <row r="3424" ht="12.75" x14ac:dyDescent="0.2"/>
    <row r="3425" ht="12.75" x14ac:dyDescent="0.2"/>
    <row r="3426" ht="12.75" x14ac:dyDescent="0.2"/>
    <row r="3427" ht="12.75" x14ac:dyDescent="0.2"/>
    <row r="3428" ht="12.75" x14ac:dyDescent="0.2"/>
    <row r="3429" ht="12.75" x14ac:dyDescent="0.2"/>
    <row r="3430" ht="12.75" x14ac:dyDescent="0.2"/>
    <row r="3431" ht="12.75" x14ac:dyDescent="0.2"/>
    <row r="3432" ht="12.75" x14ac:dyDescent="0.2"/>
    <row r="3433" ht="12.75" x14ac:dyDescent="0.2"/>
    <row r="3434" ht="12.75" x14ac:dyDescent="0.2"/>
    <row r="3435" ht="12.75" x14ac:dyDescent="0.2"/>
    <row r="3436" ht="12.75" x14ac:dyDescent="0.2"/>
    <row r="3437" ht="12.75" x14ac:dyDescent="0.2"/>
    <row r="3438" ht="12.75" x14ac:dyDescent="0.2"/>
    <row r="3439" ht="12.75" x14ac:dyDescent="0.2"/>
    <row r="3440" ht="12.75" x14ac:dyDescent="0.2"/>
    <row r="3441" ht="12.75" x14ac:dyDescent="0.2"/>
    <row r="3442" ht="12.75" x14ac:dyDescent="0.2"/>
    <row r="3443" ht="12.75" x14ac:dyDescent="0.2"/>
    <row r="3444" ht="12.75" x14ac:dyDescent="0.2"/>
    <row r="3445" ht="12.75" x14ac:dyDescent="0.2"/>
    <row r="3446" ht="12.75" x14ac:dyDescent="0.2"/>
    <row r="3447" ht="12.75" x14ac:dyDescent="0.2"/>
    <row r="3448" ht="12.75" x14ac:dyDescent="0.2"/>
    <row r="3449" ht="12.75" x14ac:dyDescent="0.2"/>
    <row r="3450" ht="12.75" x14ac:dyDescent="0.2"/>
    <row r="3451" ht="12.75" x14ac:dyDescent="0.2"/>
    <row r="3452" ht="12.75" x14ac:dyDescent="0.2"/>
    <row r="3453" ht="12.75" x14ac:dyDescent="0.2"/>
    <row r="3454" ht="12.75" x14ac:dyDescent="0.2"/>
    <row r="3455" ht="12.75" x14ac:dyDescent="0.2"/>
    <row r="3456" ht="12.75" x14ac:dyDescent="0.2"/>
    <row r="3457" ht="12.75" x14ac:dyDescent="0.2"/>
    <row r="3458" ht="12.75" x14ac:dyDescent="0.2"/>
    <row r="3459" ht="12.75" x14ac:dyDescent="0.2"/>
    <row r="3460" ht="12.75" x14ac:dyDescent="0.2"/>
    <row r="3461" ht="12.75" x14ac:dyDescent="0.2"/>
    <row r="3462" ht="12.75" x14ac:dyDescent="0.2"/>
    <row r="3463" ht="12.75" x14ac:dyDescent="0.2"/>
    <row r="3464" ht="12.75" x14ac:dyDescent="0.2"/>
    <row r="3465" ht="12.75" x14ac:dyDescent="0.2"/>
    <row r="3466" ht="12.75" x14ac:dyDescent="0.2"/>
    <row r="3467" ht="12.75" x14ac:dyDescent="0.2"/>
    <row r="3468" ht="12.75" x14ac:dyDescent="0.2"/>
    <row r="3469" ht="12.75" x14ac:dyDescent="0.2"/>
    <row r="3470" ht="12.75" x14ac:dyDescent="0.2"/>
    <row r="3471" ht="12.75" x14ac:dyDescent="0.2"/>
    <row r="3472" ht="12.75" x14ac:dyDescent="0.2"/>
    <row r="3473" ht="12.75" x14ac:dyDescent="0.2"/>
    <row r="3474" ht="12.75" x14ac:dyDescent="0.2"/>
    <row r="3475" ht="12.75" x14ac:dyDescent="0.2"/>
    <row r="3476" ht="12.75" x14ac:dyDescent="0.2"/>
    <row r="3477" ht="12.75" x14ac:dyDescent="0.2"/>
    <row r="3478" ht="12.75" x14ac:dyDescent="0.2"/>
    <row r="3479" ht="12.75" x14ac:dyDescent="0.2"/>
    <row r="3480" ht="12.75" x14ac:dyDescent="0.2"/>
    <row r="3481" ht="12.75" x14ac:dyDescent="0.2"/>
    <row r="3482" ht="12.75" x14ac:dyDescent="0.2"/>
    <row r="3483" ht="12.75" x14ac:dyDescent="0.2"/>
    <row r="3484" ht="12.75" x14ac:dyDescent="0.2"/>
    <row r="3485" ht="12.75" x14ac:dyDescent="0.2"/>
    <row r="3486" ht="12.75" x14ac:dyDescent="0.2"/>
    <row r="3487" ht="12.75" x14ac:dyDescent="0.2"/>
    <row r="3488" ht="12.75" x14ac:dyDescent="0.2"/>
    <row r="3489" ht="12.75" x14ac:dyDescent="0.2"/>
    <row r="3490" ht="12.75" x14ac:dyDescent="0.2"/>
    <row r="3491" ht="12.75" x14ac:dyDescent="0.2"/>
    <row r="3492" ht="12.75" x14ac:dyDescent="0.2"/>
    <row r="3493" ht="12.75" x14ac:dyDescent="0.2"/>
    <row r="3494" ht="12.75" x14ac:dyDescent="0.2"/>
    <row r="3495" ht="12.75" x14ac:dyDescent="0.2"/>
    <row r="3496" ht="12.75" x14ac:dyDescent="0.2"/>
    <row r="3497" ht="12.75" x14ac:dyDescent="0.2"/>
    <row r="3498" ht="12.75" x14ac:dyDescent="0.2"/>
    <row r="3499" ht="12.75" x14ac:dyDescent="0.2"/>
    <row r="3500" ht="12.75" x14ac:dyDescent="0.2"/>
    <row r="3501" ht="12.75" x14ac:dyDescent="0.2"/>
    <row r="3502" ht="12.75" x14ac:dyDescent="0.2"/>
    <row r="3503" ht="12.75" x14ac:dyDescent="0.2"/>
    <row r="3504" ht="12.75" x14ac:dyDescent="0.2"/>
    <row r="3505" ht="12.75" x14ac:dyDescent="0.2"/>
    <row r="3506" ht="12.75" x14ac:dyDescent="0.2"/>
    <row r="3507" ht="12.75" x14ac:dyDescent="0.2"/>
    <row r="3508" ht="12.75" x14ac:dyDescent="0.2"/>
    <row r="3509" ht="12.75" x14ac:dyDescent="0.2"/>
    <row r="3510" ht="12.75" x14ac:dyDescent="0.2"/>
    <row r="3511" ht="12.75" x14ac:dyDescent="0.2"/>
    <row r="3512" ht="12.75" x14ac:dyDescent="0.2"/>
    <row r="3513" ht="12.75" x14ac:dyDescent="0.2"/>
    <row r="3514" ht="12.75" x14ac:dyDescent="0.2"/>
    <row r="3515" ht="12.75" x14ac:dyDescent="0.2"/>
    <row r="3516" ht="12.75" x14ac:dyDescent="0.2"/>
    <row r="3517" ht="12.75" x14ac:dyDescent="0.2"/>
    <row r="3518" ht="12.75" x14ac:dyDescent="0.2"/>
    <row r="3519" ht="12.75" x14ac:dyDescent="0.2"/>
    <row r="3520" ht="12.75" x14ac:dyDescent="0.2"/>
    <row r="3521" ht="12.75" x14ac:dyDescent="0.2"/>
    <row r="3522" ht="12.75" x14ac:dyDescent="0.2"/>
    <row r="3523" ht="12.75" x14ac:dyDescent="0.2"/>
    <row r="3524" ht="12.75" x14ac:dyDescent="0.2"/>
    <row r="3525" ht="12.75" x14ac:dyDescent="0.2"/>
    <row r="3526" ht="12.75" x14ac:dyDescent="0.2"/>
    <row r="3527" ht="12.75" x14ac:dyDescent="0.2"/>
    <row r="3528" ht="12.75" x14ac:dyDescent="0.2"/>
    <row r="3529" ht="12.75" x14ac:dyDescent="0.2"/>
    <row r="3530" ht="12.75" x14ac:dyDescent="0.2"/>
    <row r="3531" ht="12.75" x14ac:dyDescent="0.2"/>
    <row r="3532" ht="12.75" x14ac:dyDescent="0.2"/>
    <row r="3533" ht="12.75" x14ac:dyDescent="0.2"/>
    <row r="3534" ht="12.75" x14ac:dyDescent="0.2"/>
    <row r="3535" ht="12.75" x14ac:dyDescent="0.2"/>
    <row r="3536" ht="12.75" x14ac:dyDescent="0.2"/>
    <row r="3537" ht="12.75" x14ac:dyDescent="0.2"/>
    <row r="3538" ht="12.75" x14ac:dyDescent="0.2"/>
    <row r="3539" ht="12.75" x14ac:dyDescent="0.2"/>
    <row r="3540" ht="12.75" x14ac:dyDescent="0.2"/>
    <row r="3541" ht="12.75" x14ac:dyDescent="0.2"/>
    <row r="3542" ht="12.75" x14ac:dyDescent="0.2"/>
    <row r="3543" ht="12.75" x14ac:dyDescent="0.2"/>
    <row r="3544" ht="12.75" x14ac:dyDescent="0.2"/>
    <row r="3545" ht="12.75" x14ac:dyDescent="0.2"/>
    <row r="3546" ht="12.75" x14ac:dyDescent="0.2"/>
    <row r="3547" ht="12.75" x14ac:dyDescent="0.2"/>
    <row r="3548" ht="12.75" x14ac:dyDescent="0.2"/>
    <row r="3549" ht="12.75" x14ac:dyDescent="0.2"/>
    <row r="3550" ht="12.75" x14ac:dyDescent="0.2"/>
    <row r="3551" ht="12.75" x14ac:dyDescent="0.2"/>
    <row r="3552" ht="12.75" x14ac:dyDescent="0.2"/>
    <row r="3553" ht="12.75" x14ac:dyDescent="0.2"/>
    <row r="3554" ht="12.75" x14ac:dyDescent="0.2"/>
    <row r="3555" ht="12.75" x14ac:dyDescent="0.2"/>
    <row r="3556" ht="12.75" x14ac:dyDescent="0.2"/>
    <row r="3557" ht="12.75" x14ac:dyDescent="0.2"/>
    <row r="3558" ht="12.75" x14ac:dyDescent="0.2"/>
    <row r="3559" ht="12.75" x14ac:dyDescent="0.2"/>
    <row r="3560" ht="12.75" x14ac:dyDescent="0.2"/>
    <row r="3561" ht="12.75" x14ac:dyDescent="0.2"/>
    <row r="3562" ht="12.75" x14ac:dyDescent="0.2"/>
    <row r="3563" ht="12.75" x14ac:dyDescent="0.2"/>
    <row r="3564" ht="12.75" x14ac:dyDescent="0.2"/>
    <row r="3565" ht="12.75" x14ac:dyDescent="0.2"/>
    <row r="3566" ht="12.75" x14ac:dyDescent="0.2"/>
    <row r="3567" ht="12.75" x14ac:dyDescent="0.2"/>
    <row r="3568" ht="12.75" x14ac:dyDescent="0.2"/>
    <row r="3569" ht="12.75" x14ac:dyDescent="0.2"/>
    <row r="3570" ht="12.75" x14ac:dyDescent="0.2"/>
    <row r="3571" ht="12.75" x14ac:dyDescent="0.2"/>
    <row r="3572" ht="12.75" x14ac:dyDescent="0.2"/>
    <row r="3573" ht="12.75" x14ac:dyDescent="0.2"/>
    <row r="3574" ht="12.75" x14ac:dyDescent="0.2"/>
    <row r="3575" ht="12.75" x14ac:dyDescent="0.2"/>
    <row r="3576" ht="12.75" x14ac:dyDescent="0.2"/>
    <row r="3577" ht="12.75" x14ac:dyDescent="0.2"/>
    <row r="3578" ht="12.75" x14ac:dyDescent="0.2"/>
    <row r="3579" ht="12.75" x14ac:dyDescent="0.2"/>
    <row r="3580" ht="12.75" x14ac:dyDescent="0.2"/>
    <row r="3581" ht="12.75" x14ac:dyDescent="0.2"/>
    <row r="3582" ht="12.75" x14ac:dyDescent="0.2"/>
    <row r="3583" ht="12.75" x14ac:dyDescent="0.2"/>
    <row r="3584" ht="12.75" x14ac:dyDescent="0.2"/>
    <row r="3585" ht="12.75" x14ac:dyDescent="0.2"/>
    <row r="3586" ht="12.75" x14ac:dyDescent="0.2"/>
    <row r="3587" ht="12.75" x14ac:dyDescent="0.2"/>
    <row r="3588" ht="12.75" x14ac:dyDescent="0.2"/>
    <row r="3589" ht="12.75" x14ac:dyDescent="0.2"/>
    <row r="3590" ht="12.75" x14ac:dyDescent="0.2"/>
    <row r="3591" ht="12.75" x14ac:dyDescent="0.2"/>
    <row r="3592" ht="12.75" x14ac:dyDescent="0.2"/>
    <row r="3593" ht="12.75" x14ac:dyDescent="0.2"/>
    <row r="3594" ht="12.75" x14ac:dyDescent="0.2"/>
    <row r="3595" ht="12.75" x14ac:dyDescent="0.2"/>
    <row r="3596" ht="12.75" x14ac:dyDescent="0.2"/>
    <row r="3597" ht="12.75" x14ac:dyDescent="0.2"/>
    <row r="3598" ht="12.75" x14ac:dyDescent="0.2"/>
    <row r="3599" ht="12.75" x14ac:dyDescent="0.2"/>
    <row r="3600" ht="12.75" x14ac:dyDescent="0.2"/>
    <row r="3601" ht="12.75" x14ac:dyDescent="0.2"/>
    <row r="3602" ht="12.75" x14ac:dyDescent="0.2"/>
    <row r="3603" ht="12.75" x14ac:dyDescent="0.2"/>
    <row r="3604" ht="12.75" x14ac:dyDescent="0.2"/>
    <row r="3605" ht="12.75" x14ac:dyDescent="0.2"/>
    <row r="3606" ht="12.75" x14ac:dyDescent="0.2"/>
    <row r="3607" ht="12.75" x14ac:dyDescent="0.2"/>
    <row r="3608" ht="12.75" x14ac:dyDescent="0.2"/>
    <row r="3609" ht="12.75" x14ac:dyDescent="0.2"/>
    <row r="3610" ht="12.75" x14ac:dyDescent="0.2"/>
    <row r="3611" ht="12.75" x14ac:dyDescent="0.2"/>
    <row r="3612" ht="12.75" x14ac:dyDescent="0.2"/>
    <row r="3613" ht="12.75" x14ac:dyDescent="0.2"/>
    <row r="3614" ht="12.75" x14ac:dyDescent="0.2"/>
    <row r="3615" ht="12.75" x14ac:dyDescent="0.2"/>
    <row r="3616" ht="12.75" x14ac:dyDescent="0.2"/>
    <row r="3617" ht="12.75" x14ac:dyDescent="0.2"/>
    <row r="3618" ht="12.75" x14ac:dyDescent="0.2"/>
    <row r="3619" ht="12.75" x14ac:dyDescent="0.2"/>
    <row r="3620" ht="12.75" x14ac:dyDescent="0.2"/>
    <row r="3621" ht="12.75" x14ac:dyDescent="0.2"/>
    <row r="3622" ht="12.75" x14ac:dyDescent="0.2"/>
    <row r="3623" ht="12.75" x14ac:dyDescent="0.2"/>
    <row r="3624" ht="12.75" x14ac:dyDescent="0.2"/>
    <row r="3625" ht="12.75" x14ac:dyDescent="0.2"/>
    <row r="3626" ht="12.75" x14ac:dyDescent="0.2"/>
    <row r="3627" ht="12.75" x14ac:dyDescent="0.2"/>
    <row r="3628" ht="12.75" x14ac:dyDescent="0.2"/>
    <row r="3629" ht="12.75" x14ac:dyDescent="0.2"/>
    <row r="3630" ht="12.75" x14ac:dyDescent="0.2"/>
    <row r="3631" ht="12.75" x14ac:dyDescent="0.2"/>
    <row r="3632" ht="12.75" x14ac:dyDescent="0.2"/>
    <row r="3633" ht="12.75" x14ac:dyDescent="0.2"/>
    <row r="3634" ht="12.75" x14ac:dyDescent="0.2"/>
    <row r="3635" ht="12.75" x14ac:dyDescent="0.2"/>
    <row r="3636" ht="12.75" x14ac:dyDescent="0.2"/>
    <row r="3637" ht="12.75" x14ac:dyDescent="0.2"/>
    <row r="3638" ht="12.75" x14ac:dyDescent="0.2"/>
    <row r="3639" ht="12.75" x14ac:dyDescent="0.2"/>
    <row r="3640" ht="12.75" x14ac:dyDescent="0.2"/>
    <row r="3641" ht="12.75" x14ac:dyDescent="0.2"/>
    <row r="3642" ht="12.75" x14ac:dyDescent="0.2"/>
    <row r="3643" ht="12.75" x14ac:dyDescent="0.2"/>
    <row r="3644" ht="12.75" x14ac:dyDescent="0.2"/>
    <row r="3645" ht="12.75" x14ac:dyDescent="0.2"/>
    <row r="3646" ht="12.75" x14ac:dyDescent="0.2"/>
    <row r="3647" ht="12.75" x14ac:dyDescent="0.2"/>
    <row r="3648" ht="12.75" x14ac:dyDescent="0.2"/>
    <row r="3649" ht="12.75" x14ac:dyDescent="0.2"/>
    <row r="3650" ht="12.75" x14ac:dyDescent="0.2"/>
    <row r="3651" ht="12.75" x14ac:dyDescent="0.2"/>
    <row r="3652" ht="12.75" x14ac:dyDescent="0.2"/>
    <row r="3653" ht="12.75" x14ac:dyDescent="0.2"/>
    <row r="3654" ht="12.75" x14ac:dyDescent="0.2"/>
    <row r="3655" ht="12.75" x14ac:dyDescent="0.2"/>
    <row r="3656" ht="12.75" x14ac:dyDescent="0.2"/>
    <row r="3657" ht="12.75" x14ac:dyDescent="0.2"/>
    <row r="3658" ht="12.75" x14ac:dyDescent="0.2"/>
    <row r="3659" ht="12.75" x14ac:dyDescent="0.2"/>
    <row r="3660" ht="12.75" x14ac:dyDescent="0.2"/>
    <row r="3661" ht="12.75" x14ac:dyDescent="0.2"/>
    <row r="3662" ht="12.75" x14ac:dyDescent="0.2"/>
    <row r="3663" ht="12.75" x14ac:dyDescent="0.2"/>
    <row r="3664" ht="12.75" x14ac:dyDescent="0.2"/>
    <row r="3665" ht="12.75" x14ac:dyDescent="0.2"/>
    <row r="3666" ht="12.75" x14ac:dyDescent="0.2"/>
    <row r="3667" ht="12.75" x14ac:dyDescent="0.2"/>
    <row r="3668" ht="12.75" x14ac:dyDescent="0.2"/>
    <row r="3669" ht="12.75" x14ac:dyDescent="0.2"/>
    <row r="3670" ht="12.75" x14ac:dyDescent="0.2"/>
    <row r="3671" ht="12.75" x14ac:dyDescent="0.2"/>
    <row r="3672" ht="12.75" x14ac:dyDescent="0.2"/>
    <row r="3673" ht="12.75" x14ac:dyDescent="0.2"/>
    <row r="3674" ht="12.75" x14ac:dyDescent="0.2"/>
    <row r="3675" ht="12.75" x14ac:dyDescent="0.2"/>
    <row r="3676" ht="12.75" x14ac:dyDescent="0.2"/>
    <row r="3677" ht="12.75" x14ac:dyDescent="0.2"/>
    <row r="3678" ht="12.75" x14ac:dyDescent="0.2"/>
    <row r="3679" ht="12.75" x14ac:dyDescent="0.2"/>
    <row r="3680" ht="12.75" x14ac:dyDescent="0.2"/>
    <row r="3681" ht="12.75" x14ac:dyDescent="0.2"/>
    <row r="3682" ht="12.75" x14ac:dyDescent="0.2"/>
    <row r="3683" ht="12.75" x14ac:dyDescent="0.2"/>
    <row r="3684" ht="12.75" x14ac:dyDescent="0.2"/>
    <row r="3685" ht="12.75" x14ac:dyDescent="0.2"/>
    <row r="3686" ht="12.75" x14ac:dyDescent="0.2"/>
    <row r="3687" ht="12.75" x14ac:dyDescent="0.2"/>
    <row r="3688" ht="12.75" x14ac:dyDescent="0.2"/>
    <row r="3689" ht="12.75" x14ac:dyDescent="0.2"/>
    <row r="3690" ht="12.75" x14ac:dyDescent="0.2"/>
    <row r="3691" ht="12.75" x14ac:dyDescent="0.2"/>
    <row r="3692" ht="12.75" x14ac:dyDescent="0.2"/>
    <row r="3693" ht="12.75" x14ac:dyDescent="0.2"/>
    <row r="3694" ht="12.75" x14ac:dyDescent="0.2"/>
    <row r="3695" ht="12.75" x14ac:dyDescent="0.2"/>
    <row r="3696" ht="12.75" x14ac:dyDescent="0.2"/>
    <row r="3697" ht="12.75" x14ac:dyDescent="0.2"/>
    <row r="3698" ht="12.75" x14ac:dyDescent="0.2"/>
    <row r="3699" ht="12.75" x14ac:dyDescent="0.2"/>
    <row r="3700" ht="12.75" x14ac:dyDescent="0.2"/>
    <row r="3701" ht="12.75" x14ac:dyDescent="0.2"/>
    <row r="3702" ht="12.75" x14ac:dyDescent="0.2"/>
    <row r="3703" ht="12.75" x14ac:dyDescent="0.2"/>
    <row r="3704" ht="12.75" x14ac:dyDescent="0.2"/>
    <row r="3705" ht="12.75" x14ac:dyDescent="0.2"/>
    <row r="3706" ht="12.75" x14ac:dyDescent="0.2"/>
    <row r="3707" ht="12.75" x14ac:dyDescent="0.2"/>
    <row r="3708" ht="12.75" x14ac:dyDescent="0.2"/>
    <row r="3709" ht="12.75" x14ac:dyDescent="0.2"/>
    <row r="3710" ht="12.75" x14ac:dyDescent="0.2"/>
    <row r="3711" ht="12.75" x14ac:dyDescent="0.2"/>
    <row r="3712" ht="12.75" x14ac:dyDescent="0.2"/>
    <row r="3713" ht="12.75" x14ac:dyDescent="0.2"/>
    <row r="3714" ht="12.75" x14ac:dyDescent="0.2"/>
    <row r="3715" ht="12.75" x14ac:dyDescent="0.2"/>
    <row r="3716" ht="12.75" x14ac:dyDescent="0.2"/>
    <row r="3717" ht="12.75" x14ac:dyDescent="0.2"/>
    <row r="3718" ht="12.75" x14ac:dyDescent="0.2"/>
    <row r="3719" ht="12.75" x14ac:dyDescent="0.2"/>
    <row r="3720" ht="12.75" x14ac:dyDescent="0.2"/>
    <row r="3721" ht="12.75" x14ac:dyDescent="0.2"/>
    <row r="3722" ht="12.75" x14ac:dyDescent="0.2"/>
    <row r="3723" ht="12.75" x14ac:dyDescent="0.2"/>
    <row r="3724" ht="12.75" x14ac:dyDescent="0.2"/>
    <row r="3725" ht="12.75" x14ac:dyDescent="0.2"/>
    <row r="3726" ht="12.75" x14ac:dyDescent="0.2"/>
    <row r="3727" ht="12.75" x14ac:dyDescent="0.2"/>
    <row r="3728" ht="12.75" x14ac:dyDescent="0.2"/>
    <row r="3729" ht="12.75" x14ac:dyDescent="0.2"/>
    <row r="3730" ht="12.75" x14ac:dyDescent="0.2"/>
    <row r="3731" ht="12.75" x14ac:dyDescent="0.2"/>
    <row r="3732" ht="12.75" x14ac:dyDescent="0.2"/>
    <row r="3733" ht="12.75" x14ac:dyDescent="0.2"/>
    <row r="3734" ht="12.75" x14ac:dyDescent="0.2"/>
    <row r="3735" ht="12.75" x14ac:dyDescent="0.2"/>
    <row r="3736" ht="12.75" x14ac:dyDescent="0.2"/>
    <row r="3737" ht="12.75" x14ac:dyDescent="0.2"/>
    <row r="3738" ht="12.75" x14ac:dyDescent="0.2"/>
    <row r="3739" ht="12.75" x14ac:dyDescent="0.2"/>
    <row r="3740" ht="12.75" x14ac:dyDescent="0.2"/>
    <row r="3741" ht="12.75" x14ac:dyDescent="0.2"/>
    <row r="3742" ht="12.75" x14ac:dyDescent="0.2"/>
    <row r="3743" ht="12.75" x14ac:dyDescent="0.2"/>
    <row r="3744" ht="12.75" x14ac:dyDescent="0.2"/>
    <row r="3745" ht="12.75" x14ac:dyDescent="0.2"/>
    <row r="3746" ht="12.75" x14ac:dyDescent="0.2"/>
    <row r="3747" ht="12.75" x14ac:dyDescent="0.2"/>
    <row r="3748" ht="12.75" x14ac:dyDescent="0.2"/>
    <row r="3749" ht="12.75" x14ac:dyDescent="0.2"/>
    <row r="3750" ht="12.75" x14ac:dyDescent="0.2"/>
    <row r="3751" ht="12.75" x14ac:dyDescent="0.2"/>
    <row r="3752" ht="12.75" x14ac:dyDescent="0.2"/>
    <row r="3753" ht="12.75" x14ac:dyDescent="0.2"/>
    <row r="3754" ht="12.75" x14ac:dyDescent="0.2"/>
    <row r="3755" ht="12.75" x14ac:dyDescent="0.2"/>
    <row r="3756" ht="12.75" x14ac:dyDescent="0.2"/>
    <row r="3757" ht="12.75" x14ac:dyDescent="0.2"/>
    <row r="3758" ht="12.75" x14ac:dyDescent="0.2"/>
    <row r="3759" ht="12.75" x14ac:dyDescent="0.2"/>
    <row r="3760" ht="12.75" x14ac:dyDescent="0.2"/>
    <row r="3761" ht="12.75" x14ac:dyDescent="0.2"/>
    <row r="3762" ht="12.75" x14ac:dyDescent="0.2"/>
    <row r="3763" ht="12.75" x14ac:dyDescent="0.2"/>
    <row r="3764" ht="12.75" x14ac:dyDescent="0.2"/>
    <row r="3765" ht="12.75" x14ac:dyDescent="0.2"/>
    <row r="3766" ht="12.75" x14ac:dyDescent="0.2"/>
    <row r="3767" ht="12.75" x14ac:dyDescent="0.2"/>
    <row r="3768" ht="12.75" x14ac:dyDescent="0.2"/>
    <row r="3769" ht="12.75" x14ac:dyDescent="0.2"/>
    <row r="3770" ht="12.75" x14ac:dyDescent="0.2"/>
    <row r="3771" ht="12.75" x14ac:dyDescent="0.2"/>
    <row r="3772" ht="12.75" x14ac:dyDescent="0.2"/>
    <row r="3773" ht="12.75" x14ac:dyDescent="0.2"/>
    <row r="3774" ht="12.75" x14ac:dyDescent="0.2"/>
    <row r="3775" ht="12.75" x14ac:dyDescent="0.2"/>
    <row r="3776" ht="12.75" x14ac:dyDescent="0.2"/>
    <row r="3777" ht="12.75" x14ac:dyDescent="0.2"/>
    <row r="3778" ht="12.75" x14ac:dyDescent="0.2"/>
    <row r="3779" ht="12.75" x14ac:dyDescent="0.2"/>
    <row r="3780" ht="12.75" x14ac:dyDescent="0.2"/>
    <row r="3781" ht="12.75" x14ac:dyDescent="0.2"/>
    <row r="3782" ht="12.75" x14ac:dyDescent="0.2"/>
    <row r="3783" ht="12.75" x14ac:dyDescent="0.2"/>
    <row r="3784" ht="12.75" x14ac:dyDescent="0.2"/>
    <row r="3785" ht="12.75" x14ac:dyDescent="0.2"/>
    <row r="3786" ht="12.75" x14ac:dyDescent="0.2"/>
    <row r="3787" ht="12.75" x14ac:dyDescent="0.2"/>
    <row r="3788" ht="12.75" x14ac:dyDescent="0.2"/>
    <row r="3789" ht="12.75" x14ac:dyDescent="0.2"/>
    <row r="3790" ht="12.75" x14ac:dyDescent="0.2"/>
    <row r="3791" ht="12.75" x14ac:dyDescent="0.2"/>
    <row r="3792" ht="12.75" x14ac:dyDescent="0.2"/>
    <row r="3793" ht="12.75" x14ac:dyDescent="0.2"/>
    <row r="3794" ht="12.75" x14ac:dyDescent="0.2"/>
    <row r="3795" ht="12.75" x14ac:dyDescent="0.2"/>
    <row r="3796" ht="12.75" x14ac:dyDescent="0.2"/>
    <row r="3797" ht="12.75" x14ac:dyDescent="0.2"/>
    <row r="3798" ht="12.75" x14ac:dyDescent="0.2"/>
    <row r="3799" ht="12.75" x14ac:dyDescent="0.2"/>
    <row r="3800" ht="12.75" x14ac:dyDescent="0.2"/>
    <row r="3801" ht="12.75" x14ac:dyDescent="0.2"/>
    <row r="3802" ht="12.75" x14ac:dyDescent="0.2"/>
    <row r="3803" ht="12.75" x14ac:dyDescent="0.2"/>
    <row r="3804" ht="12.75" x14ac:dyDescent="0.2"/>
    <row r="3805" ht="12.75" x14ac:dyDescent="0.2"/>
    <row r="3806" ht="12.75" x14ac:dyDescent="0.2"/>
    <row r="3807" ht="12.75" x14ac:dyDescent="0.2"/>
    <row r="3808" ht="12.75" x14ac:dyDescent="0.2"/>
    <row r="3809" ht="12.75" x14ac:dyDescent="0.2"/>
    <row r="3810" ht="12.75" x14ac:dyDescent="0.2"/>
    <row r="3811" ht="12.75" x14ac:dyDescent="0.2"/>
    <row r="3812" ht="12.75" x14ac:dyDescent="0.2"/>
    <row r="3813" ht="12.75" x14ac:dyDescent="0.2"/>
    <row r="3814" ht="12.75" x14ac:dyDescent="0.2"/>
    <row r="3815" ht="12.75" x14ac:dyDescent="0.2"/>
    <row r="3816" ht="12.75" x14ac:dyDescent="0.2"/>
    <row r="3817" ht="12.75" x14ac:dyDescent="0.2"/>
    <row r="3818" ht="12.75" x14ac:dyDescent="0.2"/>
    <row r="3819" ht="12.75" x14ac:dyDescent="0.2"/>
    <row r="3820" ht="12.75" x14ac:dyDescent="0.2"/>
    <row r="3821" ht="12.75" x14ac:dyDescent="0.2"/>
    <row r="3822" ht="12.75" x14ac:dyDescent="0.2"/>
    <row r="3823" ht="12.75" x14ac:dyDescent="0.2"/>
    <row r="3824" ht="12.75" x14ac:dyDescent="0.2"/>
    <row r="3825" ht="12.75" x14ac:dyDescent="0.2"/>
    <row r="3826" ht="12.75" x14ac:dyDescent="0.2"/>
    <row r="3827" ht="12.75" x14ac:dyDescent="0.2"/>
    <row r="3828" ht="12.75" x14ac:dyDescent="0.2"/>
    <row r="3829" ht="12.75" x14ac:dyDescent="0.2"/>
    <row r="3830" ht="12.75" x14ac:dyDescent="0.2"/>
    <row r="3831" ht="12.75" x14ac:dyDescent="0.2"/>
    <row r="3832" ht="12.75" x14ac:dyDescent="0.2"/>
    <row r="3833" ht="12.75" x14ac:dyDescent="0.2"/>
    <row r="3834" ht="12.75" x14ac:dyDescent="0.2"/>
    <row r="3835" ht="12.75" x14ac:dyDescent="0.2"/>
    <row r="3836" ht="12.75" x14ac:dyDescent="0.2"/>
    <row r="3837" ht="12.75" x14ac:dyDescent="0.2"/>
    <row r="3838" ht="12.75" x14ac:dyDescent="0.2"/>
    <row r="3839" ht="12.75" x14ac:dyDescent="0.2"/>
    <row r="3840" ht="12.75" x14ac:dyDescent="0.2"/>
    <row r="3841" ht="12.75" x14ac:dyDescent="0.2"/>
    <row r="3842" ht="12.75" x14ac:dyDescent="0.2"/>
    <row r="3843" ht="12.75" x14ac:dyDescent="0.2"/>
    <row r="3844" ht="12.75" x14ac:dyDescent="0.2"/>
    <row r="3845" ht="12.75" x14ac:dyDescent="0.2"/>
    <row r="3846" ht="12.75" x14ac:dyDescent="0.2"/>
    <row r="3847" ht="12.75" x14ac:dyDescent="0.2"/>
    <row r="3848" ht="12.75" x14ac:dyDescent="0.2"/>
    <row r="3849" ht="12.75" x14ac:dyDescent="0.2"/>
    <row r="3850" ht="12.75" x14ac:dyDescent="0.2"/>
    <row r="3851" ht="12.75" x14ac:dyDescent="0.2"/>
    <row r="3852" ht="12.75" x14ac:dyDescent="0.2"/>
    <row r="3853" ht="12.75" x14ac:dyDescent="0.2"/>
    <row r="3854" ht="12.75" x14ac:dyDescent="0.2"/>
    <row r="3855" ht="12.75" x14ac:dyDescent="0.2"/>
    <row r="3856" ht="12.75" x14ac:dyDescent="0.2"/>
    <row r="3857" ht="12.75" x14ac:dyDescent="0.2"/>
    <row r="3858" ht="12.75" x14ac:dyDescent="0.2"/>
    <row r="3859" ht="12.75" x14ac:dyDescent="0.2"/>
    <row r="3860" ht="12.75" x14ac:dyDescent="0.2"/>
    <row r="3861" ht="12.75" x14ac:dyDescent="0.2"/>
    <row r="3862" ht="12.75" x14ac:dyDescent="0.2"/>
    <row r="3863" ht="12.75" x14ac:dyDescent="0.2"/>
    <row r="3864" ht="12.75" x14ac:dyDescent="0.2"/>
    <row r="3865" ht="12.75" x14ac:dyDescent="0.2"/>
    <row r="3866" ht="12.75" x14ac:dyDescent="0.2"/>
    <row r="3867" ht="12.75" x14ac:dyDescent="0.2"/>
    <row r="3868" ht="12.75" x14ac:dyDescent="0.2"/>
    <row r="3869" ht="12.75" x14ac:dyDescent="0.2"/>
    <row r="3870" ht="12.75" x14ac:dyDescent="0.2"/>
    <row r="3871" ht="12.75" x14ac:dyDescent="0.2"/>
    <row r="3872" ht="12.75" x14ac:dyDescent="0.2"/>
    <row r="3873" ht="12.75" x14ac:dyDescent="0.2"/>
    <row r="3874" ht="12.75" x14ac:dyDescent="0.2"/>
    <row r="3875" ht="12.75" x14ac:dyDescent="0.2"/>
    <row r="3876" ht="12.75" x14ac:dyDescent="0.2"/>
    <row r="3877" ht="12.75" x14ac:dyDescent="0.2"/>
    <row r="3878" ht="12.75" x14ac:dyDescent="0.2"/>
    <row r="3879" ht="12.75" x14ac:dyDescent="0.2"/>
    <row r="3880" ht="12.75" x14ac:dyDescent="0.2"/>
    <row r="3881" ht="12.75" x14ac:dyDescent="0.2"/>
    <row r="3882" ht="12.75" x14ac:dyDescent="0.2"/>
    <row r="3883" ht="12.75" x14ac:dyDescent="0.2"/>
    <row r="3884" ht="12.75" x14ac:dyDescent="0.2"/>
    <row r="3885" ht="12.75" x14ac:dyDescent="0.2"/>
    <row r="3886" ht="12.75" x14ac:dyDescent="0.2"/>
    <row r="3887" ht="12.75" x14ac:dyDescent="0.2"/>
    <row r="3888" ht="12.75" x14ac:dyDescent="0.2"/>
    <row r="3889" ht="12.75" x14ac:dyDescent="0.2"/>
    <row r="3890" ht="12.75" x14ac:dyDescent="0.2"/>
    <row r="3891" ht="12.75" x14ac:dyDescent="0.2"/>
    <row r="3892" ht="12.75" x14ac:dyDescent="0.2"/>
    <row r="3893" ht="12.75" x14ac:dyDescent="0.2"/>
    <row r="3894" ht="12.75" x14ac:dyDescent="0.2"/>
    <row r="3895" ht="12.75" x14ac:dyDescent="0.2"/>
    <row r="3896" ht="12.75" x14ac:dyDescent="0.2"/>
    <row r="3897" ht="12.75" x14ac:dyDescent="0.2"/>
    <row r="3898" ht="12.75" x14ac:dyDescent="0.2"/>
    <row r="3899" ht="12.75" x14ac:dyDescent="0.2"/>
    <row r="3900" ht="12.75" x14ac:dyDescent="0.2"/>
    <row r="3901" ht="12.75" x14ac:dyDescent="0.2"/>
    <row r="3902" ht="12.75" x14ac:dyDescent="0.2"/>
    <row r="3903" ht="12.75" x14ac:dyDescent="0.2"/>
    <row r="3904" ht="12.75" x14ac:dyDescent="0.2"/>
    <row r="3905" ht="12.75" x14ac:dyDescent="0.2"/>
    <row r="3906" ht="12.75" x14ac:dyDescent="0.2"/>
    <row r="3907" ht="12.75" x14ac:dyDescent="0.2"/>
    <row r="3908" ht="12.75" x14ac:dyDescent="0.2"/>
    <row r="3909" ht="12.75" x14ac:dyDescent="0.2"/>
    <row r="3910" ht="12.75" x14ac:dyDescent="0.2"/>
    <row r="3911" ht="12.75" x14ac:dyDescent="0.2"/>
    <row r="3912" ht="12.75" x14ac:dyDescent="0.2"/>
    <row r="3913" ht="12.75" x14ac:dyDescent="0.2"/>
    <row r="3914" ht="12.75" x14ac:dyDescent="0.2"/>
    <row r="3915" ht="12.75" x14ac:dyDescent="0.2"/>
    <row r="3916" ht="12.75" x14ac:dyDescent="0.2"/>
    <row r="3917" ht="12.75" x14ac:dyDescent="0.2"/>
    <row r="3918" ht="12.75" x14ac:dyDescent="0.2"/>
    <row r="3919" ht="12.75" x14ac:dyDescent="0.2"/>
    <row r="3920" ht="12.75" x14ac:dyDescent="0.2"/>
    <row r="3921" ht="12.75" x14ac:dyDescent="0.2"/>
    <row r="3922" ht="12.75" x14ac:dyDescent="0.2"/>
    <row r="3923" ht="12.75" x14ac:dyDescent="0.2"/>
    <row r="3924" ht="12.75" x14ac:dyDescent="0.2"/>
    <row r="3925" ht="12.75" x14ac:dyDescent="0.2"/>
    <row r="3926" ht="12.75" x14ac:dyDescent="0.2"/>
    <row r="3927" ht="12.75" x14ac:dyDescent="0.2"/>
    <row r="3928" ht="12.75" x14ac:dyDescent="0.2"/>
    <row r="3929" ht="12.75" x14ac:dyDescent="0.2"/>
    <row r="3930" ht="12.75" x14ac:dyDescent="0.2"/>
    <row r="3931" ht="12.75" x14ac:dyDescent="0.2"/>
    <row r="3932" ht="12.75" x14ac:dyDescent="0.2"/>
    <row r="3933" ht="12.75" x14ac:dyDescent="0.2"/>
    <row r="3934" ht="12.75" x14ac:dyDescent="0.2"/>
    <row r="3935" ht="12.75" x14ac:dyDescent="0.2"/>
    <row r="3936" ht="12.75" x14ac:dyDescent="0.2"/>
    <row r="3937" ht="12.75" x14ac:dyDescent="0.2"/>
    <row r="3938" ht="12.75" x14ac:dyDescent="0.2"/>
    <row r="3939" ht="12.75" x14ac:dyDescent="0.2"/>
    <row r="3940" ht="12.75" x14ac:dyDescent="0.2"/>
    <row r="3941" ht="12.75" x14ac:dyDescent="0.2"/>
    <row r="3942" ht="12.75" x14ac:dyDescent="0.2"/>
    <row r="3943" ht="12.75" x14ac:dyDescent="0.2"/>
    <row r="3944" ht="12.75" x14ac:dyDescent="0.2"/>
    <row r="3945" ht="12.75" x14ac:dyDescent="0.2"/>
    <row r="3946" ht="12.75" x14ac:dyDescent="0.2"/>
    <row r="3947" ht="12.75" x14ac:dyDescent="0.2"/>
    <row r="3948" ht="12.75" x14ac:dyDescent="0.2"/>
    <row r="3949" ht="12.75" x14ac:dyDescent="0.2"/>
    <row r="3950" ht="12.75" x14ac:dyDescent="0.2"/>
    <row r="3951" ht="12.75" x14ac:dyDescent="0.2"/>
    <row r="3952" ht="12.75" x14ac:dyDescent="0.2"/>
    <row r="3953" ht="12.75" x14ac:dyDescent="0.2"/>
    <row r="3954" ht="12.75" x14ac:dyDescent="0.2"/>
    <row r="3955" ht="12.75" x14ac:dyDescent="0.2"/>
    <row r="3956" ht="12.75" x14ac:dyDescent="0.2"/>
    <row r="3957" ht="12.75" x14ac:dyDescent="0.2"/>
    <row r="3958" ht="12.75" x14ac:dyDescent="0.2"/>
    <row r="3959" ht="12.75" x14ac:dyDescent="0.2"/>
    <row r="3960" ht="12.75" x14ac:dyDescent="0.2"/>
    <row r="3961" ht="12.75" x14ac:dyDescent="0.2"/>
    <row r="3962" ht="12.75" x14ac:dyDescent="0.2"/>
    <row r="3963" ht="12.75" x14ac:dyDescent="0.2"/>
    <row r="3964" ht="12.75" x14ac:dyDescent="0.2"/>
    <row r="3965" ht="12.75" x14ac:dyDescent="0.2"/>
    <row r="3966" ht="12.75" x14ac:dyDescent="0.2"/>
    <row r="3967" ht="12.75" x14ac:dyDescent="0.2"/>
    <row r="3968" ht="12.75" x14ac:dyDescent="0.2"/>
    <row r="3969" ht="12.75" x14ac:dyDescent="0.2"/>
    <row r="3970" ht="12.75" x14ac:dyDescent="0.2"/>
    <row r="3971" ht="12.75" x14ac:dyDescent="0.2"/>
    <row r="3972" ht="12.75" x14ac:dyDescent="0.2"/>
    <row r="3973" ht="12.75" x14ac:dyDescent="0.2"/>
    <row r="3974" ht="12.75" x14ac:dyDescent="0.2"/>
    <row r="3975" ht="12.75" x14ac:dyDescent="0.2"/>
    <row r="3976" ht="12.75" x14ac:dyDescent="0.2"/>
    <row r="3977" ht="12.75" x14ac:dyDescent="0.2"/>
    <row r="3978" ht="12.75" x14ac:dyDescent="0.2"/>
    <row r="3979" ht="12.75" x14ac:dyDescent="0.2"/>
    <row r="3980" ht="12.75" x14ac:dyDescent="0.2"/>
    <row r="3981" ht="12.75" x14ac:dyDescent="0.2"/>
    <row r="3982" ht="12.75" x14ac:dyDescent="0.2"/>
    <row r="3983" ht="12.75" x14ac:dyDescent="0.2"/>
    <row r="3984" ht="12.75" x14ac:dyDescent="0.2"/>
    <row r="3985" ht="12.75" x14ac:dyDescent="0.2"/>
    <row r="3986" ht="12.75" x14ac:dyDescent="0.2"/>
    <row r="3987" ht="12.75" x14ac:dyDescent="0.2"/>
    <row r="3988" ht="12.75" x14ac:dyDescent="0.2"/>
    <row r="3989" ht="12.75" x14ac:dyDescent="0.2"/>
    <row r="3990" ht="12.75" x14ac:dyDescent="0.2"/>
    <row r="3991" ht="12.75" x14ac:dyDescent="0.2"/>
    <row r="3992" ht="12.75" x14ac:dyDescent="0.2"/>
    <row r="3993" ht="12.75" x14ac:dyDescent="0.2"/>
    <row r="3994" ht="12.75" x14ac:dyDescent="0.2"/>
    <row r="3995" ht="12.75" x14ac:dyDescent="0.2"/>
    <row r="3996" ht="12.75" x14ac:dyDescent="0.2"/>
    <row r="3997" ht="12.75" x14ac:dyDescent="0.2"/>
    <row r="3998" ht="12.75" x14ac:dyDescent="0.2"/>
    <row r="3999" ht="12.75" x14ac:dyDescent="0.2"/>
    <row r="4000" ht="12.75" x14ac:dyDescent="0.2"/>
    <row r="4001" ht="12.75" x14ac:dyDescent="0.2"/>
    <row r="4002" ht="12.75" x14ac:dyDescent="0.2"/>
    <row r="4003" ht="12.75" x14ac:dyDescent="0.2"/>
    <row r="4004" ht="12.75" x14ac:dyDescent="0.2"/>
    <row r="4005" ht="12.75" x14ac:dyDescent="0.2"/>
    <row r="4006" ht="12.75" x14ac:dyDescent="0.2"/>
    <row r="4007" ht="12.75" x14ac:dyDescent="0.2"/>
    <row r="4008" ht="12.75" x14ac:dyDescent="0.2"/>
    <row r="4009" ht="12.75" x14ac:dyDescent="0.2"/>
    <row r="4010" ht="12.75" x14ac:dyDescent="0.2"/>
    <row r="4011" ht="12.75" x14ac:dyDescent="0.2"/>
    <row r="4012" ht="12.75" x14ac:dyDescent="0.2"/>
    <row r="4013" ht="12.75" x14ac:dyDescent="0.2"/>
    <row r="4014" ht="12.75" x14ac:dyDescent="0.2"/>
    <row r="4015" ht="12.75" x14ac:dyDescent="0.2"/>
    <row r="4016" ht="12.75" x14ac:dyDescent="0.2"/>
    <row r="4017" ht="12.75" x14ac:dyDescent="0.2"/>
    <row r="4018" ht="12.75" x14ac:dyDescent="0.2"/>
    <row r="4019" ht="12.75" x14ac:dyDescent="0.2"/>
    <row r="4020" ht="12.75" x14ac:dyDescent="0.2"/>
    <row r="4021" ht="12.75" x14ac:dyDescent="0.2"/>
    <row r="4022" ht="12.75" x14ac:dyDescent="0.2"/>
    <row r="4023" ht="12.75" x14ac:dyDescent="0.2"/>
    <row r="4024" ht="12.75" x14ac:dyDescent="0.2"/>
    <row r="4025" ht="12.75" x14ac:dyDescent="0.2"/>
    <row r="4026" ht="12.75" x14ac:dyDescent="0.2"/>
    <row r="4027" ht="12.75" x14ac:dyDescent="0.2"/>
    <row r="4028" ht="12.75" x14ac:dyDescent="0.2"/>
    <row r="4029" ht="12.75" x14ac:dyDescent="0.2"/>
    <row r="4030" ht="12.75" x14ac:dyDescent="0.2"/>
    <row r="4031" ht="12.75" x14ac:dyDescent="0.2"/>
    <row r="4032" ht="12.75" x14ac:dyDescent="0.2"/>
    <row r="4033" ht="12.75" x14ac:dyDescent="0.2"/>
    <row r="4034" ht="12.75" x14ac:dyDescent="0.2"/>
    <row r="4035" ht="12.75" x14ac:dyDescent="0.2"/>
    <row r="4036" ht="12.75" x14ac:dyDescent="0.2"/>
    <row r="4037" ht="12.75" x14ac:dyDescent="0.2"/>
    <row r="4038" ht="12.75" x14ac:dyDescent="0.2"/>
    <row r="4039" ht="12.75" x14ac:dyDescent="0.2"/>
    <row r="4040" ht="12.75" x14ac:dyDescent="0.2"/>
    <row r="4041" ht="12.75" x14ac:dyDescent="0.2"/>
    <row r="4042" ht="12.75" x14ac:dyDescent="0.2"/>
    <row r="4043" ht="12.75" x14ac:dyDescent="0.2"/>
    <row r="4044" ht="12.75" x14ac:dyDescent="0.2"/>
    <row r="4045" ht="12.75" x14ac:dyDescent="0.2"/>
    <row r="4046" ht="12.75" x14ac:dyDescent="0.2"/>
    <row r="4047" ht="12.75" x14ac:dyDescent="0.2"/>
    <row r="4048" ht="12.75" x14ac:dyDescent="0.2"/>
    <row r="4049" ht="12.75" x14ac:dyDescent="0.2"/>
    <row r="4050" ht="12.75" x14ac:dyDescent="0.2"/>
    <row r="4051" ht="12.75" x14ac:dyDescent="0.2"/>
    <row r="4052" ht="12.75" x14ac:dyDescent="0.2"/>
    <row r="4053" ht="12.75" x14ac:dyDescent="0.2"/>
    <row r="4054" ht="12.75" x14ac:dyDescent="0.2"/>
    <row r="4055" ht="12.75" x14ac:dyDescent="0.2"/>
    <row r="4056" ht="12.75" x14ac:dyDescent="0.2"/>
    <row r="4057" ht="12.75" x14ac:dyDescent="0.2"/>
    <row r="4058" ht="12.75" x14ac:dyDescent="0.2"/>
    <row r="4059" ht="12.75" x14ac:dyDescent="0.2"/>
    <row r="4060" ht="12.75" x14ac:dyDescent="0.2"/>
    <row r="4061" ht="12.75" x14ac:dyDescent="0.2"/>
    <row r="4062" ht="12.75" x14ac:dyDescent="0.2"/>
    <row r="4063" ht="12.75" x14ac:dyDescent="0.2"/>
    <row r="4064" ht="12.75" x14ac:dyDescent="0.2"/>
    <row r="4065" ht="12.75" x14ac:dyDescent="0.2"/>
    <row r="4066" ht="12.75" x14ac:dyDescent="0.2"/>
    <row r="4067" ht="12.75" x14ac:dyDescent="0.2"/>
    <row r="4068" ht="12.75" x14ac:dyDescent="0.2"/>
    <row r="4069" ht="12.75" x14ac:dyDescent="0.2"/>
    <row r="4070" ht="12.75" x14ac:dyDescent="0.2"/>
    <row r="4071" ht="12.75" x14ac:dyDescent="0.2"/>
    <row r="4072" ht="12.75" x14ac:dyDescent="0.2"/>
    <row r="4073" ht="12.75" x14ac:dyDescent="0.2"/>
    <row r="4074" ht="12.75" x14ac:dyDescent="0.2"/>
    <row r="4075" ht="12.75" x14ac:dyDescent="0.2"/>
    <row r="4076" ht="12.75" x14ac:dyDescent="0.2"/>
    <row r="4077" ht="12.75" x14ac:dyDescent="0.2"/>
    <row r="4078" ht="12.75" x14ac:dyDescent="0.2"/>
    <row r="4079" ht="12.75" x14ac:dyDescent="0.2"/>
    <row r="4080" ht="12.75" x14ac:dyDescent="0.2"/>
    <row r="4081" ht="12.75" x14ac:dyDescent="0.2"/>
    <row r="4082" ht="12.75" x14ac:dyDescent="0.2"/>
    <row r="4083" ht="12.75" x14ac:dyDescent="0.2"/>
    <row r="4084" ht="12.75" x14ac:dyDescent="0.2"/>
    <row r="4085" ht="12.75" x14ac:dyDescent="0.2"/>
    <row r="4086" ht="12.75" x14ac:dyDescent="0.2"/>
    <row r="4087" ht="12.75" x14ac:dyDescent="0.2"/>
    <row r="4088" ht="12.75" x14ac:dyDescent="0.2"/>
    <row r="4089" ht="12.75" x14ac:dyDescent="0.2"/>
    <row r="4090" ht="12.75" x14ac:dyDescent="0.2"/>
    <row r="4091" ht="12.75" x14ac:dyDescent="0.2"/>
    <row r="4092" ht="12.75" x14ac:dyDescent="0.2"/>
    <row r="4093" ht="12.75" x14ac:dyDescent="0.2"/>
    <row r="4094" ht="12.75" x14ac:dyDescent="0.2"/>
    <row r="4095" ht="12.75" x14ac:dyDescent="0.2"/>
    <row r="4096" ht="12.75" x14ac:dyDescent="0.2"/>
    <row r="4097" ht="12.75" x14ac:dyDescent="0.2"/>
    <row r="4098" ht="12.75" x14ac:dyDescent="0.2"/>
    <row r="4099" ht="12.75" x14ac:dyDescent="0.2"/>
    <row r="4100" ht="12.75" x14ac:dyDescent="0.2"/>
    <row r="4101" ht="12.75" x14ac:dyDescent="0.2"/>
    <row r="4102" ht="12.75" x14ac:dyDescent="0.2"/>
    <row r="4103" ht="12.75" x14ac:dyDescent="0.2"/>
    <row r="4104" ht="12.75" x14ac:dyDescent="0.2"/>
    <row r="4105" ht="12.75" x14ac:dyDescent="0.2"/>
    <row r="4106" ht="12.75" x14ac:dyDescent="0.2"/>
    <row r="4107" ht="12.75" x14ac:dyDescent="0.2"/>
    <row r="4108" ht="12.75" x14ac:dyDescent="0.2"/>
    <row r="4109" ht="12.75" x14ac:dyDescent="0.2"/>
    <row r="4110" ht="12.75" x14ac:dyDescent="0.2"/>
    <row r="4111" ht="12.75" x14ac:dyDescent="0.2"/>
    <row r="4112" ht="12.75" x14ac:dyDescent="0.2"/>
    <row r="4113" ht="12.75" x14ac:dyDescent="0.2"/>
    <row r="4114" ht="12.75" x14ac:dyDescent="0.2"/>
    <row r="4115" ht="12.75" x14ac:dyDescent="0.2"/>
    <row r="4116" ht="12.75" x14ac:dyDescent="0.2"/>
    <row r="4117" ht="12.75" x14ac:dyDescent="0.2"/>
    <row r="4118" ht="12.75" x14ac:dyDescent="0.2"/>
    <row r="4119" ht="12.75" x14ac:dyDescent="0.2"/>
    <row r="4120" ht="12.75" x14ac:dyDescent="0.2"/>
    <row r="4121" ht="12.75" x14ac:dyDescent="0.2"/>
    <row r="4122" ht="12.75" x14ac:dyDescent="0.2"/>
    <row r="4123" ht="12.75" x14ac:dyDescent="0.2"/>
    <row r="4124" ht="12.75" x14ac:dyDescent="0.2"/>
    <row r="4125" ht="12.75" x14ac:dyDescent="0.2"/>
    <row r="4126" ht="12.75" x14ac:dyDescent="0.2"/>
    <row r="4127" ht="12.75" x14ac:dyDescent="0.2"/>
    <row r="4128" ht="12.75" x14ac:dyDescent="0.2"/>
    <row r="4129" ht="12.75" x14ac:dyDescent="0.2"/>
    <row r="4130" ht="12.75" x14ac:dyDescent="0.2"/>
    <row r="4131" ht="12.75" x14ac:dyDescent="0.2"/>
    <row r="4132" ht="12.75" x14ac:dyDescent="0.2"/>
    <row r="4133" ht="12.75" x14ac:dyDescent="0.2"/>
    <row r="4134" ht="12.75" x14ac:dyDescent="0.2"/>
    <row r="4135" ht="12.75" x14ac:dyDescent="0.2"/>
    <row r="4136" ht="12.75" x14ac:dyDescent="0.2"/>
    <row r="4137" ht="12.75" x14ac:dyDescent="0.2"/>
    <row r="4138" ht="12.75" x14ac:dyDescent="0.2"/>
    <row r="4139" ht="12.75" x14ac:dyDescent="0.2"/>
    <row r="4140" ht="12.75" x14ac:dyDescent="0.2"/>
    <row r="4141" ht="12.75" x14ac:dyDescent="0.2"/>
    <row r="4142" ht="12.75" x14ac:dyDescent="0.2"/>
    <row r="4143" ht="12.75" x14ac:dyDescent="0.2"/>
    <row r="4144" ht="12.75" x14ac:dyDescent="0.2"/>
    <row r="4145" ht="12.75" x14ac:dyDescent="0.2"/>
    <row r="4146" ht="12.75" x14ac:dyDescent="0.2"/>
    <row r="4147" ht="12.75" x14ac:dyDescent="0.2"/>
    <row r="4148" ht="12.75" x14ac:dyDescent="0.2"/>
    <row r="4149" ht="12.75" x14ac:dyDescent="0.2"/>
    <row r="4150" ht="12.75" x14ac:dyDescent="0.2"/>
    <row r="4151" ht="12.75" x14ac:dyDescent="0.2"/>
    <row r="4152" ht="12.75" x14ac:dyDescent="0.2"/>
    <row r="4153" ht="12.75" x14ac:dyDescent="0.2"/>
    <row r="4154" ht="12.75" x14ac:dyDescent="0.2"/>
    <row r="4155" ht="12.75" x14ac:dyDescent="0.2"/>
    <row r="4156" ht="12.75" x14ac:dyDescent="0.2"/>
    <row r="4157" ht="12.75" x14ac:dyDescent="0.2"/>
    <row r="4158" ht="12.75" x14ac:dyDescent="0.2"/>
    <row r="4159" ht="12.75" x14ac:dyDescent="0.2"/>
    <row r="4160" ht="12.75" x14ac:dyDescent="0.2"/>
    <row r="4161" ht="12.75" x14ac:dyDescent="0.2"/>
    <row r="4162" ht="12.75" x14ac:dyDescent="0.2"/>
    <row r="4163" ht="12.75" x14ac:dyDescent="0.2"/>
    <row r="4164" ht="12.75" x14ac:dyDescent="0.2"/>
    <row r="4165" ht="12.75" x14ac:dyDescent="0.2"/>
    <row r="4166" ht="12.75" x14ac:dyDescent="0.2"/>
    <row r="4167" ht="12.75" x14ac:dyDescent="0.2"/>
    <row r="4168" ht="12.75" x14ac:dyDescent="0.2"/>
    <row r="4169" ht="12.75" x14ac:dyDescent="0.2"/>
    <row r="4170" ht="12.75" x14ac:dyDescent="0.2"/>
    <row r="4171" ht="12.75" x14ac:dyDescent="0.2"/>
    <row r="4172" ht="12.75" x14ac:dyDescent="0.2"/>
    <row r="4173" ht="12.75" x14ac:dyDescent="0.2"/>
    <row r="4174" ht="12.75" x14ac:dyDescent="0.2"/>
    <row r="4175" ht="12.75" x14ac:dyDescent="0.2"/>
    <row r="4176" ht="12.75" x14ac:dyDescent="0.2"/>
    <row r="4177" ht="12.75" x14ac:dyDescent="0.2"/>
    <row r="4178" ht="12.75" x14ac:dyDescent="0.2"/>
    <row r="4179" ht="12.75" x14ac:dyDescent="0.2"/>
    <row r="4180" ht="12.75" x14ac:dyDescent="0.2"/>
    <row r="4181" ht="12.75" x14ac:dyDescent="0.2"/>
    <row r="4182" ht="12.75" x14ac:dyDescent="0.2"/>
    <row r="4183" ht="12.75" x14ac:dyDescent="0.2"/>
    <row r="4184" ht="12.75" x14ac:dyDescent="0.2"/>
    <row r="4185" ht="12.75" x14ac:dyDescent="0.2"/>
    <row r="4186" ht="12.75" x14ac:dyDescent="0.2"/>
    <row r="4187" ht="12.75" x14ac:dyDescent="0.2"/>
    <row r="4188" ht="12.75" x14ac:dyDescent="0.2"/>
    <row r="4189" ht="12.75" x14ac:dyDescent="0.2"/>
    <row r="4190" ht="12.75" x14ac:dyDescent="0.2"/>
    <row r="4191" ht="12.75" x14ac:dyDescent="0.2"/>
    <row r="4192" ht="12.75" x14ac:dyDescent="0.2"/>
    <row r="4193" ht="12.75" x14ac:dyDescent="0.2"/>
    <row r="4194" ht="12.75" x14ac:dyDescent="0.2"/>
    <row r="4195" ht="12.75" x14ac:dyDescent="0.2"/>
    <row r="4196" ht="12.75" x14ac:dyDescent="0.2"/>
    <row r="4197" ht="12.75" x14ac:dyDescent="0.2"/>
    <row r="4198" ht="12.75" x14ac:dyDescent="0.2"/>
    <row r="4199" ht="12.75" x14ac:dyDescent="0.2"/>
    <row r="4200" ht="12.75" x14ac:dyDescent="0.2"/>
    <row r="4201" ht="12.75" x14ac:dyDescent="0.2"/>
    <row r="4202" ht="12.75" x14ac:dyDescent="0.2"/>
    <row r="4203" ht="12.75" x14ac:dyDescent="0.2"/>
    <row r="4204" ht="12.75" x14ac:dyDescent="0.2"/>
    <row r="4205" ht="12.75" x14ac:dyDescent="0.2"/>
    <row r="4206" ht="12.75" x14ac:dyDescent="0.2"/>
    <row r="4207" ht="12.75" x14ac:dyDescent="0.2"/>
    <row r="4208" ht="12.75" x14ac:dyDescent="0.2"/>
    <row r="4209" ht="12.75" x14ac:dyDescent="0.2"/>
    <row r="4210" ht="12.75" x14ac:dyDescent="0.2"/>
    <row r="4211" ht="12.75" x14ac:dyDescent="0.2"/>
    <row r="4212" ht="12.75" x14ac:dyDescent="0.2"/>
    <row r="4213" ht="12.75" x14ac:dyDescent="0.2"/>
    <row r="4214" ht="12.75" x14ac:dyDescent="0.2"/>
    <row r="4215" ht="12.75" x14ac:dyDescent="0.2"/>
    <row r="4216" ht="12.75" x14ac:dyDescent="0.2"/>
    <row r="4217" ht="12.75" x14ac:dyDescent="0.2"/>
    <row r="4218" ht="12.75" x14ac:dyDescent="0.2"/>
    <row r="4219" ht="12.75" x14ac:dyDescent="0.2"/>
    <row r="4220" ht="12.75" x14ac:dyDescent="0.2"/>
    <row r="4221" ht="12.75" x14ac:dyDescent="0.2"/>
    <row r="4222" ht="12.75" x14ac:dyDescent="0.2"/>
    <row r="4223" ht="12.75" x14ac:dyDescent="0.2"/>
    <row r="4224" ht="12.75" x14ac:dyDescent="0.2"/>
    <row r="4225" ht="12.75" x14ac:dyDescent="0.2"/>
    <row r="4226" ht="12.75" x14ac:dyDescent="0.2"/>
    <row r="4227" ht="12.75" x14ac:dyDescent="0.2"/>
    <row r="4228" ht="12.75" x14ac:dyDescent="0.2"/>
    <row r="4229" ht="12.75" x14ac:dyDescent="0.2"/>
    <row r="4230" ht="12.75" x14ac:dyDescent="0.2"/>
    <row r="4231" ht="12.75" x14ac:dyDescent="0.2"/>
    <row r="4232" ht="12.75" x14ac:dyDescent="0.2"/>
    <row r="4233" ht="12.75" x14ac:dyDescent="0.2"/>
    <row r="4234" ht="12.75" x14ac:dyDescent="0.2"/>
    <row r="4235" ht="12.75" x14ac:dyDescent="0.2"/>
    <row r="4236" ht="12.75" x14ac:dyDescent="0.2"/>
    <row r="4237" ht="12.75" x14ac:dyDescent="0.2"/>
    <row r="4238" ht="12.75" x14ac:dyDescent="0.2"/>
    <row r="4239" ht="12.75" x14ac:dyDescent="0.2"/>
    <row r="4240" ht="12.75" x14ac:dyDescent="0.2"/>
    <row r="4241" ht="12.75" x14ac:dyDescent="0.2"/>
    <row r="4242" ht="12.75" x14ac:dyDescent="0.2"/>
    <row r="4243" ht="12.75" x14ac:dyDescent="0.2"/>
    <row r="4244" ht="12.75" x14ac:dyDescent="0.2"/>
    <row r="4245" ht="12.75" x14ac:dyDescent="0.2"/>
    <row r="4246" ht="12.75" x14ac:dyDescent="0.2"/>
    <row r="4247" ht="12.75" x14ac:dyDescent="0.2"/>
    <row r="4248" ht="12.75" x14ac:dyDescent="0.2"/>
    <row r="4249" ht="12.75" x14ac:dyDescent="0.2"/>
    <row r="4250" ht="12.75" x14ac:dyDescent="0.2"/>
    <row r="4251" ht="12.75" x14ac:dyDescent="0.2"/>
    <row r="4252" ht="12.75" x14ac:dyDescent="0.2"/>
    <row r="4253" ht="12.75" x14ac:dyDescent="0.2"/>
    <row r="4254" ht="12.75" x14ac:dyDescent="0.2"/>
    <row r="4255" ht="12.75" x14ac:dyDescent="0.2"/>
    <row r="4256" ht="12.75" x14ac:dyDescent="0.2"/>
    <row r="4257" ht="12.75" x14ac:dyDescent="0.2"/>
    <row r="4258" ht="12.75" x14ac:dyDescent="0.2"/>
    <row r="4259" ht="12.75" x14ac:dyDescent="0.2"/>
    <row r="4260" ht="12.75" x14ac:dyDescent="0.2"/>
    <row r="4261" ht="12.75" x14ac:dyDescent="0.2"/>
    <row r="4262" ht="12.75" x14ac:dyDescent="0.2"/>
    <row r="4263" ht="12.75" x14ac:dyDescent="0.2"/>
    <row r="4264" ht="12.75" x14ac:dyDescent="0.2"/>
    <row r="4265" ht="12.75" x14ac:dyDescent="0.2"/>
    <row r="4266" ht="12.75" x14ac:dyDescent="0.2"/>
    <row r="4267" ht="12.75" x14ac:dyDescent="0.2"/>
    <row r="4268" ht="12.75" x14ac:dyDescent="0.2"/>
    <row r="4269" ht="12.75" x14ac:dyDescent="0.2"/>
    <row r="4270" ht="12.75" x14ac:dyDescent="0.2"/>
    <row r="4271" ht="12.75" x14ac:dyDescent="0.2"/>
    <row r="4272" ht="12.75" x14ac:dyDescent="0.2"/>
    <row r="4273" ht="12.75" x14ac:dyDescent="0.2"/>
    <row r="4274" ht="12.75" x14ac:dyDescent="0.2"/>
    <row r="4275" ht="12.75" x14ac:dyDescent="0.2"/>
    <row r="4276" ht="12.75" x14ac:dyDescent="0.2"/>
    <row r="4277" ht="12.75" x14ac:dyDescent="0.2"/>
    <row r="4278" ht="12.75" x14ac:dyDescent="0.2"/>
    <row r="4279" ht="12.75" x14ac:dyDescent="0.2"/>
    <row r="4280" ht="12.75" x14ac:dyDescent="0.2"/>
    <row r="4281" ht="12.75" x14ac:dyDescent="0.2"/>
    <row r="4282" ht="12.75" x14ac:dyDescent="0.2"/>
    <row r="4283" ht="12.75" x14ac:dyDescent="0.2"/>
    <row r="4284" ht="12.75" x14ac:dyDescent="0.2"/>
    <row r="4285" ht="12.75" x14ac:dyDescent="0.2"/>
    <row r="4286" ht="12.75" x14ac:dyDescent="0.2"/>
    <row r="4287" ht="12.75" x14ac:dyDescent="0.2"/>
    <row r="4288" ht="12.75" x14ac:dyDescent="0.2"/>
    <row r="4289" ht="12.75" x14ac:dyDescent="0.2"/>
    <row r="4290" ht="12.75" x14ac:dyDescent="0.2"/>
    <row r="4291" ht="12.75" x14ac:dyDescent="0.2"/>
    <row r="4292" ht="12.75" x14ac:dyDescent="0.2"/>
    <row r="4293" ht="12.75" x14ac:dyDescent="0.2"/>
    <row r="4294" ht="12.75" x14ac:dyDescent="0.2"/>
    <row r="4295" ht="12.75" x14ac:dyDescent="0.2"/>
    <row r="4296" ht="12.75" x14ac:dyDescent="0.2"/>
    <row r="4297" ht="12.75" x14ac:dyDescent="0.2"/>
    <row r="4298" ht="12.75" x14ac:dyDescent="0.2"/>
    <row r="4299" ht="12.75" x14ac:dyDescent="0.2"/>
    <row r="4300" ht="12.75" x14ac:dyDescent="0.2"/>
    <row r="4301" ht="12.75" x14ac:dyDescent="0.2"/>
    <row r="4302" ht="12.75" x14ac:dyDescent="0.2"/>
    <row r="4303" ht="12.75" x14ac:dyDescent="0.2"/>
    <row r="4304" ht="12.75" x14ac:dyDescent="0.2"/>
    <row r="4305" ht="12.75" x14ac:dyDescent="0.2"/>
    <row r="4306" ht="12.75" x14ac:dyDescent="0.2"/>
    <row r="4307" ht="12.75" x14ac:dyDescent="0.2"/>
    <row r="4308" ht="12.75" x14ac:dyDescent="0.2"/>
    <row r="4309" ht="12.75" x14ac:dyDescent="0.2"/>
    <row r="4310" ht="12.75" x14ac:dyDescent="0.2"/>
    <row r="4311" ht="12.75" x14ac:dyDescent="0.2"/>
    <row r="4312" ht="12.75" x14ac:dyDescent="0.2"/>
    <row r="4313" ht="12.75" x14ac:dyDescent="0.2"/>
    <row r="4314" ht="12.75" x14ac:dyDescent="0.2"/>
    <row r="4315" ht="12.75" x14ac:dyDescent="0.2"/>
    <row r="4316" ht="12.75" x14ac:dyDescent="0.2"/>
    <row r="4317" ht="12.75" x14ac:dyDescent="0.2"/>
    <row r="4318" ht="12.75" x14ac:dyDescent="0.2"/>
    <row r="4319" ht="12.75" x14ac:dyDescent="0.2"/>
    <row r="4320" ht="12.75" x14ac:dyDescent="0.2"/>
    <row r="4321" ht="12.75" x14ac:dyDescent="0.2"/>
    <row r="4322" ht="12.75" x14ac:dyDescent="0.2"/>
    <row r="4323" ht="12.75" x14ac:dyDescent="0.2"/>
    <row r="4324" ht="12.75" x14ac:dyDescent="0.2"/>
    <row r="4325" ht="12.75" x14ac:dyDescent="0.2"/>
    <row r="4326" ht="12.75" x14ac:dyDescent="0.2"/>
    <row r="4327" ht="12.75" x14ac:dyDescent="0.2"/>
    <row r="4328" ht="12.75" x14ac:dyDescent="0.2"/>
    <row r="4329" ht="12.75" x14ac:dyDescent="0.2"/>
    <row r="4330" ht="12.75" x14ac:dyDescent="0.2"/>
    <row r="4331" ht="12.75" x14ac:dyDescent="0.2"/>
    <row r="4332" ht="12.75" x14ac:dyDescent="0.2"/>
    <row r="4333" ht="12.75" x14ac:dyDescent="0.2"/>
    <row r="4334" ht="12.75" x14ac:dyDescent="0.2"/>
    <row r="4335" ht="12.75" x14ac:dyDescent="0.2"/>
    <row r="4336" ht="12.75" x14ac:dyDescent="0.2"/>
    <row r="4337" ht="12.75" x14ac:dyDescent="0.2"/>
    <row r="4338" ht="12.75" x14ac:dyDescent="0.2"/>
    <row r="4339" ht="12.75" x14ac:dyDescent="0.2"/>
    <row r="4340" ht="12.75" x14ac:dyDescent="0.2"/>
    <row r="4341" ht="12.75" x14ac:dyDescent="0.2"/>
    <row r="4342" ht="12.75" x14ac:dyDescent="0.2"/>
    <row r="4343" ht="12.75" x14ac:dyDescent="0.2"/>
    <row r="4344" ht="12.75" x14ac:dyDescent="0.2"/>
    <row r="4345" ht="12.75" x14ac:dyDescent="0.2"/>
    <row r="4346" ht="12.75" x14ac:dyDescent="0.2"/>
    <row r="4347" ht="12.75" x14ac:dyDescent="0.2"/>
    <row r="4348" ht="12.75" x14ac:dyDescent="0.2"/>
    <row r="4349" ht="12.75" x14ac:dyDescent="0.2"/>
    <row r="4350" ht="12.75" x14ac:dyDescent="0.2"/>
    <row r="4351" ht="12.75" x14ac:dyDescent="0.2"/>
    <row r="4352" ht="12.75" x14ac:dyDescent="0.2"/>
    <row r="4353" ht="12.75" x14ac:dyDescent="0.2"/>
    <row r="4354" ht="12.75" x14ac:dyDescent="0.2"/>
    <row r="4355" ht="12.75" x14ac:dyDescent="0.2"/>
    <row r="4356" ht="12.75" x14ac:dyDescent="0.2"/>
    <row r="4357" ht="12.75" x14ac:dyDescent="0.2"/>
    <row r="4358" ht="12.75" x14ac:dyDescent="0.2"/>
    <row r="4359" ht="12.75" x14ac:dyDescent="0.2"/>
    <row r="4360" ht="12.75" x14ac:dyDescent="0.2"/>
    <row r="4361" ht="12.75" x14ac:dyDescent="0.2"/>
    <row r="4362" ht="12.75" x14ac:dyDescent="0.2"/>
    <row r="4363" ht="12.75" x14ac:dyDescent="0.2"/>
    <row r="4364" ht="12.75" x14ac:dyDescent="0.2"/>
    <row r="4365" ht="12.75" x14ac:dyDescent="0.2"/>
    <row r="4366" ht="12.75" x14ac:dyDescent="0.2"/>
    <row r="4367" ht="12.75" x14ac:dyDescent="0.2"/>
    <row r="4368" ht="12.75" x14ac:dyDescent="0.2"/>
    <row r="4369" ht="12.75" x14ac:dyDescent="0.2"/>
    <row r="4370" ht="12.75" x14ac:dyDescent="0.2"/>
    <row r="4371" ht="12.75" x14ac:dyDescent="0.2"/>
    <row r="4372" ht="12.75" x14ac:dyDescent="0.2"/>
    <row r="4373" ht="12.75" x14ac:dyDescent="0.2"/>
    <row r="4374" ht="12.75" x14ac:dyDescent="0.2"/>
    <row r="4375" ht="12.75" x14ac:dyDescent="0.2"/>
    <row r="4376" ht="12.75" x14ac:dyDescent="0.2"/>
    <row r="4377" ht="12.75" x14ac:dyDescent="0.2"/>
    <row r="4378" ht="12.75" x14ac:dyDescent="0.2"/>
    <row r="4379" ht="12.75" x14ac:dyDescent="0.2"/>
    <row r="4380" ht="12.75" x14ac:dyDescent="0.2"/>
    <row r="4381" ht="12.75" x14ac:dyDescent="0.2"/>
    <row r="4382" ht="12.75" x14ac:dyDescent="0.2"/>
    <row r="4383" ht="12.75" x14ac:dyDescent="0.2"/>
    <row r="4384" ht="12.75" x14ac:dyDescent="0.2"/>
    <row r="4385" ht="12.75" x14ac:dyDescent="0.2"/>
    <row r="4386" ht="12.75" x14ac:dyDescent="0.2"/>
    <row r="4387" ht="12.75" x14ac:dyDescent="0.2"/>
    <row r="4388" ht="12.75" x14ac:dyDescent="0.2"/>
    <row r="4389" ht="12.75" x14ac:dyDescent="0.2"/>
    <row r="4390" ht="12.75" x14ac:dyDescent="0.2"/>
    <row r="4391" ht="12.75" x14ac:dyDescent="0.2"/>
    <row r="4392" ht="12.75" x14ac:dyDescent="0.2"/>
    <row r="4393" ht="12.75" x14ac:dyDescent="0.2"/>
    <row r="4394" ht="12.75" x14ac:dyDescent="0.2"/>
    <row r="4395" ht="12.75" x14ac:dyDescent="0.2"/>
    <row r="4396" ht="12.75" x14ac:dyDescent="0.2"/>
    <row r="4397" ht="12.75" x14ac:dyDescent="0.2"/>
    <row r="4398" ht="12.75" x14ac:dyDescent="0.2"/>
    <row r="4399" ht="12.75" x14ac:dyDescent="0.2"/>
    <row r="4400" ht="12.75" x14ac:dyDescent="0.2"/>
    <row r="4401" ht="12.75" x14ac:dyDescent="0.2"/>
    <row r="4402" ht="12.75" x14ac:dyDescent="0.2"/>
    <row r="4403" ht="12.75" x14ac:dyDescent="0.2"/>
    <row r="4404" ht="12.75" x14ac:dyDescent="0.2"/>
    <row r="4405" ht="12.75" x14ac:dyDescent="0.2"/>
    <row r="4406" ht="12.75" x14ac:dyDescent="0.2"/>
    <row r="4407" ht="12.75" x14ac:dyDescent="0.2"/>
    <row r="4408" ht="12.75" x14ac:dyDescent="0.2"/>
    <row r="4409" ht="12.75" x14ac:dyDescent="0.2"/>
    <row r="4410" ht="12.75" x14ac:dyDescent="0.2"/>
    <row r="4411" ht="12.75" x14ac:dyDescent="0.2"/>
    <row r="4412" ht="12.75" x14ac:dyDescent="0.2"/>
    <row r="4413" ht="12.75" x14ac:dyDescent="0.2"/>
    <row r="4414" ht="12.75" x14ac:dyDescent="0.2"/>
    <row r="4415" ht="12.75" x14ac:dyDescent="0.2"/>
    <row r="4416" ht="12.75" x14ac:dyDescent="0.2"/>
    <row r="4417" ht="12.75" x14ac:dyDescent="0.2"/>
    <row r="4418" ht="12.75" x14ac:dyDescent="0.2"/>
    <row r="4419" ht="12.75" x14ac:dyDescent="0.2"/>
    <row r="4420" ht="12.75" x14ac:dyDescent="0.2"/>
    <row r="4421" ht="12.75" x14ac:dyDescent="0.2"/>
    <row r="4422" ht="12.75" x14ac:dyDescent="0.2"/>
    <row r="4423" ht="12.75" x14ac:dyDescent="0.2"/>
    <row r="4424" ht="12.75" x14ac:dyDescent="0.2"/>
    <row r="4425" ht="12.75" x14ac:dyDescent="0.2"/>
    <row r="4426" ht="12.75" x14ac:dyDescent="0.2"/>
    <row r="4427" ht="12.75" x14ac:dyDescent="0.2"/>
    <row r="4428" ht="12.75" x14ac:dyDescent="0.2"/>
    <row r="4429" ht="12.75" x14ac:dyDescent="0.2"/>
    <row r="4430" ht="12.75" x14ac:dyDescent="0.2"/>
    <row r="4431" ht="12.75" x14ac:dyDescent="0.2"/>
    <row r="4432" ht="12.75" x14ac:dyDescent="0.2"/>
    <row r="4433" ht="12.75" x14ac:dyDescent="0.2"/>
    <row r="4434" ht="12.75" x14ac:dyDescent="0.2"/>
    <row r="4435" ht="12.75" x14ac:dyDescent="0.2"/>
    <row r="4436" ht="12.75" x14ac:dyDescent="0.2"/>
    <row r="4437" ht="12.75" x14ac:dyDescent="0.2"/>
    <row r="4438" ht="12.75" x14ac:dyDescent="0.2"/>
    <row r="4439" ht="12.75" x14ac:dyDescent="0.2"/>
    <row r="4440" ht="12.75" x14ac:dyDescent="0.2"/>
    <row r="4441" ht="12.75" x14ac:dyDescent="0.2"/>
    <row r="4442" ht="12.75" x14ac:dyDescent="0.2"/>
    <row r="4443" ht="12.75" x14ac:dyDescent="0.2"/>
    <row r="4444" ht="12.75" x14ac:dyDescent="0.2"/>
    <row r="4445" ht="12.75" x14ac:dyDescent="0.2"/>
    <row r="4446" ht="12.75" x14ac:dyDescent="0.2"/>
    <row r="4447" ht="12.75" x14ac:dyDescent="0.2"/>
    <row r="4448" ht="12.75" x14ac:dyDescent="0.2"/>
    <row r="4449" ht="12.75" x14ac:dyDescent="0.2"/>
    <row r="4450" ht="12.75" x14ac:dyDescent="0.2"/>
    <row r="4451" ht="12.75" x14ac:dyDescent="0.2"/>
    <row r="4452" ht="12.75" x14ac:dyDescent="0.2"/>
    <row r="4453" ht="12.75" x14ac:dyDescent="0.2"/>
    <row r="4454" ht="12.75" x14ac:dyDescent="0.2"/>
    <row r="4455" ht="12.75" x14ac:dyDescent="0.2"/>
    <row r="4456" ht="12.75" x14ac:dyDescent="0.2"/>
    <row r="4457" ht="12.75" x14ac:dyDescent="0.2"/>
    <row r="4458" ht="12.75" x14ac:dyDescent="0.2"/>
    <row r="4459" ht="12.75" x14ac:dyDescent="0.2"/>
    <row r="4460" ht="12.75" x14ac:dyDescent="0.2"/>
    <row r="4461" ht="12.75" x14ac:dyDescent="0.2"/>
    <row r="4462" ht="12.75" x14ac:dyDescent="0.2"/>
    <row r="4463" ht="12.75" x14ac:dyDescent="0.2"/>
    <row r="4464" ht="12.75" x14ac:dyDescent="0.2"/>
    <row r="4465" ht="12.75" x14ac:dyDescent="0.2"/>
    <row r="4466" ht="12.75" x14ac:dyDescent="0.2"/>
    <row r="4467" ht="12.75" x14ac:dyDescent="0.2"/>
    <row r="4468" ht="12.75" x14ac:dyDescent="0.2"/>
    <row r="4469" ht="12.75" x14ac:dyDescent="0.2"/>
    <row r="4470" ht="12.75" x14ac:dyDescent="0.2"/>
    <row r="4471" ht="12.75" x14ac:dyDescent="0.2"/>
    <row r="4472" ht="12.75" x14ac:dyDescent="0.2"/>
    <row r="4473" ht="12.75" x14ac:dyDescent="0.2"/>
    <row r="4474" ht="12.75" x14ac:dyDescent="0.2"/>
    <row r="4475" ht="12.75" x14ac:dyDescent="0.2"/>
    <row r="4476" ht="12.75" x14ac:dyDescent="0.2"/>
    <row r="4477" ht="12.75" x14ac:dyDescent="0.2"/>
    <row r="4478" ht="12.75" x14ac:dyDescent="0.2"/>
    <row r="4479" ht="12.75" x14ac:dyDescent="0.2"/>
    <row r="4480" ht="12.75" x14ac:dyDescent="0.2"/>
    <row r="4481" ht="12.75" x14ac:dyDescent="0.2"/>
    <row r="4482" ht="12.75" x14ac:dyDescent="0.2"/>
    <row r="4483" ht="12.75" x14ac:dyDescent="0.2"/>
    <row r="4484" ht="12.75" x14ac:dyDescent="0.2"/>
    <row r="4485" ht="12.75" x14ac:dyDescent="0.2"/>
    <row r="4486" ht="12.75" x14ac:dyDescent="0.2"/>
    <row r="4487" ht="12.75" x14ac:dyDescent="0.2"/>
    <row r="4488" ht="12.75" x14ac:dyDescent="0.2"/>
    <row r="4489" ht="12.75" x14ac:dyDescent="0.2"/>
    <row r="4490" ht="12.75" x14ac:dyDescent="0.2"/>
    <row r="4491" ht="12.75" x14ac:dyDescent="0.2"/>
    <row r="4492" ht="12.75" x14ac:dyDescent="0.2"/>
    <row r="4493" ht="12.75" x14ac:dyDescent="0.2"/>
    <row r="4494" ht="12.75" x14ac:dyDescent="0.2"/>
    <row r="4495" ht="12.75" x14ac:dyDescent="0.2"/>
    <row r="4496" ht="12.75" x14ac:dyDescent="0.2"/>
    <row r="4497" ht="12.75" x14ac:dyDescent="0.2"/>
    <row r="4498" ht="12.75" x14ac:dyDescent="0.2"/>
    <row r="4499" ht="12.75" x14ac:dyDescent="0.2"/>
    <row r="4500" ht="12.75" x14ac:dyDescent="0.2"/>
    <row r="4501" ht="12.75" x14ac:dyDescent="0.2"/>
    <row r="4502" ht="12.75" x14ac:dyDescent="0.2"/>
    <row r="4503" ht="12.75" x14ac:dyDescent="0.2"/>
    <row r="4504" ht="12.75" x14ac:dyDescent="0.2"/>
    <row r="4505" ht="12.75" x14ac:dyDescent="0.2"/>
    <row r="4506" ht="12.75" x14ac:dyDescent="0.2"/>
    <row r="4507" ht="12.75" x14ac:dyDescent="0.2"/>
    <row r="4508" ht="12.75" x14ac:dyDescent="0.2"/>
    <row r="4509" ht="12.75" x14ac:dyDescent="0.2"/>
    <row r="4510" ht="12.75" x14ac:dyDescent="0.2"/>
    <row r="4511" ht="12.75" x14ac:dyDescent="0.2"/>
    <row r="4512" ht="12.75" x14ac:dyDescent="0.2"/>
    <row r="4513" ht="12.75" x14ac:dyDescent="0.2"/>
    <row r="4514" ht="12.75" x14ac:dyDescent="0.2"/>
    <row r="4515" ht="12.75" x14ac:dyDescent="0.2"/>
    <row r="4516" ht="12.75" x14ac:dyDescent="0.2"/>
    <row r="4517" ht="12.75" x14ac:dyDescent="0.2"/>
    <row r="4518" ht="12.75" x14ac:dyDescent="0.2"/>
    <row r="4519" ht="12.75" x14ac:dyDescent="0.2"/>
    <row r="4520" ht="12.75" x14ac:dyDescent="0.2"/>
    <row r="4521" ht="12.75" x14ac:dyDescent="0.2"/>
    <row r="4522" ht="12.75" x14ac:dyDescent="0.2"/>
    <row r="4523" ht="12.75" x14ac:dyDescent="0.2"/>
    <row r="4524" ht="12.75" x14ac:dyDescent="0.2"/>
    <row r="4525" ht="12.75" x14ac:dyDescent="0.2"/>
    <row r="4526" ht="12.75" x14ac:dyDescent="0.2"/>
    <row r="4527" ht="12.75" x14ac:dyDescent="0.2"/>
    <row r="4528" ht="12.75" x14ac:dyDescent="0.2"/>
    <row r="4529" ht="12.75" x14ac:dyDescent="0.2"/>
    <row r="4530" ht="12.75" x14ac:dyDescent="0.2"/>
    <row r="4531" ht="12.75" x14ac:dyDescent="0.2"/>
    <row r="4532" ht="12.75" x14ac:dyDescent="0.2"/>
    <row r="4533" ht="12.75" x14ac:dyDescent="0.2"/>
    <row r="4534" ht="12.75" x14ac:dyDescent="0.2"/>
    <row r="4535" ht="12.75" x14ac:dyDescent="0.2"/>
    <row r="4536" ht="12.75" x14ac:dyDescent="0.2"/>
    <row r="4537" ht="12.75" x14ac:dyDescent="0.2"/>
    <row r="4538" ht="12.75" x14ac:dyDescent="0.2"/>
    <row r="4539" ht="12.75" x14ac:dyDescent="0.2"/>
    <row r="4540" ht="12.75" x14ac:dyDescent="0.2"/>
    <row r="4541" ht="12.75" x14ac:dyDescent="0.2"/>
    <row r="4542" ht="12.75" x14ac:dyDescent="0.2"/>
    <row r="4543" ht="12.75" x14ac:dyDescent="0.2"/>
    <row r="4544" ht="12.75" x14ac:dyDescent="0.2"/>
    <row r="4545" ht="12.75" x14ac:dyDescent="0.2"/>
    <row r="4546" ht="12.75" x14ac:dyDescent="0.2"/>
    <row r="4547" ht="12.75" x14ac:dyDescent="0.2"/>
    <row r="4548" ht="12.75" x14ac:dyDescent="0.2"/>
    <row r="4549" ht="12.75" x14ac:dyDescent="0.2"/>
    <row r="4550" ht="12.75" x14ac:dyDescent="0.2"/>
    <row r="4551" ht="12.75" x14ac:dyDescent="0.2"/>
    <row r="4552" ht="12.75" x14ac:dyDescent="0.2"/>
    <row r="4553" ht="12.75" x14ac:dyDescent="0.2"/>
    <row r="4554" ht="12.75" x14ac:dyDescent="0.2"/>
    <row r="4555" ht="12.75" x14ac:dyDescent="0.2"/>
    <row r="4556" ht="12.75" x14ac:dyDescent="0.2"/>
    <row r="4557" ht="12.75" x14ac:dyDescent="0.2"/>
    <row r="4558" ht="12.75" x14ac:dyDescent="0.2"/>
    <row r="4559" ht="12.75" x14ac:dyDescent="0.2"/>
    <row r="4560" ht="12.75" x14ac:dyDescent="0.2"/>
    <row r="4561" ht="12.75" x14ac:dyDescent="0.2"/>
    <row r="4562" ht="12.75" x14ac:dyDescent="0.2"/>
    <row r="4563" ht="12.75" x14ac:dyDescent="0.2"/>
    <row r="4564" ht="12.75" x14ac:dyDescent="0.2"/>
    <row r="4565" ht="12.75" x14ac:dyDescent="0.2"/>
    <row r="4566" ht="12.75" x14ac:dyDescent="0.2"/>
    <row r="4567" ht="12.75" x14ac:dyDescent="0.2"/>
    <row r="4568" ht="12.75" x14ac:dyDescent="0.2"/>
    <row r="4569" ht="12.75" x14ac:dyDescent="0.2"/>
    <row r="4570" ht="12.75" x14ac:dyDescent="0.2"/>
    <row r="4571" ht="12.75" x14ac:dyDescent="0.2"/>
    <row r="4572" ht="12.75" x14ac:dyDescent="0.2"/>
    <row r="4573" ht="12.75" x14ac:dyDescent="0.2"/>
    <row r="4574" ht="12.75" x14ac:dyDescent="0.2"/>
    <row r="4575" ht="12.75" x14ac:dyDescent="0.2"/>
    <row r="4576" ht="12.75" x14ac:dyDescent="0.2"/>
    <row r="4577" ht="12.75" x14ac:dyDescent="0.2"/>
    <row r="4578" ht="12.75" x14ac:dyDescent="0.2"/>
    <row r="4579" ht="12.75" x14ac:dyDescent="0.2"/>
    <row r="4580" ht="12.75" x14ac:dyDescent="0.2"/>
    <row r="4581" ht="12.75" x14ac:dyDescent="0.2"/>
    <row r="4582" ht="12.75" x14ac:dyDescent="0.2"/>
    <row r="4583" ht="12.75" x14ac:dyDescent="0.2"/>
    <row r="4584" ht="12.75" x14ac:dyDescent="0.2"/>
    <row r="4585" ht="12.75" x14ac:dyDescent="0.2"/>
    <row r="4586" ht="12.75" x14ac:dyDescent="0.2"/>
    <row r="4587" ht="12.75" x14ac:dyDescent="0.2"/>
    <row r="4588" ht="12.75" x14ac:dyDescent="0.2"/>
    <row r="4589" ht="12.75" x14ac:dyDescent="0.2"/>
    <row r="4590" ht="12.75" x14ac:dyDescent="0.2"/>
    <row r="4591" ht="12.75" x14ac:dyDescent="0.2"/>
    <row r="4592" ht="12.75" x14ac:dyDescent="0.2"/>
    <row r="4593" ht="12.75" x14ac:dyDescent="0.2"/>
    <row r="4594" ht="12.75" x14ac:dyDescent="0.2"/>
    <row r="4595" ht="12.75" x14ac:dyDescent="0.2"/>
    <row r="4596" ht="12.75" x14ac:dyDescent="0.2"/>
    <row r="4597" ht="12.75" x14ac:dyDescent="0.2"/>
    <row r="4598" ht="12.75" x14ac:dyDescent="0.2"/>
    <row r="4599" ht="12.75" x14ac:dyDescent="0.2"/>
    <row r="4600" ht="12.75" x14ac:dyDescent="0.2"/>
    <row r="4601" ht="12.75" x14ac:dyDescent="0.2"/>
    <row r="4602" ht="12.75" x14ac:dyDescent="0.2"/>
    <row r="4603" ht="12.75" x14ac:dyDescent="0.2"/>
    <row r="4604" ht="12.75" x14ac:dyDescent="0.2"/>
    <row r="4605" ht="12.75" x14ac:dyDescent="0.2"/>
    <row r="4606" ht="12.75" x14ac:dyDescent="0.2"/>
    <row r="4607" ht="12.75" x14ac:dyDescent="0.2"/>
    <row r="4608" ht="12.75" x14ac:dyDescent="0.2"/>
    <row r="4609" ht="12.75" x14ac:dyDescent="0.2"/>
    <row r="4610" ht="12.75" x14ac:dyDescent="0.2"/>
    <row r="4611" ht="12.75" x14ac:dyDescent="0.2"/>
    <row r="4612" ht="12.75" x14ac:dyDescent="0.2"/>
    <row r="4613" ht="12.75" x14ac:dyDescent="0.2"/>
    <row r="4614" ht="12.75" x14ac:dyDescent="0.2"/>
    <row r="4615" ht="12.75" x14ac:dyDescent="0.2"/>
    <row r="4616" ht="12.75" x14ac:dyDescent="0.2"/>
    <row r="4617" ht="12.75" x14ac:dyDescent="0.2"/>
    <row r="4618" ht="12.75" x14ac:dyDescent="0.2"/>
    <row r="4619" ht="12.75" x14ac:dyDescent="0.2"/>
    <row r="4620" ht="12.75" x14ac:dyDescent="0.2"/>
    <row r="4621" ht="12.75" x14ac:dyDescent="0.2"/>
    <row r="4622" ht="12.75" x14ac:dyDescent="0.2"/>
    <row r="4623" ht="12.75" x14ac:dyDescent="0.2"/>
    <row r="4624" ht="12.75" x14ac:dyDescent="0.2"/>
    <row r="4625" ht="12.75" x14ac:dyDescent="0.2"/>
    <row r="4626" ht="12.75" x14ac:dyDescent="0.2"/>
    <row r="4627" ht="12.75" x14ac:dyDescent="0.2"/>
    <row r="4628" ht="12.75" x14ac:dyDescent="0.2"/>
    <row r="4629" ht="12.75" x14ac:dyDescent="0.2"/>
    <row r="4630" ht="12.75" x14ac:dyDescent="0.2"/>
    <row r="4631" ht="12.75" x14ac:dyDescent="0.2"/>
    <row r="4632" ht="12.75" x14ac:dyDescent="0.2"/>
    <row r="4633" ht="12.75" x14ac:dyDescent="0.2"/>
    <row r="4634" ht="12.75" x14ac:dyDescent="0.2"/>
    <row r="4635" ht="12.75" x14ac:dyDescent="0.2"/>
    <row r="4636" ht="12.75" x14ac:dyDescent="0.2"/>
    <row r="4637" ht="12.75" x14ac:dyDescent="0.2"/>
    <row r="4638" ht="12.75" x14ac:dyDescent="0.2"/>
    <row r="4639" ht="12.75" x14ac:dyDescent="0.2"/>
    <row r="4640" ht="12.75" x14ac:dyDescent="0.2"/>
    <row r="4641" ht="12.75" x14ac:dyDescent="0.2"/>
    <row r="4642" ht="12.75" x14ac:dyDescent="0.2"/>
    <row r="4643" ht="12.75" x14ac:dyDescent="0.2"/>
    <row r="4644" ht="12.75" x14ac:dyDescent="0.2"/>
    <row r="4645" ht="12.75" x14ac:dyDescent="0.2"/>
    <row r="4646" ht="12.75" x14ac:dyDescent="0.2"/>
    <row r="4647" ht="12.75" x14ac:dyDescent="0.2"/>
    <row r="4648" ht="12.75" x14ac:dyDescent="0.2"/>
    <row r="4649" ht="12.75" x14ac:dyDescent="0.2"/>
    <row r="4650" ht="12.75" x14ac:dyDescent="0.2"/>
    <row r="4651" ht="12.75" x14ac:dyDescent="0.2"/>
    <row r="4652" ht="12.75" x14ac:dyDescent="0.2"/>
    <row r="4653" ht="12.75" x14ac:dyDescent="0.2"/>
    <row r="4654" ht="12.75" x14ac:dyDescent="0.2"/>
    <row r="4655" ht="12.75" x14ac:dyDescent="0.2"/>
    <row r="4656" ht="12.75" x14ac:dyDescent="0.2"/>
    <row r="4657" ht="12.75" x14ac:dyDescent="0.2"/>
    <row r="4658" ht="12.75" x14ac:dyDescent="0.2"/>
    <row r="4659" ht="12.75" x14ac:dyDescent="0.2"/>
    <row r="4660" ht="12.75" x14ac:dyDescent="0.2"/>
    <row r="4661" ht="12.75" x14ac:dyDescent="0.2"/>
    <row r="4662" ht="12.75" x14ac:dyDescent="0.2"/>
    <row r="4663" ht="12.75" x14ac:dyDescent="0.2"/>
    <row r="4664" ht="12.75" x14ac:dyDescent="0.2"/>
    <row r="4665" ht="12.75" x14ac:dyDescent="0.2"/>
    <row r="4666" ht="12.75" x14ac:dyDescent="0.2"/>
    <row r="4667" ht="12.75" x14ac:dyDescent="0.2"/>
    <row r="4668" ht="12.75" x14ac:dyDescent="0.2"/>
    <row r="4669" ht="12.75" x14ac:dyDescent="0.2"/>
    <row r="4670" ht="12.75" x14ac:dyDescent="0.2"/>
    <row r="4671" ht="12.75" x14ac:dyDescent="0.2"/>
    <row r="4672" ht="12.75" x14ac:dyDescent="0.2"/>
    <row r="4673" ht="12.75" x14ac:dyDescent="0.2"/>
    <row r="4674" ht="12.75" x14ac:dyDescent="0.2"/>
    <row r="4675" ht="12.75" x14ac:dyDescent="0.2"/>
    <row r="4676" ht="12.75" x14ac:dyDescent="0.2"/>
    <row r="4677" ht="12.75" x14ac:dyDescent="0.2"/>
    <row r="4678" ht="12.75" x14ac:dyDescent="0.2"/>
    <row r="4679" ht="12.75" x14ac:dyDescent="0.2"/>
    <row r="4680" ht="12.75" x14ac:dyDescent="0.2"/>
    <row r="4681" ht="12.75" x14ac:dyDescent="0.2"/>
    <row r="4682" ht="12.75" x14ac:dyDescent="0.2"/>
    <row r="4683" ht="12.75" x14ac:dyDescent="0.2"/>
    <row r="4684" ht="12.75" x14ac:dyDescent="0.2"/>
    <row r="4685" ht="12.75" x14ac:dyDescent="0.2"/>
    <row r="4686" ht="12.75" x14ac:dyDescent="0.2"/>
    <row r="4687" ht="12.75" x14ac:dyDescent="0.2"/>
    <row r="4688" ht="12.75" x14ac:dyDescent="0.2"/>
    <row r="4689" ht="12.75" x14ac:dyDescent="0.2"/>
    <row r="4690" ht="12.75" x14ac:dyDescent="0.2"/>
    <row r="4691" ht="12.75" x14ac:dyDescent="0.2"/>
    <row r="4692" ht="12.75" x14ac:dyDescent="0.2"/>
    <row r="4693" ht="12.75" x14ac:dyDescent="0.2"/>
    <row r="4694" ht="12.75" x14ac:dyDescent="0.2"/>
    <row r="4695" ht="12.75" x14ac:dyDescent="0.2"/>
    <row r="4696" ht="12.75" x14ac:dyDescent="0.2"/>
    <row r="4697" ht="12.75" x14ac:dyDescent="0.2"/>
    <row r="4698" ht="12.75" x14ac:dyDescent="0.2"/>
    <row r="4699" ht="12.75" x14ac:dyDescent="0.2"/>
    <row r="4700" ht="12.75" x14ac:dyDescent="0.2"/>
    <row r="4701" ht="12.75" x14ac:dyDescent="0.2"/>
    <row r="4702" ht="12.75" x14ac:dyDescent="0.2"/>
    <row r="4703" ht="12.75" x14ac:dyDescent="0.2"/>
    <row r="4704" ht="12.75" x14ac:dyDescent="0.2"/>
    <row r="4705" ht="12.75" x14ac:dyDescent="0.2"/>
    <row r="4706" ht="12.75" x14ac:dyDescent="0.2"/>
    <row r="4707" ht="12.75" x14ac:dyDescent="0.2"/>
    <row r="4708" ht="12.75" x14ac:dyDescent="0.2"/>
    <row r="4709" ht="12.75" x14ac:dyDescent="0.2"/>
    <row r="4710" ht="12.75" x14ac:dyDescent="0.2"/>
    <row r="4711" ht="12.75" x14ac:dyDescent="0.2"/>
    <row r="4712" ht="12.75" x14ac:dyDescent="0.2"/>
    <row r="4713" ht="12.75" x14ac:dyDescent="0.2"/>
    <row r="4714" ht="12.75" x14ac:dyDescent="0.2"/>
    <row r="4715" ht="12.75" x14ac:dyDescent="0.2"/>
    <row r="4716" ht="12.75" x14ac:dyDescent="0.2"/>
    <row r="4717" ht="12.75" x14ac:dyDescent="0.2"/>
    <row r="4718" ht="12.75" x14ac:dyDescent="0.2"/>
    <row r="4719" ht="12.75" x14ac:dyDescent="0.2"/>
    <row r="4720" ht="12.75" x14ac:dyDescent="0.2"/>
    <row r="4721" ht="12.75" x14ac:dyDescent="0.2"/>
    <row r="4722" ht="12.75" x14ac:dyDescent="0.2"/>
    <row r="4723" ht="12.75" x14ac:dyDescent="0.2"/>
    <row r="4724" ht="12.75" x14ac:dyDescent="0.2"/>
    <row r="4725" ht="12.75" x14ac:dyDescent="0.2"/>
    <row r="4726" ht="12.75" x14ac:dyDescent="0.2"/>
    <row r="4727" ht="12.75" x14ac:dyDescent="0.2"/>
    <row r="4728" ht="12.75" x14ac:dyDescent="0.2"/>
    <row r="4729" ht="12.75" x14ac:dyDescent="0.2"/>
    <row r="4730" ht="12.75" x14ac:dyDescent="0.2"/>
    <row r="4731" ht="12.75" x14ac:dyDescent="0.2"/>
    <row r="4732" ht="12.75" x14ac:dyDescent="0.2"/>
    <row r="4733" ht="12.75" x14ac:dyDescent="0.2"/>
    <row r="4734" ht="12.75" x14ac:dyDescent="0.2"/>
    <row r="4735" ht="12.75" x14ac:dyDescent="0.2"/>
    <row r="4736" ht="12.75" x14ac:dyDescent="0.2"/>
    <row r="4737" ht="12.75" x14ac:dyDescent="0.2"/>
    <row r="4738" ht="12.75" x14ac:dyDescent="0.2"/>
    <row r="4739" ht="12.75" x14ac:dyDescent="0.2"/>
    <row r="4740" ht="12.75" x14ac:dyDescent="0.2"/>
    <row r="4741" ht="12.75" x14ac:dyDescent="0.2"/>
    <row r="4742" ht="12.75" x14ac:dyDescent="0.2"/>
    <row r="4743" ht="12.75" x14ac:dyDescent="0.2"/>
    <row r="4744" ht="12.75" x14ac:dyDescent="0.2"/>
    <row r="4745" ht="12.75" x14ac:dyDescent="0.2"/>
    <row r="4746" ht="12.75" x14ac:dyDescent="0.2"/>
    <row r="4747" ht="12.75" x14ac:dyDescent="0.2"/>
    <row r="4748" ht="12.75" x14ac:dyDescent="0.2"/>
    <row r="4749" ht="12.75" x14ac:dyDescent="0.2"/>
    <row r="4750" ht="12.75" x14ac:dyDescent="0.2"/>
    <row r="4751" ht="12.75" x14ac:dyDescent="0.2"/>
    <row r="4752" ht="12.75" x14ac:dyDescent="0.2"/>
    <row r="4753" ht="12.75" x14ac:dyDescent="0.2"/>
    <row r="4754" ht="12.75" x14ac:dyDescent="0.2"/>
    <row r="4755" ht="12.75" x14ac:dyDescent="0.2"/>
    <row r="4756" ht="12.75" x14ac:dyDescent="0.2"/>
    <row r="4757" ht="12.75" x14ac:dyDescent="0.2"/>
    <row r="4758" ht="12.75" x14ac:dyDescent="0.2"/>
    <row r="4759" ht="12.75" x14ac:dyDescent="0.2"/>
    <row r="4760" ht="12.75" x14ac:dyDescent="0.2"/>
    <row r="4761" ht="12.75" x14ac:dyDescent="0.2"/>
    <row r="4762" ht="12.75" x14ac:dyDescent="0.2"/>
    <row r="4763" ht="12.75" x14ac:dyDescent="0.2"/>
    <row r="4764" ht="12.75" x14ac:dyDescent="0.2"/>
    <row r="4765" ht="12.75" x14ac:dyDescent="0.2"/>
    <row r="4766" ht="12.75" x14ac:dyDescent="0.2"/>
    <row r="4767" ht="12.75" x14ac:dyDescent="0.2"/>
    <row r="4768" ht="12.75" x14ac:dyDescent="0.2"/>
    <row r="4769" ht="12.75" x14ac:dyDescent="0.2"/>
    <row r="4770" ht="12.75" x14ac:dyDescent="0.2"/>
    <row r="4771" ht="12.75" x14ac:dyDescent="0.2"/>
    <row r="4772" ht="12.75" x14ac:dyDescent="0.2"/>
    <row r="4773" ht="12.75" x14ac:dyDescent="0.2"/>
    <row r="4774" ht="12.75" x14ac:dyDescent="0.2"/>
    <row r="4775" ht="12.75" x14ac:dyDescent="0.2"/>
    <row r="4776" ht="12.75" x14ac:dyDescent="0.2"/>
    <row r="4777" ht="12.75" x14ac:dyDescent="0.2"/>
    <row r="4778" ht="12.75" x14ac:dyDescent="0.2"/>
    <row r="4779" ht="12.75" x14ac:dyDescent="0.2"/>
    <row r="4780" ht="12.75" x14ac:dyDescent="0.2"/>
    <row r="4781" ht="12.75" x14ac:dyDescent="0.2"/>
    <row r="4782" ht="12.75" x14ac:dyDescent="0.2"/>
    <row r="4783" ht="12.75" x14ac:dyDescent="0.2"/>
    <row r="4784" ht="12.75" x14ac:dyDescent="0.2"/>
    <row r="4785" ht="12.75" x14ac:dyDescent="0.2"/>
    <row r="4786" ht="12.75" x14ac:dyDescent="0.2"/>
    <row r="4787" ht="12.75" x14ac:dyDescent="0.2"/>
    <row r="4788" ht="12.75" x14ac:dyDescent="0.2"/>
    <row r="4789" ht="12.75" x14ac:dyDescent="0.2"/>
    <row r="4790" ht="12.75" x14ac:dyDescent="0.2"/>
    <row r="4791" ht="12.75" x14ac:dyDescent="0.2"/>
    <row r="4792" ht="12.75" x14ac:dyDescent="0.2"/>
    <row r="4793" ht="12.75" x14ac:dyDescent="0.2"/>
    <row r="4794" ht="12.75" x14ac:dyDescent="0.2"/>
    <row r="4795" ht="12.75" x14ac:dyDescent="0.2"/>
    <row r="4796" ht="12.75" x14ac:dyDescent="0.2"/>
    <row r="4797" ht="12.75" x14ac:dyDescent="0.2"/>
    <row r="4798" ht="12.75" x14ac:dyDescent="0.2"/>
    <row r="4799" ht="12.75" x14ac:dyDescent="0.2"/>
    <row r="4800" ht="12.75" x14ac:dyDescent="0.2"/>
    <row r="4801" ht="12.75" x14ac:dyDescent="0.2"/>
    <row r="4802" ht="12.75" x14ac:dyDescent="0.2"/>
    <row r="4803" ht="12.75" x14ac:dyDescent="0.2"/>
    <row r="4804" ht="12.75" x14ac:dyDescent="0.2"/>
    <row r="4805" ht="12.75" x14ac:dyDescent="0.2"/>
    <row r="4806" ht="12.75" x14ac:dyDescent="0.2"/>
    <row r="4807" ht="12.75" x14ac:dyDescent="0.2"/>
    <row r="4808" ht="12.75" x14ac:dyDescent="0.2"/>
    <row r="4809" ht="12.75" x14ac:dyDescent="0.2"/>
    <row r="4810" ht="12.75" x14ac:dyDescent="0.2"/>
    <row r="4811" ht="12.75" x14ac:dyDescent="0.2"/>
    <row r="4812" ht="12.75" x14ac:dyDescent="0.2"/>
    <row r="4813" ht="12.75" x14ac:dyDescent="0.2"/>
    <row r="4814" ht="12.75" x14ac:dyDescent="0.2"/>
    <row r="4815" ht="12.75" x14ac:dyDescent="0.2"/>
    <row r="4816" ht="12.75" x14ac:dyDescent="0.2"/>
    <row r="4817" ht="12.75" x14ac:dyDescent="0.2"/>
    <row r="4818" ht="12.75" x14ac:dyDescent="0.2"/>
    <row r="4819" ht="12.75" x14ac:dyDescent="0.2"/>
    <row r="4820" ht="12.75" x14ac:dyDescent="0.2"/>
    <row r="4821" ht="12.75" x14ac:dyDescent="0.2"/>
    <row r="4822" ht="12.75" x14ac:dyDescent="0.2"/>
    <row r="4823" ht="12.75" x14ac:dyDescent="0.2"/>
    <row r="4824" ht="12.75" x14ac:dyDescent="0.2"/>
    <row r="4825" ht="12.75" x14ac:dyDescent="0.2"/>
    <row r="4826" ht="12.75" x14ac:dyDescent="0.2"/>
    <row r="4827" ht="12.75" x14ac:dyDescent="0.2"/>
    <row r="4828" ht="12.75" x14ac:dyDescent="0.2"/>
    <row r="4829" ht="12.75" x14ac:dyDescent="0.2"/>
    <row r="4830" ht="12.75" x14ac:dyDescent="0.2"/>
    <row r="4831" ht="12.75" x14ac:dyDescent="0.2"/>
    <row r="4832" ht="12.75" x14ac:dyDescent="0.2"/>
    <row r="4833" ht="12.75" x14ac:dyDescent="0.2"/>
    <row r="4834" ht="12.75" x14ac:dyDescent="0.2"/>
    <row r="4835" ht="12.75" x14ac:dyDescent="0.2"/>
    <row r="4836" ht="12.75" x14ac:dyDescent="0.2"/>
    <row r="4837" ht="12.75" x14ac:dyDescent="0.2"/>
    <row r="4838" ht="12.75" x14ac:dyDescent="0.2"/>
    <row r="4839" ht="12.75" x14ac:dyDescent="0.2"/>
    <row r="4840" ht="12.75" x14ac:dyDescent="0.2"/>
    <row r="4841" ht="12.75" x14ac:dyDescent="0.2"/>
    <row r="4842" ht="12.75" x14ac:dyDescent="0.2"/>
    <row r="4843" ht="12.75" x14ac:dyDescent="0.2"/>
    <row r="4844" ht="12.75" x14ac:dyDescent="0.2"/>
    <row r="4845" ht="12.75" x14ac:dyDescent="0.2"/>
    <row r="4846" ht="12.75" x14ac:dyDescent="0.2"/>
    <row r="4847" ht="12.75" x14ac:dyDescent="0.2"/>
    <row r="4848" ht="12.75" x14ac:dyDescent="0.2"/>
    <row r="4849" ht="12.75" x14ac:dyDescent="0.2"/>
    <row r="4850" ht="12.75" x14ac:dyDescent="0.2"/>
    <row r="4851" ht="12.75" x14ac:dyDescent="0.2"/>
    <row r="4852" ht="12.75" x14ac:dyDescent="0.2"/>
    <row r="4853" ht="12.75" x14ac:dyDescent="0.2"/>
    <row r="4854" ht="12.75" x14ac:dyDescent="0.2"/>
    <row r="4855" ht="12.75" x14ac:dyDescent="0.2"/>
    <row r="4856" ht="12.75" x14ac:dyDescent="0.2"/>
    <row r="4857" ht="12.75" x14ac:dyDescent="0.2"/>
    <row r="4858" ht="12.75" x14ac:dyDescent="0.2"/>
    <row r="4859" ht="12.75" x14ac:dyDescent="0.2"/>
    <row r="4860" ht="12.75" x14ac:dyDescent="0.2"/>
    <row r="4861" ht="12.75" x14ac:dyDescent="0.2"/>
    <row r="4862" ht="12.75" x14ac:dyDescent="0.2"/>
    <row r="4863" ht="12.75" x14ac:dyDescent="0.2"/>
    <row r="4864" ht="12.75" x14ac:dyDescent="0.2"/>
    <row r="4865" ht="12.75" x14ac:dyDescent="0.2"/>
    <row r="4866" ht="12.75" x14ac:dyDescent="0.2"/>
    <row r="4867" ht="12.75" x14ac:dyDescent="0.2"/>
    <row r="4868" ht="12.75" x14ac:dyDescent="0.2"/>
    <row r="4869" ht="12.75" x14ac:dyDescent="0.2"/>
    <row r="4870" ht="12.75" x14ac:dyDescent="0.2"/>
    <row r="4871" ht="12.75" x14ac:dyDescent="0.2"/>
    <row r="4872" ht="12.75" x14ac:dyDescent="0.2"/>
    <row r="4873" ht="12.75" x14ac:dyDescent="0.2"/>
    <row r="4874" ht="12.75" x14ac:dyDescent="0.2"/>
    <row r="4875" ht="12.75" x14ac:dyDescent="0.2"/>
    <row r="4876" ht="12.75" x14ac:dyDescent="0.2"/>
    <row r="4877" ht="12.75" x14ac:dyDescent="0.2"/>
    <row r="4878" ht="12.75" x14ac:dyDescent="0.2"/>
    <row r="4879" ht="12.75" x14ac:dyDescent="0.2"/>
    <row r="4880" ht="12.75" x14ac:dyDescent="0.2"/>
    <row r="4881" ht="12.75" x14ac:dyDescent="0.2"/>
    <row r="4882" ht="12.75" x14ac:dyDescent="0.2"/>
    <row r="4883" ht="12.75" x14ac:dyDescent="0.2"/>
    <row r="4884" ht="12.75" x14ac:dyDescent="0.2"/>
    <row r="4885" ht="12.75" x14ac:dyDescent="0.2"/>
    <row r="4886" ht="12.75" x14ac:dyDescent="0.2"/>
    <row r="4887" ht="12.75" x14ac:dyDescent="0.2"/>
    <row r="4888" ht="12.75" x14ac:dyDescent="0.2"/>
    <row r="4889" ht="12.75" x14ac:dyDescent="0.2"/>
    <row r="4890" ht="12.75" x14ac:dyDescent="0.2"/>
    <row r="4891" ht="12.75" x14ac:dyDescent="0.2"/>
    <row r="4892" ht="12.75" x14ac:dyDescent="0.2"/>
    <row r="4893" ht="12.75" x14ac:dyDescent="0.2"/>
    <row r="4894" ht="12.75" x14ac:dyDescent="0.2"/>
    <row r="4895" ht="12.75" x14ac:dyDescent="0.2"/>
    <row r="4896" ht="12.75" x14ac:dyDescent="0.2"/>
    <row r="4897" ht="12.75" x14ac:dyDescent="0.2"/>
    <row r="4898" ht="12.75" x14ac:dyDescent="0.2"/>
    <row r="4899" ht="12.75" x14ac:dyDescent="0.2"/>
    <row r="4900" ht="12.75" x14ac:dyDescent="0.2"/>
    <row r="4901" ht="12.75" x14ac:dyDescent="0.2"/>
    <row r="4902" ht="12.75" x14ac:dyDescent="0.2"/>
    <row r="4903" ht="12.75" x14ac:dyDescent="0.2"/>
    <row r="4904" ht="12.75" x14ac:dyDescent="0.2"/>
    <row r="4905" ht="12.75" x14ac:dyDescent="0.2"/>
    <row r="4906" ht="12.75" x14ac:dyDescent="0.2"/>
    <row r="4907" ht="12.75" x14ac:dyDescent="0.2"/>
    <row r="4908" ht="12.75" x14ac:dyDescent="0.2"/>
    <row r="4909" ht="12.75" x14ac:dyDescent="0.2"/>
    <row r="4910" ht="12.75" x14ac:dyDescent="0.2"/>
    <row r="4911" ht="12.75" x14ac:dyDescent="0.2"/>
    <row r="4912" ht="12.75" x14ac:dyDescent="0.2"/>
    <row r="4913" ht="12.75" x14ac:dyDescent="0.2"/>
    <row r="4914" ht="12.75" x14ac:dyDescent="0.2"/>
    <row r="4915" ht="12.75" x14ac:dyDescent="0.2"/>
    <row r="4916" ht="12.75" x14ac:dyDescent="0.2"/>
    <row r="4917" ht="12.75" x14ac:dyDescent="0.2"/>
    <row r="4918" ht="12.75" x14ac:dyDescent="0.2"/>
    <row r="4919" ht="12.75" x14ac:dyDescent="0.2"/>
    <row r="4920" ht="12.75" x14ac:dyDescent="0.2"/>
    <row r="4921" ht="12.75" x14ac:dyDescent="0.2"/>
    <row r="4922" ht="12.75" x14ac:dyDescent="0.2"/>
    <row r="4923" ht="12.75" x14ac:dyDescent="0.2"/>
    <row r="4924" ht="12.75" x14ac:dyDescent="0.2"/>
    <row r="4925" ht="12.75" x14ac:dyDescent="0.2"/>
    <row r="4926" ht="12.75" x14ac:dyDescent="0.2"/>
    <row r="4927" ht="12.75" x14ac:dyDescent="0.2"/>
    <row r="4928" ht="12.75" x14ac:dyDescent="0.2"/>
    <row r="4929" ht="12.75" x14ac:dyDescent="0.2"/>
    <row r="4930" ht="12.75" x14ac:dyDescent="0.2"/>
    <row r="4931" ht="12.75" x14ac:dyDescent="0.2"/>
    <row r="4932" ht="12.75" x14ac:dyDescent="0.2"/>
    <row r="4933" ht="12.75" x14ac:dyDescent="0.2"/>
    <row r="4934" ht="12.75" x14ac:dyDescent="0.2"/>
    <row r="4935" ht="12.75" x14ac:dyDescent="0.2"/>
    <row r="4936" ht="12.75" x14ac:dyDescent="0.2"/>
    <row r="4937" ht="12.75" x14ac:dyDescent="0.2"/>
    <row r="4938" ht="12.75" x14ac:dyDescent="0.2"/>
    <row r="4939" ht="12.75" x14ac:dyDescent="0.2"/>
    <row r="4940" ht="12.75" x14ac:dyDescent="0.2"/>
    <row r="4941" ht="12.75" x14ac:dyDescent="0.2"/>
    <row r="4942" ht="12.75" x14ac:dyDescent="0.2"/>
    <row r="4943" ht="12.75" x14ac:dyDescent="0.2"/>
    <row r="4944" ht="12.75" x14ac:dyDescent="0.2"/>
    <row r="4945" ht="12.75" x14ac:dyDescent="0.2"/>
    <row r="4946" ht="12.75" x14ac:dyDescent="0.2"/>
    <row r="4947" ht="12.75" x14ac:dyDescent="0.2"/>
    <row r="4948" ht="12.75" x14ac:dyDescent="0.2"/>
    <row r="4949" ht="12.75" x14ac:dyDescent="0.2"/>
    <row r="4950" ht="12.75" x14ac:dyDescent="0.2"/>
    <row r="4951" ht="12.75" x14ac:dyDescent="0.2"/>
    <row r="4952" ht="12.75" x14ac:dyDescent="0.2"/>
    <row r="4953" ht="12.75" x14ac:dyDescent="0.2"/>
    <row r="4954" ht="12.75" x14ac:dyDescent="0.2"/>
    <row r="4955" ht="12.75" x14ac:dyDescent="0.2"/>
    <row r="4956" ht="12.75" x14ac:dyDescent="0.2"/>
    <row r="4957" ht="12.75" x14ac:dyDescent="0.2"/>
    <row r="4958" ht="12.75" x14ac:dyDescent="0.2"/>
    <row r="4959" ht="12.75" x14ac:dyDescent="0.2"/>
    <row r="4960" ht="12.75" x14ac:dyDescent="0.2"/>
    <row r="4961" ht="12.75" x14ac:dyDescent="0.2"/>
    <row r="4962" ht="12.75" x14ac:dyDescent="0.2"/>
    <row r="4963" ht="12.75" x14ac:dyDescent="0.2"/>
    <row r="4964" ht="12.75" x14ac:dyDescent="0.2"/>
    <row r="4965" ht="12.75" x14ac:dyDescent="0.2"/>
    <row r="4966" ht="12.75" x14ac:dyDescent="0.2"/>
    <row r="4967" ht="12.75" x14ac:dyDescent="0.2"/>
    <row r="4968" ht="12.75" x14ac:dyDescent="0.2"/>
    <row r="4969" ht="12.75" x14ac:dyDescent="0.2"/>
    <row r="4970" ht="12.75" x14ac:dyDescent="0.2"/>
    <row r="4971" ht="12.75" x14ac:dyDescent="0.2"/>
    <row r="4972" ht="12.75" x14ac:dyDescent="0.2"/>
    <row r="4973" ht="12.75" x14ac:dyDescent="0.2"/>
    <row r="4974" ht="12.75" x14ac:dyDescent="0.2"/>
    <row r="4975" ht="12.75" x14ac:dyDescent="0.2"/>
    <row r="4976" ht="12.75" x14ac:dyDescent="0.2"/>
    <row r="4977" ht="12.75" x14ac:dyDescent="0.2"/>
    <row r="4978" ht="12.75" x14ac:dyDescent="0.2"/>
    <row r="4979" ht="12.75" x14ac:dyDescent="0.2"/>
    <row r="4980" ht="12.75" x14ac:dyDescent="0.2"/>
    <row r="4981" ht="12.75" x14ac:dyDescent="0.2"/>
    <row r="4982" ht="12.75" x14ac:dyDescent="0.2"/>
    <row r="4983" ht="12.75" x14ac:dyDescent="0.2"/>
    <row r="4984" ht="12.75" x14ac:dyDescent="0.2"/>
    <row r="4985" ht="12.75" x14ac:dyDescent="0.2"/>
    <row r="4986" ht="12.75" x14ac:dyDescent="0.2"/>
    <row r="4987" ht="12.75" x14ac:dyDescent="0.2"/>
    <row r="4988" ht="12.75" x14ac:dyDescent="0.2"/>
    <row r="4989" ht="12.75" x14ac:dyDescent="0.2"/>
    <row r="4990" ht="12.75" x14ac:dyDescent="0.2"/>
    <row r="4991" ht="12.75" x14ac:dyDescent="0.2"/>
    <row r="4992" ht="12.75" x14ac:dyDescent="0.2"/>
    <row r="4993" ht="12.75" x14ac:dyDescent="0.2"/>
    <row r="4994" ht="12.75" x14ac:dyDescent="0.2"/>
    <row r="4995" ht="12.75" x14ac:dyDescent="0.2"/>
    <row r="4996" ht="12.75" x14ac:dyDescent="0.2"/>
    <row r="4997" ht="12.75" x14ac:dyDescent="0.2"/>
    <row r="4998" ht="12.75" x14ac:dyDescent="0.2"/>
    <row r="4999" ht="12.75" x14ac:dyDescent="0.2"/>
    <row r="5000" ht="12.75" x14ac:dyDescent="0.2"/>
    <row r="5001" ht="12.75" x14ac:dyDescent="0.2"/>
    <row r="5002" ht="12.75" x14ac:dyDescent="0.2"/>
    <row r="5003" ht="12.75" x14ac:dyDescent="0.2"/>
    <row r="5004" ht="12.75" x14ac:dyDescent="0.2"/>
    <row r="5005" ht="12.75" x14ac:dyDescent="0.2"/>
    <row r="5006" ht="12.75" x14ac:dyDescent="0.2"/>
    <row r="5007" ht="12.75" x14ac:dyDescent="0.2"/>
    <row r="5008" ht="12.75" x14ac:dyDescent="0.2"/>
    <row r="5009" ht="12.75" x14ac:dyDescent="0.2"/>
    <row r="5010" ht="12.75" x14ac:dyDescent="0.2"/>
    <row r="5011" ht="12.75" x14ac:dyDescent="0.2"/>
    <row r="5012" ht="12.75" x14ac:dyDescent="0.2"/>
    <row r="5013" ht="12.75" x14ac:dyDescent="0.2"/>
    <row r="5014" ht="12.75" x14ac:dyDescent="0.2"/>
    <row r="5015" ht="12.75" x14ac:dyDescent="0.2"/>
    <row r="5016" ht="12.75" x14ac:dyDescent="0.2"/>
    <row r="5017" ht="12.75" x14ac:dyDescent="0.2"/>
    <row r="5018" ht="12.75" x14ac:dyDescent="0.2"/>
    <row r="5019" ht="12.75" x14ac:dyDescent="0.2"/>
    <row r="5020" ht="12.75" x14ac:dyDescent="0.2"/>
    <row r="5021" ht="12.75" x14ac:dyDescent="0.2"/>
    <row r="5022" ht="12.75" x14ac:dyDescent="0.2"/>
    <row r="5023" ht="12.75" x14ac:dyDescent="0.2"/>
    <row r="5024" ht="12.75" x14ac:dyDescent="0.2"/>
    <row r="5025" ht="12.75" x14ac:dyDescent="0.2"/>
    <row r="5026" ht="12.75" x14ac:dyDescent="0.2"/>
    <row r="5027" ht="12.75" x14ac:dyDescent="0.2"/>
    <row r="5028" ht="12.75" x14ac:dyDescent="0.2"/>
    <row r="5029" ht="12.75" x14ac:dyDescent="0.2"/>
    <row r="5030" ht="12.75" x14ac:dyDescent="0.2"/>
    <row r="5031" ht="12.75" x14ac:dyDescent="0.2"/>
    <row r="5032" ht="12.75" x14ac:dyDescent="0.2"/>
    <row r="5033" ht="12.75" x14ac:dyDescent="0.2"/>
    <row r="5034" ht="12.75" x14ac:dyDescent="0.2"/>
    <row r="5035" ht="12.75" x14ac:dyDescent="0.2"/>
    <row r="5036" ht="12.75" x14ac:dyDescent="0.2"/>
    <row r="5037" ht="12.75" x14ac:dyDescent="0.2"/>
    <row r="5038" ht="12.75" x14ac:dyDescent="0.2"/>
    <row r="5039" ht="12.75" x14ac:dyDescent="0.2"/>
    <row r="5040" ht="12.75" x14ac:dyDescent="0.2"/>
    <row r="5041" ht="12.75" x14ac:dyDescent="0.2"/>
    <row r="5042" ht="12.75" x14ac:dyDescent="0.2"/>
    <row r="5043" ht="12.75" x14ac:dyDescent="0.2"/>
    <row r="5044" ht="12.75" x14ac:dyDescent="0.2"/>
    <row r="5045" ht="12.75" x14ac:dyDescent="0.2"/>
    <row r="5046" ht="12.75" x14ac:dyDescent="0.2"/>
    <row r="5047" ht="12.75" x14ac:dyDescent="0.2"/>
    <row r="5048" ht="12.75" x14ac:dyDescent="0.2"/>
    <row r="5049" ht="12.75" x14ac:dyDescent="0.2"/>
    <row r="5050" ht="12.75" x14ac:dyDescent="0.2"/>
    <row r="5051" ht="12.75" x14ac:dyDescent="0.2"/>
    <row r="5052" ht="12.75" x14ac:dyDescent="0.2"/>
    <row r="5053" ht="12.75" x14ac:dyDescent="0.2"/>
    <row r="5054" ht="12.75" x14ac:dyDescent="0.2"/>
    <row r="5055" ht="12.75" x14ac:dyDescent="0.2"/>
    <row r="5056" ht="12.75" x14ac:dyDescent="0.2"/>
    <row r="5057" ht="12.75" x14ac:dyDescent="0.2"/>
    <row r="5058" ht="12.75" x14ac:dyDescent="0.2"/>
    <row r="5059" ht="12.75" x14ac:dyDescent="0.2"/>
    <row r="5060" ht="12.75" x14ac:dyDescent="0.2"/>
    <row r="5061" ht="12.75" x14ac:dyDescent="0.2"/>
    <row r="5062" ht="12.75" x14ac:dyDescent="0.2"/>
    <row r="5063" ht="12.75" x14ac:dyDescent="0.2"/>
    <row r="5064" ht="12.75" x14ac:dyDescent="0.2"/>
    <row r="5065" ht="12.75" x14ac:dyDescent="0.2"/>
    <row r="5066" ht="12.75" x14ac:dyDescent="0.2"/>
    <row r="5067" ht="12.75" x14ac:dyDescent="0.2"/>
    <row r="5068" ht="12.75" x14ac:dyDescent="0.2"/>
    <row r="5069" ht="12.75" x14ac:dyDescent="0.2"/>
    <row r="5070" ht="12.75" x14ac:dyDescent="0.2"/>
    <row r="5071" ht="12.75" x14ac:dyDescent="0.2"/>
    <row r="5072" ht="12.75" x14ac:dyDescent="0.2"/>
    <row r="5073" ht="12.75" x14ac:dyDescent="0.2"/>
    <row r="5074" ht="12.75" x14ac:dyDescent="0.2"/>
    <row r="5075" ht="12.75" x14ac:dyDescent="0.2"/>
    <row r="5076" ht="12.75" x14ac:dyDescent="0.2"/>
    <row r="5077" ht="12.75" x14ac:dyDescent="0.2"/>
    <row r="5078" ht="12.75" x14ac:dyDescent="0.2"/>
    <row r="5079" ht="12.75" x14ac:dyDescent="0.2"/>
    <row r="5080" ht="12.75" x14ac:dyDescent="0.2"/>
    <row r="5081" ht="12.75" x14ac:dyDescent="0.2"/>
    <row r="5082" ht="12.75" x14ac:dyDescent="0.2"/>
    <row r="5083" ht="12.75" x14ac:dyDescent="0.2"/>
    <row r="5084" ht="12.75" x14ac:dyDescent="0.2"/>
    <row r="5085" ht="12.75" x14ac:dyDescent="0.2"/>
    <row r="5086" ht="12.75" x14ac:dyDescent="0.2"/>
    <row r="5087" ht="12.75" x14ac:dyDescent="0.2"/>
    <row r="5088" ht="12.75" x14ac:dyDescent="0.2"/>
    <row r="5089" ht="12.75" x14ac:dyDescent="0.2"/>
    <row r="5090" ht="12.75" x14ac:dyDescent="0.2"/>
    <row r="5091" ht="12.75" x14ac:dyDescent="0.2"/>
    <row r="5092" ht="12.75" x14ac:dyDescent="0.2"/>
    <row r="5093" ht="12.75" x14ac:dyDescent="0.2"/>
    <row r="5094" ht="12.75" x14ac:dyDescent="0.2"/>
    <row r="5095" ht="12.75" x14ac:dyDescent="0.2"/>
    <row r="5096" ht="12.75" x14ac:dyDescent="0.2"/>
    <row r="5097" ht="12.75" x14ac:dyDescent="0.2"/>
    <row r="5098" ht="12.75" x14ac:dyDescent="0.2"/>
    <row r="5099" ht="12.75" x14ac:dyDescent="0.2"/>
    <row r="5100" ht="12.75" x14ac:dyDescent="0.2"/>
    <row r="5101" ht="12.75" x14ac:dyDescent="0.2"/>
    <row r="5102" ht="12.75" x14ac:dyDescent="0.2"/>
    <row r="5103" ht="12.75" x14ac:dyDescent="0.2"/>
    <row r="5104" ht="12.75" x14ac:dyDescent="0.2"/>
    <row r="5105" ht="12.75" x14ac:dyDescent="0.2"/>
    <row r="5106" ht="12.75" x14ac:dyDescent="0.2"/>
    <row r="5107" ht="12.75" x14ac:dyDescent="0.2"/>
    <row r="5108" ht="12.75" x14ac:dyDescent="0.2"/>
    <row r="5109" ht="12.75" x14ac:dyDescent="0.2"/>
    <row r="5110" ht="12.75" x14ac:dyDescent="0.2"/>
    <row r="5111" ht="12.75" x14ac:dyDescent="0.2"/>
    <row r="5112" ht="12.75" x14ac:dyDescent="0.2"/>
    <row r="5113" ht="12.75" x14ac:dyDescent="0.2"/>
    <row r="5114" ht="12.75" x14ac:dyDescent="0.2"/>
    <row r="5115" ht="12.75" x14ac:dyDescent="0.2"/>
    <row r="5116" ht="12.75" x14ac:dyDescent="0.2"/>
    <row r="5117" ht="12.75" x14ac:dyDescent="0.2"/>
    <row r="5118" ht="12.75" x14ac:dyDescent="0.2"/>
    <row r="5119" ht="12.75" x14ac:dyDescent="0.2"/>
    <row r="5120" ht="12.75" x14ac:dyDescent="0.2"/>
    <row r="5121" ht="12.75" x14ac:dyDescent="0.2"/>
    <row r="5122" ht="12.75" x14ac:dyDescent="0.2"/>
    <row r="5123" ht="12.75" x14ac:dyDescent="0.2"/>
    <row r="5124" ht="12.75" x14ac:dyDescent="0.2"/>
    <row r="5125" ht="12.75" x14ac:dyDescent="0.2"/>
    <row r="5126" ht="12.75" x14ac:dyDescent="0.2"/>
    <row r="5127" ht="12.75" x14ac:dyDescent="0.2"/>
    <row r="5128" ht="12.75" x14ac:dyDescent="0.2"/>
    <row r="5129" ht="12.75" x14ac:dyDescent="0.2"/>
    <row r="5130" ht="12.75" x14ac:dyDescent="0.2"/>
    <row r="5131" ht="12.75" x14ac:dyDescent="0.2"/>
    <row r="5132" ht="12.75" x14ac:dyDescent="0.2"/>
    <row r="5133" ht="12.75" x14ac:dyDescent="0.2"/>
    <row r="5134" ht="12.75" x14ac:dyDescent="0.2"/>
    <row r="5135" ht="12.75" x14ac:dyDescent="0.2"/>
    <row r="5136" ht="12.75" x14ac:dyDescent="0.2"/>
    <row r="5137" ht="12.75" x14ac:dyDescent="0.2"/>
    <row r="5138" ht="12.75" x14ac:dyDescent="0.2"/>
    <row r="5139" ht="12.75" x14ac:dyDescent="0.2"/>
    <row r="5140" ht="12.75" x14ac:dyDescent="0.2"/>
    <row r="5141" ht="12.75" x14ac:dyDescent="0.2"/>
    <row r="5142" ht="12.75" x14ac:dyDescent="0.2"/>
    <row r="5143" ht="12.75" x14ac:dyDescent="0.2"/>
    <row r="5144" ht="12.75" x14ac:dyDescent="0.2"/>
    <row r="5145" ht="12.75" x14ac:dyDescent="0.2"/>
    <row r="5146" ht="12.75" x14ac:dyDescent="0.2"/>
    <row r="5147" ht="12.75" x14ac:dyDescent="0.2"/>
    <row r="5148" ht="12.75" x14ac:dyDescent="0.2"/>
    <row r="5149" ht="12.75" x14ac:dyDescent="0.2"/>
    <row r="5150" ht="12.75" x14ac:dyDescent="0.2"/>
    <row r="5151" ht="12.75" x14ac:dyDescent="0.2"/>
    <row r="5152" ht="12.75" x14ac:dyDescent="0.2"/>
    <row r="5153" ht="12.75" x14ac:dyDescent="0.2"/>
    <row r="5154" ht="12.75" x14ac:dyDescent="0.2"/>
    <row r="5155" ht="12.75" x14ac:dyDescent="0.2"/>
    <row r="5156" ht="12.75" x14ac:dyDescent="0.2"/>
    <row r="5157" ht="12.75" x14ac:dyDescent="0.2"/>
    <row r="5158" ht="12.75" x14ac:dyDescent="0.2"/>
    <row r="5159" ht="12.75" x14ac:dyDescent="0.2"/>
    <row r="5160" ht="12.75" x14ac:dyDescent="0.2"/>
    <row r="5161" ht="12.75" x14ac:dyDescent="0.2"/>
    <row r="5162" ht="12.75" x14ac:dyDescent="0.2"/>
    <row r="5163" ht="12.75" x14ac:dyDescent="0.2"/>
    <row r="5164" ht="12.75" x14ac:dyDescent="0.2"/>
    <row r="5165" ht="12.75" x14ac:dyDescent="0.2"/>
    <row r="5166" ht="12.75" x14ac:dyDescent="0.2"/>
    <row r="5167" ht="12.75" x14ac:dyDescent="0.2"/>
    <row r="5168" ht="12.75" x14ac:dyDescent="0.2"/>
    <row r="5169" ht="12.75" x14ac:dyDescent="0.2"/>
    <row r="5170" ht="12.75" x14ac:dyDescent="0.2"/>
    <row r="5171" ht="12.75" x14ac:dyDescent="0.2"/>
    <row r="5172" ht="12.75" x14ac:dyDescent="0.2"/>
    <row r="5173" ht="12.75" x14ac:dyDescent="0.2"/>
    <row r="5174" ht="12.75" x14ac:dyDescent="0.2"/>
    <row r="5175" ht="12.75" x14ac:dyDescent="0.2"/>
    <row r="5176" ht="12.75" x14ac:dyDescent="0.2"/>
    <row r="5177" ht="12.75" x14ac:dyDescent="0.2"/>
    <row r="5178" ht="12.75" x14ac:dyDescent="0.2"/>
    <row r="5179" ht="12.75" x14ac:dyDescent="0.2"/>
    <row r="5180" ht="12.75" x14ac:dyDescent="0.2"/>
    <row r="5181" ht="12.75" x14ac:dyDescent="0.2"/>
    <row r="5182" ht="12.75" x14ac:dyDescent="0.2"/>
    <row r="5183" ht="12.75" x14ac:dyDescent="0.2"/>
    <row r="5184" ht="12.75" x14ac:dyDescent="0.2"/>
    <row r="5185" ht="12.75" x14ac:dyDescent="0.2"/>
    <row r="5186" ht="12.75" x14ac:dyDescent="0.2"/>
    <row r="5187" ht="12.75" x14ac:dyDescent="0.2"/>
    <row r="5188" ht="12.75" x14ac:dyDescent="0.2"/>
    <row r="5189" ht="12.75" x14ac:dyDescent="0.2"/>
    <row r="5190" ht="12.75" x14ac:dyDescent="0.2"/>
    <row r="5191" ht="12.75" x14ac:dyDescent="0.2"/>
    <row r="5192" ht="12.75" x14ac:dyDescent="0.2"/>
    <row r="5193" ht="12.75" x14ac:dyDescent="0.2"/>
    <row r="5194" ht="12.75" x14ac:dyDescent="0.2"/>
    <row r="5195" ht="12.75" x14ac:dyDescent="0.2"/>
    <row r="5196" ht="12.75" x14ac:dyDescent="0.2"/>
    <row r="5197" ht="12.75" x14ac:dyDescent="0.2"/>
    <row r="5198" ht="12.75" x14ac:dyDescent="0.2"/>
    <row r="5199" ht="12.75" x14ac:dyDescent="0.2"/>
    <row r="5200" ht="12.75" x14ac:dyDescent="0.2"/>
    <row r="5201" ht="12.75" x14ac:dyDescent="0.2"/>
    <row r="5202" ht="12.75" x14ac:dyDescent="0.2"/>
    <row r="5203" ht="12.75" x14ac:dyDescent="0.2"/>
    <row r="5204" ht="12.75" x14ac:dyDescent="0.2"/>
    <row r="5205" ht="12.75" x14ac:dyDescent="0.2"/>
    <row r="5206" ht="12.75" x14ac:dyDescent="0.2"/>
    <row r="5207" ht="12.75" x14ac:dyDescent="0.2"/>
    <row r="5208" ht="12.75" x14ac:dyDescent="0.2"/>
    <row r="5209" ht="12.75" x14ac:dyDescent="0.2"/>
    <row r="5210" ht="12.75" x14ac:dyDescent="0.2"/>
    <row r="5211" ht="12.75" x14ac:dyDescent="0.2"/>
    <row r="5212" ht="12.75" x14ac:dyDescent="0.2"/>
    <row r="5213" ht="12.75" x14ac:dyDescent="0.2"/>
    <row r="5214" ht="12.75" x14ac:dyDescent="0.2"/>
    <row r="5215" ht="12.75" x14ac:dyDescent="0.2"/>
    <row r="5216" ht="12.75" x14ac:dyDescent="0.2"/>
    <row r="5217" ht="12.75" x14ac:dyDescent="0.2"/>
    <row r="5218" ht="12.75" x14ac:dyDescent="0.2"/>
    <row r="5219" ht="12.75" x14ac:dyDescent="0.2"/>
    <row r="5220" ht="12.75" x14ac:dyDescent="0.2"/>
    <row r="5221" ht="12.75" x14ac:dyDescent="0.2"/>
    <row r="5222" ht="12.75" x14ac:dyDescent="0.2"/>
    <row r="5223" ht="12.75" x14ac:dyDescent="0.2"/>
    <row r="5224" ht="12.75" x14ac:dyDescent="0.2"/>
    <row r="5225" ht="12.75" x14ac:dyDescent="0.2"/>
    <row r="5226" ht="12.75" x14ac:dyDescent="0.2"/>
    <row r="5227" ht="12.75" x14ac:dyDescent="0.2"/>
    <row r="5228" ht="12.75" x14ac:dyDescent="0.2"/>
    <row r="5229" ht="12.75" x14ac:dyDescent="0.2"/>
    <row r="5230" ht="12.75" x14ac:dyDescent="0.2"/>
    <row r="5231" ht="12.75" x14ac:dyDescent="0.2"/>
    <row r="5232" ht="12.75" x14ac:dyDescent="0.2"/>
    <row r="5233" ht="12.75" x14ac:dyDescent="0.2"/>
    <row r="5234" ht="12.75" x14ac:dyDescent="0.2"/>
    <row r="5235" ht="12.75" x14ac:dyDescent="0.2"/>
    <row r="5236" ht="12.75" x14ac:dyDescent="0.2"/>
    <row r="5237" ht="12.75" x14ac:dyDescent="0.2"/>
    <row r="5238" ht="12.75" x14ac:dyDescent="0.2"/>
    <row r="5239" ht="12.75" x14ac:dyDescent="0.2"/>
    <row r="5240" ht="12.75" x14ac:dyDescent="0.2"/>
    <row r="5241" ht="12.75" x14ac:dyDescent="0.2"/>
    <row r="5242" ht="12.75" x14ac:dyDescent="0.2"/>
    <row r="5243" ht="12.75" x14ac:dyDescent="0.2"/>
    <row r="5244" ht="12.75" x14ac:dyDescent="0.2"/>
    <row r="5245" ht="12.75" x14ac:dyDescent="0.2"/>
    <row r="5246" ht="12.75" x14ac:dyDescent="0.2"/>
    <row r="5247" ht="12.75" x14ac:dyDescent="0.2"/>
    <row r="5248" ht="12.75" x14ac:dyDescent="0.2"/>
    <row r="5249" ht="12.75" x14ac:dyDescent="0.2"/>
    <row r="5250" ht="12.75" x14ac:dyDescent="0.2"/>
    <row r="5251" ht="12.75" x14ac:dyDescent="0.2"/>
    <row r="5252" ht="12.75" x14ac:dyDescent="0.2"/>
    <row r="5253" ht="12.75" x14ac:dyDescent="0.2"/>
    <row r="5254" ht="12.75" x14ac:dyDescent="0.2"/>
    <row r="5255" ht="12.75" x14ac:dyDescent="0.2"/>
    <row r="5256" ht="12.75" x14ac:dyDescent="0.2"/>
    <row r="5257" ht="12.75" x14ac:dyDescent="0.2"/>
    <row r="5258" ht="12.75" x14ac:dyDescent="0.2"/>
    <row r="5259" ht="12.75" x14ac:dyDescent="0.2"/>
    <row r="5260" ht="12.75" x14ac:dyDescent="0.2"/>
    <row r="5261" ht="12.75" x14ac:dyDescent="0.2"/>
    <row r="5262" ht="12.75" x14ac:dyDescent="0.2"/>
    <row r="5263" ht="12.75" x14ac:dyDescent="0.2"/>
    <row r="5264" ht="12.75" x14ac:dyDescent="0.2"/>
    <row r="5265" ht="12.75" x14ac:dyDescent="0.2"/>
    <row r="5266" ht="12.75" x14ac:dyDescent="0.2"/>
    <row r="5267" ht="12.75" x14ac:dyDescent="0.2"/>
    <row r="5268" ht="12.75" x14ac:dyDescent="0.2"/>
    <row r="5269" ht="12.75" x14ac:dyDescent="0.2"/>
    <row r="5270" ht="12.75" x14ac:dyDescent="0.2"/>
    <row r="5271" ht="12.75" x14ac:dyDescent="0.2"/>
    <row r="5272" ht="12.75" x14ac:dyDescent="0.2"/>
    <row r="5273" ht="12.75" x14ac:dyDescent="0.2"/>
    <row r="5274" ht="12.75" x14ac:dyDescent="0.2"/>
    <row r="5275" ht="12.75" x14ac:dyDescent="0.2"/>
    <row r="5276" ht="12.75" x14ac:dyDescent="0.2"/>
    <row r="5277" ht="12.75" x14ac:dyDescent="0.2"/>
    <row r="5278" ht="12.75" x14ac:dyDescent="0.2"/>
    <row r="5279" ht="12.75" x14ac:dyDescent="0.2"/>
    <row r="5280" ht="12.75" x14ac:dyDescent="0.2"/>
    <row r="5281" ht="12.75" x14ac:dyDescent="0.2"/>
    <row r="5282" ht="12.75" x14ac:dyDescent="0.2"/>
    <row r="5283" ht="12.75" x14ac:dyDescent="0.2"/>
    <row r="5284" ht="12.75" x14ac:dyDescent="0.2"/>
    <row r="5285" ht="12.75" x14ac:dyDescent="0.2"/>
    <row r="5286" ht="12.75" x14ac:dyDescent="0.2"/>
    <row r="5287" ht="12.75" x14ac:dyDescent="0.2"/>
    <row r="5288" ht="12.75" x14ac:dyDescent="0.2"/>
    <row r="5289" ht="12.75" x14ac:dyDescent="0.2"/>
    <row r="5290" ht="12.75" x14ac:dyDescent="0.2"/>
    <row r="5291" ht="12.75" x14ac:dyDescent="0.2"/>
    <row r="5292" ht="12.75" x14ac:dyDescent="0.2"/>
    <row r="5293" ht="12.75" x14ac:dyDescent="0.2"/>
    <row r="5294" ht="12.75" x14ac:dyDescent="0.2"/>
    <row r="5295" ht="12.75" x14ac:dyDescent="0.2"/>
    <row r="5296" ht="12.75" x14ac:dyDescent="0.2"/>
    <row r="5297" ht="12.75" x14ac:dyDescent="0.2"/>
    <row r="5298" ht="12.75" x14ac:dyDescent="0.2"/>
    <row r="5299" ht="12.75" x14ac:dyDescent="0.2"/>
    <row r="5300" ht="12.75" x14ac:dyDescent="0.2"/>
    <row r="5301" ht="12.75" x14ac:dyDescent="0.2"/>
    <row r="5302" ht="12.75" x14ac:dyDescent="0.2"/>
    <row r="5303" ht="12.75" x14ac:dyDescent="0.2"/>
    <row r="5304" ht="12.75" x14ac:dyDescent="0.2"/>
    <row r="5305" ht="12.75" x14ac:dyDescent="0.2"/>
    <row r="5306" ht="12.75" x14ac:dyDescent="0.2"/>
    <row r="5307" ht="12.75" x14ac:dyDescent="0.2"/>
    <row r="5308" ht="12.75" x14ac:dyDescent="0.2"/>
    <row r="5309" ht="12.75" x14ac:dyDescent="0.2"/>
    <row r="5310" ht="12.75" x14ac:dyDescent="0.2"/>
    <row r="5311" ht="12.75" x14ac:dyDescent="0.2"/>
    <row r="5312" ht="12.75" x14ac:dyDescent="0.2"/>
    <row r="5313" ht="12.75" x14ac:dyDescent="0.2"/>
    <row r="5314" ht="12.75" x14ac:dyDescent="0.2"/>
    <row r="5315" ht="12.75" x14ac:dyDescent="0.2"/>
    <row r="5316" ht="12.75" x14ac:dyDescent="0.2"/>
    <row r="5317" ht="12.75" x14ac:dyDescent="0.2"/>
    <row r="5318" ht="12.75" x14ac:dyDescent="0.2"/>
    <row r="5319" ht="12.75" x14ac:dyDescent="0.2"/>
    <row r="5320" ht="12.75" x14ac:dyDescent="0.2"/>
    <row r="5321" ht="12.75" x14ac:dyDescent="0.2"/>
    <row r="5322" ht="12.75" x14ac:dyDescent="0.2"/>
    <row r="5323" ht="12.75" x14ac:dyDescent="0.2"/>
    <row r="5324" ht="12.75" x14ac:dyDescent="0.2"/>
    <row r="5325" ht="12.75" x14ac:dyDescent="0.2"/>
    <row r="5326" ht="12.75" x14ac:dyDescent="0.2"/>
    <row r="5327" ht="12.75" x14ac:dyDescent="0.2"/>
    <row r="5328" ht="12.75" x14ac:dyDescent="0.2"/>
    <row r="5329" ht="12.75" x14ac:dyDescent="0.2"/>
    <row r="5330" ht="12.75" x14ac:dyDescent="0.2"/>
    <row r="5331" ht="12.75" x14ac:dyDescent="0.2"/>
    <row r="5332" ht="12.75" x14ac:dyDescent="0.2"/>
    <row r="5333" ht="12.75" x14ac:dyDescent="0.2"/>
    <row r="5334" ht="12.75" x14ac:dyDescent="0.2"/>
    <row r="5335" ht="12.75" x14ac:dyDescent="0.2"/>
    <row r="5336" ht="12.75" x14ac:dyDescent="0.2"/>
    <row r="5337" ht="12.75" x14ac:dyDescent="0.2"/>
    <row r="5338" ht="12.75" x14ac:dyDescent="0.2"/>
    <row r="5339" ht="12.75" x14ac:dyDescent="0.2"/>
    <row r="5340" ht="12.75" x14ac:dyDescent="0.2"/>
    <row r="5341" ht="12.75" x14ac:dyDescent="0.2"/>
    <row r="5342" ht="12.75" x14ac:dyDescent="0.2"/>
    <row r="5343" ht="12.75" x14ac:dyDescent="0.2"/>
    <row r="5344" ht="12.75" x14ac:dyDescent="0.2"/>
    <row r="5345" ht="12.75" x14ac:dyDescent="0.2"/>
    <row r="5346" ht="12.75" x14ac:dyDescent="0.2"/>
    <row r="5347" ht="12.75" x14ac:dyDescent="0.2"/>
    <row r="5348" ht="12.75" x14ac:dyDescent="0.2"/>
    <row r="5349" ht="12.75" x14ac:dyDescent="0.2"/>
    <row r="5350" ht="12.75" x14ac:dyDescent="0.2"/>
    <row r="5351" ht="12.75" x14ac:dyDescent="0.2"/>
    <row r="5352" ht="12.75" x14ac:dyDescent="0.2"/>
    <row r="5353" ht="12.75" x14ac:dyDescent="0.2"/>
    <row r="5354" ht="12.75" x14ac:dyDescent="0.2"/>
    <row r="5355" ht="12.75" x14ac:dyDescent="0.2"/>
    <row r="5356" ht="12.75" x14ac:dyDescent="0.2"/>
    <row r="5357" ht="12.75" x14ac:dyDescent="0.2"/>
    <row r="5358" ht="12.75" x14ac:dyDescent="0.2"/>
    <row r="5359" ht="12.75" x14ac:dyDescent="0.2"/>
    <row r="5360" ht="12.75" x14ac:dyDescent="0.2"/>
    <row r="5361" ht="12.75" x14ac:dyDescent="0.2"/>
    <row r="5362" ht="12.75" x14ac:dyDescent="0.2"/>
    <row r="5363" ht="12.75" x14ac:dyDescent="0.2"/>
    <row r="5364" ht="12.75" x14ac:dyDescent="0.2"/>
    <row r="5365" ht="12.75" x14ac:dyDescent="0.2"/>
    <row r="5366" ht="12.75" x14ac:dyDescent="0.2"/>
    <row r="5367" ht="12.75" x14ac:dyDescent="0.2"/>
    <row r="5368" ht="12.75" x14ac:dyDescent="0.2"/>
    <row r="5369" ht="12.75" x14ac:dyDescent="0.2"/>
    <row r="5370" ht="12.75" x14ac:dyDescent="0.2"/>
    <row r="5371" ht="12.75" x14ac:dyDescent="0.2"/>
    <row r="5372" ht="12.75" x14ac:dyDescent="0.2"/>
    <row r="5373" ht="12.75" x14ac:dyDescent="0.2"/>
    <row r="5374" ht="12.75" x14ac:dyDescent="0.2"/>
    <row r="5375" ht="12.75" x14ac:dyDescent="0.2"/>
    <row r="5376" ht="12.75" x14ac:dyDescent="0.2"/>
    <row r="5377" ht="12.75" x14ac:dyDescent="0.2"/>
    <row r="5378" ht="12.75" x14ac:dyDescent="0.2"/>
    <row r="5379" ht="12.75" x14ac:dyDescent="0.2"/>
    <row r="5380" ht="12.75" x14ac:dyDescent="0.2"/>
    <row r="5381" ht="12.75" x14ac:dyDescent="0.2"/>
    <row r="5382" ht="12.75" x14ac:dyDescent="0.2"/>
    <row r="5383" ht="12.75" x14ac:dyDescent="0.2"/>
    <row r="5384" ht="12.75" x14ac:dyDescent="0.2"/>
    <row r="5385" ht="12.75" x14ac:dyDescent="0.2"/>
    <row r="5386" ht="12.75" x14ac:dyDescent="0.2"/>
    <row r="5387" ht="12.75" x14ac:dyDescent="0.2"/>
    <row r="5388" ht="12.75" x14ac:dyDescent="0.2"/>
    <row r="5389" ht="12.75" x14ac:dyDescent="0.2"/>
    <row r="5390" ht="12.75" x14ac:dyDescent="0.2"/>
    <row r="5391" ht="12.75" x14ac:dyDescent="0.2"/>
    <row r="5392" ht="12.75" x14ac:dyDescent="0.2"/>
    <row r="5393" ht="12.75" x14ac:dyDescent="0.2"/>
    <row r="5394" ht="12.75" x14ac:dyDescent="0.2"/>
    <row r="5395" ht="12.75" x14ac:dyDescent="0.2"/>
    <row r="5396" ht="12.75" x14ac:dyDescent="0.2"/>
    <row r="5397" ht="12.75" x14ac:dyDescent="0.2"/>
    <row r="5398" ht="12.75" x14ac:dyDescent="0.2"/>
    <row r="5399" ht="12.75" x14ac:dyDescent="0.2"/>
    <row r="5400" ht="12.75" x14ac:dyDescent="0.2"/>
    <row r="5401" ht="12.75" x14ac:dyDescent="0.2"/>
    <row r="5402" ht="12.75" x14ac:dyDescent="0.2"/>
    <row r="5403" ht="12.75" x14ac:dyDescent="0.2"/>
    <row r="5404" ht="12.75" x14ac:dyDescent="0.2"/>
    <row r="5405" ht="12.75" x14ac:dyDescent="0.2"/>
    <row r="5406" ht="12.75" x14ac:dyDescent="0.2"/>
    <row r="5407" ht="12.75" x14ac:dyDescent="0.2"/>
    <row r="5408" ht="12.75" x14ac:dyDescent="0.2"/>
    <row r="5409" ht="12.75" x14ac:dyDescent="0.2"/>
    <row r="5410" ht="12.75" x14ac:dyDescent="0.2"/>
    <row r="5411" ht="12.75" x14ac:dyDescent="0.2"/>
    <row r="5412" ht="12.75" x14ac:dyDescent="0.2"/>
    <row r="5413" ht="12.75" x14ac:dyDescent="0.2"/>
    <row r="5414" ht="12.75" x14ac:dyDescent="0.2"/>
    <row r="5415" ht="12.75" x14ac:dyDescent="0.2"/>
    <row r="5416" ht="12.75" x14ac:dyDescent="0.2"/>
    <row r="5417" ht="12.75" x14ac:dyDescent="0.2"/>
    <row r="5418" ht="12.75" x14ac:dyDescent="0.2"/>
    <row r="5419" ht="12.75" x14ac:dyDescent="0.2"/>
    <row r="5420" ht="12.75" x14ac:dyDescent="0.2"/>
    <row r="5421" ht="12.75" x14ac:dyDescent="0.2"/>
    <row r="5422" ht="12.75" x14ac:dyDescent="0.2"/>
    <row r="5423" ht="12.75" x14ac:dyDescent="0.2"/>
    <row r="5424" ht="12.75" x14ac:dyDescent="0.2"/>
    <row r="5425" ht="12.75" x14ac:dyDescent="0.2"/>
    <row r="5426" ht="12.75" x14ac:dyDescent="0.2"/>
    <row r="5427" ht="12.75" x14ac:dyDescent="0.2"/>
    <row r="5428" ht="12.75" x14ac:dyDescent="0.2"/>
    <row r="5429" ht="12.75" x14ac:dyDescent="0.2"/>
    <row r="5430" ht="12.75" x14ac:dyDescent="0.2"/>
    <row r="5431" ht="12.75" x14ac:dyDescent="0.2"/>
    <row r="5432" ht="12.75" x14ac:dyDescent="0.2"/>
    <row r="5433" ht="12.75" x14ac:dyDescent="0.2"/>
    <row r="5434" ht="12.75" x14ac:dyDescent="0.2"/>
    <row r="5435" ht="12.75" x14ac:dyDescent="0.2"/>
    <row r="5436" ht="12.75" x14ac:dyDescent="0.2"/>
    <row r="5437" ht="12.75" x14ac:dyDescent="0.2"/>
    <row r="5438" ht="12.75" x14ac:dyDescent="0.2"/>
    <row r="5439" ht="12.75" x14ac:dyDescent="0.2"/>
    <row r="5440" ht="12.75" x14ac:dyDescent="0.2"/>
    <row r="5441" ht="12.75" x14ac:dyDescent="0.2"/>
    <row r="5442" ht="12.75" x14ac:dyDescent="0.2"/>
    <row r="5443" ht="12.75" x14ac:dyDescent="0.2"/>
    <row r="5444" ht="12.75" x14ac:dyDescent="0.2"/>
    <row r="5445" ht="12.75" x14ac:dyDescent="0.2"/>
    <row r="5446" ht="12.75" x14ac:dyDescent="0.2"/>
    <row r="5447" ht="12.75" x14ac:dyDescent="0.2"/>
    <row r="5448" ht="12.75" x14ac:dyDescent="0.2"/>
    <row r="5449" ht="12.75" x14ac:dyDescent="0.2"/>
    <row r="5450" ht="12.75" x14ac:dyDescent="0.2"/>
    <row r="5451" ht="12.75" x14ac:dyDescent="0.2"/>
    <row r="5452" ht="12.75" x14ac:dyDescent="0.2"/>
    <row r="5453" ht="12.75" x14ac:dyDescent="0.2"/>
    <row r="5454" ht="12.75" x14ac:dyDescent="0.2"/>
    <row r="5455" ht="12.75" x14ac:dyDescent="0.2"/>
    <row r="5456" ht="12.75" x14ac:dyDescent="0.2"/>
    <row r="5457" ht="12.75" x14ac:dyDescent="0.2"/>
    <row r="5458" ht="12.75" x14ac:dyDescent="0.2"/>
    <row r="5459" ht="12.75" x14ac:dyDescent="0.2"/>
    <row r="5460" ht="12.75" x14ac:dyDescent="0.2"/>
    <row r="5461" ht="12.75" x14ac:dyDescent="0.2"/>
    <row r="5462" ht="12.75" x14ac:dyDescent="0.2"/>
    <row r="5463" ht="12.75" x14ac:dyDescent="0.2"/>
    <row r="5464" ht="12.75" x14ac:dyDescent="0.2"/>
    <row r="5465" ht="12.75" x14ac:dyDescent="0.2"/>
    <row r="5466" ht="12.75" x14ac:dyDescent="0.2"/>
    <row r="5467" ht="12.75" x14ac:dyDescent="0.2"/>
    <row r="5468" ht="12.75" x14ac:dyDescent="0.2"/>
    <row r="5469" ht="12.75" x14ac:dyDescent="0.2"/>
    <row r="5470" ht="12.75" x14ac:dyDescent="0.2"/>
    <row r="5471" ht="12.75" x14ac:dyDescent="0.2"/>
    <row r="5472" ht="12.75" x14ac:dyDescent="0.2"/>
    <row r="5473" ht="12.75" x14ac:dyDescent="0.2"/>
    <row r="5474" ht="12.75" x14ac:dyDescent="0.2"/>
    <row r="5475" ht="12.75" x14ac:dyDescent="0.2"/>
    <row r="5476" ht="12.75" x14ac:dyDescent="0.2"/>
    <row r="5477" ht="12.75" x14ac:dyDescent="0.2"/>
    <row r="5478" ht="12.75" x14ac:dyDescent="0.2"/>
    <row r="5479" ht="12.75" x14ac:dyDescent="0.2"/>
    <row r="5480" ht="12.75" x14ac:dyDescent="0.2"/>
    <row r="5481" ht="12.75" x14ac:dyDescent="0.2"/>
    <row r="5482" ht="12.75" x14ac:dyDescent="0.2"/>
    <row r="5483" ht="12.75" x14ac:dyDescent="0.2"/>
    <row r="5484" ht="12.75" x14ac:dyDescent="0.2"/>
    <row r="5485" ht="12.75" x14ac:dyDescent="0.2"/>
    <row r="5486" ht="12.75" x14ac:dyDescent="0.2"/>
    <row r="5487" ht="12.75" x14ac:dyDescent="0.2"/>
    <row r="5488" ht="12.75" x14ac:dyDescent="0.2"/>
    <row r="5489" ht="12.75" x14ac:dyDescent="0.2"/>
    <row r="5490" ht="12.75" x14ac:dyDescent="0.2"/>
    <row r="5491" ht="12.75" x14ac:dyDescent="0.2"/>
    <row r="5492" ht="12.75" x14ac:dyDescent="0.2"/>
    <row r="5493" ht="12.75" x14ac:dyDescent="0.2"/>
    <row r="5494" ht="12.75" x14ac:dyDescent="0.2"/>
    <row r="5495" ht="12.75" x14ac:dyDescent="0.2"/>
    <row r="5496" ht="12.75" x14ac:dyDescent="0.2"/>
    <row r="5497" ht="12.75" x14ac:dyDescent="0.2"/>
    <row r="5498" ht="12.75" x14ac:dyDescent="0.2"/>
    <row r="5499" ht="12.75" x14ac:dyDescent="0.2"/>
    <row r="5500" ht="12.75" x14ac:dyDescent="0.2"/>
    <row r="5501" ht="12.75" x14ac:dyDescent="0.2"/>
    <row r="5502" ht="12.75" x14ac:dyDescent="0.2"/>
    <row r="5503" ht="12.75" x14ac:dyDescent="0.2"/>
    <row r="5504" ht="12.75" x14ac:dyDescent="0.2"/>
    <row r="5505" ht="12.75" x14ac:dyDescent="0.2"/>
    <row r="5506" ht="12.75" x14ac:dyDescent="0.2"/>
    <row r="5507" ht="12.75" x14ac:dyDescent="0.2"/>
    <row r="5508" ht="12.75" x14ac:dyDescent="0.2"/>
    <row r="5509" ht="12.75" x14ac:dyDescent="0.2"/>
    <row r="5510" ht="12.75" x14ac:dyDescent="0.2"/>
    <row r="5511" ht="12.75" x14ac:dyDescent="0.2"/>
    <row r="5512" ht="12.75" x14ac:dyDescent="0.2"/>
    <row r="5513" ht="12.75" x14ac:dyDescent="0.2"/>
    <row r="5514" ht="12.75" x14ac:dyDescent="0.2"/>
    <row r="5515" ht="12.75" x14ac:dyDescent="0.2"/>
    <row r="5516" ht="12.75" x14ac:dyDescent="0.2"/>
    <row r="5517" ht="12.75" x14ac:dyDescent="0.2"/>
    <row r="5518" ht="12.75" x14ac:dyDescent="0.2"/>
    <row r="5519" ht="12.75" x14ac:dyDescent="0.2"/>
    <row r="5520" ht="12.75" x14ac:dyDescent="0.2"/>
    <row r="5521" ht="12.75" x14ac:dyDescent="0.2"/>
    <row r="5522" ht="12.75" x14ac:dyDescent="0.2"/>
    <row r="5523" ht="12.75" x14ac:dyDescent="0.2"/>
    <row r="5524" ht="12.75" x14ac:dyDescent="0.2"/>
    <row r="5525" ht="12.75" x14ac:dyDescent="0.2"/>
    <row r="5526" ht="12.75" x14ac:dyDescent="0.2"/>
    <row r="5527" ht="12.75" x14ac:dyDescent="0.2"/>
    <row r="5528" ht="12.75" x14ac:dyDescent="0.2"/>
    <row r="5529" ht="12.75" x14ac:dyDescent="0.2"/>
    <row r="5530" ht="12.75" x14ac:dyDescent="0.2"/>
    <row r="5531" ht="12.75" x14ac:dyDescent="0.2"/>
    <row r="5532" ht="12.75" x14ac:dyDescent="0.2"/>
    <row r="5533" ht="12.75" x14ac:dyDescent="0.2"/>
    <row r="5534" ht="12.75" x14ac:dyDescent="0.2"/>
    <row r="5535" ht="12.75" x14ac:dyDescent="0.2"/>
    <row r="5536" ht="12.75" x14ac:dyDescent="0.2"/>
    <row r="5537" ht="12.75" x14ac:dyDescent="0.2"/>
    <row r="5538" ht="12.75" x14ac:dyDescent="0.2"/>
    <row r="5539" ht="12.75" x14ac:dyDescent="0.2"/>
    <row r="5540" ht="12.75" x14ac:dyDescent="0.2"/>
    <row r="5541" ht="12.75" x14ac:dyDescent="0.2"/>
    <row r="5542" ht="12.75" x14ac:dyDescent="0.2"/>
    <row r="5543" ht="12.75" x14ac:dyDescent="0.2"/>
    <row r="5544" ht="12.75" x14ac:dyDescent="0.2"/>
    <row r="5545" ht="12.75" x14ac:dyDescent="0.2"/>
    <row r="5546" ht="12.75" x14ac:dyDescent="0.2"/>
    <row r="5547" ht="12.75" x14ac:dyDescent="0.2"/>
    <row r="5548" ht="12.75" x14ac:dyDescent="0.2"/>
    <row r="5549" ht="12.75" x14ac:dyDescent="0.2"/>
    <row r="5550" ht="12.75" x14ac:dyDescent="0.2"/>
    <row r="5551" ht="12.75" x14ac:dyDescent="0.2"/>
    <row r="5552" ht="12.75" x14ac:dyDescent="0.2"/>
    <row r="5553" ht="12.75" x14ac:dyDescent="0.2"/>
    <row r="5554" ht="12.75" x14ac:dyDescent="0.2"/>
    <row r="5555" ht="12.75" x14ac:dyDescent="0.2"/>
    <row r="5556" ht="12.75" x14ac:dyDescent="0.2"/>
    <row r="5557" ht="12.75" x14ac:dyDescent="0.2"/>
    <row r="5558" ht="12.75" x14ac:dyDescent="0.2"/>
    <row r="5559" ht="12.75" x14ac:dyDescent="0.2"/>
    <row r="5560" ht="12.75" x14ac:dyDescent="0.2"/>
    <row r="5561" ht="12.75" x14ac:dyDescent="0.2"/>
    <row r="5562" ht="12.75" x14ac:dyDescent="0.2"/>
    <row r="5563" ht="12.75" x14ac:dyDescent="0.2"/>
    <row r="5564" ht="12.75" x14ac:dyDescent="0.2"/>
    <row r="5565" ht="12.75" x14ac:dyDescent="0.2"/>
    <row r="5566" ht="12.75" x14ac:dyDescent="0.2"/>
    <row r="5567" ht="12.75" x14ac:dyDescent="0.2"/>
    <row r="5568" ht="12.75" x14ac:dyDescent="0.2"/>
    <row r="5569" ht="12.75" x14ac:dyDescent="0.2"/>
    <row r="5570" ht="12.75" x14ac:dyDescent="0.2"/>
    <row r="5571" ht="12.75" x14ac:dyDescent="0.2"/>
    <row r="5572" ht="12.75" x14ac:dyDescent="0.2"/>
    <row r="5573" ht="12.75" x14ac:dyDescent="0.2"/>
    <row r="5574" ht="12.75" x14ac:dyDescent="0.2"/>
    <row r="5575" ht="12.75" x14ac:dyDescent="0.2"/>
    <row r="5576" ht="12.75" x14ac:dyDescent="0.2"/>
    <row r="5577" ht="12.75" x14ac:dyDescent="0.2"/>
    <row r="5578" ht="12.75" x14ac:dyDescent="0.2"/>
    <row r="5579" ht="12.75" x14ac:dyDescent="0.2"/>
    <row r="5580" ht="12.75" x14ac:dyDescent="0.2"/>
    <row r="5581" ht="12.75" x14ac:dyDescent="0.2"/>
    <row r="5582" ht="12.75" x14ac:dyDescent="0.2"/>
    <row r="5583" ht="12.75" x14ac:dyDescent="0.2"/>
    <row r="5584" ht="12.75" x14ac:dyDescent="0.2"/>
    <row r="5585" ht="12.75" x14ac:dyDescent="0.2"/>
    <row r="5586" ht="12.75" x14ac:dyDescent="0.2"/>
    <row r="5587" ht="12.75" x14ac:dyDescent="0.2"/>
    <row r="5588" ht="12.75" x14ac:dyDescent="0.2"/>
    <row r="5589" ht="12.75" x14ac:dyDescent="0.2"/>
    <row r="5590" ht="12.75" x14ac:dyDescent="0.2"/>
    <row r="5591" ht="12.75" x14ac:dyDescent="0.2"/>
    <row r="5592" ht="12.75" x14ac:dyDescent="0.2"/>
    <row r="5593" ht="12.75" x14ac:dyDescent="0.2"/>
    <row r="5594" ht="12.75" x14ac:dyDescent="0.2"/>
    <row r="5595" ht="12.75" x14ac:dyDescent="0.2"/>
    <row r="5596" ht="12.75" x14ac:dyDescent="0.2"/>
    <row r="5597" ht="12.75" x14ac:dyDescent="0.2"/>
    <row r="5598" ht="12.75" x14ac:dyDescent="0.2"/>
    <row r="5599" ht="12.75" x14ac:dyDescent="0.2"/>
    <row r="5600" ht="12.75" x14ac:dyDescent="0.2"/>
    <row r="5601" ht="12.75" x14ac:dyDescent="0.2"/>
    <row r="5602" ht="12.75" x14ac:dyDescent="0.2"/>
    <row r="5603" ht="12.75" x14ac:dyDescent="0.2"/>
    <row r="5604" ht="12.75" x14ac:dyDescent="0.2"/>
    <row r="5605" ht="12.75" x14ac:dyDescent="0.2"/>
    <row r="5606" ht="12.75" x14ac:dyDescent="0.2"/>
    <row r="5607" ht="12.75" x14ac:dyDescent="0.2"/>
    <row r="5608" ht="12.75" x14ac:dyDescent="0.2"/>
    <row r="5609" ht="12.75" x14ac:dyDescent="0.2"/>
    <row r="5610" ht="12.75" x14ac:dyDescent="0.2"/>
    <row r="5611" ht="12.75" x14ac:dyDescent="0.2"/>
    <row r="5612" ht="12.75" x14ac:dyDescent="0.2"/>
    <row r="5613" ht="12.75" x14ac:dyDescent="0.2"/>
    <row r="5614" ht="12.75" x14ac:dyDescent="0.2"/>
    <row r="5615" ht="12.75" x14ac:dyDescent="0.2"/>
    <row r="5616" ht="12.75" x14ac:dyDescent="0.2"/>
    <row r="5617" ht="12.75" x14ac:dyDescent="0.2"/>
    <row r="5618" ht="12.75" x14ac:dyDescent="0.2"/>
    <row r="5619" ht="12.75" x14ac:dyDescent="0.2"/>
    <row r="5620" ht="12.75" x14ac:dyDescent="0.2"/>
    <row r="5621" ht="12.75" x14ac:dyDescent="0.2"/>
    <row r="5622" ht="12.75" x14ac:dyDescent="0.2"/>
    <row r="5623" ht="12.75" x14ac:dyDescent="0.2"/>
    <row r="5624" ht="12.75" x14ac:dyDescent="0.2"/>
    <row r="5625" ht="12.75" x14ac:dyDescent="0.2"/>
    <row r="5626" ht="12.75" x14ac:dyDescent="0.2"/>
    <row r="5627" ht="12.75" x14ac:dyDescent="0.2"/>
    <row r="5628" ht="12.75" x14ac:dyDescent="0.2"/>
    <row r="5629" ht="12.75" x14ac:dyDescent="0.2"/>
    <row r="5630" ht="12.75" x14ac:dyDescent="0.2"/>
    <row r="5631" ht="12.75" x14ac:dyDescent="0.2"/>
    <row r="5632" ht="12.75" x14ac:dyDescent="0.2"/>
    <row r="5633" ht="12.75" x14ac:dyDescent="0.2"/>
    <row r="5634" ht="12.75" x14ac:dyDescent="0.2"/>
    <row r="5635" ht="12.75" x14ac:dyDescent="0.2"/>
    <row r="5636" ht="12.75" x14ac:dyDescent="0.2"/>
    <row r="5637" ht="12.75" x14ac:dyDescent="0.2"/>
    <row r="5638" ht="12.75" x14ac:dyDescent="0.2"/>
    <row r="5639" ht="12.75" x14ac:dyDescent="0.2"/>
    <row r="5640" ht="12.75" x14ac:dyDescent="0.2"/>
    <row r="5641" ht="12.75" x14ac:dyDescent="0.2"/>
    <row r="5642" ht="12.75" x14ac:dyDescent="0.2"/>
    <row r="5643" ht="12.75" x14ac:dyDescent="0.2"/>
    <row r="5644" ht="12.75" x14ac:dyDescent="0.2"/>
    <row r="5645" ht="12.75" x14ac:dyDescent="0.2"/>
    <row r="5646" ht="12.75" x14ac:dyDescent="0.2"/>
    <row r="5647" ht="12.75" x14ac:dyDescent="0.2"/>
    <row r="5648" ht="12.75" x14ac:dyDescent="0.2"/>
    <row r="5649" ht="12.75" x14ac:dyDescent="0.2"/>
    <row r="5650" ht="12.75" x14ac:dyDescent="0.2"/>
    <row r="5651" ht="12.75" x14ac:dyDescent="0.2"/>
    <row r="5652" ht="12.75" x14ac:dyDescent="0.2"/>
    <row r="5653" ht="12.75" x14ac:dyDescent="0.2"/>
    <row r="5654" ht="12.75" x14ac:dyDescent="0.2"/>
    <row r="5655" ht="12.75" x14ac:dyDescent="0.2"/>
    <row r="5656" ht="12.75" x14ac:dyDescent="0.2"/>
    <row r="5657" ht="12.75" x14ac:dyDescent="0.2"/>
    <row r="5658" ht="12.75" x14ac:dyDescent="0.2"/>
    <row r="5659" ht="12.75" x14ac:dyDescent="0.2"/>
    <row r="5660" ht="12.75" x14ac:dyDescent="0.2"/>
    <row r="5661" ht="12.75" x14ac:dyDescent="0.2"/>
    <row r="5662" ht="12.75" x14ac:dyDescent="0.2"/>
    <row r="5663" ht="12.75" x14ac:dyDescent="0.2"/>
    <row r="5664" ht="12.75" x14ac:dyDescent="0.2"/>
    <row r="5665" ht="12.75" x14ac:dyDescent="0.2"/>
    <row r="5666" ht="12.75" x14ac:dyDescent="0.2"/>
    <row r="5667" ht="12.75" x14ac:dyDescent="0.2"/>
    <row r="5668" ht="12.75" x14ac:dyDescent="0.2"/>
    <row r="5669" ht="12.75" x14ac:dyDescent="0.2"/>
    <row r="5670" ht="12.75" x14ac:dyDescent="0.2"/>
    <row r="5671" ht="12.75" x14ac:dyDescent="0.2"/>
    <row r="5672" ht="12.75" x14ac:dyDescent="0.2"/>
    <row r="5673" ht="12.75" x14ac:dyDescent="0.2"/>
    <row r="5674" ht="12.75" x14ac:dyDescent="0.2"/>
    <row r="5675" ht="12.75" x14ac:dyDescent="0.2"/>
    <row r="5676" ht="12.75" x14ac:dyDescent="0.2"/>
    <row r="5677" ht="12.75" x14ac:dyDescent="0.2"/>
    <row r="5678" ht="12.75" x14ac:dyDescent="0.2"/>
    <row r="5679" ht="12.75" x14ac:dyDescent="0.2"/>
    <row r="5680" ht="12.75" x14ac:dyDescent="0.2"/>
    <row r="5681" ht="12.75" x14ac:dyDescent="0.2"/>
    <row r="5682" ht="12.75" x14ac:dyDescent="0.2"/>
    <row r="5683" ht="12.75" x14ac:dyDescent="0.2"/>
    <row r="5684" ht="12.75" x14ac:dyDescent="0.2"/>
    <row r="5685" ht="12.75" x14ac:dyDescent="0.2"/>
    <row r="5686" ht="12.75" x14ac:dyDescent="0.2"/>
    <row r="5687" ht="12.75" x14ac:dyDescent="0.2"/>
    <row r="5688" ht="12.75" x14ac:dyDescent="0.2"/>
    <row r="5689" ht="12.75" x14ac:dyDescent="0.2"/>
    <row r="5690" ht="12.75" x14ac:dyDescent="0.2"/>
    <row r="5691" ht="12.75" x14ac:dyDescent="0.2"/>
    <row r="5692" ht="12.75" x14ac:dyDescent="0.2"/>
    <row r="5693" ht="12.75" x14ac:dyDescent="0.2"/>
    <row r="5694" ht="12.75" x14ac:dyDescent="0.2"/>
    <row r="5695" ht="12.75" x14ac:dyDescent="0.2"/>
    <row r="5696" ht="12.75" x14ac:dyDescent="0.2"/>
    <row r="5697" ht="12.75" x14ac:dyDescent="0.2"/>
    <row r="5698" ht="12.75" x14ac:dyDescent="0.2"/>
    <row r="5699" ht="12.75" x14ac:dyDescent="0.2"/>
    <row r="5700" ht="12.75" x14ac:dyDescent="0.2"/>
    <row r="5701" ht="12.75" x14ac:dyDescent="0.2"/>
    <row r="5702" ht="12.75" x14ac:dyDescent="0.2"/>
    <row r="5703" ht="12.75" x14ac:dyDescent="0.2"/>
    <row r="5704" ht="12.75" x14ac:dyDescent="0.2"/>
    <row r="5705" ht="12.75" x14ac:dyDescent="0.2"/>
    <row r="5706" ht="12.75" x14ac:dyDescent="0.2"/>
    <row r="5707" ht="12.75" x14ac:dyDescent="0.2"/>
    <row r="5708" ht="12.75" x14ac:dyDescent="0.2"/>
    <row r="5709" ht="12.75" x14ac:dyDescent="0.2"/>
    <row r="5710" ht="12.75" x14ac:dyDescent="0.2"/>
    <row r="5711" ht="12.75" x14ac:dyDescent="0.2"/>
    <row r="5712" ht="12.75" x14ac:dyDescent="0.2"/>
    <row r="5713" ht="12.75" x14ac:dyDescent="0.2"/>
    <row r="5714" ht="12.75" x14ac:dyDescent="0.2"/>
    <row r="5715" ht="12.75" x14ac:dyDescent="0.2"/>
    <row r="5716" ht="12.75" x14ac:dyDescent="0.2"/>
    <row r="5717" ht="12.75" x14ac:dyDescent="0.2"/>
    <row r="5718" ht="12.75" x14ac:dyDescent="0.2"/>
    <row r="5719" ht="12.75" x14ac:dyDescent="0.2"/>
    <row r="5720" ht="12.75" x14ac:dyDescent="0.2"/>
    <row r="5721" ht="12.75" x14ac:dyDescent="0.2"/>
    <row r="5722" ht="12.75" x14ac:dyDescent="0.2"/>
    <row r="5723" ht="12.75" x14ac:dyDescent="0.2"/>
    <row r="5724" ht="12.75" x14ac:dyDescent="0.2"/>
    <row r="5725" ht="12.75" x14ac:dyDescent="0.2"/>
    <row r="5726" ht="12.75" x14ac:dyDescent="0.2"/>
    <row r="5727" ht="12.75" x14ac:dyDescent="0.2"/>
    <row r="5728" ht="12.75" x14ac:dyDescent="0.2"/>
    <row r="5729" ht="12.75" x14ac:dyDescent="0.2"/>
    <row r="5730" ht="12.75" x14ac:dyDescent="0.2"/>
    <row r="5731" ht="12.75" x14ac:dyDescent="0.2"/>
    <row r="5732" ht="12.75" x14ac:dyDescent="0.2"/>
    <row r="5733" ht="12.75" x14ac:dyDescent="0.2"/>
    <row r="5734" ht="12.75" x14ac:dyDescent="0.2"/>
    <row r="5735" ht="12.75" x14ac:dyDescent="0.2"/>
    <row r="5736" ht="12.75" x14ac:dyDescent="0.2"/>
    <row r="5737" ht="12.75" x14ac:dyDescent="0.2"/>
    <row r="5738" ht="12.75" x14ac:dyDescent="0.2"/>
    <row r="5739" ht="12.75" x14ac:dyDescent="0.2"/>
    <row r="5740" ht="12.75" x14ac:dyDescent="0.2"/>
    <row r="5741" ht="12.75" x14ac:dyDescent="0.2"/>
    <row r="5742" ht="12.75" x14ac:dyDescent="0.2"/>
    <row r="5743" ht="12.75" x14ac:dyDescent="0.2"/>
    <row r="5744" ht="12.75" x14ac:dyDescent="0.2"/>
    <row r="5745" ht="12.75" x14ac:dyDescent="0.2"/>
    <row r="5746" ht="12.75" x14ac:dyDescent="0.2"/>
    <row r="5747" ht="12.75" x14ac:dyDescent="0.2"/>
    <row r="5748" ht="12.75" x14ac:dyDescent="0.2"/>
    <row r="5749" ht="12.75" x14ac:dyDescent="0.2"/>
    <row r="5750" ht="12.75" x14ac:dyDescent="0.2"/>
    <row r="5751" ht="12.75" x14ac:dyDescent="0.2"/>
    <row r="5752" ht="12.75" x14ac:dyDescent="0.2"/>
    <row r="5753" ht="12.75" x14ac:dyDescent="0.2"/>
    <row r="5754" ht="12.75" x14ac:dyDescent="0.2"/>
    <row r="5755" ht="12.75" x14ac:dyDescent="0.2"/>
    <row r="5756" ht="12.75" x14ac:dyDescent="0.2"/>
    <row r="5757" ht="12.75" x14ac:dyDescent="0.2"/>
    <row r="5758" ht="12.75" x14ac:dyDescent="0.2"/>
    <row r="5759" ht="12.75" x14ac:dyDescent="0.2"/>
    <row r="5760" ht="12.75" x14ac:dyDescent="0.2"/>
    <row r="5761" ht="12.75" x14ac:dyDescent="0.2"/>
    <row r="5762" ht="12.75" x14ac:dyDescent="0.2"/>
    <row r="5763" ht="12.75" x14ac:dyDescent="0.2"/>
    <row r="5764" ht="12.75" x14ac:dyDescent="0.2"/>
    <row r="5765" ht="12.75" x14ac:dyDescent="0.2"/>
    <row r="5766" ht="12.75" x14ac:dyDescent="0.2"/>
    <row r="5767" ht="12.75" x14ac:dyDescent="0.2"/>
    <row r="5768" ht="12.75" x14ac:dyDescent="0.2"/>
    <row r="5769" ht="12.75" x14ac:dyDescent="0.2"/>
    <row r="5770" ht="12.75" x14ac:dyDescent="0.2"/>
    <row r="5771" ht="12.75" x14ac:dyDescent="0.2"/>
    <row r="5772" ht="12.75" x14ac:dyDescent="0.2"/>
    <row r="5773" ht="12.75" x14ac:dyDescent="0.2"/>
    <row r="5774" ht="12.75" x14ac:dyDescent="0.2"/>
    <row r="5775" ht="12.75" x14ac:dyDescent="0.2"/>
    <row r="5776" ht="12.75" x14ac:dyDescent="0.2"/>
    <row r="5777" ht="12.75" x14ac:dyDescent="0.2"/>
    <row r="5778" ht="12.75" x14ac:dyDescent="0.2"/>
    <row r="5779" ht="12.75" x14ac:dyDescent="0.2"/>
    <row r="5780" ht="12.75" x14ac:dyDescent="0.2"/>
    <row r="5781" ht="12.75" x14ac:dyDescent="0.2"/>
    <row r="5782" ht="12.75" x14ac:dyDescent="0.2"/>
    <row r="5783" ht="12.75" x14ac:dyDescent="0.2"/>
    <row r="5784" ht="12.75" x14ac:dyDescent="0.2"/>
    <row r="5785" ht="12.75" x14ac:dyDescent="0.2"/>
    <row r="5786" ht="12.75" x14ac:dyDescent="0.2"/>
    <row r="5787" ht="12.75" x14ac:dyDescent="0.2"/>
    <row r="5788" ht="12.75" x14ac:dyDescent="0.2"/>
    <row r="5789" ht="12.75" x14ac:dyDescent="0.2"/>
    <row r="5790" ht="12.75" x14ac:dyDescent="0.2"/>
    <row r="5791" ht="12.75" x14ac:dyDescent="0.2"/>
    <row r="5792" ht="12.75" x14ac:dyDescent="0.2"/>
    <row r="5793" ht="12.75" x14ac:dyDescent="0.2"/>
    <row r="5794" ht="12.75" x14ac:dyDescent="0.2"/>
    <row r="5795" ht="12.75" x14ac:dyDescent="0.2"/>
    <row r="5796" ht="12.75" x14ac:dyDescent="0.2"/>
    <row r="5797" ht="12.75" x14ac:dyDescent="0.2"/>
    <row r="5798" ht="12.75" x14ac:dyDescent="0.2"/>
    <row r="5799" ht="12.75" x14ac:dyDescent="0.2"/>
    <row r="5800" ht="12.75" x14ac:dyDescent="0.2"/>
    <row r="5801" ht="12.75" x14ac:dyDescent="0.2"/>
    <row r="5802" ht="12.75" x14ac:dyDescent="0.2"/>
    <row r="5803" ht="12.75" x14ac:dyDescent="0.2"/>
    <row r="5804" ht="12.75" x14ac:dyDescent="0.2"/>
    <row r="5805" ht="12.75" x14ac:dyDescent="0.2"/>
    <row r="5806" ht="12.75" x14ac:dyDescent="0.2"/>
    <row r="5807" ht="12.75" x14ac:dyDescent="0.2"/>
    <row r="5808" ht="12.75" x14ac:dyDescent="0.2"/>
    <row r="5809" ht="12.75" x14ac:dyDescent="0.2"/>
    <row r="5810" ht="12.75" x14ac:dyDescent="0.2"/>
    <row r="5811" ht="12.75" x14ac:dyDescent="0.2"/>
    <row r="5812" ht="12.75" x14ac:dyDescent="0.2"/>
    <row r="5813" ht="12.75" x14ac:dyDescent="0.2"/>
    <row r="5814" ht="12.75" x14ac:dyDescent="0.2"/>
    <row r="5815" ht="12.75" x14ac:dyDescent="0.2"/>
    <row r="5816" ht="12.75" x14ac:dyDescent="0.2"/>
    <row r="5817" ht="12.75" x14ac:dyDescent="0.2"/>
    <row r="5818" ht="12.75" x14ac:dyDescent="0.2"/>
    <row r="5819" ht="12.75" x14ac:dyDescent="0.2"/>
    <row r="5820" ht="12.75" x14ac:dyDescent="0.2"/>
    <row r="5821" ht="12.75" x14ac:dyDescent="0.2"/>
    <row r="5822" ht="12.75" x14ac:dyDescent="0.2"/>
    <row r="5823" ht="12.75" x14ac:dyDescent="0.2"/>
    <row r="5824" ht="12.75" x14ac:dyDescent="0.2"/>
    <row r="5825" ht="12.75" x14ac:dyDescent="0.2"/>
    <row r="5826" ht="12.75" x14ac:dyDescent="0.2"/>
    <row r="5827" ht="12.75" x14ac:dyDescent="0.2"/>
    <row r="5828" ht="12.75" x14ac:dyDescent="0.2"/>
    <row r="5829" ht="12.75" x14ac:dyDescent="0.2"/>
    <row r="5830" ht="12.75" x14ac:dyDescent="0.2"/>
    <row r="5831" ht="12.75" x14ac:dyDescent="0.2"/>
    <row r="5832" ht="12.75" x14ac:dyDescent="0.2"/>
    <row r="5833" ht="12.75" x14ac:dyDescent="0.2"/>
    <row r="5834" ht="12.75" x14ac:dyDescent="0.2"/>
    <row r="5835" ht="12.75" x14ac:dyDescent="0.2"/>
    <row r="5836" ht="12.75" x14ac:dyDescent="0.2"/>
    <row r="5837" ht="12.75" x14ac:dyDescent="0.2"/>
    <row r="5838" ht="12.75" x14ac:dyDescent="0.2"/>
    <row r="5839" ht="12.75" x14ac:dyDescent="0.2"/>
    <row r="5840" ht="12.75" x14ac:dyDescent="0.2"/>
    <row r="5841" ht="12.75" x14ac:dyDescent="0.2"/>
    <row r="5842" ht="12.75" x14ac:dyDescent="0.2"/>
    <row r="5843" ht="12.75" x14ac:dyDescent="0.2"/>
    <row r="5844" ht="12.75" x14ac:dyDescent="0.2"/>
    <row r="5845" ht="12.75" x14ac:dyDescent="0.2"/>
    <row r="5846" ht="12.75" x14ac:dyDescent="0.2"/>
    <row r="5847" ht="12.75" x14ac:dyDescent="0.2"/>
    <row r="5848" ht="12.75" x14ac:dyDescent="0.2"/>
    <row r="5849" ht="12.75" x14ac:dyDescent="0.2"/>
    <row r="5850" ht="12.75" x14ac:dyDescent="0.2"/>
    <row r="5851" ht="12.75" x14ac:dyDescent="0.2"/>
    <row r="5852" ht="12.75" x14ac:dyDescent="0.2"/>
    <row r="5853" ht="12.75" x14ac:dyDescent="0.2"/>
    <row r="5854" ht="12.75" x14ac:dyDescent="0.2"/>
    <row r="5855" ht="12.75" x14ac:dyDescent="0.2"/>
    <row r="5856" ht="12.75" x14ac:dyDescent="0.2"/>
    <row r="5857" ht="12.75" x14ac:dyDescent="0.2"/>
    <row r="5858" ht="12.75" x14ac:dyDescent="0.2"/>
    <row r="5859" ht="12.75" x14ac:dyDescent="0.2"/>
    <row r="5860" ht="12.75" x14ac:dyDescent="0.2"/>
    <row r="5861" ht="12.75" x14ac:dyDescent="0.2"/>
    <row r="5862" ht="12.75" x14ac:dyDescent="0.2"/>
    <row r="5863" ht="12.75" x14ac:dyDescent="0.2"/>
    <row r="5864" ht="12.75" x14ac:dyDescent="0.2"/>
    <row r="5865" ht="12.75" x14ac:dyDescent="0.2"/>
    <row r="5866" ht="12.75" x14ac:dyDescent="0.2"/>
    <row r="5867" ht="12.75" x14ac:dyDescent="0.2"/>
    <row r="5868" ht="12.75" x14ac:dyDescent="0.2"/>
    <row r="5869" ht="12.75" x14ac:dyDescent="0.2"/>
    <row r="5870" ht="12.75" x14ac:dyDescent="0.2"/>
    <row r="5871" ht="12.75" x14ac:dyDescent="0.2"/>
    <row r="5872" ht="12.75" x14ac:dyDescent="0.2"/>
    <row r="5873" ht="12.75" x14ac:dyDescent="0.2"/>
    <row r="5874" ht="12.75" x14ac:dyDescent="0.2"/>
    <row r="5875" ht="12.75" x14ac:dyDescent="0.2"/>
    <row r="5876" ht="12.75" x14ac:dyDescent="0.2"/>
    <row r="5877" ht="12.75" x14ac:dyDescent="0.2"/>
    <row r="5878" ht="12.75" x14ac:dyDescent="0.2"/>
    <row r="5879" ht="12.75" x14ac:dyDescent="0.2"/>
    <row r="5880" ht="12.75" x14ac:dyDescent="0.2"/>
    <row r="5881" ht="12.75" x14ac:dyDescent="0.2"/>
    <row r="5882" ht="12.75" x14ac:dyDescent="0.2"/>
    <row r="5883" ht="12.75" x14ac:dyDescent="0.2"/>
    <row r="5884" ht="12.75" x14ac:dyDescent="0.2"/>
    <row r="5885" ht="12.75" x14ac:dyDescent="0.2"/>
    <row r="5886" ht="12.75" x14ac:dyDescent="0.2"/>
    <row r="5887" ht="12.75" x14ac:dyDescent="0.2"/>
    <row r="5888" ht="12.75" x14ac:dyDescent="0.2"/>
    <row r="5889" ht="12.75" x14ac:dyDescent="0.2"/>
    <row r="5890" ht="12.75" x14ac:dyDescent="0.2"/>
    <row r="5891" ht="12.75" x14ac:dyDescent="0.2"/>
    <row r="5892" ht="12.75" x14ac:dyDescent="0.2"/>
    <row r="5893" ht="12.75" x14ac:dyDescent="0.2"/>
    <row r="5894" ht="12.75" x14ac:dyDescent="0.2"/>
    <row r="5895" ht="12.75" x14ac:dyDescent="0.2"/>
    <row r="5896" ht="12.75" x14ac:dyDescent="0.2"/>
    <row r="5897" ht="12.75" x14ac:dyDescent="0.2"/>
    <row r="5898" ht="12.75" x14ac:dyDescent="0.2"/>
    <row r="5899" ht="12.75" x14ac:dyDescent="0.2"/>
    <row r="5900" ht="12.75" x14ac:dyDescent="0.2"/>
    <row r="5901" ht="12.75" x14ac:dyDescent="0.2"/>
    <row r="5902" ht="12.75" x14ac:dyDescent="0.2"/>
    <row r="5903" ht="12.75" x14ac:dyDescent="0.2"/>
    <row r="5904" ht="12.75" x14ac:dyDescent="0.2"/>
    <row r="5905" ht="12.75" x14ac:dyDescent="0.2"/>
    <row r="5906" ht="12.75" x14ac:dyDescent="0.2"/>
    <row r="5907" ht="12.75" x14ac:dyDescent="0.2"/>
    <row r="5908" ht="12.75" x14ac:dyDescent="0.2"/>
    <row r="5909" ht="12.75" x14ac:dyDescent="0.2"/>
    <row r="5910" ht="12.75" x14ac:dyDescent="0.2"/>
    <row r="5911" ht="12.75" x14ac:dyDescent="0.2"/>
    <row r="5912" ht="12.75" x14ac:dyDescent="0.2"/>
    <row r="5913" ht="12.75" x14ac:dyDescent="0.2"/>
    <row r="5914" ht="12.75" x14ac:dyDescent="0.2"/>
    <row r="5915" ht="12.75" x14ac:dyDescent="0.2"/>
    <row r="5916" ht="12.75" x14ac:dyDescent="0.2"/>
    <row r="5917" ht="12.75" x14ac:dyDescent="0.2"/>
    <row r="5918" ht="12.75" x14ac:dyDescent="0.2"/>
    <row r="5919" ht="12.75" x14ac:dyDescent="0.2"/>
    <row r="5920" ht="12.75" x14ac:dyDescent="0.2"/>
    <row r="5921" ht="12.75" x14ac:dyDescent="0.2"/>
    <row r="5922" ht="12.75" x14ac:dyDescent="0.2"/>
    <row r="5923" ht="12.75" x14ac:dyDescent="0.2"/>
    <row r="5924" ht="12.75" x14ac:dyDescent="0.2"/>
    <row r="5925" ht="12.75" x14ac:dyDescent="0.2"/>
    <row r="5926" ht="12.75" x14ac:dyDescent="0.2"/>
    <row r="5927" ht="12.75" x14ac:dyDescent="0.2"/>
    <row r="5928" ht="12.75" x14ac:dyDescent="0.2"/>
    <row r="5929" ht="12.75" x14ac:dyDescent="0.2"/>
    <row r="5930" ht="12.75" x14ac:dyDescent="0.2"/>
    <row r="5931" ht="12.75" x14ac:dyDescent="0.2"/>
    <row r="5932" ht="12.75" x14ac:dyDescent="0.2"/>
    <row r="5933" ht="12.75" x14ac:dyDescent="0.2"/>
    <row r="5934" ht="12.75" x14ac:dyDescent="0.2"/>
    <row r="5935" ht="12.75" x14ac:dyDescent="0.2"/>
    <row r="5936" ht="12.75" x14ac:dyDescent="0.2"/>
    <row r="5937" ht="12.75" x14ac:dyDescent="0.2"/>
    <row r="5938" ht="12.75" x14ac:dyDescent="0.2"/>
    <row r="5939" ht="12.75" x14ac:dyDescent="0.2"/>
    <row r="5940" ht="12.75" x14ac:dyDescent="0.2"/>
    <row r="5941" ht="12.75" x14ac:dyDescent="0.2"/>
    <row r="5942" ht="12.75" x14ac:dyDescent="0.2"/>
    <row r="5943" ht="12.75" x14ac:dyDescent="0.2"/>
    <row r="5944" ht="12.75" x14ac:dyDescent="0.2"/>
    <row r="5945" ht="12.75" x14ac:dyDescent="0.2"/>
    <row r="5946" ht="12.75" x14ac:dyDescent="0.2"/>
    <row r="5947" ht="12.75" x14ac:dyDescent="0.2"/>
    <row r="5948" ht="12.75" x14ac:dyDescent="0.2"/>
    <row r="5949" ht="12.75" x14ac:dyDescent="0.2"/>
    <row r="5950" ht="12.75" x14ac:dyDescent="0.2"/>
    <row r="5951" ht="12.75" x14ac:dyDescent="0.2"/>
    <row r="5952" ht="12.75" x14ac:dyDescent="0.2"/>
    <row r="5953" ht="12.75" x14ac:dyDescent="0.2"/>
    <row r="5954" ht="12.75" x14ac:dyDescent="0.2"/>
    <row r="5955" ht="12.75" x14ac:dyDescent="0.2"/>
    <row r="5956" ht="12.75" x14ac:dyDescent="0.2"/>
    <row r="5957" ht="12.75" x14ac:dyDescent="0.2"/>
    <row r="5958" ht="12.75" x14ac:dyDescent="0.2"/>
    <row r="5959" ht="12.75" x14ac:dyDescent="0.2"/>
    <row r="5960" ht="12.75" x14ac:dyDescent="0.2"/>
    <row r="5961" ht="12.75" x14ac:dyDescent="0.2"/>
    <row r="5962" ht="12.75" x14ac:dyDescent="0.2"/>
    <row r="5963" ht="12.75" x14ac:dyDescent="0.2"/>
    <row r="5964" ht="12.75" x14ac:dyDescent="0.2"/>
    <row r="5965" ht="12.75" x14ac:dyDescent="0.2"/>
    <row r="5966" ht="12.75" x14ac:dyDescent="0.2"/>
    <row r="5967" ht="12.75" x14ac:dyDescent="0.2"/>
    <row r="5968" ht="12.75" x14ac:dyDescent="0.2"/>
    <row r="5969" ht="12.75" x14ac:dyDescent="0.2"/>
    <row r="5970" ht="12.75" x14ac:dyDescent="0.2"/>
    <row r="5971" ht="12.75" x14ac:dyDescent="0.2"/>
    <row r="5972" ht="12.75" x14ac:dyDescent="0.2"/>
    <row r="5973" ht="12.75" x14ac:dyDescent="0.2"/>
    <row r="5974" ht="12.75" x14ac:dyDescent="0.2"/>
    <row r="5975" ht="12.75" x14ac:dyDescent="0.2"/>
    <row r="5976" ht="12.75" x14ac:dyDescent="0.2"/>
    <row r="5977" ht="12.75" x14ac:dyDescent="0.2"/>
    <row r="5978" ht="12.75" x14ac:dyDescent="0.2"/>
    <row r="5979" ht="12.75" x14ac:dyDescent="0.2"/>
    <row r="5980" ht="12.75" x14ac:dyDescent="0.2"/>
    <row r="5981" ht="12.75" x14ac:dyDescent="0.2"/>
    <row r="5982" ht="12.75" x14ac:dyDescent="0.2"/>
    <row r="5983" ht="12.75" x14ac:dyDescent="0.2"/>
    <row r="5984" ht="12.75" x14ac:dyDescent="0.2"/>
    <row r="5985" ht="12.75" x14ac:dyDescent="0.2"/>
    <row r="5986" ht="12.75" x14ac:dyDescent="0.2"/>
    <row r="5987" ht="12.75" x14ac:dyDescent="0.2"/>
    <row r="5988" ht="12.75" x14ac:dyDescent="0.2"/>
    <row r="5989" ht="12.75" x14ac:dyDescent="0.2"/>
    <row r="5990" ht="12.75" x14ac:dyDescent="0.2"/>
    <row r="5991" ht="12.75" x14ac:dyDescent="0.2"/>
    <row r="5992" ht="12.75" x14ac:dyDescent="0.2"/>
    <row r="5993" ht="12.75" x14ac:dyDescent="0.2"/>
    <row r="5994" ht="12.75" x14ac:dyDescent="0.2"/>
    <row r="5995" ht="12.75" x14ac:dyDescent="0.2"/>
    <row r="5996" ht="12.75" x14ac:dyDescent="0.2"/>
    <row r="5997" ht="12.75" x14ac:dyDescent="0.2"/>
    <row r="5998" ht="12.75" x14ac:dyDescent="0.2"/>
    <row r="5999" ht="12.75" x14ac:dyDescent="0.2"/>
    <row r="6000" ht="12.75" x14ac:dyDescent="0.2"/>
    <row r="6001" ht="12.75" x14ac:dyDescent="0.2"/>
    <row r="6002" ht="12.75" x14ac:dyDescent="0.2"/>
    <row r="6003" ht="12.75" x14ac:dyDescent="0.2"/>
    <row r="6004" ht="12.75" x14ac:dyDescent="0.2"/>
    <row r="6005" ht="12.75" x14ac:dyDescent="0.2"/>
    <row r="6006" ht="12.75" x14ac:dyDescent="0.2"/>
    <row r="6007" ht="12.75" x14ac:dyDescent="0.2"/>
    <row r="6008" ht="12.75" x14ac:dyDescent="0.2"/>
    <row r="6009" ht="12.75" x14ac:dyDescent="0.2"/>
    <row r="6010" ht="12.75" x14ac:dyDescent="0.2"/>
    <row r="6011" ht="12.75" x14ac:dyDescent="0.2"/>
    <row r="6012" ht="12.75" x14ac:dyDescent="0.2"/>
    <row r="6013" ht="12.75" x14ac:dyDescent="0.2"/>
    <row r="6014" ht="12.75" x14ac:dyDescent="0.2"/>
    <row r="6015" ht="12.75" x14ac:dyDescent="0.2"/>
    <row r="6016" ht="12.75" x14ac:dyDescent="0.2"/>
    <row r="6017" ht="12.75" x14ac:dyDescent="0.2"/>
    <row r="6018" ht="12.75" x14ac:dyDescent="0.2"/>
    <row r="6019" ht="12.75" x14ac:dyDescent="0.2"/>
    <row r="6020" ht="12.75" x14ac:dyDescent="0.2"/>
    <row r="6021" ht="12.75" x14ac:dyDescent="0.2"/>
    <row r="6022" ht="12.75" x14ac:dyDescent="0.2"/>
    <row r="6023" ht="12.75" x14ac:dyDescent="0.2"/>
    <row r="6024" ht="12.75" x14ac:dyDescent="0.2"/>
    <row r="6025" ht="12.75" x14ac:dyDescent="0.2"/>
    <row r="6026" ht="12.75" x14ac:dyDescent="0.2"/>
    <row r="6027" ht="12.75" x14ac:dyDescent="0.2"/>
    <row r="6028" ht="12.75" x14ac:dyDescent="0.2"/>
    <row r="6029" ht="12.75" x14ac:dyDescent="0.2"/>
    <row r="6030" ht="12.75" x14ac:dyDescent="0.2"/>
    <row r="6031" ht="12.75" x14ac:dyDescent="0.2"/>
    <row r="6032" ht="12.75" x14ac:dyDescent="0.2"/>
    <row r="6033" ht="12.75" x14ac:dyDescent="0.2"/>
    <row r="6034" ht="12.75" x14ac:dyDescent="0.2"/>
    <row r="6035" ht="12.75" x14ac:dyDescent="0.2"/>
    <row r="6036" ht="12.75" x14ac:dyDescent="0.2"/>
    <row r="6037" ht="12.75" x14ac:dyDescent="0.2"/>
    <row r="6038" ht="12.75" x14ac:dyDescent="0.2"/>
    <row r="6039" ht="12.75" x14ac:dyDescent="0.2"/>
    <row r="6040" ht="12.75" x14ac:dyDescent="0.2"/>
    <row r="6041" ht="12.75" x14ac:dyDescent="0.2"/>
    <row r="6042" ht="12.75" x14ac:dyDescent="0.2"/>
    <row r="6043" ht="12.75" x14ac:dyDescent="0.2"/>
    <row r="6044" ht="12.75" x14ac:dyDescent="0.2"/>
    <row r="6045" ht="12.75" x14ac:dyDescent="0.2"/>
    <row r="6046" ht="12.75" x14ac:dyDescent="0.2"/>
    <row r="6047" ht="12.75" x14ac:dyDescent="0.2"/>
    <row r="6048" ht="12.75" x14ac:dyDescent="0.2"/>
    <row r="6049" ht="12.75" x14ac:dyDescent="0.2"/>
    <row r="6050" ht="12.75" x14ac:dyDescent="0.2"/>
    <row r="6051" ht="12.75" x14ac:dyDescent="0.2"/>
    <row r="6052" ht="12.75" x14ac:dyDescent="0.2"/>
    <row r="6053" ht="12.75" x14ac:dyDescent="0.2"/>
    <row r="6054" ht="12.75" x14ac:dyDescent="0.2"/>
    <row r="6055" ht="12.75" x14ac:dyDescent="0.2"/>
    <row r="6056" ht="12.75" x14ac:dyDescent="0.2"/>
    <row r="6057" ht="12.75" x14ac:dyDescent="0.2"/>
    <row r="6058" ht="12.75" x14ac:dyDescent="0.2"/>
    <row r="6059" ht="12.75" x14ac:dyDescent="0.2"/>
    <row r="6060" ht="12.75" x14ac:dyDescent="0.2"/>
    <row r="6061" ht="12.75" x14ac:dyDescent="0.2"/>
    <row r="6062" ht="12.75" x14ac:dyDescent="0.2"/>
    <row r="6063" ht="12.75" x14ac:dyDescent="0.2"/>
    <row r="6064" ht="12.75" x14ac:dyDescent="0.2"/>
    <row r="6065" ht="12.75" x14ac:dyDescent="0.2"/>
    <row r="6066" ht="12.75" x14ac:dyDescent="0.2"/>
    <row r="6067" ht="12.75" x14ac:dyDescent="0.2"/>
    <row r="6068" ht="12.75" x14ac:dyDescent="0.2"/>
    <row r="6069" ht="12.75" x14ac:dyDescent="0.2"/>
    <row r="6070" ht="12.75" x14ac:dyDescent="0.2"/>
    <row r="6071" ht="12.75" x14ac:dyDescent="0.2"/>
    <row r="6072" ht="12.75" x14ac:dyDescent="0.2"/>
    <row r="6073" ht="12.75" x14ac:dyDescent="0.2"/>
    <row r="6074" ht="12.75" x14ac:dyDescent="0.2"/>
    <row r="6075" ht="12.75" x14ac:dyDescent="0.2"/>
    <row r="6076" ht="12.75" x14ac:dyDescent="0.2"/>
    <row r="6077" ht="12.75" x14ac:dyDescent="0.2"/>
    <row r="6078" ht="12.75" x14ac:dyDescent="0.2"/>
    <row r="6079" ht="12.75" x14ac:dyDescent="0.2"/>
    <row r="6080" ht="12.75" x14ac:dyDescent="0.2"/>
    <row r="6081" ht="12.75" x14ac:dyDescent="0.2"/>
    <row r="6082" ht="12.75" x14ac:dyDescent="0.2"/>
    <row r="6083" ht="12.75" x14ac:dyDescent="0.2"/>
    <row r="6084" ht="12.75" x14ac:dyDescent="0.2"/>
    <row r="6085" ht="12.75" x14ac:dyDescent="0.2"/>
    <row r="6086" ht="12.75" x14ac:dyDescent="0.2"/>
    <row r="6087" ht="12.75" x14ac:dyDescent="0.2"/>
    <row r="6088" ht="12.75" x14ac:dyDescent="0.2"/>
    <row r="6089" ht="12.75" x14ac:dyDescent="0.2"/>
    <row r="6090" ht="12.75" x14ac:dyDescent="0.2"/>
    <row r="6091" ht="12.75" x14ac:dyDescent="0.2"/>
    <row r="6092" ht="12.75" x14ac:dyDescent="0.2"/>
    <row r="6093" ht="12.75" x14ac:dyDescent="0.2"/>
    <row r="6094" ht="12.75" x14ac:dyDescent="0.2"/>
    <row r="6095" ht="12.75" x14ac:dyDescent="0.2"/>
    <row r="6096" ht="12.75" x14ac:dyDescent="0.2"/>
    <row r="6097" ht="12.75" x14ac:dyDescent="0.2"/>
    <row r="6098" ht="12.75" x14ac:dyDescent="0.2"/>
    <row r="6099" ht="12.75" x14ac:dyDescent="0.2"/>
    <row r="6100" ht="12.75" x14ac:dyDescent="0.2"/>
    <row r="6101" ht="12.75" x14ac:dyDescent="0.2"/>
    <row r="6102" ht="12.75" x14ac:dyDescent="0.2"/>
    <row r="6103" ht="12.75" x14ac:dyDescent="0.2"/>
    <row r="6104" ht="12.75" x14ac:dyDescent="0.2"/>
    <row r="6105" ht="12.75" x14ac:dyDescent="0.2"/>
    <row r="6106" ht="12.75" x14ac:dyDescent="0.2"/>
    <row r="6107" ht="12.75" x14ac:dyDescent="0.2"/>
    <row r="6108" ht="12.75" x14ac:dyDescent="0.2"/>
    <row r="6109" ht="12.75" x14ac:dyDescent="0.2"/>
    <row r="6110" ht="12.75" x14ac:dyDescent="0.2"/>
    <row r="6111" ht="12.75" x14ac:dyDescent="0.2"/>
    <row r="6112" ht="12.75" x14ac:dyDescent="0.2"/>
    <row r="6113" ht="12.75" x14ac:dyDescent="0.2"/>
    <row r="6114" ht="12.75" x14ac:dyDescent="0.2"/>
    <row r="6115" ht="12.75" x14ac:dyDescent="0.2"/>
    <row r="6116" ht="12.75" x14ac:dyDescent="0.2"/>
    <row r="6117" ht="12.75" x14ac:dyDescent="0.2"/>
    <row r="6118" ht="12.75" x14ac:dyDescent="0.2"/>
    <row r="6119" ht="12.75" x14ac:dyDescent="0.2"/>
    <row r="6120" ht="12.75" x14ac:dyDescent="0.2"/>
    <row r="6121" ht="12.75" x14ac:dyDescent="0.2"/>
    <row r="6122" ht="12.75" x14ac:dyDescent="0.2"/>
    <row r="6123" ht="12.75" x14ac:dyDescent="0.2"/>
    <row r="6124" ht="12.75" x14ac:dyDescent="0.2"/>
    <row r="6125" ht="12.75" x14ac:dyDescent="0.2"/>
    <row r="6126" ht="12.75" x14ac:dyDescent="0.2"/>
    <row r="6127" ht="12.75" x14ac:dyDescent="0.2"/>
    <row r="6128" ht="12.75" x14ac:dyDescent="0.2"/>
    <row r="6129" ht="12.75" x14ac:dyDescent="0.2"/>
    <row r="6130" ht="12.75" x14ac:dyDescent="0.2"/>
    <row r="6131" ht="12.75" x14ac:dyDescent="0.2"/>
    <row r="6132" ht="12.75" x14ac:dyDescent="0.2"/>
    <row r="6133" ht="12.75" x14ac:dyDescent="0.2"/>
    <row r="6134" ht="12.75" x14ac:dyDescent="0.2"/>
    <row r="6135" ht="12.75" x14ac:dyDescent="0.2"/>
    <row r="6136" ht="12.75" x14ac:dyDescent="0.2"/>
    <row r="6137" ht="12.75" x14ac:dyDescent="0.2"/>
    <row r="6138" ht="12.75" x14ac:dyDescent="0.2"/>
    <row r="6139" ht="12.75" x14ac:dyDescent="0.2"/>
    <row r="6140" ht="12.75" x14ac:dyDescent="0.2"/>
    <row r="6141" ht="12.75" x14ac:dyDescent="0.2"/>
    <row r="6142" ht="12.75" x14ac:dyDescent="0.2"/>
    <row r="6143" ht="12.75" x14ac:dyDescent="0.2"/>
    <row r="6144" ht="12.75" x14ac:dyDescent="0.2"/>
    <row r="6145" ht="12.75" x14ac:dyDescent="0.2"/>
    <row r="6146" ht="12.75" x14ac:dyDescent="0.2"/>
    <row r="6147" ht="12.75" x14ac:dyDescent="0.2"/>
    <row r="6148" ht="12.75" x14ac:dyDescent="0.2"/>
    <row r="6149" ht="12.75" x14ac:dyDescent="0.2"/>
    <row r="6150" ht="12.75" x14ac:dyDescent="0.2"/>
    <row r="6151" ht="12.75" x14ac:dyDescent="0.2"/>
    <row r="6152" ht="12.75" x14ac:dyDescent="0.2"/>
    <row r="6153" ht="12.75" x14ac:dyDescent="0.2"/>
    <row r="6154" ht="12.75" x14ac:dyDescent="0.2"/>
    <row r="6155" ht="12.75" x14ac:dyDescent="0.2"/>
    <row r="6156" ht="12.75" x14ac:dyDescent="0.2"/>
    <row r="6157" ht="12.75" x14ac:dyDescent="0.2"/>
    <row r="6158" ht="12.75" x14ac:dyDescent="0.2"/>
    <row r="6159" ht="12.75" x14ac:dyDescent="0.2"/>
    <row r="6160" ht="12.75" x14ac:dyDescent="0.2"/>
    <row r="6161" ht="12.75" x14ac:dyDescent="0.2"/>
    <row r="6162" ht="12.75" x14ac:dyDescent="0.2"/>
    <row r="6163" ht="12.75" x14ac:dyDescent="0.2"/>
    <row r="6164" ht="12.75" x14ac:dyDescent="0.2"/>
    <row r="6165" ht="12.75" x14ac:dyDescent="0.2"/>
    <row r="6166" ht="12.75" x14ac:dyDescent="0.2"/>
    <row r="6167" ht="12.75" x14ac:dyDescent="0.2"/>
    <row r="6168" ht="12.75" x14ac:dyDescent="0.2"/>
    <row r="6169" ht="12.75" x14ac:dyDescent="0.2"/>
    <row r="6170" ht="12.75" x14ac:dyDescent="0.2"/>
    <row r="6171" ht="12.75" x14ac:dyDescent="0.2"/>
    <row r="6172" ht="12.75" x14ac:dyDescent="0.2"/>
    <row r="6173" ht="12.75" x14ac:dyDescent="0.2"/>
    <row r="6174" ht="12.75" x14ac:dyDescent="0.2"/>
    <row r="6175" ht="12.75" x14ac:dyDescent="0.2"/>
    <row r="6176" ht="12.75" x14ac:dyDescent="0.2"/>
    <row r="6177" ht="12.75" x14ac:dyDescent="0.2"/>
    <row r="6178" ht="12.75" x14ac:dyDescent="0.2"/>
    <row r="6179" ht="12.75" x14ac:dyDescent="0.2"/>
    <row r="6180" ht="12.75" x14ac:dyDescent="0.2"/>
    <row r="6181" ht="12.75" x14ac:dyDescent="0.2"/>
    <row r="6182" ht="12.75" x14ac:dyDescent="0.2"/>
    <row r="6183" ht="12.75" x14ac:dyDescent="0.2"/>
    <row r="6184" ht="12.75" x14ac:dyDescent="0.2"/>
    <row r="6185" ht="12.75" x14ac:dyDescent="0.2"/>
    <row r="6186" ht="12.75" x14ac:dyDescent="0.2"/>
    <row r="6187" ht="12.75" x14ac:dyDescent="0.2"/>
    <row r="6188" ht="12.75" x14ac:dyDescent="0.2"/>
    <row r="6189" ht="12.75" x14ac:dyDescent="0.2"/>
    <row r="6190" ht="12.75" x14ac:dyDescent="0.2"/>
    <row r="6191" ht="12.75" x14ac:dyDescent="0.2"/>
    <row r="6192" ht="12.75" x14ac:dyDescent="0.2"/>
    <row r="6193" ht="12.75" x14ac:dyDescent="0.2"/>
    <row r="6194" ht="12.75" x14ac:dyDescent="0.2"/>
    <row r="6195" ht="12.75" x14ac:dyDescent="0.2"/>
    <row r="6196" ht="12.75" x14ac:dyDescent="0.2"/>
    <row r="6197" ht="12.75" x14ac:dyDescent="0.2"/>
    <row r="6198" ht="12.75" x14ac:dyDescent="0.2"/>
    <row r="6199" ht="12.75" x14ac:dyDescent="0.2"/>
    <row r="6200" ht="12.75" x14ac:dyDescent="0.2"/>
    <row r="6201" ht="12.75" x14ac:dyDescent="0.2"/>
    <row r="6202" ht="12.75" x14ac:dyDescent="0.2"/>
    <row r="6203" ht="12.75" x14ac:dyDescent="0.2"/>
    <row r="6204" ht="12.75" x14ac:dyDescent="0.2"/>
    <row r="6205" ht="12.75" x14ac:dyDescent="0.2"/>
    <row r="6206" ht="12.75" x14ac:dyDescent="0.2"/>
    <row r="6207" ht="12.75" x14ac:dyDescent="0.2"/>
    <row r="6208" ht="12.75" x14ac:dyDescent="0.2"/>
    <row r="6209" ht="12.75" x14ac:dyDescent="0.2"/>
    <row r="6210" ht="12.75" x14ac:dyDescent="0.2"/>
    <row r="6211" ht="12.75" x14ac:dyDescent="0.2"/>
    <row r="6212" ht="12.75" x14ac:dyDescent="0.2"/>
    <row r="6213" ht="12.75" x14ac:dyDescent="0.2"/>
    <row r="6214" ht="12.75" x14ac:dyDescent="0.2"/>
    <row r="6215" ht="12.75" x14ac:dyDescent="0.2"/>
    <row r="6216" ht="12.75" x14ac:dyDescent="0.2"/>
    <row r="6217" ht="12.75" x14ac:dyDescent="0.2"/>
    <row r="6218" ht="12.75" x14ac:dyDescent="0.2"/>
    <row r="6219" ht="12.75" x14ac:dyDescent="0.2"/>
    <row r="6220" ht="12.75" x14ac:dyDescent="0.2"/>
    <row r="6221" ht="12.75" x14ac:dyDescent="0.2"/>
    <row r="6222" ht="12.75" x14ac:dyDescent="0.2"/>
    <row r="6223" ht="12.75" x14ac:dyDescent="0.2"/>
    <row r="6224" ht="12.75" x14ac:dyDescent="0.2"/>
    <row r="6225" ht="12.75" x14ac:dyDescent="0.2"/>
    <row r="6226" ht="12.75" x14ac:dyDescent="0.2"/>
    <row r="6227" ht="12.75" x14ac:dyDescent="0.2"/>
    <row r="6228" ht="12.75" x14ac:dyDescent="0.2"/>
    <row r="6229" ht="12.75" x14ac:dyDescent="0.2"/>
    <row r="6230" ht="12.75" x14ac:dyDescent="0.2"/>
    <row r="6231" ht="12.75" x14ac:dyDescent="0.2"/>
    <row r="6232" ht="12.75" x14ac:dyDescent="0.2"/>
    <row r="6233" ht="12.75" x14ac:dyDescent="0.2"/>
    <row r="6234" ht="12.75" x14ac:dyDescent="0.2"/>
    <row r="6235" ht="12.75" x14ac:dyDescent="0.2"/>
    <row r="6236" ht="12.75" x14ac:dyDescent="0.2"/>
    <row r="6237" ht="12.75" x14ac:dyDescent="0.2"/>
    <row r="6238" ht="12.75" x14ac:dyDescent="0.2"/>
    <row r="6239" ht="12.75" x14ac:dyDescent="0.2"/>
    <row r="6240" ht="12.75" x14ac:dyDescent="0.2"/>
    <row r="6241" ht="12.75" x14ac:dyDescent="0.2"/>
    <row r="6242" ht="12.75" x14ac:dyDescent="0.2"/>
    <row r="6243" ht="12.75" x14ac:dyDescent="0.2"/>
    <row r="6244" ht="12.75" x14ac:dyDescent="0.2"/>
    <row r="6245" ht="12.75" x14ac:dyDescent="0.2"/>
    <row r="6246" ht="12.75" x14ac:dyDescent="0.2"/>
    <row r="6247" ht="12.75" x14ac:dyDescent="0.2"/>
    <row r="6248" ht="12.75" x14ac:dyDescent="0.2"/>
    <row r="6249" ht="12.75" x14ac:dyDescent="0.2"/>
    <row r="6250" ht="12.75" x14ac:dyDescent="0.2"/>
    <row r="6251" ht="12.75" x14ac:dyDescent="0.2"/>
    <row r="6252" ht="12.75" x14ac:dyDescent="0.2"/>
    <row r="6253" ht="12.75" x14ac:dyDescent="0.2"/>
    <row r="6254" ht="12.75" x14ac:dyDescent="0.2"/>
    <row r="6255" ht="12.75" x14ac:dyDescent="0.2"/>
    <row r="6256" ht="12.75" x14ac:dyDescent="0.2"/>
    <row r="6257" ht="12.75" x14ac:dyDescent="0.2"/>
    <row r="6258" ht="12.75" x14ac:dyDescent="0.2"/>
    <row r="6259" ht="12.75" x14ac:dyDescent="0.2"/>
    <row r="6260" ht="12.75" x14ac:dyDescent="0.2"/>
    <row r="6261" ht="12.75" x14ac:dyDescent="0.2"/>
    <row r="6262" ht="12.75" x14ac:dyDescent="0.2"/>
    <row r="6263" ht="12.75" x14ac:dyDescent="0.2"/>
    <row r="6264" ht="12.75" x14ac:dyDescent="0.2"/>
    <row r="6265" ht="12.75" x14ac:dyDescent="0.2"/>
    <row r="6266" ht="12.75" x14ac:dyDescent="0.2"/>
    <row r="6267" ht="12.75" x14ac:dyDescent="0.2"/>
    <row r="6268" ht="12.75" x14ac:dyDescent="0.2"/>
    <row r="6269" ht="12.75" x14ac:dyDescent="0.2"/>
    <row r="6270" ht="12.75" x14ac:dyDescent="0.2"/>
    <row r="6271" ht="12.75" x14ac:dyDescent="0.2"/>
    <row r="6272" ht="12.75" x14ac:dyDescent="0.2"/>
    <row r="6273" ht="12.75" x14ac:dyDescent="0.2"/>
    <row r="6274" ht="12.75" x14ac:dyDescent="0.2"/>
    <row r="6275" ht="12.75" x14ac:dyDescent="0.2"/>
    <row r="6276" ht="12.75" x14ac:dyDescent="0.2"/>
    <row r="6277" ht="12.75" x14ac:dyDescent="0.2"/>
    <row r="6278" ht="12.75" x14ac:dyDescent="0.2"/>
    <row r="6279" ht="12.75" x14ac:dyDescent="0.2"/>
    <row r="6280" ht="12.75" x14ac:dyDescent="0.2"/>
    <row r="6281" ht="12.75" x14ac:dyDescent="0.2"/>
    <row r="6282" ht="12.75" x14ac:dyDescent="0.2"/>
    <row r="6283" ht="12.75" x14ac:dyDescent="0.2"/>
    <row r="6284" ht="12.75" x14ac:dyDescent="0.2"/>
    <row r="6285" ht="12.75" x14ac:dyDescent="0.2"/>
    <row r="6286" ht="12.75" x14ac:dyDescent="0.2"/>
    <row r="6287" ht="12.75" x14ac:dyDescent="0.2"/>
    <row r="6288" ht="12.75" x14ac:dyDescent="0.2"/>
    <row r="6289" ht="12.75" x14ac:dyDescent="0.2"/>
    <row r="6290" ht="12.75" x14ac:dyDescent="0.2"/>
    <row r="6291" ht="12.75" x14ac:dyDescent="0.2"/>
    <row r="6292" ht="12.75" x14ac:dyDescent="0.2"/>
    <row r="6293" ht="12.75" x14ac:dyDescent="0.2"/>
    <row r="6294" ht="12.75" x14ac:dyDescent="0.2"/>
    <row r="6295" ht="12.75" x14ac:dyDescent="0.2"/>
    <row r="6296" ht="12.75" x14ac:dyDescent="0.2"/>
    <row r="6297" ht="12.75" x14ac:dyDescent="0.2"/>
    <row r="6298" ht="12.75" x14ac:dyDescent="0.2"/>
    <row r="6299" ht="12.75" x14ac:dyDescent="0.2"/>
    <row r="6300" ht="12.75" x14ac:dyDescent="0.2"/>
    <row r="6301" ht="12.75" x14ac:dyDescent="0.2"/>
    <row r="6302" ht="12.75" x14ac:dyDescent="0.2"/>
    <row r="6303" ht="12.75" x14ac:dyDescent="0.2"/>
    <row r="6304" ht="12.75" x14ac:dyDescent="0.2"/>
    <row r="6305" ht="12.75" x14ac:dyDescent="0.2"/>
    <row r="6306" ht="12.75" x14ac:dyDescent="0.2"/>
    <row r="6307" ht="12.75" x14ac:dyDescent="0.2"/>
    <row r="6308" ht="12.75" x14ac:dyDescent="0.2"/>
    <row r="6309" ht="12.75" x14ac:dyDescent="0.2"/>
    <row r="6310" ht="12.75" x14ac:dyDescent="0.2"/>
    <row r="6311" ht="12.75" x14ac:dyDescent="0.2"/>
    <row r="6312" ht="12.75" x14ac:dyDescent="0.2"/>
    <row r="6313" ht="12.75" x14ac:dyDescent="0.2"/>
    <row r="6314" ht="12.75" x14ac:dyDescent="0.2"/>
    <row r="6315" ht="12.75" x14ac:dyDescent="0.2"/>
    <row r="6316" ht="12.75" x14ac:dyDescent="0.2"/>
    <row r="6317" ht="12.75" x14ac:dyDescent="0.2"/>
    <row r="6318" ht="12.75" x14ac:dyDescent="0.2"/>
    <row r="6319" ht="12.75" x14ac:dyDescent="0.2"/>
    <row r="6320" ht="12.75" x14ac:dyDescent="0.2"/>
    <row r="6321" ht="12.75" x14ac:dyDescent="0.2"/>
    <row r="6322" ht="12.75" x14ac:dyDescent="0.2"/>
    <row r="6323" ht="12.75" x14ac:dyDescent="0.2"/>
    <row r="6324" ht="12.75" x14ac:dyDescent="0.2"/>
    <row r="6325" ht="12.75" x14ac:dyDescent="0.2"/>
    <row r="6326" ht="12.75" x14ac:dyDescent="0.2"/>
    <row r="6327" ht="12.75" x14ac:dyDescent="0.2"/>
    <row r="6328" ht="12.75" x14ac:dyDescent="0.2"/>
    <row r="6329" ht="12.75" x14ac:dyDescent="0.2"/>
    <row r="6330" ht="12.75" x14ac:dyDescent="0.2"/>
    <row r="6331" ht="12.75" x14ac:dyDescent="0.2"/>
    <row r="6332" ht="12.75" x14ac:dyDescent="0.2"/>
    <row r="6333" ht="12.75" x14ac:dyDescent="0.2"/>
    <row r="6334" ht="12.75" x14ac:dyDescent="0.2"/>
    <row r="6335" ht="12.75" x14ac:dyDescent="0.2"/>
    <row r="6336" ht="12.75" x14ac:dyDescent="0.2"/>
    <row r="6337" ht="12.75" x14ac:dyDescent="0.2"/>
    <row r="6338" ht="12.75" x14ac:dyDescent="0.2"/>
    <row r="6339" ht="12.75" x14ac:dyDescent="0.2"/>
    <row r="6340" ht="12.75" x14ac:dyDescent="0.2"/>
    <row r="6341" ht="12.75" x14ac:dyDescent="0.2"/>
    <row r="6342" ht="12.75" x14ac:dyDescent="0.2"/>
    <row r="6343" ht="12.75" x14ac:dyDescent="0.2"/>
    <row r="6344" ht="12.75" x14ac:dyDescent="0.2"/>
    <row r="6345" ht="12.75" x14ac:dyDescent="0.2"/>
    <row r="6346" ht="12.75" x14ac:dyDescent="0.2"/>
    <row r="6347" ht="12.75" x14ac:dyDescent="0.2"/>
    <row r="6348" ht="12.75" x14ac:dyDescent="0.2"/>
    <row r="6349" ht="12.75" x14ac:dyDescent="0.2"/>
    <row r="6350" ht="12.75" x14ac:dyDescent="0.2"/>
    <row r="6351" ht="12.75" x14ac:dyDescent="0.2"/>
    <row r="6352" ht="12.75" x14ac:dyDescent="0.2"/>
    <row r="6353" ht="12.75" x14ac:dyDescent="0.2"/>
    <row r="6354" ht="12.75" x14ac:dyDescent="0.2"/>
    <row r="6355" ht="12.75" x14ac:dyDescent="0.2"/>
    <row r="6356" ht="12.75" x14ac:dyDescent="0.2"/>
    <row r="6357" ht="12.75" x14ac:dyDescent="0.2"/>
    <row r="6358" ht="12.75" x14ac:dyDescent="0.2"/>
    <row r="6359" ht="12.75" x14ac:dyDescent="0.2"/>
    <row r="6360" ht="12.75" x14ac:dyDescent="0.2"/>
    <row r="6361" ht="12.75" x14ac:dyDescent="0.2"/>
    <row r="6362" ht="12.75" x14ac:dyDescent="0.2"/>
    <row r="6363" ht="12.75" x14ac:dyDescent="0.2"/>
    <row r="6364" ht="12.75" x14ac:dyDescent="0.2"/>
    <row r="6365" ht="12.75" x14ac:dyDescent="0.2"/>
    <row r="6366" ht="12.75" x14ac:dyDescent="0.2"/>
    <row r="6367" ht="12.75" x14ac:dyDescent="0.2"/>
    <row r="6368" ht="12.75" x14ac:dyDescent="0.2"/>
    <row r="6369" ht="12.75" x14ac:dyDescent="0.2"/>
    <row r="6370" ht="12.75" x14ac:dyDescent="0.2"/>
    <row r="6371" ht="12.75" x14ac:dyDescent="0.2"/>
    <row r="6372" ht="12.75" x14ac:dyDescent="0.2"/>
    <row r="6373" ht="12.75" x14ac:dyDescent="0.2"/>
    <row r="6374" ht="12.75" x14ac:dyDescent="0.2"/>
    <row r="6375" ht="12.75" x14ac:dyDescent="0.2"/>
    <row r="6376" ht="12.75" x14ac:dyDescent="0.2"/>
    <row r="6377" ht="12.75" x14ac:dyDescent="0.2"/>
    <row r="6378" ht="12.75" x14ac:dyDescent="0.2"/>
    <row r="6379" ht="12.75" x14ac:dyDescent="0.2"/>
    <row r="6380" ht="12.75" x14ac:dyDescent="0.2"/>
    <row r="6381" ht="12.75" x14ac:dyDescent="0.2"/>
    <row r="6382" ht="12.75" x14ac:dyDescent="0.2"/>
    <row r="6383" ht="12.75" x14ac:dyDescent="0.2"/>
    <row r="6384" ht="12.75" x14ac:dyDescent="0.2"/>
    <row r="6385" ht="12.75" x14ac:dyDescent="0.2"/>
    <row r="6386" ht="12.75" x14ac:dyDescent="0.2"/>
    <row r="6387" ht="12.75" x14ac:dyDescent="0.2"/>
    <row r="6388" ht="12.75" x14ac:dyDescent="0.2"/>
    <row r="6389" ht="12.75" x14ac:dyDescent="0.2"/>
    <row r="6390" ht="12.75" x14ac:dyDescent="0.2"/>
    <row r="6391" ht="12.75" x14ac:dyDescent="0.2"/>
    <row r="6392" ht="12.75" x14ac:dyDescent="0.2"/>
    <row r="6393" ht="12.75" x14ac:dyDescent="0.2"/>
    <row r="6394" ht="12.75" x14ac:dyDescent="0.2"/>
    <row r="6395" ht="12.75" x14ac:dyDescent="0.2"/>
    <row r="6396" ht="12.75" x14ac:dyDescent="0.2"/>
    <row r="6397" ht="12.75" x14ac:dyDescent="0.2"/>
    <row r="6398" ht="12.75" x14ac:dyDescent="0.2"/>
    <row r="6399" ht="12.75" x14ac:dyDescent="0.2"/>
    <row r="6400" ht="12.75" x14ac:dyDescent="0.2"/>
    <row r="6401" ht="12.75" x14ac:dyDescent="0.2"/>
    <row r="6402" ht="12.75" x14ac:dyDescent="0.2"/>
    <row r="6403" ht="12.75" x14ac:dyDescent="0.2"/>
    <row r="6404" ht="12.75" x14ac:dyDescent="0.2"/>
    <row r="6405" ht="12.75" x14ac:dyDescent="0.2"/>
    <row r="6406" ht="12.75" x14ac:dyDescent="0.2"/>
    <row r="6407" ht="12.75" x14ac:dyDescent="0.2"/>
    <row r="6408" ht="12.75" x14ac:dyDescent="0.2"/>
    <row r="6409" ht="12.75" x14ac:dyDescent="0.2"/>
    <row r="6410" ht="12.75" x14ac:dyDescent="0.2"/>
    <row r="6411" ht="12.75" x14ac:dyDescent="0.2"/>
    <row r="6412" ht="12.75" x14ac:dyDescent="0.2"/>
    <row r="6413" ht="12.75" x14ac:dyDescent="0.2"/>
    <row r="6414" ht="12.75" x14ac:dyDescent="0.2"/>
    <row r="6415" ht="12.75" x14ac:dyDescent="0.2"/>
    <row r="6416" ht="12.75" x14ac:dyDescent="0.2"/>
    <row r="6417" ht="12.75" x14ac:dyDescent="0.2"/>
    <row r="6418" ht="12.75" x14ac:dyDescent="0.2"/>
    <row r="6419" ht="12.75" x14ac:dyDescent="0.2"/>
    <row r="6420" ht="12.75" x14ac:dyDescent="0.2"/>
    <row r="6421" ht="12.75" x14ac:dyDescent="0.2"/>
    <row r="6422" ht="12.75" x14ac:dyDescent="0.2"/>
    <row r="6423" ht="12.75" x14ac:dyDescent="0.2"/>
    <row r="6424" ht="12.75" x14ac:dyDescent="0.2"/>
    <row r="6425" ht="12.75" x14ac:dyDescent="0.2"/>
    <row r="6426" ht="12.75" x14ac:dyDescent="0.2"/>
    <row r="6427" ht="12.75" x14ac:dyDescent="0.2"/>
    <row r="6428" ht="12.75" x14ac:dyDescent="0.2"/>
    <row r="6429" ht="12.75" x14ac:dyDescent="0.2"/>
    <row r="6430" ht="12.75" x14ac:dyDescent="0.2"/>
    <row r="6431" ht="12.75" x14ac:dyDescent="0.2"/>
    <row r="6432" ht="12.75" x14ac:dyDescent="0.2"/>
    <row r="6433" ht="12.75" x14ac:dyDescent="0.2"/>
    <row r="6434" ht="12.75" x14ac:dyDescent="0.2"/>
    <row r="6435" ht="12.75" x14ac:dyDescent="0.2"/>
    <row r="6436" ht="12.75" x14ac:dyDescent="0.2"/>
    <row r="6437" ht="12.75" x14ac:dyDescent="0.2"/>
    <row r="6438" ht="12.75" x14ac:dyDescent="0.2"/>
    <row r="6439" ht="12.75" x14ac:dyDescent="0.2"/>
    <row r="6440" ht="12.75" x14ac:dyDescent="0.2"/>
    <row r="6441" ht="12.75" x14ac:dyDescent="0.2"/>
    <row r="6442" ht="12.75" x14ac:dyDescent="0.2"/>
    <row r="6443" ht="12.75" x14ac:dyDescent="0.2"/>
    <row r="6444" ht="12.75" x14ac:dyDescent="0.2"/>
    <row r="6445" ht="12.75" x14ac:dyDescent="0.2"/>
    <row r="6446" ht="12.75" x14ac:dyDescent="0.2"/>
    <row r="6447" ht="12.75" x14ac:dyDescent="0.2"/>
    <row r="6448" ht="12.75" x14ac:dyDescent="0.2"/>
    <row r="6449" ht="12.75" x14ac:dyDescent="0.2"/>
    <row r="6450" ht="12.75" x14ac:dyDescent="0.2"/>
    <row r="6451" ht="12.75" x14ac:dyDescent="0.2"/>
    <row r="6452" ht="12.75" x14ac:dyDescent="0.2"/>
    <row r="6453" ht="12.75" x14ac:dyDescent="0.2"/>
    <row r="6454" ht="12.75" x14ac:dyDescent="0.2"/>
    <row r="6455" ht="12.75" x14ac:dyDescent="0.2"/>
    <row r="6456" ht="12.75" x14ac:dyDescent="0.2"/>
    <row r="6457" ht="12.75" x14ac:dyDescent="0.2"/>
    <row r="6458" ht="12.75" x14ac:dyDescent="0.2"/>
    <row r="6459" ht="12.75" x14ac:dyDescent="0.2"/>
    <row r="6460" ht="12.75" x14ac:dyDescent="0.2"/>
    <row r="6461" ht="12.75" x14ac:dyDescent="0.2"/>
    <row r="6462" ht="12.75" x14ac:dyDescent="0.2"/>
    <row r="6463" ht="12.75" x14ac:dyDescent="0.2"/>
    <row r="6464" ht="12.75" x14ac:dyDescent="0.2"/>
    <row r="6465" ht="12.75" x14ac:dyDescent="0.2"/>
    <row r="6466" ht="12.75" x14ac:dyDescent="0.2"/>
    <row r="6467" ht="12.75" x14ac:dyDescent="0.2"/>
    <row r="6468" ht="12.75" x14ac:dyDescent="0.2"/>
    <row r="6469" ht="12.75" x14ac:dyDescent="0.2"/>
    <row r="6470" ht="12.75" x14ac:dyDescent="0.2"/>
    <row r="6471" ht="12.75" x14ac:dyDescent="0.2"/>
    <row r="6472" ht="12.75" x14ac:dyDescent="0.2"/>
    <row r="6473" ht="12.75" x14ac:dyDescent="0.2"/>
    <row r="6474" ht="12.75" x14ac:dyDescent="0.2"/>
    <row r="6475" ht="12.75" x14ac:dyDescent="0.2"/>
    <row r="6476" ht="12.75" x14ac:dyDescent="0.2"/>
    <row r="6477" ht="12.75" x14ac:dyDescent="0.2"/>
    <row r="6478" ht="12.75" x14ac:dyDescent="0.2"/>
    <row r="6479" ht="12.75" x14ac:dyDescent="0.2"/>
    <row r="6480" ht="12.75" x14ac:dyDescent="0.2"/>
    <row r="6481" ht="12.75" x14ac:dyDescent="0.2"/>
    <row r="6482" ht="12.75" x14ac:dyDescent="0.2"/>
    <row r="6483" ht="12.75" x14ac:dyDescent="0.2"/>
    <row r="6484" ht="12.75" x14ac:dyDescent="0.2"/>
    <row r="6485" ht="12.75" x14ac:dyDescent="0.2"/>
    <row r="6486" ht="12.75" x14ac:dyDescent="0.2"/>
    <row r="6487" ht="12.75" x14ac:dyDescent="0.2"/>
    <row r="6488" ht="12.75" x14ac:dyDescent="0.2"/>
    <row r="6489" ht="12.75" x14ac:dyDescent="0.2"/>
    <row r="6490" ht="12.75" x14ac:dyDescent="0.2"/>
    <row r="6491" ht="12.75" x14ac:dyDescent="0.2"/>
    <row r="6492" ht="12.75" x14ac:dyDescent="0.2"/>
    <row r="6493" ht="12.75" x14ac:dyDescent="0.2"/>
    <row r="6494" ht="12.75" x14ac:dyDescent="0.2"/>
    <row r="6495" ht="12.75" x14ac:dyDescent="0.2"/>
    <row r="6496" ht="12.75" x14ac:dyDescent="0.2"/>
    <row r="6497" ht="12.75" x14ac:dyDescent="0.2"/>
    <row r="6498" ht="12.75" x14ac:dyDescent="0.2"/>
    <row r="6499" ht="12.75" x14ac:dyDescent="0.2"/>
    <row r="6500" ht="12.75" x14ac:dyDescent="0.2"/>
    <row r="6501" ht="12.75" x14ac:dyDescent="0.2"/>
    <row r="6502" ht="12.75" x14ac:dyDescent="0.2"/>
    <row r="6503" ht="12.75" x14ac:dyDescent="0.2"/>
    <row r="6504" ht="12.75" x14ac:dyDescent="0.2"/>
    <row r="6505" ht="12.75" x14ac:dyDescent="0.2"/>
    <row r="6506" ht="12.75" x14ac:dyDescent="0.2"/>
    <row r="6507" ht="12.75" x14ac:dyDescent="0.2"/>
    <row r="6508" ht="12.75" x14ac:dyDescent="0.2"/>
    <row r="6509" ht="12.75" x14ac:dyDescent="0.2"/>
    <row r="6510" ht="12.75" x14ac:dyDescent="0.2"/>
    <row r="6511" ht="12.75" x14ac:dyDescent="0.2"/>
    <row r="6512" ht="12.75" x14ac:dyDescent="0.2"/>
    <row r="6513" ht="12.75" x14ac:dyDescent="0.2"/>
    <row r="6514" ht="12.75" x14ac:dyDescent="0.2"/>
    <row r="6515" ht="12.75" x14ac:dyDescent="0.2"/>
    <row r="6516" ht="12.75" x14ac:dyDescent="0.2"/>
    <row r="6517" ht="12.75" x14ac:dyDescent="0.2"/>
    <row r="6518" ht="12.75" x14ac:dyDescent="0.2"/>
    <row r="6519" ht="12.75" x14ac:dyDescent="0.2"/>
    <row r="6520" ht="12.75" x14ac:dyDescent="0.2"/>
    <row r="6521" ht="12.75" x14ac:dyDescent="0.2"/>
    <row r="6522" ht="12.75" x14ac:dyDescent="0.2"/>
    <row r="6523" ht="12.75" x14ac:dyDescent="0.2"/>
    <row r="6524" ht="12.75" x14ac:dyDescent="0.2"/>
    <row r="6525" ht="12.75" x14ac:dyDescent="0.2"/>
    <row r="6526" ht="12.75" x14ac:dyDescent="0.2"/>
    <row r="6527" ht="12.75" x14ac:dyDescent="0.2"/>
    <row r="6528" ht="12.75" x14ac:dyDescent="0.2"/>
    <row r="6529" ht="12.75" x14ac:dyDescent="0.2"/>
    <row r="6530" ht="12.75" x14ac:dyDescent="0.2"/>
    <row r="6531" ht="12.75" x14ac:dyDescent="0.2"/>
    <row r="6532" ht="12.75" x14ac:dyDescent="0.2"/>
    <row r="6533" ht="12.75" x14ac:dyDescent="0.2"/>
    <row r="6534" ht="12.75" x14ac:dyDescent="0.2"/>
    <row r="6535" ht="12.75" x14ac:dyDescent="0.2"/>
    <row r="6536" ht="12.75" x14ac:dyDescent="0.2"/>
    <row r="6537" ht="12.75" x14ac:dyDescent="0.2"/>
    <row r="6538" ht="12.75" x14ac:dyDescent="0.2"/>
    <row r="6539" ht="12.75" x14ac:dyDescent="0.2"/>
    <row r="6540" ht="12.75" x14ac:dyDescent="0.2"/>
    <row r="6541" ht="12.75" x14ac:dyDescent="0.2"/>
    <row r="6542" ht="12.75" x14ac:dyDescent="0.2"/>
    <row r="6543" ht="12.75" x14ac:dyDescent="0.2"/>
    <row r="6544" ht="12.75" x14ac:dyDescent="0.2"/>
    <row r="6545" ht="12.75" x14ac:dyDescent="0.2"/>
    <row r="6546" ht="12.75" x14ac:dyDescent="0.2"/>
    <row r="6547" ht="12.75" x14ac:dyDescent="0.2"/>
    <row r="6548" ht="12.75" x14ac:dyDescent="0.2"/>
    <row r="6549" ht="12.75" x14ac:dyDescent="0.2"/>
    <row r="6550" ht="12.75" x14ac:dyDescent="0.2"/>
    <row r="6551" ht="12.75" x14ac:dyDescent="0.2"/>
    <row r="6552" ht="12.75" x14ac:dyDescent="0.2"/>
    <row r="6553" ht="12.75" x14ac:dyDescent="0.2"/>
    <row r="6554" ht="12.75" x14ac:dyDescent="0.2"/>
    <row r="6555" ht="12.75" x14ac:dyDescent="0.2"/>
    <row r="6556" ht="12.75" x14ac:dyDescent="0.2"/>
    <row r="6557" ht="12.75" x14ac:dyDescent="0.2"/>
    <row r="6558" ht="12.75" x14ac:dyDescent="0.2"/>
    <row r="6559" ht="12.75" x14ac:dyDescent="0.2"/>
    <row r="6560" ht="12.75" x14ac:dyDescent="0.2"/>
    <row r="6561" ht="12.75" x14ac:dyDescent="0.2"/>
    <row r="6562" ht="12.75" x14ac:dyDescent="0.2"/>
    <row r="6563" ht="12.75" x14ac:dyDescent="0.2"/>
    <row r="6564" ht="12.75" x14ac:dyDescent="0.2"/>
    <row r="6565" ht="12.75" x14ac:dyDescent="0.2"/>
    <row r="6566" ht="12.75" x14ac:dyDescent="0.2"/>
    <row r="6567" ht="12.75" x14ac:dyDescent="0.2"/>
    <row r="6568" ht="12.75" x14ac:dyDescent="0.2"/>
    <row r="6569" ht="12.75" x14ac:dyDescent="0.2"/>
    <row r="6570" ht="12.75" x14ac:dyDescent="0.2"/>
    <row r="6571" ht="12.75" x14ac:dyDescent="0.2"/>
    <row r="6572" ht="12.75" x14ac:dyDescent="0.2"/>
    <row r="6573" ht="12.75" x14ac:dyDescent="0.2"/>
    <row r="6574" ht="12.75" x14ac:dyDescent="0.2"/>
    <row r="6575" ht="12.75" x14ac:dyDescent="0.2"/>
    <row r="6576" ht="12.75" x14ac:dyDescent="0.2"/>
    <row r="6577" ht="12.75" x14ac:dyDescent="0.2"/>
    <row r="6578" ht="12.75" x14ac:dyDescent="0.2"/>
    <row r="6579" ht="12.75" x14ac:dyDescent="0.2"/>
    <row r="6580" ht="12.75" x14ac:dyDescent="0.2"/>
    <row r="6581" ht="12.75" x14ac:dyDescent="0.2"/>
    <row r="6582" ht="12.75" x14ac:dyDescent="0.2"/>
    <row r="6583" ht="12.75" x14ac:dyDescent="0.2"/>
    <row r="6584" ht="12.75" x14ac:dyDescent="0.2"/>
    <row r="6585" ht="12.75" x14ac:dyDescent="0.2"/>
    <row r="6586" ht="12.75" x14ac:dyDescent="0.2"/>
    <row r="6587" ht="12.75" x14ac:dyDescent="0.2"/>
    <row r="6588" ht="12.75" x14ac:dyDescent="0.2"/>
    <row r="6589" ht="12.75" x14ac:dyDescent="0.2"/>
    <row r="6590" ht="12.75" x14ac:dyDescent="0.2"/>
    <row r="6591" ht="12.75" x14ac:dyDescent="0.2"/>
    <row r="6592" ht="12.75" x14ac:dyDescent="0.2"/>
    <row r="6593" ht="12.75" x14ac:dyDescent="0.2"/>
    <row r="6594" ht="12.75" x14ac:dyDescent="0.2"/>
    <row r="6595" ht="12.75" x14ac:dyDescent="0.2"/>
    <row r="6596" ht="12.75" x14ac:dyDescent="0.2"/>
    <row r="6597" ht="12.75" x14ac:dyDescent="0.2"/>
    <row r="6598" ht="12.75" x14ac:dyDescent="0.2"/>
    <row r="6599" ht="12.75" x14ac:dyDescent="0.2"/>
    <row r="6600" ht="12.75" x14ac:dyDescent="0.2"/>
    <row r="6601" ht="12.75" x14ac:dyDescent="0.2"/>
    <row r="6602" ht="12.75" x14ac:dyDescent="0.2"/>
    <row r="6603" ht="12.75" x14ac:dyDescent="0.2"/>
    <row r="6604" ht="12.75" x14ac:dyDescent="0.2"/>
    <row r="6605" ht="12.75" x14ac:dyDescent="0.2"/>
    <row r="6606" ht="12.75" x14ac:dyDescent="0.2"/>
    <row r="6607" ht="12.75" x14ac:dyDescent="0.2"/>
    <row r="6608" ht="12.75" x14ac:dyDescent="0.2"/>
    <row r="6609" ht="12.75" x14ac:dyDescent="0.2"/>
    <row r="6610" ht="12.75" x14ac:dyDescent="0.2"/>
    <row r="6611" ht="12.75" x14ac:dyDescent="0.2"/>
    <row r="6612" ht="12.75" x14ac:dyDescent="0.2"/>
    <row r="6613" ht="12.75" x14ac:dyDescent="0.2"/>
    <row r="6614" ht="12.75" x14ac:dyDescent="0.2"/>
    <row r="6615" ht="12.75" x14ac:dyDescent="0.2"/>
    <row r="6616" ht="12.75" x14ac:dyDescent="0.2"/>
    <row r="6617" ht="12.75" x14ac:dyDescent="0.2"/>
    <row r="6618" ht="12.75" x14ac:dyDescent="0.2"/>
    <row r="6619" ht="12.75" x14ac:dyDescent="0.2"/>
    <row r="6620" ht="12.75" x14ac:dyDescent="0.2"/>
    <row r="6621" ht="12.75" x14ac:dyDescent="0.2"/>
    <row r="6622" ht="12.75" x14ac:dyDescent="0.2"/>
    <row r="6623" ht="12.75" x14ac:dyDescent="0.2"/>
    <row r="6624" ht="12.75" x14ac:dyDescent="0.2"/>
    <row r="6625" ht="12.75" x14ac:dyDescent="0.2"/>
    <row r="6626" ht="12.75" x14ac:dyDescent="0.2"/>
    <row r="6627" ht="12.75" x14ac:dyDescent="0.2"/>
    <row r="6628" ht="12.75" x14ac:dyDescent="0.2"/>
    <row r="6629" ht="12.75" x14ac:dyDescent="0.2"/>
    <row r="6630" ht="12.75" x14ac:dyDescent="0.2"/>
    <row r="6631" ht="12.75" x14ac:dyDescent="0.2"/>
    <row r="6632" ht="12.75" x14ac:dyDescent="0.2"/>
    <row r="6633" ht="12.75" x14ac:dyDescent="0.2"/>
    <row r="6634" ht="12.75" x14ac:dyDescent="0.2"/>
    <row r="6635" ht="12.75" x14ac:dyDescent="0.2"/>
    <row r="6636" ht="12.75" x14ac:dyDescent="0.2"/>
    <row r="6637" ht="12.75" x14ac:dyDescent="0.2"/>
    <row r="6638" ht="12.75" x14ac:dyDescent="0.2"/>
    <row r="6639" ht="12.75" x14ac:dyDescent="0.2"/>
    <row r="6640" ht="12.75" x14ac:dyDescent="0.2"/>
    <row r="6641" ht="12.75" x14ac:dyDescent="0.2"/>
    <row r="6642" ht="12.75" x14ac:dyDescent="0.2"/>
    <row r="6643" ht="12.75" x14ac:dyDescent="0.2"/>
    <row r="6644" ht="12.75" x14ac:dyDescent="0.2"/>
    <row r="6645" ht="12.75" x14ac:dyDescent="0.2"/>
    <row r="6646" ht="12.75" x14ac:dyDescent="0.2"/>
    <row r="6647" ht="12.75" x14ac:dyDescent="0.2"/>
    <row r="6648" ht="12.75" x14ac:dyDescent="0.2"/>
    <row r="6649" ht="12.75" x14ac:dyDescent="0.2"/>
    <row r="6650" ht="12.75" x14ac:dyDescent="0.2"/>
    <row r="6651" ht="12.75" x14ac:dyDescent="0.2"/>
    <row r="6652" ht="12.75" x14ac:dyDescent="0.2"/>
    <row r="6653" ht="12.75" x14ac:dyDescent="0.2"/>
    <row r="6654" ht="12.75" x14ac:dyDescent="0.2"/>
    <row r="6655" ht="12.75" x14ac:dyDescent="0.2"/>
    <row r="6656" ht="12.75" x14ac:dyDescent="0.2"/>
    <row r="6657" ht="12.75" x14ac:dyDescent="0.2"/>
    <row r="6658" ht="12.75" x14ac:dyDescent="0.2"/>
    <row r="6659" ht="12.75" x14ac:dyDescent="0.2"/>
    <row r="6660" ht="12.75" x14ac:dyDescent="0.2"/>
    <row r="6661" ht="12.75" x14ac:dyDescent="0.2"/>
    <row r="6662" ht="12.75" x14ac:dyDescent="0.2"/>
    <row r="6663" ht="12.75" x14ac:dyDescent="0.2"/>
    <row r="6664" ht="12.75" x14ac:dyDescent="0.2"/>
    <row r="6665" ht="12.75" x14ac:dyDescent="0.2"/>
    <row r="6666" ht="12.75" x14ac:dyDescent="0.2"/>
    <row r="6667" ht="12.75" x14ac:dyDescent="0.2"/>
    <row r="6668" ht="12.75" x14ac:dyDescent="0.2"/>
    <row r="6669" ht="12.75" x14ac:dyDescent="0.2"/>
    <row r="6670" ht="12.75" x14ac:dyDescent="0.2"/>
    <row r="6671" ht="12.75" x14ac:dyDescent="0.2"/>
    <row r="6672" ht="12.75" x14ac:dyDescent="0.2"/>
    <row r="6673" ht="12.75" x14ac:dyDescent="0.2"/>
    <row r="6674" ht="12.75" x14ac:dyDescent="0.2"/>
    <row r="6675" ht="12.75" x14ac:dyDescent="0.2"/>
    <row r="6676" ht="12.75" x14ac:dyDescent="0.2"/>
    <row r="6677" ht="12.75" x14ac:dyDescent="0.2"/>
    <row r="6678" ht="12.75" x14ac:dyDescent="0.2"/>
    <row r="6679" ht="12.75" x14ac:dyDescent="0.2"/>
    <row r="6680" ht="12.75" x14ac:dyDescent="0.2"/>
    <row r="6681" ht="12.75" x14ac:dyDescent="0.2"/>
    <row r="6682" ht="12.75" x14ac:dyDescent="0.2"/>
    <row r="6683" ht="12.75" x14ac:dyDescent="0.2"/>
    <row r="6684" ht="12.75" x14ac:dyDescent="0.2"/>
    <row r="6685" ht="12.75" x14ac:dyDescent="0.2"/>
    <row r="6686" ht="12.75" x14ac:dyDescent="0.2"/>
    <row r="6687" ht="12.75" x14ac:dyDescent="0.2"/>
    <row r="6688" ht="12.75" x14ac:dyDescent="0.2"/>
    <row r="6689" ht="12.75" x14ac:dyDescent="0.2"/>
    <row r="6690" ht="12.75" x14ac:dyDescent="0.2"/>
    <row r="6691" ht="12.75" x14ac:dyDescent="0.2"/>
    <row r="6692" ht="12.75" x14ac:dyDescent="0.2"/>
    <row r="6693" ht="12.75" x14ac:dyDescent="0.2"/>
    <row r="6694" ht="12.75" x14ac:dyDescent="0.2"/>
    <row r="6695" ht="12.75" x14ac:dyDescent="0.2"/>
    <row r="6696" ht="12.75" x14ac:dyDescent="0.2"/>
    <row r="6697" ht="12.75" x14ac:dyDescent="0.2"/>
    <row r="6698" ht="12.75" x14ac:dyDescent="0.2"/>
    <row r="6699" ht="12.75" x14ac:dyDescent="0.2"/>
    <row r="6700" ht="12.75" x14ac:dyDescent="0.2"/>
    <row r="6701" ht="12.75" x14ac:dyDescent="0.2"/>
    <row r="6702" ht="12.75" x14ac:dyDescent="0.2"/>
    <row r="6703" ht="12.75" x14ac:dyDescent="0.2"/>
    <row r="6704" ht="12.75" x14ac:dyDescent="0.2"/>
    <row r="6705" ht="12.75" x14ac:dyDescent="0.2"/>
    <row r="6706" ht="12.75" x14ac:dyDescent="0.2"/>
    <row r="6707" ht="12.75" x14ac:dyDescent="0.2"/>
    <row r="6708" ht="12.75" x14ac:dyDescent="0.2"/>
    <row r="6709" ht="12.75" x14ac:dyDescent="0.2"/>
    <row r="6710" ht="12.75" x14ac:dyDescent="0.2"/>
    <row r="6711" ht="12.75" x14ac:dyDescent="0.2"/>
    <row r="6712" ht="12.75" x14ac:dyDescent="0.2"/>
    <row r="6713" ht="12.75" x14ac:dyDescent="0.2"/>
    <row r="6714" ht="12.75" x14ac:dyDescent="0.2"/>
    <row r="6715" ht="12.75" x14ac:dyDescent="0.2"/>
    <row r="6716" ht="12.75" x14ac:dyDescent="0.2"/>
    <row r="6717" ht="12.75" x14ac:dyDescent="0.2"/>
    <row r="6718" ht="12.75" x14ac:dyDescent="0.2"/>
    <row r="6719" ht="12.75" x14ac:dyDescent="0.2"/>
    <row r="6720" ht="12.75" x14ac:dyDescent="0.2"/>
    <row r="6721" ht="12.75" x14ac:dyDescent="0.2"/>
    <row r="6722" ht="12.75" x14ac:dyDescent="0.2"/>
    <row r="6723" ht="12.75" x14ac:dyDescent="0.2"/>
    <row r="6724" ht="12.75" x14ac:dyDescent="0.2"/>
    <row r="6725" ht="12.75" x14ac:dyDescent="0.2"/>
    <row r="6726" ht="12.75" x14ac:dyDescent="0.2"/>
    <row r="6727" ht="12.75" x14ac:dyDescent="0.2"/>
    <row r="6728" ht="12.75" x14ac:dyDescent="0.2"/>
    <row r="6729" ht="12.75" x14ac:dyDescent="0.2"/>
    <row r="6730" ht="12.75" x14ac:dyDescent="0.2"/>
    <row r="6731" ht="12.75" x14ac:dyDescent="0.2"/>
    <row r="6732" ht="12.75" x14ac:dyDescent="0.2"/>
    <row r="6733" ht="12.75" x14ac:dyDescent="0.2"/>
    <row r="6734" ht="12.75" x14ac:dyDescent="0.2"/>
    <row r="6735" ht="12.75" x14ac:dyDescent="0.2"/>
    <row r="6736" ht="12.75" x14ac:dyDescent="0.2"/>
    <row r="6737" ht="12.75" x14ac:dyDescent="0.2"/>
    <row r="6738" ht="12.75" x14ac:dyDescent="0.2"/>
    <row r="6739" ht="12.75" x14ac:dyDescent="0.2"/>
    <row r="6740" ht="12.75" x14ac:dyDescent="0.2"/>
    <row r="6741" ht="12.75" x14ac:dyDescent="0.2"/>
    <row r="6742" ht="12.75" x14ac:dyDescent="0.2"/>
    <row r="6743" ht="12.75" x14ac:dyDescent="0.2"/>
    <row r="6744" ht="12.75" x14ac:dyDescent="0.2"/>
    <row r="6745" ht="12.75" x14ac:dyDescent="0.2"/>
    <row r="6746" ht="12.75" x14ac:dyDescent="0.2"/>
    <row r="6747" ht="12.75" x14ac:dyDescent="0.2"/>
    <row r="6748" ht="12.75" x14ac:dyDescent="0.2"/>
    <row r="6749" ht="12.75" x14ac:dyDescent="0.2"/>
    <row r="6750" ht="12.75" x14ac:dyDescent="0.2"/>
    <row r="6751" ht="12.75" x14ac:dyDescent="0.2"/>
    <row r="6752" ht="12.75" x14ac:dyDescent="0.2"/>
    <row r="6753" ht="12.75" x14ac:dyDescent="0.2"/>
    <row r="6754" ht="12.75" x14ac:dyDescent="0.2"/>
    <row r="6755" ht="12.75" x14ac:dyDescent="0.2"/>
    <row r="6756" ht="12.75" x14ac:dyDescent="0.2"/>
    <row r="6757" ht="12.75" x14ac:dyDescent="0.2"/>
    <row r="6758" ht="12.75" x14ac:dyDescent="0.2"/>
    <row r="6759" ht="12.75" x14ac:dyDescent="0.2"/>
    <row r="6760" ht="12.75" x14ac:dyDescent="0.2"/>
    <row r="6761" ht="12.75" x14ac:dyDescent="0.2"/>
    <row r="6762" ht="12.75" x14ac:dyDescent="0.2"/>
    <row r="6763" ht="12.75" x14ac:dyDescent="0.2"/>
    <row r="6764" ht="12.75" x14ac:dyDescent="0.2"/>
    <row r="6765" ht="12.75" x14ac:dyDescent="0.2"/>
    <row r="6766" ht="12.75" x14ac:dyDescent="0.2"/>
    <row r="6767" ht="12.75" x14ac:dyDescent="0.2"/>
    <row r="6768" ht="12.75" x14ac:dyDescent="0.2"/>
    <row r="6769" ht="12.75" x14ac:dyDescent="0.2"/>
    <row r="6770" ht="12.75" x14ac:dyDescent="0.2"/>
    <row r="6771" ht="12.75" x14ac:dyDescent="0.2"/>
    <row r="6772" ht="12.75" x14ac:dyDescent="0.2"/>
    <row r="6773" ht="12.75" x14ac:dyDescent="0.2"/>
    <row r="6774" ht="12.75" x14ac:dyDescent="0.2"/>
    <row r="6775" ht="12.75" x14ac:dyDescent="0.2"/>
    <row r="6776" ht="12.75" x14ac:dyDescent="0.2"/>
    <row r="6777" ht="12.75" x14ac:dyDescent="0.2"/>
    <row r="6778" ht="12.75" x14ac:dyDescent="0.2"/>
    <row r="6779" ht="12.75" x14ac:dyDescent="0.2"/>
    <row r="6780" ht="12.75" x14ac:dyDescent="0.2"/>
    <row r="6781" ht="12.75" x14ac:dyDescent="0.2"/>
    <row r="6782" ht="12.75" x14ac:dyDescent="0.2"/>
    <row r="6783" ht="12.75" x14ac:dyDescent="0.2"/>
    <row r="6784" ht="12.75" x14ac:dyDescent="0.2"/>
    <row r="6785" ht="12.75" x14ac:dyDescent="0.2"/>
    <row r="6786" ht="12.75" x14ac:dyDescent="0.2"/>
    <row r="6787" ht="12.75" x14ac:dyDescent="0.2"/>
    <row r="6788" ht="12.75" x14ac:dyDescent="0.2"/>
    <row r="6789" ht="12.75" x14ac:dyDescent="0.2"/>
    <row r="6790" ht="12.75" x14ac:dyDescent="0.2"/>
    <row r="6791" ht="12.75" x14ac:dyDescent="0.2"/>
    <row r="6792" ht="12.75" x14ac:dyDescent="0.2"/>
    <row r="6793" ht="12.75" x14ac:dyDescent="0.2"/>
    <row r="6794" ht="12.75" x14ac:dyDescent="0.2"/>
    <row r="6795" ht="12.75" x14ac:dyDescent="0.2"/>
    <row r="6796" ht="12.75" x14ac:dyDescent="0.2"/>
    <row r="6797" ht="12.75" x14ac:dyDescent="0.2"/>
    <row r="6798" ht="12.75" x14ac:dyDescent="0.2"/>
    <row r="6799" ht="12.75" x14ac:dyDescent="0.2"/>
    <row r="6800" ht="12.75" x14ac:dyDescent="0.2"/>
    <row r="6801" ht="12.75" x14ac:dyDescent="0.2"/>
    <row r="6802" ht="12.75" x14ac:dyDescent="0.2"/>
    <row r="6803" ht="12.75" x14ac:dyDescent="0.2"/>
    <row r="6804" ht="12.75" x14ac:dyDescent="0.2"/>
    <row r="6805" ht="12.75" x14ac:dyDescent="0.2"/>
    <row r="6806" ht="12.75" x14ac:dyDescent="0.2"/>
    <row r="6807" ht="12.75" x14ac:dyDescent="0.2"/>
    <row r="6808" ht="12.75" x14ac:dyDescent="0.2"/>
    <row r="6809" ht="12.75" x14ac:dyDescent="0.2"/>
    <row r="6810" ht="12.75" x14ac:dyDescent="0.2"/>
    <row r="6811" ht="12.75" x14ac:dyDescent="0.2"/>
    <row r="6812" ht="12.75" x14ac:dyDescent="0.2"/>
    <row r="6813" ht="12.75" x14ac:dyDescent="0.2"/>
    <row r="6814" ht="12.75" x14ac:dyDescent="0.2"/>
    <row r="6815" ht="12.75" x14ac:dyDescent="0.2"/>
    <row r="6816" ht="12.75" x14ac:dyDescent="0.2"/>
    <row r="6817" ht="12.75" x14ac:dyDescent="0.2"/>
    <row r="6818" ht="12.75" x14ac:dyDescent="0.2"/>
    <row r="6819" ht="12.75" x14ac:dyDescent="0.2"/>
    <row r="6820" ht="12.75" x14ac:dyDescent="0.2"/>
    <row r="6821" ht="12.75" x14ac:dyDescent="0.2"/>
    <row r="6822" ht="12.75" x14ac:dyDescent="0.2"/>
    <row r="6823" ht="12.75" x14ac:dyDescent="0.2"/>
    <row r="6824" ht="12.75" x14ac:dyDescent="0.2"/>
    <row r="6825" ht="12.75" x14ac:dyDescent="0.2"/>
    <row r="6826" ht="12.75" x14ac:dyDescent="0.2"/>
    <row r="6827" ht="12.75" x14ac:dyDescent="0.2"/>
    <row r="6828" ht="12.75" x14ac:dyDescent="0.2"/>
    <row r="6829" ht="12.75" x14ac:dyDescent="0.2"/>
    <row r="6830" ht="12.75" x14ac:dyDescent="0.2"/>
    <row r="6831" ht="12.75" x14ac:dyDescent="0.2"/>
    <row r="6832" ht="12.75" x14ac:dyDescent="0.2"/>
    <row r="6833" ht="12.75" x14ac:dyDescent="0.2"/>
    <row r="6834" ht="12.75" x14ac:dyDescent="0.2"/>
    <row r="6835" ht="12.75" x14ac:dyDescent="0.2"/>
    <row r="6836" ht="12.75" x14ac:dyDescent="0.2"/>
    <row r="6837" ht="12.75" x14ac:dyDescent="0.2"/>
    <row r="6838" ht="12.75" x14ac:dyDescent="0.2"/>
    <row r="6839" ht="12.75" x14ac:dyDescent="0.2"/>
    <row r="6840" ht="12.75" x14ac:dyDescent="0.2"/>
    <row r="6841" ht="12.75" x14ac:dyDescent="0.2"/>
    <row r="6842" ht="12.75" x14ac:dyDescent="0.2"/>
    <row r="6843" ht="12.75" x14ac:dyDescent="0.2"/>
    <row r="6844" ht="12.75" x14ac:dyDescent="0.2"/>
    <row r="6845" ht="12.75" x14ac:dyDescent="0.2"/>
    <row r="6846" ht="12.75" x14ac:dyDescent="0.2"/>
    <row r="6847" ht="12.75" x14ac:dyDescent="0.2"/>
    <row r="6848" ht="12.75" x14ac:dyDescent="0.2"/>
    <row r="6849" ht="12.75" x14ac:dyDescent="0.2"/>
    <row r="6850" ht="12.75" x14ac:dyDescent="0.2"/>
    <row r="6851" ht="12.75" x14ac:dyDescent="0.2"/>
    <row r="6852" ht="12.75" x14ac:dyDescent="0.2"/>
    <row r="6853" ht="12.75" x14ac:dyDescent="0.2"/>
    <row r="6854" ht="12.75" x14ac:dyDescent="0.2"/>
    <row r="6855" ht="12.75" x14ac:dyDescent="0.2"/>
    <row r="6856" ht="12.75" x14ac:dyDescent="0.2"/>
    <row r="6857" ht="12.75" x14ac:dyDescent="0.2"/>
    <row r="6858" ht="12.75" x14ac:dyDescent="0.2"/>
    <row r="6859" ht="12.75" x14ac:dyDescent="0.2"/>
    <row r="6860" ht="12.75" x14ac:dyDescent="0.2"/>
    <row r="6861" ht="12.75" x14ac:dyDescent="0.2"/>
    <row r="6862" ht="12.75" x14ac:dyDescent="0.2"/>
    <row r="6863" ht="12.75" x14ac:dyDescent="0.2"/>
    <row r="6864" ht="12.75" x14ac:dyDescent="0.2"/>
    <row r="6865" ht="12.75" x14ac:dyDescent="0.2"/>
    <row r="6866" ht="12.75" x14ac:dyDescent="0.2"/>
    <row r="6867" ht="12.75" x14ac:dyDescent="0.2"/>
    <row r="6868" ht="12.75" x14ac:dyDescent="0.2"/>
    <row r="6869" ht="12.75" x14ac:dyDescent="0.2"/>
    <row r="6870" ht="12.75" x14ac:dyDescent="0.2"/>
    <row r="6871" ht="12.75" x14ac:dyDescent="0.2"/>
    <row r="6872" ht="12.75" x14ac:dyDescent="0.2"/>
    <row r="6873" ht="12.75" x14ac:dyDescent="0.2"/>
    <row r="6874" ht="12.75" x14ac:dyDescent="0.2"/>
    <row r="6875" ht="12.75" x14ac:dyDescent="0.2"/>
    <row r="6876" ht="12.75" x14ac:dyDescent="0.2"/>
    <row r="6877" ht="12.75" x14ac:dyDescent="0.2"/>
    <row r="6878" ht="12.75" x14ac:dyDescent="0.2"/>
    <row r="6879" ht="12.75" x14ac:dyDescent="0.2"/>
    <row r="6880" ht="12.75" x14ac:dyDescent="0.2"/>
    <row r="6881" ht="12.75" x14ac:dyDescent="0.2"/>
    <row r="6882" ht="12.75" x14ac:dyDescent="0.2"/>
    <row r="6883" ht="12.75" x14ac:dyDescent="0.2"/>
    <row r="6884" ht="12.75" x14ac:dyDescent="0.2"/>
    <row r="6885" ht="12.75" x14ac:dyDescent="0.2"/>
    <row r="6886" ht="12.75" x14ac:dyDescent="0.2"/>
    <row r="6887" ht="12.75" x14ac:dyDescent="0.2"/>
    <row r="6888" ht="12.75" x14ac:dyDescent="0.2"/>
    <row r="6889" ht="12.75" x14ac:dyDescent="0.2"/>
    <row r="6890" ht="12.75" x14ac:dyDescent="0.2"/>
    <row r="6891" ht="12.75" x14ac:dyDescent="0.2"/>
    <row r="6892" ht="12.75" x14ac:dyDescent="0.2"/>
    <row r="6893" ht="12.75" x14ac:dyDescent="0.2"/>
    <row r="6894" ht="12.75" x14ac:dyDescent="0.2"/>
    <row r="6895" ht="12.75" x14ac:dyDescent="0.2"/>
    <row r="6896" ht="12.75" x14ac:dyDescent="0.2"/>
    <row r="6897" ht="12.75" x14ac:dyDescent="0.2"/>
    <row r="6898" ht="12.75" x14ac:dyDescent="0.2"/>
    <row r="6899" ht="12.75" x14ac:dyDescent="0.2"/>
    <row r="6900" ht="12.75" x14ac:dyDescent="0.2"/>
    <row r="6901" ht="12.75" x14ac:dyDescent="0.2"/>
    <row r="6902" ht="12.75" x14ac:dyDescent="0.2"/>
    <row r="6903" ht="12.75" x14ac:dyDescent="0.2"/>
    <row r="6904" ht="12.75" x14ac:dyDescent="0.2"/>
    <row r="6905" ht="12.75" x14ac:dyDescent="0.2"/>
    <row r="6906" ht="12.75" x14ac:dyDescent="0.2"/>
    <row r="6907" ht="12.75" x14ac:dyDescent="0.2"/>
    <row r="6908" ht="12.75" x14ac:dyDescent="0.2"/>
    <row r="6909" ht="12.75" x14ac:dyDescent="0.2"/>
    <row r="6910" ht="12.75" x14ac:dyDescent="0.2"/>
    <row r="6911" ht="12.75" x14ac:dyDescent="0.2"/>
    <row r="6912" ht="12.75" x14ac:dyDescent="0.2"/>
    <row r="6913" ht="12.75" x14ac:dyDescent="0.2"/>
    <row r="6914" ht="12.75" x14ac:dyDescent="0.2"/>
    <row r="6915" ht="12.75" x14ac:dyDescent="0.2"/>
    <row r="6916" ht="12.75" x14ac:dyDescent="0.2"/>
    <row r="6917" ht="12.75" x14ac:dyDescent="0.2"/>
    <row r="6918" ht="12.75" x14ac:dyDescent="0.2"/>
    <row r="6919" ht="12.75" x14ac:dyDescent="0.2"/>
    <row r="6920" ht="12.75" x14ac:dyDescent="0.2"/>
    <row r="6921" ht="12.75" x14ac:dyDescent="0.2"/>
    <row r="6922" ht="12.75" x14ac:dyDescent="0.2"/>
    <row r="6923" ht="12.75" x14ac:dyDescent="0.2"/>
    <row r="6924" ht="12.75" x14ac:dyDescent="0.2"/>
    <row r="6925" ht="12.75" x14ac:dyDescent="0.2"/>
    <row r="6926" ht="12.75" x14ac:dyDescent="0.2"/>
    <row r="6927" ht="12.75" x14ac:dyDescent="0.2"/>
    <row r="6928" ht="12.75" x14ac:dyDescent="0.2"/>
    <row r="6929" ht="12.75" x14ac:dyDescent="0.2"/>
    <row r="6930" ht="12.75" x14ac:dyDescent="0.2"/>
    <row r="6931" ht="12.75" x14ac:dyDescent="0.2"/>
    <row r="6932" ht="12.75" x14ac:dyDescent="0.2"/>
    <row r="6933" ht="12.75" x14ac:dyDescent="0.2"/>
    <row r="6934" ht="12.75" x14ac:dyDescent="0.2"/>
    <row r="6935" ht="12.75" x14ac:dyDescent="0.2"/>
    <row r="6936" ht="12.75" x14ac:dyDescent="0.2"/>
    <row r="6937" ht="12.75" x14ac:dyDescent="0.2"/>
    <row r="6938" ht="12.75" x14ac:dyDescent="0.2"/>
    <row r="6939" ht="12.75" x14ac:dyDescent="0.2"/>
    <row r="6940" ht="12.75" x14ac:dyDescent="0.2"/>
    <row r="6941" ht="12.75" x14ac:dyDescent="0.2"/>
    <row r="6942" ht="12.75" x14ac:dyDescent="0.2"/>
    <row r="6943" ht="12.75" x14ac:dyDescent="0.2"/>
    <row r="6944" ht="12.75" x14ac:dyDescent="0.2"/>
    <row r="6945" ht="12.75" x14ac:dyDescent="0.2"/>
    <row r="6946" ht="12.75" x14ac:dyDescent="0.2"/>
    <row r="6947" ht="12.75" x14ac:dyDescent="0.2"/>
    <row r="6948" ht="12.75" x14ac:dyDescent="0.2"/>
    <row r="6949" ht="12.75" x14ac:dyDescent="0.2"/>
    <row r="6950" ht="12.75" x14ac:dyDescent="0.2"/>
    <row r="6951" ht="12.75" x14ac:dyDescent="0.2"/>
    <row r="6952" ht="12.75" x14ac:dyDescent="0.2"/>
    <row r="6953" ht="12.75" x14ac:dyDescent="0.2"/>
    <row r="6954" ht="12.75" x14ac:dyDescent="0.2"/>
    <row r="6955" ht="12.75" x14ac:dyDescent="0.2"/>
    <row r="6956" ht="12.75" x14ac:dyDescent="0.2"/>
    <row r="6957" ht="12.75" x14ac:dyDescent="0.2"/>
    <row r="6958" ht="12.75" x14ac:dyDescent="0.2"/>
    <row r="6959" ht="12.75" x14ac:dyDescent="0.2"/>
    <row r="6960" ht="12.75" x14ac:dyDescent="0.2"/>
    <row r="6961" ht="12.75" x14ac:dyDescent="0.2"/>
    <row r="6962" ht="12.75" x14ac:dyDescent="0.2"/>
    <row r="6963" ht="12.75" x14ac:dyDescent="0.2"/>
    <row r="6964" ht="12.75" x14ac:dyDescent="0.2"/>
    <row r="6965" ht="12.75" x14ac:dyDescent="0.2"/>
    <row r="6966" ht="12.75" x14ac:dyDescent="0.2"/>
    <row r="6967" ht="12.75" x14ac:dyDescent="0.2"/>
    <row r="6968" ht="12.75" x14ac:dyDescent="0.2"/>
    <row r="6969" ht="12.75" x14ac:dyDescent="0.2"/>
    <row r="6970" ht="12.75" x14ac:dyDescent="0.2"/>
    <row r="6971" ht="12.75" x14ac:dyDescent="0.2"/>
    <row r="6972" ht="12.75" x14ac:dyDescent="0.2"/>
    <row r="6973" ht="12.75" x14ac:dyDescent="0.2"/>
    <row r="6974" ht="12.75" x14ac:dyDescent="0.2"/>
    <row r="6975" ht="12.75" x14ac:dyDescent="0.2"/>
    <row r="6976" ht="12.75" x14ac:dyDescent="0.2"/>
    <row r="6977" ht="12.75" x14ac:dyDescent="0.2"/>
    <row r="6978" ht="12.75" x14ac:dyDescent="0.2"/>
    <row r="6979" ht="12.75" x14ac:dyDescent="0.2"/>
    <row r="6980" ht="12.75" x14ac:dyDescent="0.2"/>
    <row r="6981" ht="12.75" x14ac:dyDescent="0.2"/>
    <row r="6982" ht="12.75" x14ac:dyDescent="0.2"/>
    <row r="6983" ht="12.75" x14ac:dyDescent="0.2"/>
    <row r="6984" ht="12.75" x14ac:dyDescent="0.2"/>
    <row r="6985" ht="12.75" x14ac:dyDescent="0.2"/>
    <row r="6986" ht="12.75" x14ac:dyDescent="0.2"/>
    <row r="6987" ht="12.75" x14ac:dyDescent="0.2"/>
    <row r="6988" ht="12.75" x14ac:dyDescent="0.2"/>
    <row r="6989" ht="12.75" x14ac:dyDescent="0.2"/>
    <row r="6990" ht="12.75" x14ac:dyDescent="0.2"/>
    <row r="6991" ht="12.75" x14ac:dyDescent="0.2"/>
    <row r="6992" ht="12.75" x14ac:dyDescent="0.2"/>
    <row r="6993" ht="12.75" x14ac:dyDescent="0.2"/>
    <row r="6994" ht="12.75" x14ac:dyDescent="0.2"/>
    <row r="6995" ht="12.75" x14ac:dyDescent="0.2"/>
    <row r="6996" ht="12.75" x14ac:dyDescent="0.2"/>
    <row r="6997" ht="12.75" x14ac:dyDescent="0.2"/>
    <row r="6998" ht="12.75" x14ac:dyDescent="0.2"/>
    <row r="6999" ht="12.75" x14ac:dyDescent="0.2"/>
    <row r="7000" ht="12.75" x14ac:dyDescent="0.2"/>
    <row r="7001" ht="12.75" x14ac:dyDescent="0.2"/>
    <row r="7002" ht="12.75" x14ac:dyDescent="0.2"/>
    <row r="7003" ht="12.75" x14ac:dyDescent="0.2"/>
    <row r="7004" ht="12.75" x14ac:dyDescent="0.2"/>
    <row r="7005" ht="12.75" x14ac:dyDescent="0.2"/>
    <row r="7006" ht="12.75" x14ac:dyDescent="0.2"/>
    <row r="7007" ht="12.75" x14ac:dyDescent="0.2"/>
    <row r="7008" ht="12.75" x14ac:dyDescent="0.2"/>
    <row r="7009" ht="12.75" x14ac:dyDescent="0.2"/>
    <row r="7010" ht="12.75" x14ac:dyDescent="0.2"/>
    <row r="7011" ht="12.75" x14ac:dyDescent="0.2"/>
    <row r="7012" ht="12.75" x14ac:dyDescent="0.2"/>
    <row r="7013" ht="12.75" x14ac:dyDescent="0.2"/>
    <row r="7014" ht="12.75" x14ac:dyDescent="0.2"/>
    <row r="7015" ht="12.75" x14ac:dyDescent="0.2"/>
    <row r="7016" ht="12.75" x14ac:dyDescent="0.2"/>
    <row r="7017" ht="12.75" x14ac:dyDescent="0.2"/>
    <row r="7018" ht="12.75" x14ac:dyDescent="0.2"/>
    <row r="7019" ht="12.75" x14ac:dyDescent="0.2"/>
    <row r="7020" ht="12.75" x14ac:dyDescent="0.2"/>
    <row r="7021" ht="12.75" x14ac:dyDescent="0.2"/>
    <row r="7022" ht="12.75" x14ac:dyDescent="0.2"/>
    <row r="7023" ht="12.75" x14ac:dyDescent="0.2"/>
    <row r="7024" ht="12.75" x14ac:dyDescent="0.2"/>
    <row r="7025" ht="12.75" x14ac:dyDescent="0.2"/>
    <row r="7026" ht="12.75" x14ac:dyDescent="0.2"/>
    <row r="7027" ht="12.75" x14ac:dyDescent="0.2"/>
    <row r="7028" ht="12.75" x14ac:dyDescent="0.2"/>
    <row r="7029" ht="12.75" x14ac:dyDescent="0.2"/>
    <row r="7030" ht="12.75" x14ac:dyDescent="0.2"/>
    <row r="7031" ht="12.75" x14ac:dyDescent="0.2"/>
    <row r="7032" ht="12.75" x14ac:dyDescent="0.2"/>
    <row r="7033" ht="12.75" x14ac:dyDescent="0.2"/>
    <row r="7034" ht="12.75" x14ac:dyDescent="0.2"/>
    <row r="7035" ht="12.75" x14ac:dyDescent="0.2"/>
    <row r="7036" ht="12.75" x14ac:dyDescent="0.2"/>
    <row r="7037" ht="12.75" x14ac:dyDescent="0.2"/>
    <row r="7038" ht="12.75" x14ac:dyDescent="0.2"/>
    <row r="7039" ht="12.75" x14ac:dyDescent="0.2"/>
    <row r="7040" ht="12.75" x14ac:dyDescent="0.2"/>
    <row r="7041" ht="12.75" x14ac:dyDescent="0.2"/>
    <row r="7042" ht="12.75" x14ac:dyDescent="0.2"/>
    <row r="7043" ht="12.75" x14ac:dyDescent="0.2"/>
    <row r="7044" ht="12.75" x14ac:dyDescent="0.2"/>
    <row r="7045" ht="12.75" x14ac:dyDescent="0.2"/>
    <row r="7046" ht="12.75" x14ac:dyDescent="0.2"/>
    <row r="7047" ht="12.75" x14ac:dyDescent="0.2"/>
    <row r="7048" ht="12.75" x14ac:dyDescent="0.2"/>
    <row r="7049" ht="12.75" x14ac:dyDescent="0.2"/>
    <row r="7050" ht="12.75" x14ac:dyDescent="0.2"/>
    <row r="7051" ht="12.75" x14ac:dyDescent="0.2"/>
    <row r="7052" ht="12.75" x14ac:dyDescent="0.2"/>
    <row r="7053" ht="12.75" x14ac:dyDescent="0.2"/>
    <row r="7054" ht="12.75" x14ac:dyDescent="0.2"/>
    <row r="7055" ht="12.75" x14ac:dyDescent="0.2"/>
    <row r="7056" ht="12.75" x14ac:dyDescent="0.2"/>
    <row r="7057" ht="12.75" x14ac:dyDescent="0.2"/>
    <row r="7058" ht="12.75" x14ac:dyDescent="0.2"/>
    <row r="7059" ht="12.75" x14ac:dyDescent="0.2"/>
    <row r="7060" ht="12.75" x14ac:dyDescent="0.2"/>
    <row r="7061" ht="12.75" x14ac:dyDescent="0.2"/>
    <row r="7062" ht="12.75" x14ac:dyDescent="0.2"/>
    <row r="7063" ht="12.75" x14ac:dyDescent="0.2"/>
    <row r="7064" ht="12.75" x14ac:dyDescent="0.2"/>
    <row r="7065" ht="12.75" x14ac:dyDescent="0.2"/>
    <row r="7066" ht="12.75" x14ac:dyDescent="0.2"/>
    <row r="7067" ht="12.75" x14ac:dyDescent="0.2"/>
    <row r="7068" ht="12.75" x14ac:dyDescent="0.2"/>
    <row r="7069" ht="12.75" x14ac:dyDescent="0.2"/>
    <row r="7070" ht="12.75" x14ac:dyDescent="0.2"/>
    <row r="7071" ht="12.75" x14ac:dyDescent="0.2"/>
    <row r="7072" ht="12.75" x14ac:dyDescent="0.2"/>
    <row r="7073" ht="12.75" x14ac:dyDescent="0.2"/>
    <row r="7074" ht="12.75" x14ac:dyDescent="0.2"/>
    <row r="7075" ht="12.75" x14ac:dyDescent="0.2"/>
    <row r="7076" ht="12.75" x14ac:dyDescent="0.2"/>
    <row r="7077" ht="12.75" x14ac:dyDescent="0.2"/>
    <row r="7078" ht="12.75" x14ac:dyDescent="0.2"/>
    <row r="7079" ht="12.75" x14ac:dyDescent="0.2"/>
    <row r="7080" ht="12.75" x14ac:dyDescent="0.2"/>
    <row r="7081" ht="12.75" x14ac:dyDescent="0.2"/>
    <row r="7082" ht="12.75" x14ac:dyDescent="0.2"/>
    <row r="7083" ht="12.75" x14ac:dyDescent="0.2"/>
    <row r="7084" ht="12.75" x14ac:dyDescent="0.2"/>
    <row r="7085" ht="12.75" x14ac:dyDescent="0.2"/>
    <row r="7086" ht="12.75" x14ac:dyDescent="0.2"/>
    <row r="7087" ht="12.75" x14ac:dyDescent="0.2"/>
    <row r="7088" ht="12.75" x14ac:dyDescent="0.2"/>
    <row r="7089" ht="12.75" x14ac:dyDescent="0.2"/>
    <row r="7090" ht="12.75" x14ac:dyDescent="0.2"/>
    <row r="7091" ht="12.75" x14ac:dyDescent="0.2"/>
    <row r="7092" ht="12.75" x14ac:dyDescent="0.2"/>
    <row r="7093" ht="12.75" x14ac:dyDescent="0.2"/>
    <row r="7094" ht="12.75" x14ac:dyDescent="0.2"/>
    <row r="7095" ht="12.75" x14ac:dyDescent="0.2"/>
    <row r="7096" ht="12.75" x14ac:dyDescent="0.2"/>
    <row r="7097" ht="12.75" x14ac:dyDescent="0.2"/>
    <row r="7098" ht="12.75" x14ac:dyDescent="0.2"/>
    <row r="7099" ht="12.75" x14ac:dyDescent="0.2"/>
    <row r="7100" ht="12.75" x14ac:dyDescent="0.2"/>
    <row r="7101" ht="12.75" x14ac:dyDescent="0.2"/>
    <row r="7102" ht="12.75" x14ac:dyDescent="0.2"/>
    <row r="7103" ht="12.75" x14ac:dyDescent="0.2"/>
    <row r="7104" ht="12.75" x14ac:dyDescent="0.2"/>
    <row r="7105" ht="12.75" x14ac:dyDescent="0.2"/>
    <row r="7106" ht="12.75" x14ac:dyDescent="0.2"/>
    <row r="7107" ht="12.75" x14ac:dyDescent="0.2"/>
    <row r="7108" ht="12.75" x14ac:dyDescent="0.2"/>
    <row r="7109" ht="12.75" x14ac:dyDescent="0.2"/>
    <row r="7110" ht="12.75" x14ac:dyDescent="0.2"/>
    <row r="7111" ht="12.75" x14ac:dyDescent="0.2"/>
    <row r="7112" ht="12.75" x14ac:dyDescent="0.2"/>
    <row r="7113" ht="12.75" x14ac:dyDescent="0.2"/>
    <row r="7114" ht="12.75" x14ac:dyDescent="0.2"/>
    <row r="7115" ht="12.75" x14ac:dyDescent="0.2"/>
    <row r="7116" ht="12.75" x14ac:dyDescent="0.2"/>
    <row r="7117" ht="12.75" x14ac:dyDescent="0.2"/>
    <row r="7118" ht="12.75" x14ac:dyDescent="0.2"/>
    <row r="7119" ht="12.75" x14ac:dyDescent="0.2"/>
    <row r="7120" ht="12.75" x14ac:dyDescent="0.2"/>
    <row r="7121" ht="12.75" x14ac:dyDescent="0.2"/>
    <row r="7122" ht="12.75" x14ac:dyDescent="0.2"/>
    <row r="7123" ht="12.75" x14ac:dyDescent="0.2"/>
    <row r="7124" ht="12.75" x14ac:dyDescent="0.2"/>
    <row r="7125" ht="12.75" x14ac:dyDescent="0.2"/>
    <row r="7126" ht="12.75" x14ac:dyDescent="0.2"/>
    <row r="7127" ht="12.75" x14ac:dyDescent="0.2"/>
    <row r="7128" ht="12.75" x14ac:dyDescent="0.2"/>
    <row r="7129" ht="12.75" x14ac:dyDescent="0.2"/>
    <row r="7130" ht="12.75" x14ac:dyDescent="0.2"/>
    <row r="7131" ht="12.75" x14ac:dyDescent="0.2"/>
    <row r="7132" ht="12.75" x14ac:dyDescent="0.2"/>
    <row r="7133" ht="12.75" x14ac:dyDescent="0.2"/>
    <row r="7134" ht="12.75" x14ac:dyDescent="0.2"/>
    <row r="7135" ht="12.75" x14ac:dyDescent="0.2"/>
    <row r="7136" ht="12.75" x14ac:dyDescent="0.2"/>
    <row r="7137" ht="12.75" x14ac:dyDescent="0.2"/>
    <row r="7138" ht="12.75" x14ac:dyDescent="0.2"/>
    <row r="7139" ht="12.75" x14ac:dyDescent="0.2"/>
    <row r="7140" ht="12.75" x14ac:dyDescent="0.2"/>
    <row r="7141" ht="12.75" x14ac:dyDescent="0.2"/>
    <row r="7142" ht="12.75" x14ac:dyDescent="0.2"/>
    <row r="7143" ht="12.75" x14ac:dyDescent="0.2"/>
    <row r="7144" ht="12.75" x14ac:dyDescent="0.2"/>
    <row r="7145" ht="12.75" x14ac:dyDescent="0.2"/>
    <row r="7146" ht="12.75" x14ac:dyDescent="0.2"/>
    <row r="7147" ht="12.75" x14ac:dyDescent="0.2"/>
    <row r="7148" ht="12.75" x14ac:dyDescent="0.2"/>
    <row r="7149" ht="12.75" x14ac:dyDescent="0.2"/>
    <row r="7150" ht="12.75" x14ac:dyDescent="0.2"/>
    <row r="7151" ht="12.75" x14ac:dyDescent="0.2"/>
    <row r="7152" ht="12.75" x14ac:dyDescent="0.2"/>
    <row r="7153" ht="12.75" x14ac:dyDescent="0.2"/>
    <row r="7154" ht="12.75" x14ac:dyDescent="0.2"/>
    <row r="7155" ht="12.75" x14ac:dyDescent="0.2"/>
    <row r="7156" ht="12.75" x14ac:dyDescent="0.2"/>
    <row r="7157" ht="12.75" x14ac:dyDescent="0.2"/>
    <row r="7158" ht="12.75" x14ac:dyDescent="0.2"/>
    <row r="7159" ht="12.75" x14ac:dyDescent="0.2"/>
    <row r="7160" ht="12.75" x14ac:dyDescent="0.2"/>
    <row r="7161" ht="12.75" x14ac:dyDescent="0.2"/>
    <row r="7162" ht="12.75" x14ac:dyDescent="0.2"/>
    <row r="7163" ht="12.75" x14ac:dyDescent="0.2"/>
    <row r="7164" ht="12.75" x14ac:dyDescent="0.2"/>
    <row r="7165" ht="12.75" x14ac:dyDescent="0.2"/>
    <row r="7166" ht="12.75" x14ac:dyDescent="0.2"/>
    <row r="7167" ht="12.75" x14ac:dyDescent="0.2"/>
    <row r="7168" ht="12.75" x14ac:dyDescent="0.2"/>
    <row r="7169" ht="12.75" x14ac:dyDescent="0.2"/>
    <row r="7170" ht="12.75" x14ac:dyDescent="0.2"/>
    <row r="7171" ht="12.75" x14ac:dyDescent="0.2"/>
    <row r="7172" ht="12.75" x14ac:dyDescent="0.2"/>
    <row r="7173" ht="12.75" x14ac:dyDescent="0.2"/>
    <row r="7174" ht="12.75" x14ac:dyDescent="0.2"/>
    <row r="7175" ht="12.75" x14ac:dyDescent="0.2"/>
    <row r="7176" ht="12.75" x14ac:dyDescent="0.2"/>
    <row r="7177" ht="12.75" x14ac:dyDescent="0.2"/>
    <row r="7178" ht="12.75" x14ac:dyDescent="0.2"/>
    <row r="7179" ht="12.75" x14ac:dyDescent="0.2"/>
    <row r="7180" ht="12.75" x14ac:dyDescent="0.2"/>
    <row r="7181" ht="12.75" x14ac:dyDescent="0.2"/>
    <row r="7182" ht="12.75" x14ac:dyDescent="0.2"/>
    <row r="7183" ht="12.75" x14ac:dyDescent="0.2"/>
    <row r="7184" ht="12.75" x14ac:dyDescent="0.2"/>
    <row r="7185" ht="12.75" x14ac:dyDescent="0.2"/>
    <row r="7186" ht="12.75" x14ac:dyDescent="0.2"/>
    <row r="7187" ht="12.75" x14ac:dyDescent="0.2"/>
    <row r="7188" ht="12.75" x14ac:dyDescent="0.2"/>
    <row r="7189" ht="12.75" x14ac:dyDescent="0.2"/>
    <row r="7190" ht="12.75" x14ac:dyDescent="0.2"/>
    <row r="7191" ht="12.75" x14ac:dyDescent="0.2"/>
    <row r="7192" ht="12.75" x14ac:dyDescent="0.2"/>
    <row r="7193" ht="12.75" x14ac:dyDescent="0.2"/>
    <row r="7194" ht="12.75" x14ac:dyDescent="0.2"/>
    <row r="7195" ht="12.75" x14ac:dyDescent="0.2"/>
    <row r="7196" ht="12.75" x14ac:dyDescent="0.2"/>
    <row r="7197" ht="12.75" x14ac:dyDescent="0.2"/>
    <row r="7198" ht="12.75" x14ac:dyDescent="0.2"/>
    <row r="7199" ht="12.75" x14ac:dyDescent="0.2"/>
    <row r="7200" ht="12.75" x14ac:dyDescent="0.2"/>
    <row r="7201" ht="12.75" x14ac:dyDescent="0.2"/>
    <row r="7202" ht="12.75" x14ac:dyDescent="0.2"/>
    <row r="7203" ht="12.75" x14ac:dyDescent="0.2"/>
    <row r="7204" ht="12.75" x14ac:dyDescent="0.2"/>
    <row r="7205" ht="12.75" x14ac:dyDescent="0.2"/>
    <row r="7206" ht="12.75" x14ac:dyDescent="0.2"/>
    <row r="7207" ht="12.75" x14ac:dyDescent="0.2"/>
    <row r="7208" ht="12.75" x14ac:dyDescent="0.2"/>
    <row r="7209" ht="12.75" x14ac:dyDescent="0.2"/>
    <row r="7210" ht="12.75" x14ac:dyDescent="0.2"/>
    <row r="7211" ht="12.75" x14ac:dyDescent="0.2"/>
    <row r="7212" ht="12.75" x14ac:dyDescent="0.2"/>
    <row r="7213" ht="12.75" x14ac:dyDescent="0.2"/>
    <row r="7214" ht="12.75" x14ac:dyDescent="0.2"/>
    <row r="7215" ht="12.75" x14ac:dyDescent="0.2"/>
    <row r="7216" ht="12.75" x14ac:dyDescent="0.2"/>
    <row r="7217" ht="12.75" x14ac:dyDescent="0.2"/>
    <row r="7218" ht="12.75" x14ac:dyDescent="0.2"/>
    <row r="7219" ht="12.75" x14ac:dyDescent="0.2"/>
    <row r="7220" ht="12.75" x14ac:dyDescent="0.2"/>
    <row r="7221" ht="12.75" x14ac:dyDescent="0.2"/>
    <row r="7222" ht="12.75" x14ac:dyDescent="0.2"/>
    <row r="7223" ht="12.75" x14ac:dyDescent="0.2"/>
    <row r="7224" ht="12.75" x14ac:dyDescent="0.2"/>
    <row r="7225" ht="12.75" x14ac:dyDescent="0.2"/>
    <row r="7226" ht="12.75" x14ac:dyDescent="0.2"/>
    <row r="7227" ht="12.75" x14ac:dyDescent="0.2"/>
    <row r="7228" ht="12.75" x14ac:dyDescent="0.2"/>
    <row r="7229" ht="12.75" x14ac:dyDescent="0.2"/>
    <row r="7230" ht="12.75" x14ac:dyDescent="0.2"/>
    <row r="7231" ht="12.75" x14ac:dyDescent="0.2"/>
    <row r="7232" ht="12.75" x14ac:dyDescent="0.2"/>
    <row r="7233" ht="12.75" x14ac:dyDescent="0.2"/>
    <row r="7234" ht="12.75" x14ac:dyDescent="0.2"/>
    <row r="7235" ht="12.75" x14ac:dyDescent="0.2"/>
    <row r="7236" ht="12.75" x14ac:dyDescent="0.2"/>
    <row r="7237" ht="12.75" x14ac:dyDescent="0.2"/>
    <row r="7238" ht="12.75" x14ac:dyDescent="0.2"/>
    <row r="7239" ht="12.75" x14ac:dyDescent="0.2"/>
    <row r="7240" ht="12.75" x14ac:dyDescent="0.2"/>
    <row r="7241" ht="12.75" x14ac:dyDescent="0.2"/>
    <row r="7242" ht="12.75" x14ac:dyDescent="0.2"/>
    <row r="7243" ht="12.75" x14ac:dyDescent="0.2"/>
    <row r="7244" ht="12.75" x14ac:dyDescent="0.2"/>
    <row r="7245" ht="12.75" x14ac:dyDescent="0.2"/>
    <row r="7246" ht="12.75" x14ac:dyDescent="0.2"/>
    <row r="7247" ht="12.75" x14ac:dyDescent="0.2"/>
    <row r="7248" ht="12.75" x14ac:dyDescent="0.2"/>
    <row r="7249" ht="12.75" x14ac:dyDescent="0.2"/>
    <row r="7250" ht="12.75" x14ac:dyDescent="0.2"/>
    <row r="7251" ht="12.75" x14ac:dyDescent="0.2"/>
    <row r="7252" ht="12.75" x14ac:dyDescent="0.2"/>
    <row r="7253" ht="12.75" x14ac:dyDescent="0.2"/>
    <row r="7254" ht="12.75" x14ac:dyDescent="0.2"/>
    <row r="7255" ht="12.75" x14ac:dyDescent="0.2"/>
    <row r="7256" ht="12.75" x14ac:dyDescent="0.2"/>
    <row r="7257" ht="12.75" x14ac:dyDescent="0.2"/>
    <row r="7258" ht="12.75" x14ac:dyDescent="0.2"/>
    <row r="7259" ht="12.75" x14ac:dyDescent="0.2"/>
    <row r="7260" ht="12.75" x14ac:dyDescent="0.2"/>
    <row r="7261" ht="12.75" x14ac:dyDescent="0.2"/>
    <row r="7262" ht="12.75" x14ac:dyDescent="0.2"/>
    <row r="7263" ht="12.75" x14ac:dyDescent="0.2"/>
    <row r="7264" ht="12.75" x14ac:dyDescent="0.2"/>
    <row r="7265" ht="12.75" x14ac:dyDescent="0.2"/>
    <row r="7266" ht="12.75" x14ac:dyDescent="0.2"/>
    <row r="7267" ht="12.75" x14ac:dyDescent="0.2"/>
    <row r="7268" ht="12.75" x14ac:dyDescent="0.2"/>
    <row r="7269" ht="12.75" x14ac:dyDescent="0.2"/>
    <row r="7270" ht="12.75" x14ac:dyDescent="0.2"/>
    <row r="7271" ht="12.75" x14ac:dyDescent="0.2"/>
    <row r="7272" ht="12.75" x14ac:dyDescent="0.2"/>
    <row r="7273" ht="12.75" x14ac:dyDescent="0.2"/>
    <row r="7274" ht="12.75" x14ac:dyDescent="0.2"/>
    <row r="7275" ht="12.75" x14ac:dyDescent="0.2"/>
    <row r="7276" ht="12.75" x14ac:dyDescent="0.2"/>
    <row r="7277" ht="12.75" x14ac:dyDescent="0.2"/>
    <row r="7278" ht="12.75" x14ac:dyDescent="0.2"/>
    <row r="7279" ht="12.75" x14ac:dyDescent="0.2"/>
    <row r="7280" ht="12.75" x14ac:dyDescent="0.2"/>
    <row r="7281" ht="12.75" x14ac:dyDescent="0.2"/>
    <row r="7282" ht="12.75" x14ac:dyDescent="0.2"/>
    <row r="7283" ht="12.75" x14ac:dyDescent="0.2"/>
    <row r="7284" ht="12.75" x14ac:dyDescent="0.2"/>
    <row r="7285" ht="12.75" x14ac:dyDescent="0.2"/>
    <row r="7286" ht="12.75" x14ac:dyDescent="0.2"/>
    <row r="7287" ht="12.75" x14ac:dyDescent="0.2"/>
    <row r="7288" ht="12.75" x14ac:dyDescent="0.2"/>
    <row r="7289" ht="12.75" x14ac:dyDescent="0.2"/>
    <row r="7290" ht="12.75" x14ac:dyDescent="0.2"/>
    <row r="7291" ht="12.75" x14ac:dyDescent="0.2"/>
    <row r="7292" ht="12.75" x14ac:dyDescent="0.2"/>
    <row r="7293" ht="12.75" x14ac:dyDescent="0.2"/>
    <row r="7294" ht="12.75" x14ac:dyDescent="0.2"/>
    <row r="7295" ht="12.75" x14ac:dyDescent="0.2"/>
    <row r="7296" ht="12.75" x14ac:dyDescent="0.2"/>
    <row r="7297" ht="12.75" x14ac:dyDescent="0.2"/>
    <row r="7298" ht="12.75" x14ac:dyDescent="0.2"/>
    <row r="7299" ht="12.75" x14ac:dyDescent="0.2"/>
    <row r="7300" ht="12.75" x14ac:dyDescent="0.2"/>
    <row r="7301" ht="12.75" x14ac:dyDescent="0.2"/>
    <row r="7302" ht="12.75" x14ac:dyDescent="0.2"/>
    <row r="7303" ht="12.75" x14ac:dyDescent="0.2"/>
    <row r="7304" ht="12.75" x14ac:dyDescent="0.2"/>
    <row r="7305" ht="12.75" x14ac:dyDescent="0.2"/>
    <row r="7306" ht="12.75" x14ac:dyDescent="0.2"/>
    <row r="7307" ht="12.75" x14ac:dyDescent="0.2"/>
    <row r="7308" ht="12.75" x14ac:dyDescent="0.2"/>
    <row r="7309" ht="12.75" x14ac:dyDescent="0.2"/>
    <row r="7310" ht="12.75" x14ac:dyDescent="0.2"/>
    <row r="7311" ht="12.75" x14ac:dyDescent="0.2"/>
    <row r="7312" ht="12.75" x14ac:dyDescent="0.2"/>
    <row r="7313" ht="12.75" x14ac:dyDescent="0.2"/>
    <row r="7314" ht="12.75" x14ac:dyDescent="0.2"/>
    <row r="7315" ht="12.75" x14ac:dyDescent="0.2"/>
    <row r="7316" ht="12.75" x14ac:dyDescent="0.2"/>
    <row r="7317" ht="12.75" x14ac:dyDescent="0.2"/>
    <row r="7318" ht="12.75" x14ac:dyDescent="0.2"/>
    <row r="7319" ht="12.75" x14ac:dyDescent="0.2"/>
    <row r="7320" ht="12.75" x14ac:dyDescent="0.2"/>
    <row r="7321" ht="12.75" x14ac:dyDescent="0.2"/>
    <row r="7322" ht="12.75" x14ac:dyDescent="0.2"/>
    <row r="7323" ht="12.75" x14ac:dyDescent="0.2"/>
    <row r="7324" ht="12.75" x14ac:dyDescent="0.2"/>
    <row r="7325" ht="12.75" x14ac:dyDescent="0.2"/>
    <row r="7326" ht="12.75" x14ac:dyDescent="0.2"/>
    <row r="7327" ht="12.75" x14ac:dyDescent="0.2"/>
    <row r="7328" ht="12.75" x14ac:dyDescent="0.2"/>
    <row r="7329" ht="12.75" x14ac:dyDescent="0.2"/>
    <row r="7330" ht="12.75" x14ac:dyDescent="0.2"/>
    <row r="7331" ht="12.75" x14ac:dyDescent="0.2"/>
    <row r="7332" ht="12.75" x14ac:dyDescent="0.2"/>
    <row r="7333" ht="12.75" x14ac:dyDescent="0.2"/>
    <row r="7334" ht="12.75" x14ac:dyDescent="0.2"/>
    <row r="7335" ht="12.75" x14ac:dyDescent="0.2"/>
    <row r="7336" ht="12.75" x14ac:dyDescent="0.2"/>
    <row r="7337" ht="12.75" x14ac:dyDescent="0.2"/>
    <row r="7338" ht="12.75" x14ac:dyDescent="0.2"/>
    <row r="7339" ht="12.75" x14ac:dyDescent="0.2"/>
    <row r="7340" ht="12.75" x14ac:dyDescent="0.2"/>
    <row r="7341" ht="12.75" x14ac:dyDescent="0.2"/>
    <row r="7342" ht="12.75" x14ac:dyDescent="0.2"/>
    <row r="7343" ht="12.75" x14ac:dyDescent="0.2"/>
    <row r="7344" ht="12.75" x14ac:dyDescent="0.2"/>
    <row r="7345" ht="12.75" x14ac:dyDescent="0.2"/>
    <row r="7346" ht="12.75" x14ac:dyDescent="0.2"/>
    <row r="7347" ht="12.75" x14ac:dyDescent="0.2"/>
    <row r="7348" ht="12.75" x14ac:dyDescent="0.2"/>
    <row r="7349" ht="12.75" x14ac:dyDescent="0.2"/>
    <row r="7350" ht="12.75" x14ac:dyDescent="0.2"/>
    <row r="7351" ht="12.75" x14ac:dyDescent="0.2"/>
    <row r="7352" ht="12.75" x14ac:dyDescent="0.2"/>
    <row r="7353" ht="12.75" x14ac:dyDescent="0.2"/>
    <row r="7354" ht="12.75" x14ac:dyDescent="0.2"/>
    <row r="7355" ht="12.75" x14ac:dyDescent="0.2"/>
    <row r="7356" ht="12.75" x14ac:dyDescent="0.2"/>
    <row r="7357" ht="12.75" x14ac:dyDescent="0.2"/>
    <row r="7358" ht="12.75" x14ac:dyDescent="0.2"/>
    <row r="7359" ht="12.75" x14ac:dyDescent="0.2"/>
    <row r="7360" ht="12.75" x14ac:dyDescent="0.2"/>
    <row r="7361" ht="12.75" x14ac:dyDescent="0.2"/>
    <row r="7362" ht="12.75" x14ac:dyDescent="0.2"/>
    <row r="7363" ht="12.75" x14ac:dyDescent="0.2"/>
    <row r="7364" ht="12.75" x14ac:dyDescent="0.2"/>
    <row r="7365" ht="12.75" x14ac:dyDescent="0.2"/>
    <row r="7366" ht="12.75" x14ac:dyDescent="0.2"/>
    <row r="7367" ht="12.75" x14ac:dyDescent="0.2"/>
    <row r="7368" ht="12.75" x14ac:dyDescent="0.2"/>
    <row r="7369" ht="12.75" x14ac:dyDescent="0.2"/>
    <row r="7370" ht="12.75" x14ac:dyDescent="0.2"/>
    <row r="7371" ht="12.75" x14ac:dyDescent="0.2"/>
    <row r="7372" ht="12.75" x14ac:dyDescent="0.2"/>
    <row r="7373" ht="12.75" x14ac:dyDescent="0.2"/>
    <row r="7374" ht="12.75" x14ac:dyDescent="0.2"/>
    <row r="7375" ht="12.75" x14ac:dyDescent="0.2"/>
    <row r="7376" ht="12.75" x14ac:dyDescent="0.2"/>
    <row r="7377" ht="12.75" x14ac:dyDescent="0.2"/>
    <row r="7378" ht="12.75" x14ac:dyDescent="0.2"/>
    <row r="7379" ht="12.75" x14ac:dyDescent="0.2"/>
    <row r="7380" ht="12.75" x14ac:dyDescent="0.2"/>
    <row r="7381" ht="12.75" x14ac:dyDescent="0.2"/>
    <row r="7382" ht="12.75" x14ac:dyDescent="0.2"/>
    <row r="7383" ht="12.75" x14ac:dyDescent="0.2"/>
    <row r="7384" ht="12.75" x14ac:dyDescent="0.2"/>
    <row r="7385" ht="12.75" x14ac:dyDescent="0.2"/>
    <row r="7386" ht="12.75" x14ac:dyDescent="0.2"/>
    <row r="7387" ht="12.75" x14ac:dyDescent="0.2"/>
    <row r="7388" ht="12.75" x14ac:dyDescent="0.2"/>
    <row r="7389" ht="12.75" x14ac:dyDescent="0.2"/>
    <row r="7390" ht="12.75" x14ac:dyDescent="0.2"/>
    <row r="7391" ht="12.75" x14ac:dyDescent="0.2"/>
    <row r="7392" ht="12.75" x14ac:dyDescent="0.2"/>
    <row r="7393" ht="12.75" x14ac:dyDescent="0.2"/>
    <row r="7394" ht="12.75" x14ac:dyDescent="0.2"/>
    <row r="7395" ht="12.75" x14ac:dyDescent="0.2"/>
    <row r="7396" ht="12.75" x14ac:dyDescent="0.2"/>
    <row r="7397" ht="12.75" x14ac:dyDescent="0.2"/>
    <row r="7398" ht="12.75" x14ac:dyDescent="0.2"/>
    <row r="7399" ht="12.75" x14ac:dyDescent="0.2"/>
    <row r="7400" ht="12.75" x14ac:dyDescent="0.2"/>
    <row r="7401" ht="12.75" x14ac:dyDescent="0.2"/>
    <row r="7402" ht="12.75" x14ac:dyDescent="0.2"/>
    <row r="7403" ht="12.75" x14ac:dyDescent="0.2"/>
    <row r="7404" ht="12.75" x14ac:dyDescent="0.2"/>
    <row r="7405" ht="12.75" x14ac:dyDescent="0.2"/>
    <row r="7406" ht="12.75" x14ac:dyDescent="0.2"/>
    <row r="7407" ht="12.75" x14ac:dyDescent="0.2"/>
    <row r="7408" ht="12.75" x14ac:dyDescent="0.2"/>
    <row r="7409" ht="12.75" x14ac:dyDescent="0.2"/>
    <row r="7410" ht="12.75" x14ac:dyDescent="0.2"/>
    <row r="7411" ht="12.75" x14ac:dyDescent="0.2"/>
    <row r="7412" ht="12.75" x14ac:dyDescent="0.2"/>
    <row r="7413" ht="12.75" x14ac:dyDescent="0.2"/>
    <row r="7414" ht="12.75" x14ac:dyDescent="0.2"/>
    <row r="7415" ht="12.75" x14ac:dyDescent="0.2"/>
    <row r="7416" ht="12.75" x14ac:dyDescent="0.2"/>
    <row r="7417" ht="12.75" x14ac:dyDescent="0.2"/>
    <row r="7418" ht="12.75" x14ac:dyDescent="0.2"/>
    <row r="7419" ht="12.75" x14ac:dyDescent="0.2"/>
    <row r="7420" ht="12.75" x14ac:dyDescent="0.2"/>
    <row r="7421" ht="12.75" x14ac:dyDescent="0.2"/>
    <row r="7422" ht="12.75" x14ac:dyDescent="0.2"/>
    <row r="7423" ht="12.75" x14ac:dyDescent="0.2"/>
    <row r="7424" ht="12.75" x14ac:dyDescent="0.2"/>
    <row r="7425" ht="12.75" x14ac:dyDescent="0.2"/>
    <row r="7426" ht="12.75" x14ac:dyDescent="0.2"/>
    <row r="7427" ht="12.75" x14ac:dyDescent="0.2"/>
    <row r="7428" ht="12.75" x14ac:dyDescent="0.2"/>
    <row r="7429" ht="12.75" x14ac:dyDescent="0.2"/>
    <row r="7430" ht="12.75" x14ac:dyDescent="0.2"/>
    <row r="7431" ht="12.75" x14ac:dyDescent="0.2"/>
    <row r="7432" ht="12.75" x14ac:dyDescent="0.2"/>
    <row r="7433" ht="12.75" x14ac:dyDescent="0.2"/>
    <row r="7434" ht="12.75" x14ac:dyDescent="0.2"/>
    <row r="7435" ht="12.75" x14ac:dyDescent="0.2"/>
    <row r="7436" ht="12.75" x14ac:dyDescent="0.2"/>
    <row r="7437" ht="12.75" x14ac:dyDescent="0.2"/>
    <row r="7438" ht="12.75" x14ac:dyDescent="0.2"/>
    <row r="7439" ht="12.75" x14ac:dyDescent="0.2"/>
    <row r="7440" ht="12.75" x14ac:dyDescent="0.2"/>
    <row r="7441" ht="12.75" x14ac:dyDescent="0.2"/>
    <row r="7442" ht="12.75" x14ac:dyDescent="0.2"/>
    <row r="7443" ht="12.75" x14ac:dyDescent="0.2"/>
    <row r="7444" ht="12.75" x14ac:dyDescent="0.2"/>
    <row r="7445" ht="12.75" x14ac:dyDescent="0.2"/>
    <row r="7446" ht="12.75" x14ac:dyDescent="0.2"/>
    <row r="7447" ht="12.75" x14ac:dyDescent="0.2"/>
    <row r="7448" ht="12.75" x14ac:dyDescent="0.2"/>
    <row r="7449" ht="12.75" x14ac:dyDescent="0.2"/>
    <row r="7450" ht="12.75" x14ac:dyDescent="0.2"/>
    <row r="7451" ht="12.75" x14ac:dyDescent="0.2"/>
    <row r="7452" ht="12.75" x14ac:dyDescent="0.2"/>
    <row r="7453" ht="12.75" x14ac:dyDescent="0.2"/>
    <row r="7454" ht="12.75" x14ac:dyDescent="0.2"/>
    <row r="7455" ht="12.75" x14ac:dyDescent="0.2"/>
    <row r="7456" ht="12.75" x14ac:dyDescent="0.2"/>
    <row r="7457" ht="12.75" x14ac:dyDescent="0.2"/>
    <row r="7458" ht="12.75" x14ac:dyDescent="0.2"/>
    <row r="7459" ht="12.75" x14ac:dyDescent="0.2"/>
    <row r="7460" ht="12.75" x14ac:dyDescent="0.2"/>
    <row r="7461" ht="12.75" x14ac:dyDescent="0.2"/>
    <row r="7462" ht="12.75" x14ac:dyDescent="0.2"/>
    <row r="7463" ht="12.75" x14ac:dyDescent="0.2"/>
    <row r="7464" ht="12.75" x14ac:dyDescent="0.2"/>
    <row r="7465" ht="12.75" x14ac:dyDescent="0.2"/>
    <row r="7466" ht="12.75" x14ac:dyDescent="0.2"/>
    <row r="7467" ht="12.75" x14ac:dyDescent="0.2"/>
    <row r="7468" ht="12.75" x14ac:dyDescent="0.2"/>
    <row r="7469" ht="12.75" x14ac:dyDescent="0.2"/>
    <row r="7470" ht="12.75" x14ac:dyDescent="0.2"/>
    <row r="7471" ht="12.75" x14ac:dyDescent="0.2"/>
    <row r="7472" ht="12.75" x14ac:dyDescent="0.2"/>
    <row r="7473" ht="12.75" x14ac:dyDescent="0.2"/>
    <row r="7474" ht="12.75" x14ac:dyDescent="0.2"/>
    <row r="7475" ht="12.75" x14ac:dyDescent="0.2"/>
    <row r="7476" ht="12.75" x14ac:dyDescent="0.2"/>
    <row r="7477" ht="12.75" x14ac:dyDescent="0.2"/>
    <row r="7478" ht="12.75" x14ac:dyDescent="0.2"/>
    <row r="7479" ht="12.75" x14ac:dyDescent="0.2"/>
    <row r="7480" ht="12.75" x14ac:dyDescent="0.2"/>
    <row r="7481" ht="12.75" x14ac:dyDescent="0.2"/>
    <row r="7482" ht="12.75" x14ac:dyDescent="0.2"/>
    <row r="7483" ht="12.75" x14ac:dyDescent="0.2"/>
    <row r="7484" ht="12.75" x14ac:dyDescent="0.2"/>
    <row r="7485" ht="12.75" x14ac:dyDescent="0.2"/>
    <row r="7486" ht="12.75" x14ac:dyDescent="0.2"/>
    <row r="7487" ht="12.75" x14ac:dyDescent="0.2"/>
    <row r="7488" ht="12.75" x14ac:dyDescent="0.2"/>
    <row r="7489" ht="12.75" x14ac:dyDescent="0.2"/>
    <row r="7490" ht="12.75" x14ac:dyDescent="0.2"/>
    <row r="7491" ht="12.75" x14ac:dyDescent="0.2"/>
    <row r="7492" ht="12.75" x14ac:dyDescent="0.2"/>
    <row r="7493" ht="12.75" x14ac:dyDescent="0.2"/>
    <row r="7494" ht="12.75" x14ac:dyDescent="0.2"/>
    <row r="7495" ht="12.75" x14ac:dyDescent="0.2"/>
    <row r="7496" ht="12.75" x14ac:dyDescent="0.2"/>
    <row r="7497" ht="12.75" x14ac:dyDescent="0.2"/>
    <row r="7498" ht="12.75" x14ac:dyDescent="0.2"/>
    <row r="7499" ht="12.75" x14ac:dyDescent="0.2"/>
    <row r="7500" ht="12.75" x14ac:dyDescent="0.2"/>
    <row r="7501" ht="12.75" x14ac:dyDescent="0.2"/>
    <row r="7502" ht="12.75" x14ac:dyDescent="0.2"/>
    <row r="7503" ht="12.75" x14ac:dyDescent="0.2"/>
    <row r="7504" ht="12.75" x14ac:dyDescent="0.2"/>
    <row r="7505" ht="12.75" x14ac:dyDescent="0.2"/>
    <row r="7506" ht="12.75" x14ac:dyDescent="0.2"/>
    <row r="7507" ht="12.75" x14ac:dyDescent="0.2"/>
    <row r="7508" ht="12.75" x14ac:dyDescent="0.2"/>
    <row r="7509" ht="12.75" x14ac:dyDescent="0.2"/>
    <row r="7510" ht="12.75" x14ac:dyDescent="0.2"/>
    <row r="7511" ht="12.75" x14ac:dyDescent="0.2"/>
    <row r="7512" ht="12.75" x14ac:dyDescent="0.2"/>
    <row r="7513" ht="12.75" x14ac:dyDescent="0.2"/>
    <row r="7514" ht="12.75" x14ac:dyDescent="0.2"/>
    <row r="7515" ht="12.75" x14ac:dyDescent="0.2"/>
    <row r="7516" ht="12.75" x14ac:dyDescent="0.2"/>
    <row r="7517" ht="12.75" x14ac:dyDescent="0.2"/>
    <row r="7518" ht="12.75" x14ac:dyDescent="0.2"/>
    <row r="7519" ht="12.75" x14ac:dyDescent="0.2"/>
    <row r="7520" ht="12.75" x14ac:dyDescent="0.2"/>
    <row r="7521" ht="12.75" x14ac:dyDescent="0.2"/>
    <row r="7522" ht="12.75" x14ac:dyDescent="0.2"/>
    <row r="7523" ht="12.75" x14ac:dyDescent="0.2"/>
    <row r="7524" ht="12.75" x14ac:dyDescent="0.2"/>
    <row r="7525" ht="12.75" x14ac:dyDescent="0.2"/>
    <row r="7526" ht="12.75" x14ac:dyDescent="0.2"/>
    <row r="7527" ht="12.75" x14ac:dyDescent="0.2"/>
    <row r="7528" ht="12.75" x14ac:dyDescent="0.2"/>
    <row r="7529" ht="12.75" x14ac:dyDescent="0.2"/>
    <row r="7530" ht="12.75" x14ac:dyDescent="0.2"/>
    <row r="7531" ht="12.75" x14ac:dyDescent="0.2"/>
    <row r="7532" ht="12.75" x14ac:dyDescent="0.2"/>
    <row r="7533" ht="12.75" x14ac:dyDescent="0.2"/>
    <row r="7534" ht="12.75" x14ac:dyDescent="0.2"/>
    <row r="7535" ht="12.75" x14ac:dyDescent="0.2"/>
    <row r="7536" ht="12.75" x14ac:dyDescent="0.2"/>
    <row r="7537" ht="12.75" x14ac:dyDescent="0.2"/>
    <row r="7538" ht="12.75" x14ac:dyDescent="0.2"/>
    <row r="7539" ht="12.75" x14ac:dyDescent="0.2"/>
    <row r="7540" ht="12.75" x14ac:dyDescent="0.2"/>
    <row r="7541" ht="12.75" x14ac:dyDescent="0.2"/>
    <row r="7542" ht="12.75" x14ac:dyDescent="0.2"/>
    <row r="7543" ht="12.75" x14ac:dyDescent="0.2"/>
    <row r="7544" ht="12.75" x14ac:dyDescent="0.2"/>
    <row r="7545" ht="12.75" x14ac:dyDescent="0.2"/>
    <row r="7546" ht="12.75" x14ac:dyDescent="0.2"/>
    <row r="7547" ht="12.75" x14ac:dyDescent="0.2"/>
    <row r="7548" ht="12.75" x14ac:dyDescent="0.2"/>
    <row r="7549" ht="12.75" x14ac:dyDescent="0.2"/>
    <row r="7550" ht="12.75" x14ac:dyDescent="0.2"/>
    <row r="7551" ht="12.75" x14ac:dyDescent="0.2"/>
    <row r="7552" ht="12.75" x14ac:dyDescent="0.2"/>
    <row r="7553" ht="12.75" x14ac:dyDescent="0.2"/>
    <row r="7554" ht="12.75" x14ac:dyDescent="0.2"/>
    <row r="7555" ht="12.75" x14ac:dyDescent="0.2"/>
    <row r="7556" ht="12.75" x14ac:dyDescent="0.2"/>
    <row r="7557" ht="12.75" x14ac:dyDescent="0.2"/>
    <row r="7558" ht="12.75" x14ac:dyDescent="0.2"/>
    <row r="7559" ht="12.75" x14ac:dyDescent="0.2"/>
    <row r="7560" ht="12.75" x14ac:dyDescent="0.2"/>
    <row r="7561" ht="12.75" x14ac:dyDescent="0.2"/>
    <row r="7562" ht="12.75" x14ac:dyDescent="0.2"/>
    <row r="7563" ht="12.75" x14ac:dyDescent="0.2"/>
    <row r="7564" ht="12.75" x14ac:dyDescent="0.2"/>
    <row r="7565" ht="12.75" x14ac:dyDescent="0.2"/>
    <row r="7566" ht="12.75" x14ac:dyDescent="0.2"/>
    <row r="7567" ht="12.75" x14ac:dyDescent="0.2"/>
    <row r="7568" ht="12.75" x14ac:dyDescent="0.2"/>
    <row r="7569" ht="12.75" x14ac:dyDescent="0.2"/>
    <row r="7570" ht="12.75" x14ac:dyDescent="0.2"/>
    <row r="7571" ht="12.75" x14ac:dyDescent="0.2"/>
    <row r="7572" ht="12.75" x14ac:dyDescent="0.2"/>
    <row r="7573" ht="12.75" x14ac:dyDescent="0.2"/>
    <row r="7574" ht="12.75" x14ac:dyDescent="0.2"/>
    <row r="7575" ht="12.75" x14ac:dyDescent="0.2"/>
    <row r="7576" ht="12.75" x14ac:dyDescent="0.2"/>
    <row r="7577" ht="12.75" x14ac:dyDescent="0.2"/>
    <row r="7578" ht="12.75" x14ac:dyDescent="0.2"/>
    <row r="7579" ht="12.75" x14ac:dyDescent="0.2"/>
    <row r="7580" ht="12.75" x14ac:dyDescent="0.2"/>
    <row r="7581" ht="12.75" x14ac:dyDescent="0.2"/>
    <row r="7582" ht="12.75" x14ac:dyDescent="0.2"/>
    <row r="7583" ht="12.75" x14ac:dyDescent="0.2"/>
    <row r="7584" ht="12.75" x14ac:dyDescent="0.2"/>
    <row r="7585" ht="12.75" x14ac:dyDescent="0.2"/>
    <row r="7586" ht="12.75" x14ac:dyDescent="0.2"/>
    <row r="7587" ht="12.75" x14ac:dyDescent="0.2"/>
    <row r="7588" ht="12.75" x14ac:dyDescent="0.2"/>
    <row r="7589" ht="12.75" x14ac:dyDescent="0.2"/>
    <row r="7590" ht="12.75" x14ac:dyDescent="0.2"/>
    <row r="7591" ht="12.75" x14ac:dyDescent="0.2"/>
    <row r="7592" ht="12.75" x14ac:dyDescent="0.2"/>
    <row r="7593" ht="12.75" x14ac:dyDescent="0.2"/>
    <row r="7594" ht="12.75" x14ac:dyDescent="0.2"/>
    <row r="7595" ht="12.75" x14ac:dyDescent="0.2"/>
    <row r="7596" ht="12.75" x14ac:dyDescent="0.2"/>
    <row r="7597" ht="12.75" x14ac:dyDescent="0.2"/>
    <row r="7598" ht="12.75" x14ac:dyDescent="0.2"/>
    <row r="7599" ht="12.75" x14ac:dyDescent="0.2"/>
    <row r="7600" ht="12.75" x14ac:dyDescent="0.2"/>
    <row r="7601" ht="12.75" x14ac:dyDescent="0.2"/>
    <row r="7602" ht="12.75" x14ac:dyDescent="0.2"/>
    <row r="7603" ht="12.75" x14ac:dyDescent="0.2"/>
    <row r="7604" ht="12.75" x14ac:dyDescent="0.2"/>
    <row r="7605" ht="12.75" x14ac:dyDescent="0.2"/>
    <row r="7606" ht="12.75" x14ac:dyDescent="0.2"/>
    <row r="7607" ht="12.75" x14ac:dyDescent="0.2"/>
    <row r="7608" ht="12.75" x14ac:dyDescent="0.2"/>
    <row r="7609" ht="12.75" x14ac:dyDescent="0.2"/>
    <row r="7610" ht="12.75" x14ac:dyDescent="0.2"/>
    <row r="7611" ht="12.75" x14ac:dyDescent="0.2"/>
    <row r="7612" ht="12.75" x14ac:dyDescent="0.2"/>
    <row r="7613" ht="12.75" x14ac:dyDescent="0.2"/>
    <row r="7614" ht="12.75" x14ac:dyDescent="0.2"/>
    <row r="7615" ht="12.75" x14ac:dyDescent="0.2"/>
    <row r="7616" ht="12.75" x14ac:dyDescent="0.2"/>
    <row r="7617" ht="12.75" x14ac:dyDescent="0.2"/>
    <row r="7618" ht="12.75" x14ac:dyDescent="0.2"/>
    <row r="7619" ht="12.75" x14ac:dyDescent="0.2"/>
    <row r="7620" ht="12.75" x14ac:dyDescent="0.2"/>
    <row r="7621" ht="12.75" x14ac:dyDescent="0.2"/>
    <row r="7622" ht="12.75" x14ac:dyDescent="0.2"/>
    <row r="7623" ht="12.75" x14ac:dyDescent="0.2"/>
    <row r="7624" ht="12.75" x14ac:dyDescent="0.2"/>
    <row r="7625" ht="12.75" x14ac:dyDescent="0.2"/>
    <row r="7626" ht="12.75" x14ac:dyDescent="0.2"/>
    <row r="7627" ht="12.75" x14ac:dyDescent="0.2"/>
    <row r="7628" ht="12.75" x14ac:dyDescent="0.2"/>
    <row r="7629" ht="12.75" x14ac:dyDescent="0.2"/>
    <row r="7630" ht="12.75" x14ac:dyDescent="0.2"/>
    <row r="7631" ht="12.75" x14ac:dyDescent="0.2"/>
    <row r="7632" ht="12.75" x14ac:dyDescent="0.2"/>
    <row r="7633" ht="12.75" x14ac:dyDescent="0.2"/>
    <row r="7634" ht="12.75" x14ac:dyDescent="0.2"/>
    <row r="7635" ht="12.75" x14ac:dyDescent="0.2"/>
    <row r="7636" ht="12.75" x14ac:dyDescent="0.2"/>
    <row r="7637" ht="12.75" x14ac:dyDescent="0.2"/>
    <row r="7638" ht="12.75" x14ac:dyDescent="0.2"/>
    <row r="7639" ht="12.75" x14ac:dyDescent="0.2"/>
    <row r="7640" ht="12.75" x14ac:dyDescent="0.2"/>
    <row r="7641" ht="12.75" x14ac:dyDescent="0.2"/>
    <row r="7642" ht="12.75" x14ac:dyDescent="0.2"/>
    <row r="7643" ht="12.75" x14ac:dyDescent="0.2"/>
    <row r="7644" ht="12.75" x14ac:dyDescent="0.2"/>
    <row r="7645" ht="12.75" x14ac:dyDescent="0.2"/>
    <row r="7646" ht="12.75" x14ac:dyDescent="0.2"/>
    <row r="7647" ht="12.75" x14ac:dyDescent="0.2"/>
    <row r="7648" ht="12.75" x14ac:dyDescent="0.2"/>
    <row r="7649" ht="12.75" x14ac:dyDescent="0.2"/>
    <row r="7650" ht="12.75" x14ac:dyDescent="0.2"/>
    <row r="7651" ht="12.75" x14ac:dyDescent="0.2"/>
    <row r="7652" ht="12.75" x14ac:dyDescent="0.2"/>
    <row r="7653" ht="12.75" x14ac:dyDescent="0.2"/>
    <row r="7654" ht="12.75" x14ac:dyDescent="0.2"/>
    <row r="7655" ht="12.75" x14ac:dyDescent="0.2"/>
    <row r="7656" ht="12.75" x14ac:dyDescent="0.2"/>
    <row r="7657" ht="12.75" x14ac:dyDescent="0.2"/>
    <row r="7658" ht="12.75" x14ac:dyDescent="0.2"/>
    <row r="7659" ht="12.75" x14ac:dyDescent="0.2"/>
    <row r="7660" ht="12.75" x14ac:dyDescent="0.2"/>
    <row r="7661" ht="12.75" x14ac:dyDescent="0.2"/>
    <row r="7662" ht="12.75" x14ac:dyDescent="0.2"/>
    <row r="7663" ht="12.75" x14ac:dyDescent="0.2"/>
    <row r="7664" ht="12.75" x14ac:dyDescent="0.2"/>
    <row r="7665" ht="12.75" x14ac:dyDescent="0.2"/>
    <row r="7666" ht="12.75" x14ac:dyDescent="0.2"/>
    <row r="7667" ht="12.75" x14ac:dyDescent="0.2"/>
    <row r="7668" ht="12.75" x14ac:dyDescent="0.2"/>
    <row r="7669" ht="12.75" x14ac:dyDescent="0.2"/>
    <row r="7670" ht="12.75" x14ac:dyDescent="0.2"/>
    <row r="7671" ht="12.75" x14ac:dyDescent="0.2"/>
    <row r="7672" ht="12.75" x14ac:dyDescent="0.2"/>
    <row r="7673" ht="12.75" x14ac:dyDescent="0.2"/>
    <row r="7674" ht="12.75" x14ac:dyDescent="0.2"/>
    <row r="7675" ht="12.75" x14ac:dyDescent="0.2"/>
    <row r="7676" ht="12.75" x14ac:dyDescent="0.2"/>
    <row r="7677" ht="12.75" x14ac:dyDescent="0.2"/>
    <row r="7678" ht="12.75" x14ac:dyDescent="0.2"/>
    <row r="7679" ht="12.75" x14ac:dyDescent="0.2"/>
    <row r="7680" ht="12.75" x14ac:dyDescent="0.2"/>
    <row r="7681" ht="12.75" x14ac:dyDescent="0.2"/>
    <row r="7682" ht="12.75" x14ac:dyDescent="0.2"/>
    <row r="7683" ht="12.75" x14ac:dyDescent="0.2"/>
    <row r="7684" ht="12.75" x14ac:dyDescent="0.2"/>
    <row r="7685" ht="12.75" x14ac:dyDescent="0.2"/>
    <row r="7686" ht="12.75" x14ac:dyDescent="0.2"/>
    <row r="7687" ht="12.75" x14ac:dyDescent="0.2"/>
    <row r="7688" ht="12.75" x14ac:dyDescent="0.2"/>
    <row r="7689" ht="12.75" x14ac:dyDescent="0.2"/>
    <row r="7690" ht="12.75" x14ac:dyDescent="0.2"/>
    <row r="7691" ht="12.75" x14ac:dyDescent="0.2"/>
    <row r="7692" ht="12.75" x14ac:dyDescent="0.2"/>
    <row r="7693" ht="12.75" x14ac:dyDescent="0.2"/>
    <row r="7694" ht="12.75" x14ac:dyDescent="0.2"/>
    <row r="7695" ht="12.75" x14ac:dyDescent="0.2"/>
    <row r="7696" ht="12.75" x14ac:dyDescent="0.2"/>
    <row r="7697" ht="12.75" x14ac:dyDescent="0.2"/>
    <row r="7698" ht="12.75" x14ac:dyDescent="0.2"/>
    <row r="7699" ht="12.75" x14ac:dyDescent="0.2"/>
    <row r="7700" ht="12.75" x14ac:dyDescent="0.2"/>
    <row r="7701" ht="12.75" x14ac:dyDescent="0.2"/>
    <row r="7702" ht="12.75" x14ac:dyDescent="0.2"/>
    <row r="7703" ht="12.75" x14ac:dyDescent="0.2"/>
    <row r="7704" ht="12.75" x14ac:dyDescent="0.2"/>
    <row r="7705" ht="12.75" x14ac:dyDescent="0.2"/>
    <row r="7706" ht="12.75" x14ac:dyDescent="0.2"/>
    <row r="7707" ht="12.75" x14ac:dyDescent="0.2"/>
    <row r="7708" ht="12.75" x14ac:dyDescent="0.2"/>
    <row r="7709" ht="12.75" x14ac:dyDescent="0.2"/>
    <row r="7710" ht="12.75" x14ac:dyDescent="0.2"/>
    <row r="7711" ht="12.75" x14ac:dyDescent="0.2"/>
    <row r="7712" ht="12.75" x14ac:dyDescent="0.2"/>
    <row r="7713" ht="12.75" x14ac:dyDescent="0.2"/>
    <row r="7714" ht="12.75" x14ac:dyDescent="0.2"/>
    <row r="7715" ht="12.75" x14ac:dyDescent="0.2"/>
    <row r="7716" ht="12.75" x14ac:dyDescent="0.2"/>
    <row r="7717" ht="12.75" x14ac:dyDescent="0.2"/>
    <row r="7718" ht="12.75" x14ac:dyDescent="0.2"/>
    <row r="7719" ht="12.75" x14ac:dyDescent="0.2"/>
    <row r="7720" ht="12.75" x14ac:dyDescent="0.2"/>
    <row r="7721" ht="12.75" x14ac:dyDescent="0.2"/>
    <row r="7722" ht="12.75" x14ac:dyDescent="0.2"/>
    <row r="7723" ht="12.75" x14ac:dyDescent="0.2"/>
    <row r="7724" ht="12.75" x14ac:dyDescent="0.2"/>
    <row r="7725" ht="12.75" x14ac:dyDescent="0.2"/>
    <row r="7726" ht="12.75" x14ac:dyDescent="0.2"/>
    <row r="7727" ht="12.75" x14ac:dyDescent="0.2"/>
    <row r="7728" ht="12.75" x14ac:dyDescent="0.2"/>
    <row r="7729" ht="12.75" x14ac:dyDescent="0.2"/>
    <row r="7730" ht="12.75" x14ac:dyDescent="0.2"/>
    <row r="7731" ht="12.75" x14ac:dyDescent="0.2"/>
    <row r="7732" ht="12.75" x14ac:dyDescent="0.2"/>
    <row r="7733" ht="12.75" x14ac:dyDescent="0.2"/>
    <row r="7734" ht="12.75" x14ac:dyDescent="0.2"/>
    <row r="7735" ht="12.75" x14ac:dyDescent="0.2"/>
    <row r="7736" ht="12.75" x14ac:dyDescent="0.2"/>
    <row r="7737" ht="12.75" x14ac:dyDescent="0.2"/>
    <row r="7738" ht="12.75" x14ac:dyDescent="0.2"/>
    <row r="7739" ht="12.75" x14ac:dyDescent="0.2"/>
    <row r="7740" ht="12.75" x14ac:dyDescent="0.2"/>
    <row r="7741" ht="12.75" x14ac:dyDescent="0.2"/>
    <row r="7742" ht="12.75" x14ac:dyDescent="0.2"/>
    <row r="7743" ht="12.75" x14ac:dyDescent="0.2"/>
    <row r="7744" ht="12.75" x14ac:dyDescent="0.2"/>
    <row r="7745" ht="12.75" x14ac:dyDescent="0.2"/>
    <row r="7746" ht="12.75" x14ac:dyDescent="0.2"/>
    <row r="7747" ht="12.75" x14ac:dyDescent="0.2"/>
    <row r="7748" ht="12.75" x14ac:dyDescent="0.2"/>
    <row r="7749" ht="12.75" x14ac:dyDescent="0.2"/>
    <row r="7750" ht="12.75" x14ac:dyDescent="0.2"/>
    <row r="7751" ht="12.75" x14ac:dyDescent="0.2"/>
    <row r="7752" ht="12.75" x14ac:dyDescent="0.2"/>
    <row r="7753" ht="12.75" x14ac:dyDescent="0.2"/>
    <row r="7754" ht="12.75" x14ac:dyDescent="0.2"/>
    <row r="7755" ht="12.75" x14ac:dyDescent="0.2"/>
    <row r="7756" ht="12.75" x14ac:dyDescent="0.2"/>
    <row r="7757" ht="12.75" x14ac:dyDescent="0.2"/>
    <row r="7758" ht="12.75" x14ac:dyDescent="0.2"/>
    <row r="7759" ht="12.75" x14ac:dyDescent="0.2"/>
    <row r="7760" ht="12.75" x14ac:dyDescent="0.2"/>
    <row r="7761" ht="12.75" x14ac:dyDescent="0.2"/>
    <row r="7762" ht="12.75" x14ac:dyDescent="0.2"/>
    <row r="7763" ht="12.75" x14ac:dyDescent="0.2"/>
    <row r="7764" ht="12.75" x14ac:dyDescent="0.2"/>
    <row r="7765" ht="12.75" x14ac:dyDescent="0.2"/>
    <row r="7766" ht="12.75" x14ac:dyDescent="0.2"/>
    <row r="7767" ht="12.75" x14ac:dyDescent="0.2"/>
    <row r="7768" ht="12.75" x14ac:dyDescent="0.2"/>
    <row r="7769" ht="12.75" x14ac:dyDescent="0.2"/>
    <row r="7770" ht="12.75" x14ac:dyDescent="0.2"/>
    <row r="7771" ht="12.75" x14ac:dyDescent="0.2"/>
    <row r="7772" ht="12.75" x14ac:dyDescent="0.2"/>
    <row r="7773" ht="12.75" x14ac:dyDescent="0.2"/>
    <row r="7774" ht="12.75" x14ac:dyDescent="0.2"/>
    <row r="7775" ht="12.75" x14ac:dyDescent="0.2"/>
    <row r="7776" ht="12.75" x14ac:dyDescent="0.2"/>
    <row r="7777" ht="12.75" x14ac:dyDescent="0.2"/>
    <row r="7778" ht="12.75" x14ac:dyDescent="0.2"/>
    <row r="7779" ht="12.75" x14ac:dyDescent="0.2"/>
    <row r="7780" ht="12.75" x14ac:dyDescent="0.2"/>
    <row r="7781" ht="12.75" x14ac:dyDescent="0.2"/>
    <row r="7782" ht="12.75" x14ac:dyDescent="0.2"/>
    <row r="7783" ht="12.75" x14ac:dyDescent="0.2"/>
    <row r="7784" ht="12.75" x14ac:dyDescent="0.2"/>
    <row r="7785" ht="12.75" x14ac:dyDescent="0.2"/>
    <row r="7786" ht="12.75" x14ac:dyDescent="0.2"/>
    <row r="7787" ht="12.75" x14ac:dyDescent="0.2"/>
    <row r="7788" ht="12.75" x14ac:dyDescent="0.2"/>
    <row r="7789" ht="12.75" x14ac:dyDescent="0.2"/>
    <row r="7790" ht="12.75" x14ac:dyDescent="0.2"/>
    <row r="7791" ht="12.75" x14ac:dyDescent="0.2"/>
    <row r="7792" ht="12.75" x14ac:dyDescent="0.2"/>
    <row r="7793" ht="12.75" x14ac:dyDescent="0.2"/>
    <row r="7794" ht="12.75" x14ac:dyDescent="0.2"/>
    <row r="7795" ht="12.75" x14ac:dyDescent="0.2"/>
    <row r="7796" ht="12.75" x14ac:dyDescent="0.2"/>
    <row r="7797" ht="12.75" x14ac:dyDescent="0.2"/>
    <row r="7798" ht="12.75" x14ac:dyDescent="0.2"/>
    <row r="7799" ht="12.75" x14ac:dyDescent="0.2"/>
    <row r="7800" ht="12.75" x14ac:dyDescent="0.2"/>
    <row r="7801" ht="12.75" x14ac:dyDescent="0.2"/>
    <row r="7802" ht="12.75" x14ac:dyDescent="0.2"/>
    <row r="7803" ht="12.75" x14ac:dyDescent="0.2"/>
    <row r="7804" ht="12.75" x14ac:dyDescent="0.2"/>
    <row r="7805" ht="12.75" x14ac:dyDescent="0.2"/>
    <row r="7806" ht="12.75" x14ac:dyDescent="0.2"/>
    <row r="7807" ht="12.75" x14ac:dyDescent="0.2"/>
    <row r="7808" ht="12.75" x14ac:dyDescent="0.2"/>
    <row r="7809" ht="12.75" x14ac:dyDescent="0.2"/>
    <row r="7810" ht="12.75" x14ac:dyDescent="0.2"/>
    <row r="7811" ht="12.75" x14ac:dyDescent="0.2"/>
    <row r="7812" ht="12.75" x14ac:dyDescent="0.2"/>
    <row r="7813" ht="12.75" x14ac:dyDescent="0.2"/>
    <row r="7814" ht="12.75" x14ac:dyDescent="0.2"/>
    <row r="7815" ht="12.75" x14ac:dyDescent="0.2"/>
    <row r="7816" ht="12.75" x14ac:dyDescent="0.2"/>
    <row r="7817" ht="12.75" x14ac:dyDescent="0.2"/>
    <row r="7818" ht="12.75" x14ac:dyDescent="0.2"/>
    <row r="7819" ht="12.75" x14ac:dyDescent="0.2"/>
    <row r="7820" ht="12.75" x14ac:dyDescent="0.2"/>
    <row r="7821" ht="12.75" x14ac:dyDescent="0.2"/>
    <row r="7822" ht="12.75" x14ac:dyDescent="0.2"/>
    <row r="7823" ht="12.75" x14ac:dyDescent="0.2"/>
    <row r="7824" ht="12.75" x14ac:dyDescent="0.2"/>
    <row r="7825" ht="12.75" x14ac:dyDescent="0.2"/>
    <row r="7826" ht="12.75" x14ac:dyDescent="0.2"/>
    <row r="7827" ht="12.75" x14ac:dyDescent="0.2"/>
    <row r="7828" ht="12.75" x14ac:dyDescent="0.2"/>
    <row r="7829" ht="12.75" x14ac:dyDescent="0.2"/>
    <row r="7830" ht="12.75" x14ac:dyDescent="0.2"/>
    <row r="7831" ht="12.75" x14ac:dyDescent="0.2"/>
    <row r="7832" ht="12.75" x14ac:dyDescent="0.2"/>
    <row r="7833" ht="12.75" x14ac:dyDescent="0.2"/>
    <row r="7834" ht="12.75" x14ac:dyDescent="0.2"/>
    <row r="7835" ht="12.75" x14ac:dyDescent="0.2"/>
    <row r="7836" ht="12.75" x14ac:dyDescent="0.2"/>
    <row r="7837" ht="12.75" x14ac:dyDescent="0.2"/>
    <row r="7838" ht="12.75" x14ac:dyDescent="0.2"/>
    <row r="7839" ht="12.75" x14ac:dyDescent="0.2"/>
    <row r="7840" ht="12.75" x14ac:dyDescent="0.2"/>
    <row r="7841" ht="12.75" x14ac:dyDescent="0.2"/>
    <row r="7842" ht="12.75" x14ac:dyDescent="0.2"/>
    <row r="7843" ht="12.75" x14ac:dyDescent="0.2"/>
    <row r="7844" ht="12.75" x14ac:dyDescent="0.2"/>
    <row r="7845" ht="12.75" x14ac:dyDescent="0.2"/>
    <row r="7846" ht="12.75" x14ac:dyDescent="0.2"/>
    <row r="7847" ht="12.75" x14ac:dyDescent="0.2"/>
    <row r="7848" ht="12.75" x14ac:dyDescent="0.2"/>
    <row r="7849" ht="12.75" x14ac:dyDescent="0.2"/>
    <row r="7850" ht="12.75" x14ac:dyDescent="0.2"/>
    <row r="7851" ht="12.75" x14ac:dyDescent="0.2"/>
    <row r="7852" ht="12.75" x14ac:dyDescent="0.2"/>
    <row r="7853" ht="12.75" x14ac:dyDescent="0.2"/>
    <row r="7854" ht="12.75" x14ac:dyDescent="0.2"/>
    <row r="7855" ht="12.75" x14ac:dyDescent="0.2"/>
    <row r="7856" ht="12.75" x14ac:dyDescent="0.2"/>
    <row r="7857" ht="12.75" x14ac:dyDescent="0.2"/>
    <row r="7858" ht="12.75" x14ac:dyDescent="0.2"/>
    <row r="7859" ht="12.75" x14ac:dyDescent="0.2"/>
    <row r="7860" ht="12.75" x14ac:dyDescent="0.2"/>
    <row r="7861" ht="12.75" x14ac:dyDescent="0.2"/>
    <row r="7862" ht="12.75" x14ac:dyDescent="0.2"/>
    <row r="7863" ht="12.75" x14ac:dyDescent="0.2"/>
    <row r="7864" ht="12.75" x14ac:dyDescent="0.2"/>
    <row r="7865" ht="12.75" x14ac:dyDescent="0.2"/>
    <row r="7866" ht="12.75" x14ac:dyDescent="0.2"/>
    <row r="7867" ht="12.75" x14ac:dyDescent="0.2"/>
    <row r="7868" ht="12.75" x14ac:dyDescent="0.2"/>
    <row r="7869" ht="12.75" x14ac:dyDescent="0.2"/>
    <row r="7870" ht="12.75" x14ac:dyDescent="0.2"/>
    <row r="7871" ht="12.75" x14ac:dyDescent="0.2"/>
    <row r="7872" ht="12.75" x14ac:dyDescent="0.2"/>
    <row r="7873" ht="12.75" x14ac:dyDescent="0.2"/>
    <row r="7874" ht="12.75" x14ac:dyDescent="0.2"/>
    <row r="7875" ht="12.75" x14ac:dyDescent="0.2"/>
    <row r="7876" ht="12.75" x14ac:dyDescent="0.2"/>
    <row r="7877" ht="12.75" x14ac:dyDescent="0.2"/>
    <row r="7878" ht="12.75" x14ac:dyDescent="0.2"/>
    <row r="7879" ht="12.75" x14ac:dyDescent="0.2"/>
    <row r="7880" ht="12.75" x14ac:dyDescent="0.2"/>
    <row r="7881" ht="12.75" x14ac:dyDescent="0.2"/>
    <row r="7882" ht="12.75" x14ac:dyDescent="0.2"/>
    <row r="7883" ht="12.75" x14ac:dyDescent="0.2"/>
    <row r="7884" ht="12.75" x14ac:dyDescent="0.2"/>
    <row r="7885" ht="12.75" x14ac:dyDescent="0.2"/>
    <row r="7886" ht="12.75" x14ac:dyDescent="0.2"/>
    <row r="7887" ht="12.75" x14ac:dyDescent="0.2"/>
    <row r="7888" ht="12.75" x14ac:dyDescent="0.2"/>
    <row r="7889" ht="12.75" x14ac:dyDescent="0.2"/>
    <row r="7890" ht="12.75" x14ac:dyDescent="0.2"/>
    <row r="7891" ht="12.75" x14ac:dyDescent="0.2"/>
    <row r="7892" ht="12.75" x14ac:dyDescent="0.2"/>
    <row r="7893" ht="12.75" x14ac:dyDescent="0.2"/>
    <row r="7894" ht="12.75" x14ac:dyDescent="0.2"/>
    <row r="7895" ht="12.75" x14ac:dyDescent="0.2"/>
    <row r="7896" ht="12.75" x14ac:dyDescent="0.2"/>
    <row r="7897" ht="12.75" x14ac:dyDescent="0.2"/>
    <row r="7898" ht="12.75" x14ac:dyDescent="0.2"/>
    <row r="7899" ht="12.75" x14ac:dyDescent="0.2"/>
    <row r="7900" ht="12.75" x14ac:dyDescent="0.2"/>
    <row r="7901" ht="12.75" x14ac:dyDescent="0.2"/>
    <row r="7902" ht="12.75" x14ac:dyDescent="0.2"/>
    <row r="7903" ht="12.75" x14ac:dyDescent="0.2"/>
    <row r="7904" ht="12.75" x14ac:dyDescent="0.2"/>
    <row r="7905" ht="12.75" x14ac:dyDescent="0.2"/>
    <row r="7906" ht="12.75" x14ac:dyDescent="0.2"/>
    <row r="7907" ht="12.75" x14ac:dyDescent="0.2"/>
    <row r="7908" ht="12.75" x14ac:dyDescent="0.2"/>
    <row r="7909" ht="12.75" x14ac:dyDescent="0.2"/>
    <row r="7910" ht="12.75" x14ac:dyDescent="0.2"/>
    <row r="7911" ht="12.75" x14ac:dyDescent="0.2"/>
    <row r="7912" ht="12.75" x14ac:dyDescent="0.2"/>
    <row r="7913" ht="12.75" x14ac:dyDescent="0.2"/>
    <row r="7914" ht="12.75" x14ac:dyDescent="0.2"/>
    <row r="7915" ht="12.75" x14ac:dyDescent="0.2"/>
    <row r="7916" ht="12.75" x14ac:dyDescent="0.2"/>
    <row r="7917" ht="12.75" x14ac:dyDescent="0.2"/>
    <row r="7918" ht="12.75" x14ac:dyDescent="0.2"/>
    <row r="7919" ht="12.75" x14ac:dyDescent="0.2"/>
    <row r="7920" ht="12.75" x14ac:dyDescent="0.2"/>
    <row r="7921" ht="12.75" x14ac:dyDescent="0.2"/>
    <row r="7922" ht="12.75" x14ac:dyDescent="0.2"/>
    <row r="7923" ht="12.75" x14ac:dyDescent="0.2"/>
    <row r="7924" ht="12.75" x14ac:dyDescent="0.2"/>
    <row r="7925" ht="12.75" x14ac:dyDescent="0.2"/>
    <row r="7926" ht="12.75" x14ac:dyDescent="0.2"/>
    <row r="7927" ht="12.75" x14ac:dyDescent="0.2"/>
    <row r="7928" ht="12.75" x14ac:dyDescent="0.2"/>
    <row r="7929" ht="12.75" x14ac:dyDescent="0.2"/>
    <row r="7930" ht="12.75" x14ac:dyDescent="0.2"/>
    <row r="7931" ht="12.75" x14ac:dyDescent="0.2"/>
    <row r="7932" ht="12.75" x14ac:dyDescent="0.2"/>
    <row r="7933" ht="12.75" x14ac:dyDescent="0.2"/>
    <row r="7934" ht="12.75" x14ac:dyDescent="0.2"/>
    <row r="7935" ht="12.75" x14ac:dyDescent="0.2"/>
    <row r="7936" ht="12.75" x14ac:dyDescent="0.2"/>
    <row r="7937" ht="12.75" x14ac:dyDescent="0.2"/>
    <row r="7938" ht="12.75" x14ac:dyDescent="0.2"/>
    <row r="7939" ht="12.75" x14ac:dyDescent="0.2"/>
    <row r="7940" ht="12.75" x14ac:dyDescent="0.2"/>
    <row r="7941" ht="12.75" x14ac:dyDescent="0.2"/>
    <row r="7942" ht="12.75" x14ac:dyDescent="0.2"/>
    <row r="7943" ht="12.75" x14ac:dyDescent="0.2"/>
    <row r="7944" ht="12.75" x14ac:dyDescent="0.2"/>
    <row r="7945" ht="12.75" x14ac:dyDescent="0.2"/>
    <row r="7946" ht="12.75" x14ac:dyDescent="0.2"/>
    <row r="7947" ht="12.75" x14ac:dyDescent="0.2"/>
    <row r="7948" ht="12.75" x14ac:dyDescent="0.2"/>
    <row r="7949" ht="12.75" x14ac:dyDescent="0.2"/>
    <row r="7950" ht="12.75" x14ac:dyDescent="0.2"/>
    <row r="7951" ht="12.75" x14ac:dyDescent="0.2"/>
    <row r="7952" ht="12.75" x14ac:dyDescent="0.2"/>
    <row r="7953" ht="12.75" x14ac:dyDescent="0.2"/>
    <row r="7954" ht="12.75" x14ac:dyDescent="0.2"/>
    <row r="7955" ht="12.75" x14ac:dyDescent="0.2"/>
    <row r="7956" ht="12.75" x14ac:dyDescent="0.2"/>
    <row r="7957" ht="12.75" x14ac:dyDescent="0.2"/>
    <row r="7958" ht="12.75" x14ac:dyDescent="0.2"/>
    <row r="7959" ht="12.75" x14ac:dyDescent="0.2"/>
    <row r="7960" ht="12.75" x14ac:dyDescent="0.2"/>
    <row r="7961" ht="12.75" x14ac:dyDescent="0.2"/>
    <row r="7962" ht="12.75" x14ac:dyDescent="0.2"/>
    <row r="7963" ht="12.75" x14ac:dyDescent="0.2"/>
    <row r="7964" ht="12.75" x14ac:dyDescent="0.2"/>
    <row r="7965" ht="12.75" x14ac:dyDescent="0.2"/>
    <row r="7966" ht="12.75" x14ac:dyDescent="0.2"/>
    <row r="7967" ht="12.75" x14ac:dyDescent="0.2"/>
    <row r="7968" ht="12.75" x14ac:dyDescent="0.2"/>
    <row r="7969" ht="12.75" x14ac:dyDescent="0.2"/>
    <row r="7970" ht="12.75" x14ac:dyDescent="0.2"/>
    <row r="7971" ht="12.75" x14ac:dyDescent="0.2"/>
    <row r="7972" ht="12.75" x14ac:dyDescent="0.2"/>
    <row r="7973" ht="12.75" x14ac:dyDescent="0.2"/>
    <row r="7974" ht="12.75" x14ac:dyDescent="0.2"/>
    <row r="7975" ht="12.75" x14ac:dyDescent="0.2"/>
    <row r="7976" ht="12.75" x14ac:dyDescent="0.2"/>
    <row r="7977" ht="12.75" x14ac:dyDescent="0.2"/>
    <row r="7978" ht="12.75" x14ac:dyDescent="0.2"/>
    <row r="7979" ht="12.75" x14ac:dyDescent="0.2"/>
    <row r="7980" ht="12.75" x14ac:dyDescent="0.2"/>
    <row r="7981" ht="12.75" x14ac:dyDescent="0.2"/>
    <row r="7982" ht="12.75" x14ac:dyDescent="0.2"/>
    <row r="7983" ht="12.75" x14ac:dyDescent="0.2"/>
    <row r="7984" ht="12.75" x14ac:dyDescent="0.2"/>
    <row r="7985" ht="12.75" x14ac:dyDescent="0.2"/>
    <row r="7986" ht="12.75" x14ac:dyDescent="0.2"/>
    <row r="7987" ht="12.75" x14ac:dyDescent="0.2"/>
    <row r="7988" ht="12.75" x14ac:dyDescent="0.2"/>
    <row r="7989" ht="12.75" x14ac:dyDescent="0.2"/>
    <row r="7990" ht="12.75" x14ac:dyDescent="0.2"/>
    <row r="7991" ht="12.75" x14ac:dyDescent="0.2"/>
    <row r="7992" ht="12.75" x14ac:dyDescent="0.2"/>
    <row r="7993" ht="12.75" x14ac:dyDescent="0.2"/>
    <row r="7994" ht="12.75" x14ac:dyDescent="0.2"/>
    <row r="7995" ht="12.75" x14ac:dyDescent="0.2"/>
    <row r="7996" ht="12.75" x14ac:dyDescent="0.2"/>
    <row r="7997" ht="12.75" x14ac:dyDescent="0.2"/>
    <row r="7998" ht="12.75" x14ac:dyDescent="0.2"/>
    <row r="7999" ht="12.75" x14ac:dyDescent="0.2"/>
    <row r="8000" ht="12.75" x14ac:dyDescent="0.2"/>
    <row r="8001" ht="12.75" x14ac:dyDescent="0.2"/>
    <row r="8002" ht="12.75" x14ac:dyDescent="0.2"/>
    <row r="8003" ht="12.75" x14ac:dyDescent="0.2"/>
    <row r="8004" ht="12.75" x14ac:dyDescent="0.2"/>
    <row r="8005" ht="12.75" x14ac:dyDescent="0.2"/>
    <row r="8006" ht="12.75" x14ac:dyDescent="0.2"/>
    <row r="8007" ht="12.75" x14ac:dyDescent="0.2"/>
    <row r="8008" ht="12.75" x14ac:dyDescent="0.2"/>
    <row r="8009" ht="12.75" x14ac:dyDescent="0.2"/>
    <row r="8010" ht="12.75" x14ac:dyDescent="0.2"/>
    <row r="8011" ht="12.75" x14ac:dyDescent="0.2"/>
    <row r="8012" ht="12.75" x14ac:dyDescent="0.2"/>
    <row r="8013" ht="12.75" x14ac:dyDescent="0.2"/>
    <row r="8014" ht="12.75" x14ac:dyDescent="0.2"/>
    <row r="8015" ht="12.75" x14ac:dyDescent="0.2"/>
    <row r="8016" ht="12.75" x14ac:dyDescent="0.2"/>
    <row r="8017" ht="12.75" x14ac:dyDescent="0.2"/>
    <row r="8018" ht="12.75" x14ac:dyDescent="0.2"/>
    <row r="8019" ht="12.75" x14ac:dyDescent="0.2"/>
    <row r="8020" ht="12.75" x14ac:dyDescent="0.2"/>
    <row r="8021" ht="12.75" x14ac:dyDescent="0.2"/>
    <row r="8022" ht="12.75" x14ac:dyDescent="0.2"/>
    <row r="8023" ht="12.75" x14ac:dyDescent="0.2"/>
    <row r="8024" ht="12.75" x14ac:dyDescent="0.2"/>
    <row r="8025" ht="12.75" x14ac:dyDescent="0.2"/>
    <row r="8026" ht="12.75" x14ac:dyDescent="0.2"/>
    <row r="8027" ht="12.75" x14ac:dyDescent="0.2"/>
    <row r="8028" ht="12.75" x14ac:dyDescent="0.2"/>
    <row r="8029" ht="12.75" x14ac:dyDescent="0.2"/>
    <row r="8030" ht="12.75" x14ac:dyDescent="0.2"/>
    <row r="8031" ht="12.75" x14ac:dyDescent="0.2"/>
    <row r="8032" ht="12.75" x14ac:dyDescent="0.2"/>
    <row r="8033" ht="12.75" x14ac:dyDescent="0.2"/>
    <row r="8034" ht="12.75" x14ac:dyDescent="0.2"/>
    <row r="8035" ht="12.75" x14ac:dyDescent="0.2"/>
    <row r="8036" ht="12.75" x14ac:dyDescent="0.2"/>
    <row r="8037" ht="12.75" x14ac:dyDescent="0.2"/>
    <row r="8038" ht="12.75" x14ac:dyDescent="0.2"/>
    <row r="8039" ht="12.75" x14ac:dyDescent="0.2"/>
    <row r="8040" ht="12.75" x14ac:dyDescent="0.2"/>
    <row r="8041" ht="12.75" x14ac:dyDescent="0.2"/>
    <row r="8042" ht="12.75" x14ac:dyDescent="0.2"/>
    <row r="8043" ht="12.75" x14ac:dyDescent="0.2"/>
    <row r="8044" ht="12.75" x14ac:dyDescent="0.2"/>
    <row r="8045" ht="12.75" x14ac:dyDescent="0.2"/>
    <row r="8046" ht="12.75" x14ac:dyDescent="0.2"/>
    <row r="8047" ht="12.75" x14ac:dyDescent="0.2"/>
    <row r="8048" ht="12.75" x14ac:dyDescent="0.2"/>
    <row r="8049" ht="12.75" x14ac:dyDescent="0.2"/>
    <row r="8050" ht="12.75" x14ac:dyDescent="0.2"/>
    <row r="8051" ht="12.75" x14ac:dyDescent="0.2"/>
    <row r="8052" ht="12.75" x14ac:dyDescent="0.2"/>
    <row r="8053" ht="12.75" x14ac:dyDescent="0.2"/>
    <row r="8054" ht="12.75" x14ac:dyDescent="0.2"/>
    <row r="8055" ht="12.75" x14ac:dyDescent="0.2"/>
    <row r="8056" ht="12.75" x14ac:dyDescent="0.2"/>
    <row r="8057" ht="12.75" x14ac:dyDescent="0.2"/>
    <row r="8058" ht="12.75" x14ac:dyDescent="0.2"/>
    <row r="8059" ht="12.75" x14ac:dyDescent="0.2"/>
    <row r="8060" ht="12.75" x14ac:dyDescent="0.2"/>
    <row r="8061" ht="12.75" x14ac:dyDescent="0.2"/>
    <row r="8062" ht="12.75" x14ac:dyDescent="0.2"/>
    <row r="8063" ht="12.75" x14ac:dyDescent="0.2"/>
    <row r="8064" ht="12.75" x14ac:dyDescent="0.2"/>
    <row r="8065" ht="12.75" x14ac:dyDescent="0.2"/>
    <row r="8066" ht="12.75" x14ac:dyDescent="0.2"/>
    <row r="8067" ht="12.75" x14ac:dyDescent="0.2"/>
    <row r="8068" ht="12.75" x14ac:dyDescent="0.2"/>
    <row r="8069" ht="12.75" x14ac:dyDescent="0.2"/>
    <row r="8070" ht="12.75" x14ac:dyDescent="0.2"/>
    <row r="8071" ht="12.75" x14ac:dyDescent="0.2"/>
    <row r="8072" ht="12.75" x14ac:dyDescent="0.2"/>
    <row r="8073" ht="12.75" x14ac:dyDescent="0.2"/>
    <row r="8074" ht="12.75" x14ac:dyDescent="0.2"/>
    <row r="8075" ht="12.75" x14ac:dyDescent="0.2"/>
    <row r="8076" ht="12.75" x14ac:dyDescent="0.2"/>
    <row r="8077" ht="12.75" x14ac:dyDescent="0.2"/>
    <row r="8078" ht="12.75" x14ac:dyDescent="0.2"/>
    <row r="8079" ht="12.75" x14ac:dyDescent="0.2"/>
    <row r="8080" ht="12.75" x14ac:dyDescent="0.2"/>
    <row r="8081" ht="12.75" x14ac:dyDescent="0.2"/>
    <row r="8082" ht="12.75" x14ac:dyDescent="0.2"/>
    <row r="8083" ht="12.75" x14ac:dyDescent="0.2"/>
    <row r="8084" ht="12.75" x14ac:dyDescent="0.2"/>
    <row r="8085" ht="12.75" x14ac:dyDescent="0.2"/>
    <row r="8086" ht="12.75" x14ac:dyDescent="0.2"/>
    <row r="8087" ht="12.75" x14ac:dyDescent="0.2"/>
    <row r="8088" ht="12.75" x14ac:dyDescent="0.2"/>
    <row r="8089" ht="12.75" x14ac:dyDescent="0.2"/>
    <row r="8090" ht="12.75" x14ac:dyDescent="0.2"/>
    <row r="8091" ht="12.75" x14ac:dyDescent="0.2"/>
    <row r="8092" ht="12.75" x14ac:dyDescent="0.2"/>
    <row r="8093" ht="12.75" x14ac:dyDescent="0.2"/>
    <row r="8094" ht="12.75" x14ac:dyDescent="0.2"/>
    <row r="8095" ht="12.75" x14ac:dyDescent="0.2"/>
    <row r="8096" ht="12.75" x14ac:dyDescent="0.2"/>
    <row r="8097" ht="12.75" x14ac:dyDescent="0.2"/>
    <row r="8098" ht="12.75" x14ac:dyDescent="0.2"/>
    <row r="8099" ht="12.75" x14ac:dyDescent="0.2"/>
    <row r="8100" ht="12.75" x14ac:dyDescent="0.2"/>
    <row r="8101" ht="12.75" x14ac:dyDescent="0.2"/>
    <row r="8102" ht="12.75" x14ac:dyDescent="0.2"/>
    <row r="8103" ht="12.75" x14ac:dyDescent="0.2"/>
    <row r="8104" ht="12.75" x14ac:dyDescent="0.2"/>
    <row r="8105" ht="12.75" x14ac:dyDescent="0.2"/>
    <row r="8106" ht="12.75" x14ac:dyDescent="0.2"/>
    <row r="8107" ht="12.75" x14ac:dyDescent="0.2"/>
    <row r="8108" ht="12.75" x14ac:dyDescent="0.2"/>
    <row r="8109" ht="12.75" x14ac:dyDescent="0.2"/>
    <row r="8110" ht="12.75" x14ac:dyDescent="0.2"/>
    <row r="8111" ht="12.75" x14ac:dyDescent="0.2"/>
    <row r="8112" ht="12.75" x14ac:dyDescent="0.2"/>
    <row r="8113" ht="12.75" x14ac:dyDescent="0.2"/>
    <row r="8114" ht="12.75" x14ac:dyDescent="0.2"/>
    <row r="8115" ht="12.75" x14ac:dyDescent="0.2"/>
    <row r="8116" ht="12.75" x14ac:dyDescent="0.2"/>
    <row r="8117" ht="12.75" x14ac:dyDescent="0.2"/>
    <row r="8118" ht="12.75" x14ac:dyDescent="0.2"/>
    <row r="8119" ht="12.75" x14ac:dyDescent="0.2"/>
    <row r="8120" ht="12.75" x14ac:dyDescent="0.2"/>
    <row r="8121" ht="12.75" x14ac:dyDescent="0.2"/>
    <row r="8122" ht="12.75" x14ac:dyDescent="0.2"/>
    <row r="8123" ht="12.75" x14ac:dyDescent="0.2"/>
    <row r="8124" ht="12.75" x14ac:dyDescent="0.2"/>
    <row r="8125" ht="12.75" x14ac:dyDescent="0.2"/>
    <row r="8126" ht="12.75" x14ac:dyDescent="0.2"/>
    <row r="8127" ht="12.75" x14ac:dyDescent="0.2"/>
    <row r="8128" ht="12.75" x14ac:dyDescent="0.2"/>
    <row r="8129" ht="12.75" x14ac:dyDescent="0.2"/>
    <row r="8130" ht="12.75" x14ac:dyDescent="0.2"/>
    <row r="8131" ht="12.75" x14ac:dyDescent="0.2"/>
    <row r="8132" ht="12.75" x14ac:dyDescent="0.2"/>
    <row r="8133" ht="12.75" x14ac:dyDescent="0.2"/>
    <row r="8134" ht="12.75" x14ac:dyDescent="0.2"/>
    <row r="8135" ht="12.75" x14ac:dyDescent="0.2"/>
    <row r="8136" ht="12.75" x14ac:dyDescent="0.2"/>
    <row r="8137" ht="12.75" x14ac:dyDescent="0.2"/>
    <row r="8138" ht="12.75" x14ac:dyDescent="0.2"/>
    <row r="8139" ht="12.75" x14ac:dyDescent="0.2"/>
    <row r="8140" ht="12.75" x14ac:dyDescent="0.2"/>
    <row r="8141" ht="12.75" x14ac:dyDescent="0.2"/>
    <row r="8142" ht="12.75" x14ac:dyDescent="0.2"/>
    <row r="8143" ht="12.75" x14ac:dyDescent="0.2"/>
    <row r="8144" ht="12.75" x14ac:dyDescent="0.2"/>
    <row r="8145" ht="12.75" x14ac:dyDescent="0.2"/>
    <row r="8146" ht="12.75" x14ac:dyDescent="0.2"/>
    <row r="8147" ht="12.75" x14ac:dyDescent="0.2"/>
    <row r="8148" ht="12.75" x14ac:dyDescent="0.2"/>
    <row r="8149" ht="12.75" x14ac:dyDescent="0.2"/>
    <row r="8150" ht="12.75" x14ac:dyDescent="0.2"/>
    <row r="8151" ht="12.75" x14ac:dyDescent="0.2"/>
    <row r="8152" ht="12.75" x14ac:dyDescent="0.2"/>
    <row r="8153" ht="12.75" x14ac:dyDescent="0.2"/>
    <row r="8154" ht="12.75" x14ac:dyDescent="0.2"/>
    <row r="8155" ht="12.75" x14ac:dyDescent="0.2"/>
    <row r="8156" ht="12.75" x14ac:dyDescent="0.2"/>
    <row r="8157" ht="12.75" x14ac:dyDescent="0.2"/>
    <row r="8158" ht="12.75" x14ac:dyDescent="0.2"/>
    <row r="8159" ht="12.75" x14ac:dyDescent="0.2"/>
    <row r="8160" ht="12.75" x14ac:dyDescent="0.2"/>
    <row r="8161" ht="12.75" x14ac:dyDescent="0.2"/>
    <row r="8162" ht="12.75" x14ac:dyDescent="0.2"/>
    <row r="8163" ht="12.75" x14ac:dyDescent="0.2"/>
    <row r="8164" ht="12.75" x14ac:dyDescent="0.2"/>
    <row r="8165" ht="12.75" x14ac:dyDescent="0.2"/>
    <row r="8166" ht="12.75" x14ac:dyDescent="0.2"/>
    <row r="8167" ht="12.75" x14ac:dyDescent="0.2"/>
    <row r="8168" ht="12.75" x14ac:dyDescent="0.2"/>
    <row r="8169" ht="12.75" x14ac:dyDescent="0.2"/>
    <row r="8170" ht="12.75" x14ac:dyDescent="0.2"/>
    <row r="8171" ht="12.75" x14ac:dyDescent="0.2"/>
    <row r="8172" ht="12.75" x14ac:dyDescent="0.2"/>
    <row r="8173" ht="12.75" x14ac:dyDescent="0.2"/>
    <row r="8174" ht="12.75" x14ac:dyDescent="0.2"/>
    <row r="8175" ht="12.75" x14ac:dyDescent="0.2"/>
    <row r="8176" ht="12.75" x14ac:dyDescent="0.2"/>
    <row r="8177" ht="12.75" x14ac:dyDescent="0.2"/>
    <row r="8178" ht="12.75" x14ac:dyDescent="0.2"/>
    <row r="8179" ht="12.75" x14ac:dyDescent="0.2"/>
    <row r="8180" ht="12.75" x14ac:dyDescent="0.2"/>
    <row r="8181" ht="12.75" x14ac:dyDescent="0.2"/>
    <row r="8182" ht="12.75" x14ac:dyDescent="0.2"/>
    <row r="8183" ht="12.75" x14ac:dyDescent="0.2"/>
    <row r="8184" ht="12.75" x14ac:dyDescent="0.2"/>
    <row r="8185" ht="12.75" x14ac:dyDescent="0.2"/>
    <row r="8186" ht="12.75" x14ac:dyDescent="0.2"/>
    <row r="8187" ht="12.75" x14ac:dyDescent="0.2"/>
    <row r="8188" ht="12.75" x14ac:dyDescent="0.2"/>
    <row r="8189" ht="12.75" x14ac:dyDescent="0.2"/>
    <row r="8190" ht="12.75" x14ac:dyDescent="0.2"/>
    <row r="8191" ht="12.75" x14ac:dyDescent="0.2"/>
    <row r="8192" ht="12.75" x14ac:dyDescent="0.2"/>
    <row r="8193" ht="12.75" x14ac:dyDescent="0.2"/>
    <row r="8194" ht="12.75" x14ac:dyDescent="0.2"/>
    <row r="8195" ht="12.75" x14ac:dyDescent="0.2"/>
    <row r="8196" ht="12.75" x14ac:dyDescent="0.2"/>
    <row r="8197" ht="12.75" x14ac:dyDescent="0.2"/>
    <row r="8198" ht="12.75" x14ac:dyDescent="0.2"/>
    <row r="8199" ht="12.75" x14ac:dyDescent="0.2"/>
    <row r="8200" ht="12.75" x14ac:dyDescent="0.2"/>
    <row r="8201" ht="12.75" x14ac:dyDescent="0.2"/>
    <row r="8202" ht="12.75" x14ac:dyDescent="0.2"/>
    <row r="8203" ht="12.75" x14ac:dyDescent="0.2"/>
    <row r="8204" ht="12.75" x14ac:dyDescent="0.2"/>
    <row r="8205" ht="12.75" x14ac:dyDescent="0.2"/>
    <row r="8206" ht="12.75" x14ac:dyDescent="0.2"/>
    <row r="8207" ht="12.75" x14ac:dyDescent="0.2"/>
    <row r="8208" ht="12.75" x14ac:dyDescent="0.2"/>
    <row r="8209" ht="12.75" x14ac:dyDescent="0.2"/>
    <row r="8210" ht="12.75" x14ac:dyDescent="0.2"/>
    <row r="8211" ht="12.75" x14ac:dyDescent="0.2"/>
    <row r="8212" ht="12.75" x14ac:dyDescent="0.2"/>
    <row r="8213" ht="12.75" x14ac:dyDescent="0.2"/>
    <row r="8214" ht="12.75" x14ac:dyDescent="0.2"/>
    <row r="8215" ht="12.75" x14ac:dyDescent="0.2"/>
    <row r="8216" ht="12.75" x14ac:dyDescent="0.2"/>
    <row r="8217" ht="12.75" x14ac:dyDescent="0.2"/>
    <row r="8218" ht="12.75" x14ac:dyDescent="0.2"/>
    <row r="8219" ht="12.75" x14ac:dyDescent="0.2"/>
    <row r="8220" ht="12.75" x14ac:dyDescent="0.2"/>
    <row r="8221" ht="12.75" x14ac:dyDescent="0.2"/>
    <row r="8222" ht="12.75" x14ac:dyDescent="0.2"/>
    <row r="8223" ht="12.75" x14ac:dyDescent="0.2"/>
    <row r="8224" ht="12.75" x14ac:dyDescent="0.2"/>
    <row r="8225" ht="12.75" x14ac:dyDescent="0.2"/>
    <row r="8226" ht="12.75" x14ac:dyDescent="0.2"/>
    <row r="8227" ht="12.75" x14ac:dyDescent="0.2"/>
    <row r="8228" ht="12.75" x14ac:dyDescent="0.2"/>
    <row r="8229" ht="12.75" x14ac:dyDescent="0.2"/>
    <row r="8230" ht="12.75" x14ac:dyDescent="0.2"/>
    <row r="8231" ht="12.75" x14ac:dyDescent="0.2"/>
    <row r="8232" ht="12.75" x14ac:dyDescent="0.2"/>
    <row r="8233" ht="12.75" x14ac:dyDescent="0.2"/>
    <row r="8234" ht="12.75" x14ac:dyDescent="0.2"/>
    <row r="8235" ht="12.75" x14ac:dyDescent="0.2"/>
    <row r="8236" ht="12.75" x14ac:dyDescent="0.2"/>
    <row r="8237" ht="12.75" x14ac:dyDescent="0.2"/>
    <row r="8238" ht="12.75" x14ac:dyDescent="0.2"/>
    <row r="8239" ht="12.75" x14ac:dyDescent="0.2"/>
    <row r="8240" ht="12.75" x14ac:dyDescent="0.2"/>
    <row r="8241" ht="12.75" x14ac:dyDescent="0.2"/>
    <row r="8242" ht="12.75" x14ac:dyDescent="0.2"/>
    <row r="8243" ht="12.75" x14ac:dyDescent="0.2"/>
    <row r="8244" ht="12.75" x14ac:dyDescent="0.2"/>
    <row r="8245" ht="12.75" x14ac:dyDescent="0.2"/>
    <row r="8246" ht="12.75" x14ac:dyDescent="0.2"/>
    <row r="8247" ht="12.75" x14ac:dyDescent="0.2"/>
    <row r="8248" ht="12.75" x14ac:dyDescent="0.2"/>
    <row r="8249" ht="12.75" x14ac:dyDescent="0.2"/>
    <row r="8250" ht="12.75" x14ac:dyDescent="0.2"/>
    <row r="8251" ht="12.75" x14ac:dyDescent="0.2"/>
    <row r="8252" ht="12.75" x14ac:dyDescent="0.2"/>
    <row r="8253" ht="12.75" x14ac:dyDescent="0.2"/>
    <row r="8254" ht="12.75" x14ac:dyDescent="0.2"/>
    <row r="8255" ht="12.75" x14ac:dyDescent="0.2"/>
    <row r="8256" ht="12.75" x14ac:dyDescent="0.2"/>
    <row r="8257" ht="12.75" x14ac:dyDescent="0.2"/>
    <row r="8258" ht="12.75" x14ac:dyDescent="0.2"/>
    <row r="8259" ht="12.75" x14ac:dyDescent="0.2"/>
    <row r="8260" ht="12.75" x14ac:dyDescent="0.2"/>
    <row r="8261" ht="12.75" x14ac:dyDescent="0.2"/>
    <row r="8262" ht="12.75" x14ac:dyDescent="0.2"/>
    <row r="8263" ht="12.75" x14ac:dyDescent="0.2"/>
    <row r="8264" ht="12.75" x14ac:dyDescent="0.2"/>
    <row r="8265" ht="12.75" x14ac:dyDescent="0.2"/>
    <row r="8266" ht="12.75" x14ac:dyDescent="0.2"/>
    <row r="8267" ht="12.75" x14ac:dyDescent="0.2"/>
    <row r="8268" ht="12.75" x14ac:dyDescent="0.2"/>
    <row r="8269" ht="12.75" x14ac:dyDescent="0.2"/>
    <row r="8270" ht="12.75" x14ac:dyDescent="0.2"/>
    <row r="8271" ht="12.75" x14ac:dyDescent="0.2"/>
    <row r="8272" ht="12.75" x14ac:dyDescent="0.2"/>
    <row r="8273" ht="12.75" x14ac:dyDescent="0.2"/>
    <row r="8274" ht="12.75" x14ac:dyDescent="0.2"/>
    <row r="8275" ht="12.75" x14ac:dyDescent="0.2"/>
    <row r="8276" ht="12.75" x14ac:dyDescent="0.2"/>
    <row r="8277" ht="12.75" x14ac:dyDescent="0.2"/>
    <row r="8278" ht="12.75" x14ac:dyDescent="0.2"/>
    <row r="8279" ht="12.75" x14ac:dyDescent="0.2"/>
    <row r="8280" ht="12.75" x14ac:dyDescent="0.2"/>
    <row r="8281" ht="12.75" x14ac:dyDescent="0.2"/>
    <row r="8282" ht="12.75" x14ac:dyDescent="0.2"/>
    <row r="8283" ht="12.75" x14ac:dyDescent="0.2"/>
    <row r="8284" ht="12.75" x14ac:dyDescent="0.2"/>
    <row r="8285" ht="12.75" x14ac:dyDescent="0.2"/>
    <row r="8286" ht="12.75" x14ac:dyDescent="0.2"/>
    <row r="8287" ht="12.75" x14ac:dyDescent="0.2"/>
    <row r="8288" ht="12.75" x14ac:dyDescent="0.2"/>
    <row r="8289" ht="12.75" x14ac:dyDescent="0.2"/>
    <row r="8290" ht="12.75" x14ac:dyDescent="0.2"/>
    <row r="8291" ht="12.75" x14ac:dyDescent="0.2"/>
    <row r="8292" ht="12.75" x14ac:dyDescent="0.2"/>
    <row r="8293" ht="12.75" x14ac:dyDescent="0.2"/>
    <row r="8294" ht="12.75" x14ac:dyDescent="0.2"/>
    <row r="8295" ht="12.75" x14ac:dyDescent="0.2"/>
    <row r="8296" ht="12.75" x14ac:dyDescent="0.2"/>
    <row r="8297" ht="12.75" x14ac:dyDescent="0.2"/>
    <row r="8298" ht="12.75" x14ac:dyDescent="0.2"/>
    <row r="8299" ht="12.75" x14ac:dyDescent="0.2"/>
    <row r="8300" ht="12.75" x14ac:dyDescent="0.2"/>
    <row r="8301" ht="12.75" x14ac:dyDescent="0.2"/>
    <row r="8302" ht="12.75" x14ac:dyDescent="0.2"/>
    <row r="8303" ht="12.75" x14ac:dyDescent="0.2"/>
    <row r="8304" ht="12.75" x14ac:dyDescent="0.2"/>
    <row r="8305" ht="12.75" x14ac:dyDescent="0.2"/>
    <row r="8306" ht="12.75" x14ac:dyDescent="0.2"/>
    <row r="8307" ht="12.75" x14ac:dyDescent="0.2"/>
    <row r="8308" ht="12.75" x14ac:dyDescent="0.2"/>
    <row r="8309" ht="12.75" x14ac:dyDescent="0.2"/>
    <row r="8310" ht="12.75" x14ac:dyDescent="0.2"/>
    <row r="8311" ht="12.75" x14ac:dyDescent="0.2"/>
    <row r="8312" ht="12.75" x14ac:dyDescent="0.2"/>
    <row r="8313" ht="12.75" x14ac:dyDescent="0.2"/>
    <row r="8314" ht="12.75" x14ac:dyDescent="0.2"/>
    <row r="8315" ht="12.75" x14ac:dyDescent="0.2"/>
    <row r="8316" ht="12.75" x14ac:dyDescent="0.2"/>
    <row r="8317" ht="12.75" x14ac:dyDescent="0.2"/>
    <row r="8318" ht="12.75" x14ac:dyDescent="0.2"/>
    <row r="8319" ht="12.75" x14ac:dyDescent="0.2"/>
    <row r="8320" ht="12.75" x14ac:dyDescent="0.2"/>
    <row r="8321" ht="12.75" x14ac:dyDescent="0.2"/>
    <row r="8322" ht="12.75" x14ac:dyDescent="0.2"/>
    <row r="8323" ht="12.75" x14ac:dyDescent="0.2"/>
    <row r="8324" ht="12.75" x14ac:dyDescent="0.2"/>
    <row r="8325" ht="12.75" x14ac:dyDescent="0.2"/>
    <row r="8326" ht="12.75" x14ac:dyDescent="0.2"/>
    <row r="8327" ht="12.75" x14ac:dyDescent="0.2"/>
    <row r="8328" ht="12.75" x14ac:dyDescent="0.2"/>
    <row r="8329" ht="12.75" x14ac:dyDescent="0.2"/>
    <row r="8330" ht="12.75" x14ac:dyDescent="0.2"/>
    <row r="8331" ht="12.75" x14ac:dyDescent="0.2"/>
    <row r="8332" ht="12.75" x14ac:dyDescent="0.2"/>
    <row r="8333" ht="12.75" x14ac:dyDescent="0.2"/>
    <row r="8334" ht="12.75" x14ac:dyDescent="0.2"/>
    <row r="8335" ht="12.75" x14ac:dyDescent="0.2"/>
    <row r="8336" ht="12.75" x14ac:dyDescent="0.2"/>
    <row r="8337" ht="12.75" x14ac:dyDescent="0.2"/>
    <row r="8338" ht="12.75" x14ac:dyDescent="0.2"/>
    <row r="8339" ht="12.75" x14ac:dyDescent="0.2"/>
    <row r="8340" ht="12.75" x14ac:dyDescent="0.2"/>
    <row r="8341" ht="12.75" x14ac:dyDescent="0.2"/>
    <row r="8342" ht="12.75" x14ac:dyDescent="0.2"/>
    <row r="8343" ht="12.75" x14ac:dyDescent="0.2"/>
    <row r="8344" ht="12.75" x14ac:dyDescent="0.2"/>
    <row r="8345" ht="12.75" x14ac:dyDescent="0.2"/>
    <row r="8346" ht="12.75" x14ac:dyDescent="0.2"/>
    <row r="8347" ht="12.75" x14ac:dyDescent="0.2"/>
    <row r="8348" ht="12.75" x14ac:dyDescent="0.2"/>
    <row r="8349" ht="12.75" x14ac:dyDescent="0.2"/>
    <row r="8350" ht="12.75" x14ac:dyDescent="0.2"/>
    <row r="8351" ht="12.75" x14ac:dyDescent="0.2"/>
    <row r="8352" ht="12.75" x14ac:dyDescent="0.2"/>
    <row r="8353" ht="12.75" x14ac:dyDescent="0.2"/>
    <row r="8354" ht="12.75" x14ac:dyDescent="0.2"/>
    <row r="8355" ht="12.75" x14ac:dyDescent="0.2"/>
    <row r="8356" ht="12.75" x14ac:dyDescent="0.2"/>
    <row r="8357" ht="12.75" x14ac:dyDescent="0.2"/>
    <row r="8358" ht="12.75" x14ac:dyDescent="0.2"/>
    <row r="8359" ht="12.75" x14ac:dyDescent="0.2"/>
    <row r="8360" ht="12.75" x14ac:dyDescent="0.2"/>
    <row r="8361" ht="12.75" x14ac:dyDescent="0.2"/>
    <row r="8362" ht="12.75" x14ac:dyDescent="0.2"/>
    <row r="8363" ht="12.75" x14ac:dyDescent="0.2"/>
    <row r="8364" ht="12.75" x14ac:dyDescent="0.2"/>
    <row r="8365" ht="12.75" x14ac:dyDescent="0.2"/>
    <row r="8366" ht="12.75" x14ac:dyDescent="0.2"/>
    <row r="8367" ht="12.75" x14ac:dyDescent="0.2"/>
    <row r="8368" ht="12.75" x14ac:dyDescent="0.2"/>
    <row r="8369" ht="12.75" x14ac:dyDescent="0.2"/>
    <row r="8370" ht="12.75" x14ac:dyDescent="0.2"/>
    <row r="8371" ht="12.75" x14ac:dyDescent="0.2"/>
    <row r="8372" ht="12.75" x14ac:dyDescent="0.2"/>
    <row r="8373" ht="12.75" x14ac:dyDescent="0.2"/>
    <row r="8374" ht="12.75" x14ac:dyDescent="0.2"/>
    <row r="8375" ht="12.75" x14ac:dyDescent="0.2"/>
    <row r="8376" ht="12.75" x14ac:dyDescent="0.2"/>
    <row r="8377" ht="12.75" x14ac:dyDescent="0.2"/>
    <row r="8378" ht="12.75" x14ac:dyDescent="0.2"/>
    <row r="8379" ht="12.75" x14ac:dyDescent="0.2"/>
    <row r="8380" ht="12.75" x14ac:dyDescent="0.2"/>
    <row r="8381" ht="12.75" x14ac:dyDescent="0.2"/>
    <row r="8382" ht="12.75" x14ac:dyDescent="0.2"/>
    <row r="8383" ht="12.75" x14ac:dyDescent="0.2"/>
    <row r="8384" ht="12.75" x14ac:dyDescent="0.2"/>
    <row r="8385" ht="12.75" x14ac:dyDescent="0.2"/>
    <row r="8386" ht="12.75" x14ac:dyDescent="0.2"/>
    <row r="8387" ht="12.75" x14ac:dyDescent="0.2"/>
    <row r="8388" ht="12.75" x14ac:dyDescent="0.2"/>
    <row r="8389" ht="12.75" x14ac:dyDescent="0.2"/>
    <row r="8390" ht="12.75" x14ac:dyDescent="0.2"/>
    <row r="8391" ht="12.75" x14ac:dyDescent="0.2"/>
    <row r="8392" ht="12.75" x14ac:dyDescent="0.2"/>
    <row r="8393" ht="12.75" x14ac:dyDescent="0.2"/>
    <row r="8394" ht="12.75" x14ac:dyDescent="0.2"/>
    <row r="8395" ht="12.75" x14ac:dyDescent="0.2"/>
    <row r="8396" ht="12.75" x14ac:dyDescent="0.2"/>
    <row r="8397" ht="12.75" x14ac:dyDescent="0.2"/>
    <row r="8398" ht="12.75" x14ac:dyDescent="0.2"/>
    <row r="8399" ht="12.75" x14ac:dyDescent="0.2"/>
    <row r="8400" ht="12.75" x14ac:dyDescent="0.2"/>
    <row r="8401" ht="12.75" x14ac:dyDescent="0.2"/>
    <row r="8402" ht="12.75" x14ac:dyDescent="0.2"/>
    <row r="8403" ht="12.75" x14ac:dyDescent="0.2"/>
    <row r="8404" ht="12.75" x14ac:dyDescent="0.2"/>
    <row r="8405" ht="12.75" x14ac:dyDescent="0.2"/>
    <row r="8406" ht="12.75" x14ac:dyDescent="0.2"/>
    <row r="8407" ht="12.75" x14ac:dyDescent="0.2"/>
    <row r="8408" ht="12.75" x14ac:dyDescent="0.2"/>
    <row r="8409" ht="12.75" x14ac:dyDescent="0.2"/>
    <row r="8410" ht="12.75" x14ac:dyDescent="0.2"/>
    <row r="8411" ht="12.75" x14ac:dyDescent="0.2"/>
    <row r="8412" ht="12.75" x14ac:dyDescent="0.2"/>
    <row r="8413" ht="12.75" x14ac:dyDescent="0.2"/>
    <row r="8414" ht="12.75" x14ac:dyDescent="0.2"/>
    <row r="8415" ht="12.75" x14ac:dyDescent="0.2"/>
    <row r="8416" ht="12.75" x14ac:dyDescent="0.2"/>
    <row r="8417" ht="12.75" x14ac:dyDescent="0.2"/>
    <row r="8418" ht="12.75" x14ac:dyDescent="0.2"/>
    <row r="8419" ht="12.75" x14ac:dyDescent="0.2"/>
    <row r="8420" ht="12.75" x14ac:dyDescent="0.2"/>
    <row r="8421" ht="12.75" x14ac:dyDescent="0.2"/>
    <row r="8422" ht="12.75" x14ac:dyDescent="0.2"/>
    <row r="8423" ht="12.75" x14ac:dyDescent="0.2"/>
    <row r="8424" ht="12.75" x14ac:dyDescent="0.2"/>
    <row r="8425" ht="12.75" x14ac:dyDescent="0.2"/>
    <row r="8426" ht="12.75" x14ac:dyDescent="0.2"/>
    <row r="8427" ht="12.75" x14ac:dyDescent="0.2"/>
    <row r="8428" ht="12.75" x14ac:dyDescent="0.2"/>
    <row r="8429" ht="12.75" x14ac:dyDescent="0.2"/>
    <row r="8430" ht="12.75" x14ac:dyDescent="0.2"/>
    <row r="8431" ht="12.75" x14ac:dyDescent="0.2"/>
    <row r="8432" ht="12.75" x14ac:dyDescent="0.2"/>
    <row r="8433" ht="12.75" x14ac:dyDescent="0.2"/>
    <row r="8434" ht="12.75" x14ac:dyDescent="0.2"/>
    <row r="8435" ht="12.75" x14ac:dyDescent="0.2"/>
    <row r="8436" ht="12.75" x14ac:dyDescent="0.2"/>
    <row r="8437" ht="12.75" x14ac:dyDescent="0.2"/>
    <row r="8438" ht="12.75" x14ac:dyDescent="0.2"/>
    <row r="8439" ht="12.75" x14ac:dyDescent="0.2"/>
    <row r="8440" ht="12.75" x14ac:dyDescent="0.2"/>
    <row r="8441" ht="12.75" x14ac:dyDescent="0.2"/>
    <row r="8442" ht="12.75" x14ac:dyDescent="0.2"/>
    <row r="8443" ht="12.75" x14ac:dyDescent="0.2"/>
    <row r="8444" ht="12.75" x14ac:dyDescent="0.2"/>
    <row r="8445" ht="12.75" x14ac:dyDescent="0.2"/>
    <row r="8446" ht="12.75" x14ac:dyDescent="0.2"/>
    <row r="8447" ht="12.75" x14ac:dyDescent="0.2"/>
    <row r="8448" ht="12.75" x14ac:dyDescent="0.2"/>
    <row r="8449" ht="12.75" x14ac:dyDescent="0.2"/>
    <row r="8450" ht="12.75" x14ac:dyDescent="0.2"/>
    <row r="8451" ht="12.75" x14ac:dyDescent="0.2"/>
    <row r="8452" ht="12.75" x14ac:dyDescent="0.2"/>
    <row r="8453" ht="12.75" x14ac:dyDescent="0.2"/>
    <row r="8454" ht="12.75" x14ac:dyDescent="0.2"/>
    <row r="8455" ht="12.75" x14ac:dyDescent="0.2"/>
    <row r="8456" ht="12.75" x14ac:dyDescent="0.2"/>
    <row r="8457" ht="12.75" x14ac:dyDescent="0.2"/>
    <row r="8458" ht="12.75" x14ac:dyDescent="0.2"/>
    <row r="8459" ht="12.75" x14ac:dyDescent="0.2"/>
    <row r="8460" ht="12.75" x14ac:dyDescent="0.2"/>
    <row r="8461" ht="12.75" x14ac:dyDescent="0.2"/>
    <row r="8462" ht="12.75" x14ac:dyDescent="0.2"/>
    <row r="8463" ht="12.75" x14ac:dyDescent="0.2"/>
    <row r="8464" ht="12.75" x14ac:dyDescent="0.2"/>
    <row r="8465" ht="12.75" x14ac:dyDescent="0.2"/>
    <row r="8466" ht="12.75" x14ac:dyDescent="0.2"/>
    <row r="8467" ht="12.75" x14ac:dyDescent="0.2"/>
    <row r="8468" ht="12.75" x14ac:dyDescent="0.2"/>
    <row r="8469" ht="12.75" x14ac:dyDescent="0.2"/>
    <row r="8470" ht="12.75" x14ac:dyDescent="0.2"/>
    <row r="8471" ht="12.75" x14ac:dyDescent="0.2"/>
    <row r="8472" ht="12.75" x14ac:dyDescent="0.2"/>
    <row r="8473" ht="12.75" x14ac:dyDescent="0.2"/>
    <row r="8474" ht="12.75" x14ac:dyDescent="0.2"/>
    <row r="8475" ht="12.75" x14ac:dyDescent="0.2"/>
    <row r="8476" ht="12.75" x14ac:dyDescent="0.2"/>
    <row r="8477" ht="12.75" x14ac:dyDescent="0.2"/>
    <row r="8478" ht="12.75" x14ac:dyDescent="0.2"/>
    <row r="8479" ht="12.75" x14ac:dyDescent="0.2"/>
    <row r="8480" ht="12.75" x14ac:dyDescent="0.2"/>
    <row r="8481" ht="12.75" x14ac:dyDescent="0.2"/>
    <row r="8482" ht="12.75" x14ac:dyDescent="0.2"/>
    <row r="8483" ht="12.75" x14ac:dyDescent="0.2"/>
    <row r="8484" ht="12.75" x14ac:dyDescent="0.2"/>
    <row r="8485" ht="12.75" x14ac:dyDescent="0.2"/>
    <row r="8486" ht="12.75" x14ac:dyDescent="0.2"/>
    <row r="8487" ht="12.75" x14ac:dyDescent="0.2"/>
    <row r="8488" ht="12.75" x14ac:dyDescent="0.2"/>
    <row r="8489" ht="12.75" x14ac:dyDescent="0.2"/>
    <row r="8490" ht="12.75" x14ac:dyDescent="0.2"/>
    <row r="8491" ht="12.75" x14ac:dyDescent="0.2"/>
    <row r="8492" ht="12.75" x14ac:dyDescent="0.2"/>
    <row r="8493" ht="12.75" x14ac:dyDescent="0.2"/>
    <row r="8494" ht="12.75" x14ac:dyDescent="0.2"/>
    <row r="8495" ht="12.75" x14ac:dyDescent="0.2"/>
    <row r="8496" ht="12.75" x14ac:dyDescent="0.2"/>
    <row r="8497" ht="12.75" x14ac:dyDescent="0.2"/>
    <row r="8498" ht="12.75" x14ac:dyDescent="0.2"/>
    <row r="8499" ht="12.75" x14ac:dyDescent="0.2"/>
    <row r="8500" ht="12.75" x14ac:dyDescent="0.2"/>
    <row r="8501" ht="12.75" x14ac:dyDescent="0.2"/>
    <row r="8502" ht="12.75" x14ac:dyDescent="0.2"/>
    <row r="8503" ht="12.75" x14ac:dyDescent="0.2"/>
    <row r="8504" ht="12.75" x14ac:dyDescent="0.2"/>
    <row r="8505" ht="12.75" x14ac:dyDescent="0.2"/>
    <row r="8506" ht="12.75" x14ac:dyDescent="0.2"/>
    <row r="8507" ht="12.75" x14ac:dyDescent="0.2"/>
    <row r="8508" ht="12.75" x14ac:dyDescent="0.2"/>
    <row r="8509" ht="12.75" x14ac:dyDescent="0.2"/>
    <row r="8510" ht="12.75" x14ac:dyDescent="0.2"/>
    <row r="8511" ht="12.75" x14ac:dyDescent="0.2"/>
    <row r="8512" ht="12.75" x14ac:dyDescent="0.2"/>
    <row r="8513" ht="12.75" x14ac:dyDescent="0.2"/>
    <row r="8514" ht="12.75" x14ac:dyDescent="0.2"/>
    <row r="8515" ht="12.75" x14ac:dyDescent="0.2"/>
    <row r="8516" ht="12.75" x14ac:dyDescent="0.2"/>
    <row r="8517" ht="12.75" x14ac:dyDescent="0.2"/>
    <row r="8518" ht="12.75" x14ac:dyDescent="0.2"/>
    <row r="8519" ht="12.75" x14ac:dyDescent="0.2"/>
    <row r="8520" ht="12.75" x14ac:dyDescent="0.2"/>
    <row r="8521" ht="12.75" x14ac:dyDescent="0.2"/>
    <row r="8522" ht="12.75" x14ac:dyDescent="0.2"/>
    <row r="8523" ht="12.75" x14ac:dyDescent="0.2"/>
    <row r="8524" ht="12.75" x14ac:dyDescent="0.2"/>
    <row r="8525" ht="12.75" x14ac:dyDescent="0.2"/>
    <row r="8526" ht="12.75" x14ac:dyDescent="0.2"/>
    <row r="8527" ht="12.75" x14ac:dyDescent="0.2"/>
    <row r="8528" ht="12.75" x14ac:dyDescent="0.2"/>
    <row r="8529" ht="12.75" x14ac:dyDescent="0.2"/>
    <row r="8530" ht="12.75" x14ac:dyDescent="0.2"/>
    <row r="8531" ht="12.75" x14ac:dyDescent="0.2"/>
    <row r="8532" ht="12.75" x14ac:dyDescent="0.2"/>
    <row r="8533" ht="12.75" x14ac:dyDescent="0.2"/>
    <row r="8534" ht="12.75" x14ac:dyDescent="0.2"/>
    <row r="8535" ht="12.75" x14ac:dyDescent="0.2"/>
    <row r="8536" ht="12.75" x14ac:dyDescent="0.2"/>
    <row r="8537" ht="12.75" x14ac:dyDescent="0.2"/>
    <row r="8538" ht="12.75" x14ac:dyDescent="0.2"/>
    <row r="8539" ht="12.75" x14ac:dyDescent="0.2"/>
    <row r="8540" ht="12.75" x14ac:dyDescent="0.2"/>
    <row r="8541" ht="12.75" x14ac:dyDescent="0.2"/>
    <row r="8542" ht="12.75" x14ac:dyDescent="0.2"/>
    <row r="8543" ht="12.75" x14ac:dyDescent="0.2"/>
    <row r="8544" ht="12.75" x14ac:dyDescent="0.2"/>
    <row r="8545" ht="12.75" x14ac:dyDescent="0.2"/>
    <row r="8546" ht="12.75" x14ac:dyDescent="0.2"/>
    <row r="8547" ht="12.75" x14ac:dyDescent="0.2"/>
    <row r="8548" ht="12.75" x14ac:dyDescent="0.2"/>
    <row r="8549" ht="12.75" x14ac:dyDescent="0.2"/>
    <row r="8550" ht="12.75" x14ac:dyDescent="0.2"/>
    <row r="8551" ht="12.75" x14ac:dyDescent="0.2"/>
    <row r="8552" ht="12.75" x14ac:dyDescent="0.2"/>
    <row r="8553" ht="12.75" x14ac:dyDescent="0.2"/>
    <row r="8554" ht="12.75" x14ac:dyDescent="0.2"/>
    <row r="8555" ht="12.75" x14ac:dyDescent="0.2"/>
    <row r="8556" ht="12.75" x14ac:dyDescent="0.2"/>
    <row r="8557" ht="12.75" x14ac:dyDescent="0.2"/>
    <row r="8558" ht="12.75" x14ac:dyDescent="0.2"/>
    <row r="8559" ht="12.75" x14ac:dyDescent="0.2"/>
    <row r="8560" ht="12.75" x14ac:dyDescent="0.2"/>
    <row r="8561" ht="12.75" x14ac:dyDescent="0.2"/>
    <row r="8562" ht="12.75" x14ac:dyDescent="0.2"/>
    <row r="8563" ht="12.75" x14ac:dyDescent="0.2"/>
    <row r="8564" ht="12.75" x14ac:dyDescent="0.2"/>
    <row r="8565" ht="12.75" x14ac:dyDescent="0.2"/>
    <row r="8566" ht="12.75" x14ac:dyDescent="0.2"/>
    <row r="8567" ht="12.75" x14ac:dyDescent="0.2"/>
    <row r="8568" ht="12.75" x14ac:dyDescent="0.2"/>
    <row r="8569" ht="12.75" x14ac:dyDescent="0.2"/>
    <row r="8570" ht="12.75" x14ac:dyDescent="0.2"/>
    <row r="8571" ht="12.75" x14ac:dyDescent="0.2"/>
    <row r="8572" ht="12.75" x14ac:dyDescent="0.2"/>
    <row r="8573" ht="12.75" x14ac:dyDescent="0.2"/>
    <row r="8574" ht="12.75" x14ac:dyDescent="0.2"/>
    <row r="8575" ht="12.75" x14ac:dyDescent="0.2"/>
    <row r="8576" ht="12.75" x14ac:dyDescent="0.2"/>
    <row r="8577" ht="12.75" x14ac:dyDescent="0.2"/>
    <row r="8578" ht="12.75" x14ac:dyDescent="0.2"/>
    <row r="8579" ht="12.75" x14ac:dyDescent="0.2"/>
    <row r="8580" ht="12.75" x14ac:dyDescent="0.2"/>
    <row r="8581" ht="12.75" x14ac:dyDescent="0.2"/>
    <row r="8582" ht="12.75" x14ac:dyDescent="0.2"/>
    <row r="8583" ht="12.75" x14ac:dyDescent="0.2"/>
    <row r="8584" ht="12.75" x14ac:dyDescent="0.2"/>
    <row r="8585" ht="12.75" x14ac:dyDescent="0.2"/>
    <row r="8586" ht="12.75" x14ac:dyDescent="0.2"/>
    <row r="8587" ht="12.75" x14ac:dyDescent="0.2"/>
    <row r="8588" ht="12.75" x14ac:dyDescent="0.2"/>
    <row r="8589" ht="12.75" x14ac:dyDescent="0.2"/>
    <row r="8590" ht="12.75" x14ac:dyDescent="0.2"/>
    <row r="8591" ht="12.75" x14ac:dyDescent="0.2"/>
    <row r="8592" ht="12.75" x14ac:dyDescent="0.2"/>
    <row r="8593" ht="12.75" x14ac:dyDescent="0.2"/>
    <row r="8594" ht="12.75" x14ac:dyDescent="0.2"/>
    <row r="8595" ht="12.75" x14ac:dyDescent="0.2"/>
    <row r="8596" ht="12.75" x14ac:dyDescent="0.2"/>
    <row r="8597" ht="12.75" x14ac:dyDescent="0.2"/>
    <row r="8598" ht="12.75" x14ac:dyDescent="0.2"/>
    <row r="8599" ht="12.75" x14ac:dyDescent="0.2"/>
    <row r="8600" ht="12.75" x14ac:dyDescent="0.2"/>
    <row r="8601" ht="12.75" x14ac:dyDescent="0.2"/>
    <row r="8602" ht="12.75" x14ac:dyDescent="0.2"/>
    <row r="8603" ht="12.75" x14ac:dyDescent="0.2"/>
    <row r="8604" ht="12.75" x14ac:dyDescent="0.2"/>
    <row r="8605" ht="12.75" x14ac:dyDescent="0.2"/>
    <row r="8606" ht="12.75" x14ac:dyDescent="0.2"/>
    <row r="8607" ht="12.75" x14ac:dyDescent="0.2"/>
    <row r="8608" ht="12.75" x14ac:dyDescent="0.2"/>
    <row r="8609" ht="12.75" x14ac:dyDescent="0.2"/>
    <row r="8610" ht="12.75" x14ac:dyDescent="0.2"/>
    <row r="8611" ht="12.75" x14ac:dyDescent="0.2"/>
    <row r="8612" ht="12.75" x14ac:dyDescent="0.2"/>
    <row r="8613" ht="12.75" x14ac:dyDescent="0.2"/>
    <row r="8614" ht="12.75" x14ac:dyDescent="0.2"/>
    <row r="8615" ht="12.75" x14ac:dyDescent="0.2"/>
    <row r="8616" ht="12.75" x14ac:dyDescent="0.2"/>
    <row r="8617" ht="12.75" x14ac:dyDescent="0.2"/>
    <row r="8618" ht="12.75" x14ac:dyDescent="0.2"/>
    <row r="8619" ht="12.75" x14ac:dyDescent="0.2"/>
    <row r="8620" ht="12.75" x14ac:dyDescent="0.2"/>
    <row r="8621" ht="12.75" x14ac:dyDescent="0.2"/>
    <row r="8622" ht="12.75" x14ac:dyDescent="0.2"/>
    <row r="8623" ht="12.75" x14ac:dyDescent="0.2"/>
    <row r="8624" ht="12.75" x14ac:dyDescent="0.2"/>
    <row r="8625" ht="12.75" x14ac:dyDescent="0.2"/>
    <row r="8626" ht="12.75" x14ac:dyDescent="0.2"/>
    <row r="8627" ht="12.75" x14ac:dyDescent="0.2"/>
    <row r="8628" ht="12.75" x14ac:dyDescent="0.2"/>
    <row r="8629" ht="12.75" x14ac:dyDescent="0.2"/>
    <row r="8630" ht="12.75" x14ac:dyDescent="0.2"/>
    <row r="8631" ht="12.75" x14ac:dyDescent="0.2"/>
    <row r="8632" ht="12.75" x14ac:dyDescent="0.2"/>
    <row r="8633" ht="12.75" x14ac:dyDescent="0.2"/>
    <row r="8634" ht="12.75" x14ac:dyDescent="0.2"/>
    <row r="8635" ht="12.75" x14ac:dyDescent="0.2"/>
    <row r="8636" ht="12.75" x14ac:dyDescent="0.2"/>
    <row r="8637" ht="12.75" x14ac:dyDescent="0.2"/>
    <row r="8638" ht="12.75" x14ac:dyDescent="0.2"/>
    <row r="8639" ht="12.75" x14ac:dyDescent="0.2"/>
    <row r="8640" ht="12.75" x14ac:dyDescent="0.2"/>
    <row r="8641" ht="12.75" x14ac:dyDescent="0.2"/>
    <row r="8642" ht="12.75" x14ac:dyDescent="0.2"/>
    <row r="8643" ht="12.75" x14ac:dyDescent="0.2"/>
    <row r="8644" ht="12.75" x14ac:dyDescent="0.2"/>
    <row r="8645" ht="12.75" x14ac:dyDescent="0.2"/>
    <row r="8646" ht="12.75" x14ac:dyDescent="0.2"/>
    <row r="8647" ht="12.75" x14ac:dyDescent="0.2"/>
    <row r="8648" ht="12.75" x14ac:dyDescent="0.2"/>
    <row r="8649" ht="12.75" x14ac:dyDescent="0.2"/>
    <row r="8650" ht="12.75" x14ac:dyDescent="0.2"/>
    <row r="8651" ht="12.75" x14ac:dyDescent="0.2"/>
    <row r="8652" ht="12.75" x14ac:dyDescent="0.2"/>
    <row r="8653" ht="12.75" x14ac:dyDescent="0.2"/>
    <row r="8654" ht="12.75" x14ac:dyDescent="0.2"/>
    <row r="8655" ht="12.75" x14ac:dyDescent="0.2"/>
    <row r="8656" ht="12.75" x14ac:dyDescent="0.2"/>
    <row r="8657" ht="12.75" x14ac:dyDescent="0.2"/>
    <row r="8658" ht="12.75" x14ac:dyDescent="0.2"/>
    <row r="8659" ht="12.75" x14ac:dyDescent="0.2"/>
    <row r="8660" ht="12.75" x14ac:dyDescent="0.2"/>
    <row r="8661" ht="12.75" x14ac:dyDescent="0.2"/>
    <row r="8662" ht="12.75" x14ac:dyDescent="0.2"/>
    <row r="8663" ht="12.75" x14ac:dyDescent="0.2"/>
    <row r="8664" ht="12.75" x14ac:dyDescent="0.2"/>
    <row r="8665" ht="12.75" x14ac:dyDescent="0.2"/>
    <row r="8666" ht="12.75" x14ac:dyDescent="0.2"/>
    <row r="8667" ht="12.75" x14ac:dyDescent="0.2"/>
    <row r="8668" ht="12.75" x14ac:dyDescent="0.2"/>
    <row r="8669" ht="12.75" x14ac:dyDescent="0.2"/>
    <row r="8670" ht="12.75" x14ac:dyDescent="0.2"/>
    <row r="8671" ht="12.75" x14ac:dyDescent="0.2"/>
    <row r="8672" ht="12.75" x14ac:dyDescent="0.2"/>
    <row r="8673" ht="12.75" x14ac:dyDescent="0.2"/>
    <row r="8674" ht="12.75" x14ac:dyDescent="0.2"/>
    <row r="8675" ht="12.75" x14ac:dyDescent="0.2"/>
    <row r="8676" ht="12.75" x14ac:dyDescent="0.2"/>
    <row r="8677" ht="12.75" x14ac:dyDescent="0.2"/>
    <row r="8678" ht="12.75" x14ac:dyDescent="0.2"/>
    <row r="8679" ht="12.75" x14ac:dyDescent="0.2"/>
    <row r="8680" ht="12.75" x14ac:dyDescent="0.2"/>
    <row r="8681" ht="12.75" x14ac:dyDescent="0.2"/>
    <row r="8682" ht="12.75" x14ac:dyDescent="0.2"/>
    <row r="8683" ht="12.75" x14ac:dyDescent="0.2"/>
    <row r="8684" ht="12.75" x14ac:dyDescent="0.2"/>
    <row r="8685" ht="12.75" x14ac:dyDescent="0.2"/>
    <row r="8686" ht="12.75" x14ac:dyDescent="0.2"/>
    <row r="8687" ht="12.75" x14ac:dyDescent="0.2"/>
    <row r="8688" ht="12.75" x14ac:dyDescent="0.2"/>
    <row r="8689" ht="12.75" x14ac:dyDescent="0.2"/>
    <row r="8690" ht="12.75" x14ac:dyDescent="0.2"/>
    <row r="8691" ht="12.75" x14ac:dyDescent="0.2"/>
    <row r="8692" ht="12.75" x14ac:dyDescent="0.2"/>
    <row r="8693" ht="12.75" x14ac:dyDescent="0.2"/>
    <row r="8694" ht="12.75" x14ac:dyDescent="0.2"/>
    <row r="8695" ht="12.75" x14ac:dyDescent="0.2"/>
    <row r="8696" ht="12.75" x14ac:dyDescent="0.2"/>
    <row r="8697" ht="12.75" x14ac:dyDescent="0.2"/>
    <row r="8698" ht="12.75" x14ac:dyDescent="0.2"/>
    <row r="8699" ht="12.75" x14ac:dyDescent="0.2"/>
    <row r="8700" ht="12.75" x14ac:dyDescent="0.2"/>
    <row r="8701" ht="12.75" x14ac:dyDescent="0.2"/>
    <row r="8702" ht="12.75" x14ac:dyDescent="0.2"/>
    <row r="8703" ht="12.75" x14ac:dyDescent="0.2"/>
    <row r="8704" ht="12.75" x14ac:dyDescent="0.2"/>
    <row r="8705" ht="12.75" x14ac:dyDescent="0.2"/>
    <row r="8706" ht="12.75" x14ac:dyDescent="0.2"/>
    <row r="8707" ht="12.75" x14ac:dyDescent="0.2"/>
    <row r="8708" ht="12.75" x14ac:dyDescent="0.2"/>
    <row r="8709" ht="12.75" x14ac:dyDescent="0.2"/>
    <row r="8710" ht="12.75" x14ac:dyDescent="0.2"/>
    <row r="8711" ht="12.75" x14ac:dyDescent="0.2"/>
    <row r="8712" ht="12.75" x14ac:dyDescent="0.2"/>
    <row r="8713" ht="12.75" x14ac:dyDescent="0.2"/>
    <row r="8714" ht="12.75" x14ac:dyDescent="0.2"/>
    <row r="8715" ht="12.75" x14ac:dyDescent="0.2"/>
    <row r="8716" ht="12.75" x14ac:dyDescent="0.2"/>
    <row r="8717" ht="12.75" x14ac:dyDescent="0.2"/>
    <row r="8718" ht="12.75" x14ac:dyDescent="0.2"/>
    <row r="8719" ht="12.75" x14ac:dyDescent="0.2"/>
    <row r="8720" ht="12.75" x14ac:dyDescent="0.2"/>
    <row r="8721" ht="12.75" x14ac:dyDescent="0.2"/>
    <row r="8722" ht="12.75" x14ac:dyDescent="0.2"/>
    <row r="8723" ht="12.75" x14ac:dyDescent="0.2"/>
    <row r="8724" ht="12.75" x14ac:dyDescent="0.2"/>
    <row r="8725" ht="12.75" x14ac:dyDescent="0.2"/>
    <row r="8726" ht="12.75" x14ac:dyDescent="0.2"/>
    <row r="8727" ht="12.75" x14ac:dyDescent="0.2"/>
    <row r="8728" ht="12.75" x14ac:dyDescent="0.2"/>
    <row r="8729" ht="12.75" x14ac:dyDescent="0.2"/>
    <row r="8730" ht="12.75" x14ac:dyDescent="0.2"/>
    <row r="8731" ht="12.75" x14ac:dyDescent="0.2"/>
    <row r="8732" ht="12.75" x14ac:dyDescent="0.2"/>
    <row r="8733" ht="12.75" x14ac:dyDescent="0.2"/>
    <row r="8734" ht="12.75" x14ac:dyDescent="0.2"/>
    <row r="8735" ht="12.75" x14ac:dyDescent="0.2"/>
    <row r="8736" ht="12.75" x14ac:dyDescent="0.2"/>
    <row r="8737" ht="12.75" x14ac:dyDescent="0.2"/>
    <row r="8738" ht="12.75" x14ac:dyDescent="0.2"/>
    <row r="8739" ht="12.75" x14ac:dyDescent="0.2"/>
    <row r="8740" ht="12.75" x14ac:dyDescent="0.2"/>
    <row r="8741" ht="12.75" x14ac:dyDescent="0.2"/>
    <row r="8742" ht="12.75" x14ac:dyDescent="0.2"/>
    <row r="8743" ht="12.75" x14ac:dyDescent="0.2"/>
    <row r="8744" ht="12.75" x14ac:dyDescent="0.2"/>
    <row r="8745" ht="12.75" x14ac:dyDescent="0.2"/>
    <row r="8746" ht="12.75" x14ac:dyDescent="0.2"/>
    <row r="8747" ht="12.75" x14ac:dyDescent="0.2"/>
    <row r="8748" ht="12.75" x14ac:dyDescent="0.2"/>
    <row r="8749" ht="12.75" x14ac:dyDescent="0.2"/>
    <row r="8750" ht="12.75" x14ac:dyDescent="0.2"/>
    <row r="8751" ht="12.75" x14ac:dyDescent="0.2"/>
    <row r="8752" ht="12.75" x14ac:dyDescent="0.2"/>
    <row r="8753" ht="12.75" x14ac:dyDescent="0.2"/>
    <row r="8754" ht="12.75" x14ac:dyDescent="0.2"/>
    <row r="8755" ht="12.75" x14ac:dyDescent="0.2"/>
    <row r="8756" ht="12.75" x14ac:dyDescent="0.2"/>
    <row r="8757" ht="12.75" x14ac:dyDescent="0.2"/>
    <row r="8758" ht="12.75" x14ac:dyDescent="0.2"/>
    <row r="8759" ht="12.75" x14ac:dyDescent="0.2"/>
    <row r="8760" ht="12.75" x14ac:dyDescent="0.2"/>
    <row r="8761" ht="12.75" x14ac:dyDescent="0.2"/>
    <row r="8762" ht="12.75" x14ac:dyDescent="0.2"/>
    <row r="8763" ht="12.75" x14ac:dyDescent="0.2"/>
    <row r="8764" ht="12.75" x14ac:dyDescent="0.2"/>
    <row r="8765" ht="12.75" x14ac:dyDescent="0.2"/>
    <row r="8766" ht="12.75" x14ac:dyDescent="0.2"/>
    <row r="8767" ht="12.75" x14ac:dyDescent="0.2"/>
    <row r="8768" ht="12.75" x14ac:dyDescent="0.2"/>
    <row r="8769" ht="12.75" x14ac:dyDescent="0.2"/>
    <row r="8770" ht="12.75" x14ac:dyDescent="0.2"/>
    <row r="8771" ht="12.75" x14ac:dyDescent="0.2"/>
    <row r="8772" ht="12.75" x14ac:dyDescent="0.2"/>
    <row r="8773" ht="12.75" x14ac:dyDescent="0.2"/>
    <row r="8774" ht="12.75" x14ac:dyDescent="0.2"/>
    <row r="8775" ht="12.75" x14ac:dyDescent="0.2"/>
    <row r="8776" ht="12.75" x14ac:dyDescent="0.2"/>
    <row r="8777" ht="12.75" x14ac:dyDescent="0.2"/>
    <row r="8778" ht="12.75" x14ac:dyDescent="0.2"/>
    <row r="8779" ht="12.75" x14ac:dyDescent="0.2"/>
    <row r="8780" ht="12.75" x14ac:dyDescent="0.2"/>
    <row r="8781" ht="12.75" x14ac:dyDescent="0.2"/>
    <row r="8782" ht="12.75" x14ac:dyDescent="0.2"/>
    <row r="8783" ht="12.75" x14ac:dyDescent="0.2"/>
    <row r="8784" ht="12.75" x14ac:dyDescent="0.2"/>
    <row r="8785" ht="12.75" x14ac:dyDescent="0.2"/>
    <row r="8786" ht="12.75" x14ac:dyDescent="0.2"/>
    <row r="8787" ht="12.75" x14ac:dyDescent="0.2"/>
    <row r="8788" ht="12.75" x14ac:dyDescent="0.2"/>
    <row r="8789" ht="12.75" x14ac:dyDescent="0.2"/>
    <row r="8790" ht="12.75" x14ac:dyDescent="0.2"/>
    <row r="8791" ht="12.75" x14ac:dyDescent="0.2"/>
    <row r="8792" ht="12.75" x14ac:dyDescent="0.2"/>
    <row r="8793" ht="12.75" x14ac:dyDescent="0.2"/>
    <row r="8794" ht="12.75" x14ac:dyDescent="0.2"/>
    <row r="8795" ht="12.75" x14ac:dyDescent="0.2"/>
    <row r="8796" ht="12.75" x14ac:dyDescent="0.2"/>
    <row r="8797" ht="12.75" x14ac:dyDescent="0.2"/>
    <row r="8798" ht="12.75" x14ac:dyDescent="0.2"/>
    <row r="8799" ht="12.75" x14ac:dyDescent="0.2"/>
    <row r="8800" ht="12.75" x14ac:dyDescent="0.2"/>
    <row r="8801" ht="12.75" x14ac:dyDescent="0.2"/>
    <row r="8802" ht="12.75" x14ac:dyDescent="0.2"/>
    <row r="8803" ht="12.75" x14ac:dyDescent="0.2"/>
    <row r="8804" ht="12.75" x14ac:dyDescent="0.2"/>
    <row r="8805" ht="12.75" x14ac:dyDescent="0.2"/>
    <row r="8806" ht="12.75" x14ac:dyDescent="0.2"/>
    <row r="8807" ht="12.75" x14ac:dyDescent="0.2"/>
    <row r="8808" ht="12.75" x14ac:dyDescent="0.2"/>
    <row r="8809" ht="12.75" x14ac:dyDescent="0.2"/>
    <row r="8810" ht="12.75" x14ac:dyDescent="0.2"/>
    <row r="8811" ht="12.75" x14ac:dyDescent="0.2"/>
    <row r="8812" ht="12.75" x14ac:dyDescent="0.2"/>
    <row r="8813" ht="12.75" x14ac:dyDescent="0.2"/>
    <row r="8814" ht="12.75" x14ac:dyDescent="0.2"/>
    <row r="8815" ht="12.75" x14ac:dyDescent="0.2"/>
    <row r="8816" ht="12.75" x14ac:dyDescent="0.2"/>
    <row r="8817" ht="12.75" x14ac:dyDescent="0.2"/>
    <row r="8818" ht="12.75" x14ac:dyDescent="0.2"/>
    <row r="8819" ht="12.75" x14ac:dyDescent="0.2"/>
    <row r="8820" ht="12.75" x14ac:dyDescent="0.2"/>
    <row r="8821" ht="12.75" x14ac:dyDescent="0.2"/>
    <row r="8822" ht="12.75" x14ac:dyDescent="0.2"/>
    <row r="8823" ht="12.75" x14ac:dyDescent="0.2"/>
    <row r="8824" ht="12.75" x14ac:dyDescent="0.2"/>
    <row r="8825" ht="12.75" x14ac:dyDescent="0.2"/>
    <row r="8826" ht="12.75" x14ac:dyDescent="0.2"/>
    <row r="8827" ht="12.75" x14ac:dyDescent="0.2"/>
    <row r="8828" ht="12.75" x14ac:dyDescent="0.2"/>
    <row r="8829" ht="12.75" x14ac:dyDescent="0.2"/>
    <row r="8830" ht="12.75" x14ac:dyDescent="0.2"/>
    <row r="8831" ht="12.75" x14ac:dyDescent="0.2"/>
    <row r="8832" ht="12.75" x14ac:dyDescent="0.2"/>
    <row r="8833" ht="12.75" x14ac:dyDescent="0.2"/>
    <row r="8834" ht="12.75" x14ac:dyDescent="0.2"/>
    <row r="8835" ht="12.75" x14ac:dyDescent="0.2"/>
    <row r="8836" ht="12.75" x14ac:dyDescent="0.2"/>
    <row r="8837" ht="12.75" x14ac:dyDescent="0.2"/>
    <row r="8838" ht="12.75" x14ac:dyDescent="0.2"/>
    <row r="8839" ht="12.75" x14ac:dyDescent="0.2"/>
    <row r="8840" ht="12.75" x14ac:dyDescent="0.2"/>
    <row r="8841" ht="12.75" x14ac:dyDescent="0.2"/>
    <row r="8842" ht="12.75" x14ac:dyDescent="0.2"/>
    <row r="8843" ht="12.75" x14ac:dyDescent="0.2"/>
    <row r="8844" ht="12.75" x14ac:dyDescent="0.2"/>
    <row r="8845" ht="12.75" x14ac:dyDescent="0.2"/>
    <row r="8846" ht="12.75" x14ac:dyDescent="0.2"/>
    <row r="8847" ht="12.75" x14ac:dyDescent="0.2"/>
    <row r="8848" ht="12.75" x14ac:dyDescent="0.2"/>
    <row r="8849" ht="12.75" x14ac:dyDescent="0.2"/>
    <row r="8850" ht="12.75" x14ac:dyDescent="0.2"/>
    <row r="8851" ht="12.75" x14ac:dyDescent="0.2"/>
    <row r="8852" ht="12.75" x14ac:dyDescent="0.2"/>
    <row r="8853" ht="12.75" x14ac:dyDescent="0.2"/>
    <row r="8854" ht="12.75" x14ac:dyDescent="0.2"/>
    <row r="8855" ht="12.75" x14ac:dyDescent="0.2"/>
    <row r="8856" ht="12.75" x14ac:dyDescent="0.2"/>
    <row r="8857" ht="12.75" x14ac:dyDescent="0.2"/>
    <row r="8858" ht="12.75" x14ac:dyDescent="0.2"/>
    <row r="8859" ht="12.75" x14ac:dyDescent="0.2"/>
    <row r="8860" ht="12.75" x14ac:dyDescent="0.2"/>
    <row r="8861" ht="12.75" x14ac:dyDescent="0.2"/>
    <row r="8862" ht="12.75" x14ac:dyDescent="0.2"/>
    <row r="8863" ht="12.75" x14ac:dyDescent="0.2"/>
    <row r="8864" ht="12.75" x14ac:dyDescent="0.2"/>
    <row r="8865" ht="12.75" x14ac:dyDescent="0.2"/>
    <row r="8866" ht="12.75" x14ac:dyDescent="0.2"/>
    <row r="8867" ht="12.75" x14ac:dyDescent="0.2"/>
    <row r="8868" ht="12.75" x14ac:dyDescent="0.2"/>
    <row r="8869" ht="12.75" x14ac:dyDescent="0.2"/>
    <row r="8870" ht="12.75" x14ac:dyDescent="0.2"/>
    <row r="8871" ht="12.75" x14ac:dyDescent="0.2"/>
    <row r="8872" ht="12.75" x14ac:dyDescent="0.2"/>
    <row r="8873" ht="12.75" x14ac:dyDescent="0.2"/>
    <row r="8874" ht="12.75" x14ac:dyDescent="0.2"/>
    <row r="8875" ht="12.75" x14ac:dyDescent="0.2"/>
    <row r="8876" ht="12.75" x14ac:dyDescent="0.2"/>
    <row r="8877" ht="12.75" x14ac:dyDescent="0.2"/>
    <row r="8878" ht="12.75" x14ac:dyDescent="0.2"/>
    <row r="8879" ht="12.75" x14ac:dyDescent="0.2"/>
    <row r="8880" ht="12.75" x14ac:dyDescent="0.2"/>
    <row r="8881" ht="12.75" x14ac:dyDescent="0.2"/>
    <row r="8882" ht="12.75" x14ac:dyDescent="0.2"/>
    <row r="8883" ht="12.75" x14ac:dyDescent="0.2"/>
    <row r="8884" ht="12.75" x14ac:dyDescent="0.2"/>
    <row r="8885" ht="12.75" x14ac:dyDescent="0.2"/>
    <row r="8886" ht="12.75" x14ac:dyDescent="0.2"/>
    <row r="8887" ht="12.75" x14ac:dyDescent="0.2"/>
    <row r="8888" ht="12.75" x14ac:dyDescent="0.2"/>
    <row r="8889" ht="12.75" x14ac:dyDescent="0.2"/>
    <row r="8890" ht="12.75" x14ac:dyDescent="0.2"/>
    <row r="8891" ht="12.75" x14ac:dyDescent="0.2"/>
    <row r="8892" ht="12.75" x14ac:dyDescent="0.2"/>
    <row r="8893" ht="12.75" x14ac:dyDescent="0.2"/>
    <row r="8894" ht="12.75" x14ac:dyDescent="0.2"/>
    <row r="8895" ht="12.75" x14ac:dyDescent="0.2"/>
    <row r="8896" ht="12.75" x14ac:dyDescent="0.2"/>
    <row r="8897" ht="12.75" x14ac:dyDescent="0.2"/>
    <row r="8898" ht="12.75" x14ac:dyDescent="0.2"/>
    <row r="8899" ht="12.75" x14ac:dyDescent="0.2"/>
    <row r="8900" ht="12.75" x14ac:dyDescent="0.2"/>
    <row r="8901" ht="12.75" x14ac:dyDescent="0.2"/>
    <row r="8902" ht="12.75" x14ac:dyDescent="0.2"/>
    <row r="8903" ht="12.75" x14ac:dyDescent="0.2"/>
    <row r="8904" ht="12.75" x14ac:dyDescent="0.2"/>
    <row r="8905" ht="12.75" x14ac:dyDescent="0.2"/>
    <row r="8906" ht="12.75" x14ac:dyDescent="0.2"/>
    <row r="8907" ht="12.75" x14ac:dyDescent="0.2"/>
    <row r="8908" ht="12.75" x14ac:dyDescent="0.2"/>
    <row r="8909" ht="12.75" x14ac:dyDescent="0.2"/>
    <row r="8910" ht="12.75" x14ac:dyDescent="0.2"/>
    <row r="8911" ht="12.75" x14ac:dyDescent="0.2"/>
    <row r="8912" ht="12.75" x14ac:dyDescent="0.2"/>
    <row r="8913" ht="12.75" x14ac:dyDescent="0.2"/>
    <row r="8914" ht="12.75" x14ac:dyDescent="0.2"/>
    <row r="8915" ht="12.75" x14ac:dyDescent="0.2"/>
    <row r="8916" ht="12.75" x14ac:dyDescent="0.2"/>
    <row r="8917" ht="12.75" x14ac:dyDescent="0.2"/>
    <row r="8918" ht="12.75" x14ac:dyDescent="0.2"/>
    <row r="8919" ht="12.75" x14ac:dyDescent="0.2"/>
    <row r="8920" ht="12.75" x14ac:dyDescent="0.2"/>
    <row r="8921" ht="12.75" x14ac:dyDescent="0.2"/>
    <row r="8922" ht="12.75" x14ac:dyDescent="0.2"/>
    <row r="8923" ht="12.75" x14ac:dyDescent="0.2"/>
    <row r="8924" ht="12.75" x14ac:dyDescent="0.2"/>
    <row r="8925" ht="12.75" x14ac:dyDescent="0.2"/>
    <row r="8926" ht="12.75" x14ac:dyDescent="0.2"/>
    <row r="8927" ht="12.75" x14ac:dyDescent="0.2"/>
    <row r="8928" ht="12.75" x14ac:dyDescent="0.2"/>
    <row r="8929" ht="12.75" x14ac:dyDescent="0.2"/>
    <row r="8930" ht="12.75" x14ac:dyDescent="0.2"/>
    <row r="8931" ht="12.75" x14ac:dyDescent="0.2"/>
    <row r="8932" ht="12.75" x14ac:dyDescent="0.2"/>
    <row r="8933" ht="12.75" x14ac:dyDescent="0.2"/>
    <row r="8934" ht="12.75" x14ac:dyDescent="0.2"/>
    <row r="8935" ht="12.75" x14ac:dyDescent="0.2"/>
    <row r="8936" ht="12.75" x14ac:dyDescent="0.2"/>
    <row r="8937" ht="12.75" x14ac:dyDescent="0.2"/>
    <row r="8938" ht="12.75" x14ac:dyDescent="0.2"/>
    <row r="8939" ht="12.75" x14ac:dyDescent="0.2"/>
    <row r="8940" ht="12.75" x14ac:dyDescent="0.2"/>
    <row r="8941" ht="12.75" x14ac:dyDescent="0.2"/>
    <row r="8942" ht="12.75" x14ac:dyDescent="0.2"/>
    <row r="8943" ht="12.75" x14ac:dyDescent="0.2"/>
    <row r="8944" ht="12.75" x14ac:dyDescent="0.2"/>
    <row r="8945" ht="12.75" x14ac:dyDescent="0.2"/>
    <row r="8946" ht="12.75" x14ac:dyDescent="0.2"/>
    <row r="8947" ht="12.75" x14ac:dyDescent="0.2"/>
    <row r="8948" ht="12.75" x14ac:dyDescent="0.2"/>
    <row r="8949" ht="12.75" x14ac:dyDescent="0.2"/>
    <row r="8950" ht="12.75" x14ac:dyDescent="0.2"/>
    <row r="8951" ht="12.75" x14ac:dyDescent="0.2"/>
    <row r="8952" ht="12.75" x14ac:dyDescent="0.2"/>
    <row r="8953" ht="12.75" x14ac:dyDescent="0.2"/>
    <row r="8954" ht="12.75" x14ac:dyDescent="0.2"/>
    <row r="8955" ht="12.75" x14ac:dyDescent="0.2"/>
    <row r="8956" ht="12.75" x14ac:dyDescent="0.2"/>
    <row r="8957" ht="12.75" x14ac:dyDescent="0.2"/>
    <row r="8958" ht="12.75" x14ac:dyDescent="0.2"/>
    <row r="8959" ht="12.75" x14ac:dyDescent="0.2"/>
    <row r="8960" ht="12.75" x14ac:dyDescent="0.2"/>
    <row r="8961" ht="12.75" x14ac:dyDescent="0.2"/>
    <row r="8962" ht="12.75" x14ac:dyDescent="0.2"/>
    <row r="8963" ht="12.75" x14ac:dyDescent="0.2"/>
    <row r="8964" ht="12.75" x14ac:dyDescent="0.2"/>
    <row r="8965" ht="12.75" x14ac:dyDescent="0.2"/>
    <row r="8966" ht="12.75" x14ac:dyDescent="0.2"/>
    <row r="8967" ht="12.75" x14ac:dyDescent="0.2"/>
    <row r="8968" ht="12.75" x14ac:dyDescent="0.2"/>
    <row r="8969" ht="12.75" x14ac:dyDescent="0.2"/>
    <row r="8970" ht="12.75" x14ac:dyDescent="0.2"/>
    <row r="8971" ht="12.75" x14ac:dyDescent="0.2"/>
    <row r="8972" ht="12.75" x14ac:dyDescent="0.2"/>
    <row r="8973" ht="12.75" x14ac:dyDescent="0.2"/>
    <row r="8974" ht="12.75" x14ac:dyDescent="0.2"/>
    <row r="8975" ht="12.75" x14ac:dyDescent="0.2"/>
    <row r="8976" ht="12.75" x14ac:dyDescent="0.2"/>
    <row r="8977" ht="12.75" x14ac:dyDescent="0.2"/>
    <row r="8978" ht="12.75" x14ac:dyDescent="0.2"/>
    <row r="8979" ht="12.75" x14ac:dyDescent="0.2"/>
    <row r="8980" ht="12.75" x14ac:dyDescent="0.2"/>
    <row r="8981" ht="12.75" x14ac:dyDescent="0.2"/>
    <row r="8982" ht="12.75" x14ac:dyDescent="0.2"/>
    <row r="8983" ht="12.75" x14ac:dyDescent="0.2"/>
    <row r="8984" ht="12.75" x14ac:dyDescent="0.2"/>
    <row r="8985" ht="12.75" x14ac:dyDescent="0.2"/>
    <row r="8986" ht="12.75" x14ac:dyDescent="0.2"/>
    <row r="8987" ht="12.75" x14ac:dyDescent="0.2"/>
    <row r="8988" ht="12.75" x14ac:dyDescent="0.2"/>
    <row r="8989" ht="12.75" x14ac:dyDescent="0.2"/>
    <row r="8990" ht="12.75" x14ac:dyDescent="0.2"/>
    <row r="8991" ht="12.75" x14ac:dyDescent="0.2"/>
    <row r="8992" ht="12.75" x14ac:dyDescent="0.2"/>
    <row r="8993" ht="12.75" x14ac:dyDescent="0.2"/>
    <row r="8994" ht="12.75" x14ac:dyDescent="0.2"/>
    <row r="8995" ht="12.75" x14ac:dyDescent="0.2"/>
    <row r="8996" ht="12.75" x14ac:dyDescent="0.2"/>
    <row r="8997" ht="12.75" x14ac:dyDescent="0.2"/>
    <row r="8998" ht="12.75" x14ac:dyDescent="0.2"/>
    <row r="8999" ht="12.75" x14ac:dyDescent="0.2"/>
    <row r="9000" ht="12.75" x14ac:dyDescent="0.2"/>
    <row r="9001" ht="12.75" x14ac:dyDescent="0.2"/>
    <row r="9002" ht="12.75" x14ac:dyDescent="0.2"/>
    <row r="9003" ht="12.75" x14ac:dyDescent="0.2"/>
    <row r="9004" ht="12.75" x14ac:dyDescent="0.2"/>
    <row r="9005" ht="12.75" x14ac:dyDescent="0.2"/>
    <row r="9006" ht="12.75" x14ac:dyDescent="0.2"/>
    <row r="9007" ht="12.75" x14ac:dyDescent="0.2"/>
    <row r="9008" ht="12.75" x14ac:dyDescent="0.2"/>
    <row r="9009" ht="12.75" x14ac:dyDescent="0.2"/>
    <row r="9010" ht="12.75" x14ac:dyDescent="0.2"/>
    <row r="9011" ht="12.75" x14ac:dyDescent="0.2"/>
    <row r="9012" ht="12.75" x14ac:dyDescent="0.2"/>
    <row r="9013" ht="12.75" x14ac:dyDescent="0.2"/>
    <row r="9014" ht="12.75" x14ac:dyDescent="0.2"/>
    <row r="9015" ht="12.75" x14ac:dyDescent="0.2"/>
    <row r="9016" ht="12.75" x14ac:dyDescent="0.2"/>
    <row r="9017" ht="12.75" x14ac:dyDescent="0.2"/>
    <row r="9018" ht="12.75" x14ac:dyDescent="0.2"/>
    <row r="9019" ht="12.75" x14ac:dyDescent="0.2"/>
    <row r="9020" ht="12.75" x14ac:dyDescent="0.2"/>
    <row r="9021" ht="12.75" x14ac:dyDescent="0.2"/>
    <row r="9022" ht="12.75" x14ac:dyDescent="0.2"/>
    <row r="9023" ht="12.75" x14ac:dyDescent="0.2"/>
    <row r="9024" ht="12.75" x14ac:dyDescent="0.2"/>
    <row r="9025" ht="12.75" x14ac:dyDescent="0.2"/>
    <row r="9026" ht="12.75" x14ac:dyDescent="0.2"/>
    <row r="9027" ht="12.75" x14ac:dyDescent="0.2"/>
    <row r="9028" ht="12.75" x14ac:dyDescent="0.2"/>
    <row r="9029" ht="12.75" x14ac:dyDescent="0.2"/>
    <row r="9030" ht="12.75" x14ac:dyDescent="0.2"/>
    <row r="9031" ht="12.75" x14ac:dyDescent="0.2"/>
    <row r="9032" ht="12.75" x14ac:dyDescent="0.2"/>
    <row r="9033" ht="12.75" x14ac:dyDescent="0.2"/>
    <row r="9034" ht="12.75" x14ac:dyDescent="0.2"/>
    <row r="9035" ht="12.75" x14ac:dyDescent="0.2"/>
    <row r="9036" ht="12.75" x14ac:dyDescent="0.2"/>
    <row r="9037" ht="12.75" x14ac:dyDescent="0.2"/>
    <row r="9038" ht="12.75" x14ac:dyDescent="0.2"/>
    <row r="9039" ht="12.75" x14ac:dyDescent="0.2"/>
    <row r="9040" ht="12.75" x14ac:dyDescent="0.2"/>
    <row r="9041" ht="12.75" x14ac:dyDescent="0.2"/>
    <row r="9042" ht="12.75" x14ac:dyDescent="0.2"/>
    <row r="9043" ht="12.75" x14ac:dyDescent="0.2"/>
    <row r="9044" ht="12.75" x14ac:dyDescent="0.2"/>
    <row r="9045" ht="12.75" x14ac:dyDescent="0.2"/>
    <row r="9046" ht="12.75" x14ac:dyDescent="0.2"/>
    <row r="9047" ht="12.75" x14ac:dyDescent="0.2"/>
    <row r="9048" ht="12.75" x14ac:dyDescent="0.2"/>
    <row r="9049" ht="12.75" x14ac:dyDescent="0.2"/>
    <row r="9050" ht="12.75" x14ac:dyDescent="0.2"/>
    <row r="9051" ht="12.75" x14ac:dyDescent="0.2"/>
    <row r="9052" ht="12.75" x14ac:dyDescent="0.2"/>
    <row r="9053" ht="12.75" x14ac:dyDescent="0.2"/>
    <row r="9054" ht="12.75" x14ac:dyDescent="0.2"/>
    <row r="9055" ht="12.75" x14ac:dyDescent="0.2"/>
    <row r="9056" ht="12.75" x14ac:dyDescent="0.2"/>
    <row r="9057" ht="12.75" x14ac:dyDescent="0.2"/>
    <row r="9058" ht="12.75" x14ac:dyDescent="0.2"/>
    <row r="9059" ht="12.75" x14ac:dyDescent="0.2"/>
    <row r="9060" ht="12.75" x14ac:dyDescent="0.2"/>
    <row r="9061" ht="12.75" x14ac:dyDescent="0.2"/>
    <row r="9062" ht="12.75" x14ac:dyDescent="0.2"/>
    <row r="9063" ht="12.75" x14ac:dyDescent="0.2"/>
    <row r="9064" ht="12.75" x14ac:dyDescent="0.2"/>
    <row r="9065" ht="12.75" x14ac:dyDescent="0.2"/>
    <row r="9066" ht="12.75" x14ac:dyDescent="0.2"/>
    <row r="9067" ht="12.75" x14ac:dyDescent="0.2"/>
    <row r="9068" ht="12.75" x14ac:dyDescent="0.2"/>
    <row r="9069" ht="12.75" x14ac:dyDescent="0.2"/>
    <row r="9070" ht="12.75" x14ac:dyDescent="0.2"/>
    <row r="9071" ht="12.75" x14ac:dyDescent="0.2"/>
    <row r="9072" ht="12.75" x14ac:dyDescent="0.2"/>
    <row r="9073" ht="12.75" x14ac:dyDescent="0.2"/>
    <row r="9074" ht="12.75" x14ac:dyDescent="0.2"/>
    <row r="9075" ht="12.75" x14ac:dyDescent="0.2"/>
    <row r="9076" ht="12.75" x14ac:dyDescent="0.2"/>
    <row r="9077" ht="12.75" x14ac:dyDescent="0.2"/>
    <row r="9078" ht="12.75" x14ac:dyDescent="0.2"/>
    <row r="9079" ht="12.75" x14ac:dyDescent="0.2"/>
    <row r="9080" ht="12.75" x14ac:dyDescent="0.2"/>
    <row r="9081" ht="12.75" x14ac:dyDescent="0.2"/>
    <row r="9082" ht="12.75" x14ac:dyDescent="0.2"/>
    <row r="9083" ht="12.75" x14ac:dyDescent="0.2"/>
    <row r="9084" ht="12.75" x14ac:dyDescent="0.2"/>
    <row r="9085" ht="12.75" x14ac:dyDescent="0.2"/>
    <row r="9086" ht="12.75" x14ac:dyDescent="0.2"/>
    <row r="9087" ht="12.75" x14ac:dyDescent="0.2"/>
    <row r="9088" ht="12.75" x14ac:dyDescent="0.2"/>
    <row r="9089" ht="12.75" x14ac:dyDescent="0.2"/>
    <row r="9090" ht="12.75" x14ac:dyDescent="0.2"/>
    <row r="9091" ht="12.75" x14ac:dyDescent="0.2"/>
    <row r="9092" ht="12.75" x14ac:dyDescent="0.2"/>
    <row r="9093" ht="12.75" x14ac:dyDescent="0.2"/>
    <row r="9094" ht="12.75" x14ac:dyDescent="0.2"/>
    <row r="9095" ht="12.75" x14ac:dyDescent="0.2"/>
    <row r="9096" ht="12.75" x14ac:dyDescent="0.2"/>
    <row r="9097" ht="12.75" x14ac:dyDescent="0.2"/>
    <row r="9098" ht="12.75" x14ac:dyDescent="0.2"/>
    <row r="9099" ht="12.75" x14ac:dyDescent="0.2"/>
    <row r="9100" ht="12.75" x14ac:dyDescent="0.2"/>
    <row r="9101" ht="12.75" x14ac:dyDescent="0.2"/>
    <row r="9102" ht="12.75" x14ac:dyDescent="0.2"/>
    <row r="9103" ht="12.75" x14ac:dyDescent="0.2"/>
    <row r="9104" ht="12.75" x14ac:dyDescent="0.2"/>
    <row r="9105" ht="12.75" x14ac:dyDescent="0.2"/>
    <row r="9106" ht="12.75" x14ac:dyDescent="0.2"/>
    <row r="9107" ht="12.75" x14ac:dyDescent="0.2"/>
    <row r="9108" ht="12.75" x14ac:dyDescent="0.2"/>
    <row r="9109" ht="12.75" x14ac:dyDescent="0.2"/>
    <row r="9110" ht="12.75" x14ac:dyDescent="0.2"/>
    <row r="9111" ht="12.75" x14ac:dyDescent="0.2"/>
    <row r="9112" ht="12.75" x14ac:dyDescent="0.2"/>
    <row r="9113" ht="12.75" x14ac:dyDescent="0.2"/>
    <row r="9114" ht="12.75" x14ac:dyDescent="0.2"/>
    <row r="9115" ht="12.75" x14ac:dyDescent="0.2"/>
    <row r="9116" ht="12.75" x14ac:dyDescent="0.2"/>
    <row r="9117" ht="12.75" x14ac:dyDescent="0.2"/>
    <row r="9118" ht="12.75" x14ac:dyDescent="0.2"/>
    <row r="9119" ht="12.75" x14ac:dyDescent="0.2"/>
    <row r="9120" ht="12.75" x14ac:dyDescent="0.2"/>
    <row r="9121" ht="12.75" x14ac:dyDescent="0.2"/>
    <row r="9122" ht="12.75" x14ac:dyDescent="0.2"/>
    <row r="9123" ht="12.75" x14ac:dyDescent="0.2"/>
    <row r="9124" ht="12.75" x14ac:dyDescent="0.2"/>
    <row r="9125" ht="12.75" x14ac:dyDescent="0.2"/>
    <row r="9126" ht="12.75" x14ac:dyDescent="0.2"/>
    <row r="9127" ht="12.75" x14ac:dyDescent="0.2"/>
    <row r="9128" ht="12.75" x14ac:dyDescent="0.2"/>
    <row r="9129" ht="12.75" x14ac:dyDescent="0.2"/>
    <row r="9130" ht="12.75" x14ac:dyDescent="0.2"/>
    <row r="9131" ht="12.75" x14ac:dyDescent="0.2"/>
    <row r="9132" ht="12.75" x14ac:dyDescent="0.2"/>
    <row r="9133" ht="12.75" x14ac:dyDescent="0.2"/>
    <row r="9134" ht="12.75" x14ac:dyDescent="0.2"/>
    <row r="9135" ht="12.75" x14ac:dyDescent="0.2"/>
    <row r="9136" ht="12.75" x14ac:dyDescent="0.2"/>
    <row r="9137" ht="12.75" x14ac:dyDescent="0.2"/>
    <row r="9138" ht="12.75" x14ac:dyDescent="0.2"/>
    <row r="9139" ht="12.75" x14ac:dyDescent="0.2"/>
    <row r="9140" ht="12.75" x14ac:dyDescent="0.2"/>
    <row r="9141" ht="12.75" x14ac:dyDescent="0.2"/>
    <row r="9142" ht="12.75" x14ac:dyDescent="0.2"/>
    <row r="9143" ht="12.75" x14ac:dyDescent="0.2"/>
    <row r="9144" ht="12.75" x14ac:dyDescent="0.2"/>
    <row r="9145" ht="12.75" x14ac:dyDescent="0.2"/>
    <row r="9146" ht="12.75" x14ac:dyDescent="0.2"/>
    <row r="9147" ht="12.75" x14ac:dyDescent="0.2"/>
    <row r="9148" ht="12.75" x14ac:dyDescent="0.2"/>
    <row r="9149" ht="12.75" x14ac:dyDescent="0.2"/>
    <row r="9150" ht="12.75" x14ac:dyDescent="0.2"/>
    <row r="9151" ht="12.75" x14ac:dyDescent="0.2"/>
    <row r="9152" ht="12.75" x14ac:dyDescent="0.2"/>
    <row r="9153" ht="12.75" x14ac:dyDescent="0.2"/>
    <row r="9154" ht="12.75" x14ac:dyDescent="0.2"/>
    <row r="9155" ht="12.75" x14ac:dyDescent="0.2"/>
    <row r="9156" ht="12.75" x14ac:dyDescent="0.2"/>
    <row r="9157" ht="12.75" x14ac:dyDescent="0.2"/>
    <row r="9158" ht="12.75" x14ac:dyDescent="0.2"/>
    <row r="9159" ht="12.75" x14ac:dyDescent="0.2"/>
    <row r="9160" ht="12.75" x14ac:dyDescent="0.2"/>
    <row r="9161" ht="12.75" x14ac:dyDescent="0.2"/>
    <row r="9162" ht="12.75" x14ac:dyDescent="0.2"/>
    <row r="9163" ht="12.75" x14ac:dyDescent="0.2"/>
    <row r="9164" ht="12.75" x14ac:dyDescent="0.2"/>
    <row r="9165" ht="12.75" x14ac:dyDescent="0.2"/>
    <row r="9166" ht="12.75" x14ac:dyDescent="0.2"/>
    <row r="9167" ht="12.75" x14ac:dyDescent="0.2"/>
    <row r="9168" ht="12.75" x14ac:dyDescent="0.2"/>
    <row r="9169" ht="12.75" x14ac:dyDescent="0.2"/>
    <row r="9170" ht="12.75" x14ac:dyDescent="0.2"/>
    <row r="9171" ht="12.75" x14ac:dyDescent="0.2"/>
    <row r="9172" ht="12.75" x14ac:dyDescent="0.2"/>
    <row r="9173" ht="12.75" x14ac:dyDescent="0.2"/>
    <row r="9174" ht="12.75" x14ac:dyDescent="0.2"/>
    <row r="9175" ht="12.75" x14ac:dyDescent="0.2"/>
    <row r="9176" ht="12.75" x14ac:dyDescent="0.2"/>
    <row r="9177" ht="12.75" x14ac:dyDescent="0.2"/>
    <row r="9178" ht="12.75" x14ac:dyDescent="0.2"/>
    <row r="9179" ht="12.75" x14ac:dyDescent="0.2"/>
    <row r="9180" ht="12.75" x14ac:dyDescent="0.2"/>
    <row r="9181" ht="12.75" x14ac:dyDescent="0.2"/>
    <row r="9182" ht="12.75" x14ac:dyDescent="0.2"/>
    <row r="9183" ht="12.75" x14ac:dyDescent="0.2"/>
    <row r="9184" ht="12.75" x14ac:dyDescent="0.2"/>
    <row r="9185" ht="12.75" x14ac:dyDescent="0.2"/>
    <row r="9186" ht="12.75" x14ac:dyDescent="0.2"/>
    <row r="9187" ht="12.75" x14ac:dyDescent="0.2"/>
    <row r="9188" ht="12.75" x14ac:dyDescent="0.2"/>
    <row r="9189" ht="12.75" x14ac:dyDescent="0.2"/>
    <row r="9190" ht="12.75" x14ac:dyDescent="0.2"/>
    <row r="9191" ht="12.75" x14ac:dyDescent="0.2"/>
    <row r="9192" ht="12.75" x14ac:dyDescent="0.2"/>
    <row r="9193" ht="12.75" x14ac:dyDescent="0.2"/>
    <row r="9194" ht="12.75" x14ac:dyDescent="0.2"/>
    <row r="9195" ht="12.75" x14ac:dyDescent="0.2"/>
    <row r="9196" ht="12.75" x14ac:dyDescent="0.2"/>
    <row r="9197" ht="12.75" x14ac:dyDescent="0.2"/>
    <row r="9198" ht="12.75" x14ac:dyDescent="0.2"/>
    <row r="9199" ht="12.75" x14ac:dyDescent="0.2"/>
    <row r="9200" ht="12.75" x14ac:dyDescent="0.2"/>
    <row r="9201" ht="12.75" x14ac:dyDescent="0.2"/>
    <row r="9202" ht="12.75" x14ac:dyDescent="0.2"/>
    <row r="9203" ht="12.75" x14ac:dyDescent="0.2"/>
    <row r="9204" ht="12.75" x14ac:dyDescent="0.2"/>
    <row r="9205" ht="12.75" x14ac:dyDescent="0.2"/>
    <row r="9206" ht="12.75" x14ac:dyDescent="0.2"/>
    <row r="9207" ht="12.75" x14ac:dyDescent="0.2"/>
    <row r="9208" ht="12.75" x14ac:dyDescent="0.2"/>
    <row r="9209" ht="12.75" x14ac:dyDescent="0.2"/>
    <row r="9210" ht="12.75" x14ac:dyDescent="0.2"/>
    <row r="9211" ht="12.75" x14ac:dyDescent="0.2"/>
    <row r="9212" ht="12.75" x14ac:dyDescent="0.2"/>
    <row r="9213" ht="12.75" x14ac:dyDescent="0.2"/>
    <row r="9214" ht="12.75" x14ac:dyDescent="0.2"/>
    <row r="9215" ht="12.75" x14ac:dyDescent="0.2"/>
    <row r="9216" ht="12.75" x14ac:dyDescent="0.2"/>
    <row r="9217" ht="12.75" x14ac:dyDescent="0.2"/>
    <row r="9218" ht="12.75" x14ac:dyDescent="0.2"/>
    <row r="9219" ht="12.75" x14ac:dyDescent="0.2"/>
    <row r="9220" ht="12.75" x14ac:dyDescent="0.2"/>
    <row r="9221" ht="12.75" x14ac:dyDescent="0.2"/>
    <row r="9222" ht="12.75" x14ac:dyDescent="0.2"/>
    <row r="9223" ht="12.75" x14ac:dyDescent="0.2"/>
    <row r="9224" ht="12.75" x14ac:dyDescent="0.2"/>
    <row r="9225" ht="12.75" x14ac:dyDescent="0.2"/>
    <row r="9226" ht="12.75" x14ac:dyDescent="0.2"/>
    <row r="9227" ht="12.75" x14ac:dyDescent="0.2"/>
    <row r="9228" ht="12.75" x14ac:dyDescent="0.2"/>
    <row r="9229" ht="12.75" x14ac:dyDescent="0.2"/>
    <row r="9230" ht="12.75" x14ac:dyDescent="0.2"/>
    <row r="9231" ht="12.75" x14ac:dyDescent="0.2"/>
    <row r="9232" ht="12.75" x14ac:dyDescent="0.2"/>
    <row r="9233" ht="12.75" x14ac:dyDescent="0.2"/>
    <row r="9234" ht="12.75" x14ac:dyDescent="0.2"/>
    <row r="9235" ht="12.75" x14ac:dyDescent="0.2"/>
    <row r="9236" ht="12.75" x14ac:dyDescent="0.2"/>
    <row r="9237" ht="12.75" x14ac:dyDescent="0.2"/>
    <row r="9238" ht="12.75" x14ac:dyDescent="0.2"/>
    <row r="9239" ht="12.75" x14ac:dyDescent="0.2"/>
    <row r="9240" ht="12.75" x14ac:dyDescent="0.2"/>
    <row r="9241" ht="12.75" x14ac:dyDescent="0.2"/>
    <row r="9242" ht="12.75" x14ac:dyDescent="0.2"/>
    <row r="9243" ht="12.75" x14ac:dyDescent="0.2"/>
    <row r="9244" ht="12.75" x14ac:dyDescent="0.2"/>
    <row r="9245" ht="12.75" x14ac:dyDescent="0.2"/>
    <row r="9246" ht="12.75" x14ac:dyDescent="0.2"/>
    <row r="9247" ht="12.75" x14ac:dyDescent="0.2"/>
    <row r="9248" ht="12.75" x14ac:dyDescent="0.2"/>
    <row r="9249" ht="12.75" x14ac:dyDescent="0.2"/>
    <row r="9250" ht="12.75" x14ac:dyDescent="0.2"/>
    <row r="9251" ht="12.75" x14ac:dyDescent="0.2"/>
    <row r="9252" ht="12.75" x14ac:dyDescent="0.2"/>
    <row r="9253" ht="12.75" x14ac:dyDescent="0.2"/>
    <row r="9254" ht="12.75" x14ac:dyDescent="0.2"/>
    <row r="9255" ht="12.75" x14ac:dyDescent="0.2"/>
    <row r="9256" ht="12.75" x14ac:dyDescent="0.2"/>
    <row r="9257" ht="12.75" x14ac:dyDescent="0.2"/>
    <row r="9258" ht="12.75" x14ac:dyDescent="0.2"/>
    <row r="9259" ht="12.75" x14ac:dyDescent="0.2"/>
    <row r="9260" ht="12.75" x14ac:dyDescent="0.2"/>
    <row r="9261" ht="12.75" x14ac:dyDescent="0.2"/>
    <row r="9262" ht="12.75" x14ac:dyDescent="0.2"/>
    <row r="9263" ht="12.75" x14ac:dyDescent="0.2"/>
    <row r="9264" ht="12.75" x14ac:dyDescent="0.2"/>
    <row r="9265" ht="12.75" x14ac:dyDescent="0.2"/>
    <row r="9266" ht="12.75" x14ac:dyDescent="0.2"/>
    <row r="9267" ht="12.75" x14ac:dyDescent="0.2"/>
    <row r="9268" ht="12.75" x14ac:dyDescent="0.2"/>
    <row r="9269" ht="12.75" x14ac:dyDescent="0.2"/>
    <row r="9270" ht="12.75" x14ac:dyDescent="0.2"/>
    <row r="9271" ht="12.75" x14ac:dyDescent="0.2"/>
    <row r="9272" ht="12.75" x14ac:dyDescent="0.2"/>
    <row r="9273" ht="12.75" x14ac:dyDescent="0.2"/>
    <row r="9274" ht="12.75" x14ac:dyDescent="0.2"/>
    <row r="9275" ht="12.75" x14ac:dyDescent="0.2"/>
    <row r="9276" ht="12.75" x14ac:dyDescent="0.2"/>
    <row r="9277" ht="12.75" x14ac:dyDescent="0.2"/>
    <row r="9278" ht="12.75" x14ac:dyDescent="0.2"/>
    <row r="9279" ht="12.75" x14ac:dyDescent="0.2"/>
    <row r="9280" ht="12.75" x14ac:dyDescent="0.2"/>
    <row r="9281" ht="12.75" x14ac:dyDescent="0.2"/>
    <row r="9282" ht="12.75" x14ac:dyDescent="0.2"/>
    <row r="9283" ht="12.75" x14ac:dyDescent="0.2"/>
    <row r="9284" ht="12.75" x14ac:dyDescent="0.2"/>
    <row r="9285" ht="12.75" x14ac:dyDescent="0.2"/>
    <row r="9286" ht="12.75" x14ac:dyDescent="0.2"/>
    <row r="9287" ht="12.75" x14ac:dyDescent="0.2"/>
    <row r="9288" ht="12.75" x14ac:dyDescent="0.2"/>
    <row r="9289" ht="12.75" x14ac:dyDescent="0.2"/>
    <row r="9290" ht="12.75" x14ac:dyDescent="0.2"/>
    <row r="9291" ht="12.75" x14ac:dyDescent="0.2"/>
    <row r="9292" ht="12.75" x14ac:dyDescent="0.2"/>
    <row r="9293" ht="12.75" x14ac:dyDescent="0.2"/>
    <row r="9294" ht="12.75" x14ac:dyDescent="0.2"/>
    <row r="9295" ht="12.75" x14ac:dyDescent="0.2"/>
    <row r="9296" ht="12.75" x14ac:dyDescent="0.2"/>
    <row r="9297" ht="12.75" x14ac:dyDescent="0.2"/>
    <row r="9298" ht="12.75" x14ac:dyDescent="0.2"/>
    <row r="9299" ht="12.75" x14ac:dyDescent="0.2"/>
    <row r="9300" ht="12.75" x14ac:dyDescent="0.2"/>
    <row r="9301" ht="12.75" x14ac:dyDescent="0.2"/>
    <row r="9302" ht="12.75" x14ac:dyDescent="0.2"/>
    <row r="9303" ht="12.75" x14ac:dyDescent="0.2"/>
    <row r="9304" ht="12.75" x14ac:dyDescent="0.2"/>
    <row r="9305" ht="12.75" x14ac:dyDescent="0.2"/>
    <row r="9306" ht="12.75" x14ac:dyDescent="0.2"/>
    <row r="9307" ht="12.75" x14ac:dyDescent="0.2"/>
    <row r="9308" ht="12.75" x14ac:dyDescent="0.2"/>
    <row r="9309" ht="12.75" x14ac:dyDescent="0.2"/>
    <row r="9310" ht="12.75" x14ac:dyDescent="0.2"/>
    <row r="9311" ht="12.75" x14ac:dyDescent="0.2"/>
    <row r="9312" ht="12.75" x14ac:dyDescent="0.2"/>
    <row r="9313" ht="12.75" x14ac:dyDescent="0.2"/>
    <row r="9314" ht="12.75" x14ac:dyDescent="0.2"/>
    <row r="9315" ht="12.75" x14ac:dyDescent="0.2"/>
    <row r="9316" ht="12.75" x14ac:dyDescent="0.2"/>
    <row r="9317" ht="12.75" x14ac:dyDescent="0.2"/>
    <row r="9318" ht="12.75" x14ac:dyDescent="0.2"/>
    <row r="9319" ht="12.75" x14ac:dyDescent="0.2"/>
    <row r="9320" ht="12.75" x14ac:dyDescent="0.2"/>
    <row r="9321" ht="12.75" x14ac:dyDescent="0.2"/>
    <row r="9322" ht="12.75" x14ac:dyDescent="0.2"/>
    <row r="9323" ht="12.75" x14ac:dyDescent="0.2"/>
    <row r="9324" ht="12.75" x14ac:dyDescent="0.2"/>
    <row r="9325" ht="12.75" x14ac:dyDescent="0.2"/>
    <row r="9326" ht="12.75" x14ac:dyDescent="0.2"/>
    <row r="9327" ht="12.75" x14ac:dyDescent="0.2"/>
    <row r="9328" ht="12.75" x14ac:dyDescent="0.2"/>
    <row r="9329" ht="12.75" x14ac:dyDescent="0.2"/>
    <row r="9330" ht="12.75" x14ac:dyDescent="0.2"/>
    <row r="9331" ht="12.75" x14ac:dyDescent="0.2"/>
    <row r="9332" ht="12.75" x14ac:dyDescent="0.2"/>
    <row r="9333" ht="12.75" x14ac:dyDescent="0.2"/>
    <row r="9334" ht="12.75" x14ac:dyDescent="0.2"/>
    <row r="9335" ht="12.75" x14ac:dyDescent="0.2"/>
    <row r="9336" ht="12.75" x14ac:dyDescent="0.2"/>
    <row r="9337" ht="12.75" x14ac:dyDescent="0.2"/>
    <row r="9338" ht="12.75" x14ac:dyDescent="0.2"/>
    <row r="9339" ht="12.75" x14ac:dyDescent="0.2"/>
    <row r="9340" ht="12.75" x14ac:dyDescent="0.2"/>
    <row r="9341" ht="12.75" x14ac:dyDescent="0.2"/>
    <row r="9342" ht="12.75" x14ac:dyDescent="0.2"/>
    <row r="9343" ht="12.75" x14ac:dyDescent="0.2"/>
    <row r="9344" ht="12.75" x14ac:dyDescent="0.2"/>
    <row r="9345" ht="12.75" x14ac:dyDescent="0.2"/>
    <row r="9346" ht="12.75" x14ac:dyDescent="0.2"/>
    <row r="9347" ht="12.75" x14ac:dyDescent="0.2"/>
    <row r="9348" ht="12.75" x14ac:dyDescent="0.2"/>
    <row r="9349" ht="12.75" x14ac:dyDescent="0.2"/>
    <row r="9350" ht="12.75" x14ac:dyDescent="0.2"/>
    <row r="9351" ht="12.75" x14ac:dyDescent="0.2"/>
    <row r="9352" ht="12.75" x14ac:dyDescent="0.2"/>
    <row r="9353" ht="12.75" x14ac:dyDescent="0.2"/>
    <row r="9354" ht="12.75" x14ac:dyDescent="0.2"/>
    <row r="9355" ht="12.75" x14ac:dyDescent="0.2"/>
    <row r="9356" ht="12.75" x14ac:dyDescent="0.2"/>
    <row r="9357" ht="12.75" x14ac:dyDescent="0.2"/>
    <row r="9358" ht="12.75" x14ac:dyDescent="0.2"/>
    <row r="9359" ht="12.75" x14ac:dyDescent="0.2"/>
    <row r="9360" ht="12.75" x14ac:dyDescent="0.2"/>
    <row r="9361" ht="12.75" x14ac:dyDescent="0.2"/>
    <row r="9362" ht="12.75" x14ac:dyDescent="0.2"/>
    <row r="9363" ht="12.75" x14ac:dyDescent="0.2"/>
    <row r="9364" ht="12.75" x14ac:dyDescent="0.2"/>
    <row r="9365" ht="12.75" x14ac:dyDescent="0.2"/>
    <row r="9366" ht="12.75" x14ac:dyDescent="0.2"/>
    <row r="9367" ht="12.75" x14ac:dyDescent="0.2"/>
    <row r="9368" ht="12.75" x14ac:dyDescent="0.2"/>
    <row r="9369" ht="12.75" x14ac:dyDescent="0.2"/>
    <row r="9370" ht="12.75" x14ac:dyDescent="0.2"/>
    <row r="9371" ht="12.75" x14ac:dyDescent="0.2"/>
    <row r="9372" ht="12.75" x14ac:dyDescent="0.2"/>
    <row r="9373" ht="12.75" x14ac:dyDescent="0.2"/>
    <row r="9374" ht="12.75" x14ac:dyDescent="0.2"/>
    <row r="9375" ht="12.75" x14ac:dyDescent="0.2"/>
    <row r="9376" ht="12.75" x14ac:dyDescent="0.2"/>
    <row r="9377" ht="12.75" x14ac:dyDescent="0.2"/>
    <row r="9378" ht="12.75" x14ac:dyDescent="0.2"/>
    <row r="9379" ht="12.75" x14ac:dyDescent="0.2"/>
    <row r="9380" ht="12.75" x14ac:dyDescent="0.2"/>
    <row r="9381" ht="12.75" x14ac:dyDescent="0.2"/>
    <row r="9382" ht="12.75" x14ac:dyDescent="0.2"/>
    <row r="9383" ht="12.75" x14ac:dyDescent="0.2"/>
    <row r="9384" ht="12.75" x14ac:dyDescent="0.2"/>
    <row r="9385" ht="12.75" x14ac:dyDescent="0.2"/>
    <row r="9386" ht="12.75" x14ac:dyDescent="0.2"/>
    <row r="9387" ht="12.75" x14ac:dyDescent="0.2"/>
    <row r="9388" ht="12.75" x14ac:dyDescent="0.2"/>
    <row r="9389" ht="12.75" x14ac:dyDescent="0.2"/>
    <row r="9390" ht="12.75" x14ac:dyDescent="0.2"/>
    <row r="9391" ht="12.75" x14ac:dyDescent="0.2"/>
    <row r="9392" ht="12.75" x14ac:dyDescent="0.2"/>
    <row r="9393" ht="12.75" x14ac:dyDescent="0.2"/>
    <row r="9394" ht="12.75" x14ac:dyDescent="0.2"/>
    <row r="9395" ht="12.75" x14ac:dyDescent="0.2"/>
    <row r="9396" ht="12.75" x14ac:dyDescent="0.2"/>
    <row r="9397" ht="12.75" x14ac:dyDescent="0.2"/>
    <row r="9398" ht="12.75" x14ac:dyDescent="0.2"/>
    <row r="9399" ht="12.75" x14ac:dyDescent="0.2"/>
    <row r="9400" ht="12.75" x14ac:dyDescent="0.2"/>
    <row r="9401" ht="12.75" x14ac:dyDescent="0.2"/>
    <row r="9402" ht="12.75" x14ac:dyDescent="0.2"/>
    <row r="9403" ht="12.75" x14ac:dyDescent="0.2"/>
    <row r="9404" ht="12.75" x14ac:dyDescent="0.2"/>
    <row r="9405" ht="12.75" x14ac:dyDescent="0.2"/>
    <row r="9406" ht="12.75" x14ac:dyDescent="0.2"/>
    <row r="9407" ht="12.75" x14ac:dyDescent="0.2"/>
    <row r="9408" ht="12.75" x14ac:dyDescent="0.2"/>
    <row r="9409" ht="12.75" x14ac:dyDescent="0.2"/>
    <row r="9410" ht="12.75" x14ac:dyDescent="0.2"/>
    <row r="9411" ht="12.75" x14ac:dyDescent="0.2"/>
    <row r="9412" ht="12.75" x14ac:dyDescent="0.2"/>
    <row r="9413" ht="12.75" x14ac:dyDescent="0.2"/>
    <row r="9414" ht="12.75" x14ac:dyDescent="0.2"/>
    <row r="9415" ht="12.75" x14ac:dyDescent="0.2"/>
    <row r="9416" ht="12.75" x14ac:dyDescent="0.2"/>
    <row r="9417" ht="12.75" x14ac:dyDescent="0.2"/>
    <row r="9418" ht="12.75" x14ac:dyDescent="0.2"/>
    <row r="9419" ht="12.75" x14ac:dyDescent="0.2"/>
    <row r="9420" ht="12.75" x14ac:dyDescent="0.2"/>
    <row r="9421" ht="12.75" x14ac:dyDescent="0.2"/>
    <row r="9422" ht="12.75" x14ac:dyDescent="0.2"/>
    <row r="9423" ht="12.75" x14ac:dyDescent="0.2"/>
    <row r="9424" ht="12.75" x14ac:dyDescent="0.2"/>
    <row r="9425" ht="12.75" x14ac:dyDescent="0.2"/>
    <row r="9426" ht="12.75" x14ac:dyDescent="0.2"/>
    <row r="9427" ht="12.75" x14ac:dyDescent="0.2"/>
    <row r="9428" ht="12.75" x14ac:dyDescent="0.2"/>
    <row r="9429" ht="12.75" x14ac:dyDescent="0.2"/>
    <row r="9430" ht="12.75" x14ac:dyDescent="0.2"/>
    <row r="9431" ht="12.75" x14ac:dyDescent="0.2"/>
    <row r="9432" ht="12.75" x14ac:dyDescent="0.2"/>
    <row r="9433" ht="12.75" x14ac:dyDescent="0.2"/>
    <row r="9434" ht="12.75" x14ac:dyDescent="0.2"/>
    <row r="9435" ht="12.75" x14ac:dyDescent="0.2"/>
    <row r="9436" ht="12.75" x14ac:dyDescent="0.2"/>
    <row r="9437" ht="12.75" x14ac:dyDescent="0.2"/>
    <row r="9438" ht="12.75" x14ac:dyDescent="0.2"/>
    <row r="9439" ht="12.75" x14ac:dyDescent="0.2"/>
    <row r="9440" ht="12.75" x14ac:dyDescent="0.2"/>
    <row r="9441" ht="12.75" x14ac:dyDescent="0.2"/>
    <row r="9442" ht="12.75" x14ac:dyDescent="0.2"/>
    <row r="9443" ht="12.75" x14ac:dyDescent="0.2"/>
    <row r="9444" ht="12.75" x14ac:dyDescent="0.2"/>
    <row r="9445" ht="12.75" x14ac:dyDescent="0.2"/>
    <row r="9446" ht="12.75" x14ac:dyDescent="0.2"/>
    <row r="9447" ht="12.75" x14ac:dyDescent="0.2"/>
    <row r="9448" ht="12.75" x14ac:dyDescent="0.2"/>
    <row r="9449" ht="12.75" x14ac:dyDescent="0.2"/>
    <row r="9450" ht="12.75" x14ac:dyDescent="0.2"/>
    <row r="9451" ht="12.75" x14ac:dyDescent="0.2"/>
    <row r="9452" ht="12.75" x14ac:dyDescent="0.2"/>
    <row r="9453" ht="12.75" x14ac:dyDescent="0.2"/>
    <row r="9454" ht="12.75" x14ac:dyDescent="0.2"/>
    <row r="9455" ht="12.75" x14ac:dyDescent="0.2"/>
    <row r="9456" ht="12.75" x14ac:dyDescent="0.2"/>
    <row r="9457" ht="12.75" x14ac:dyDescent="0.2"/>
    <row r="9458" ht="12.75" x14ac:dyDescent="0.2"/>
    <row r="9459" ht="12.75" x14ac:dyDescent="0.2"/>
    <row r="9460" ht="12.75" x14ac:dyDescent="0.2"/>
    <row r="9461" ht="12.75" x14ac:dyDescent="0.2"/>
    <row r="9462" ht="12.75" x14ac:dyDescent="0.2"/>
    <row r="9463" ht="12.75" x14ac:dyDescent="0.2"/>
    <row r="9464" ht="12.75" x14ac:dyDescent="0.2"/>
    <row r="9465" ht="12.75" x14ac:dyDescent="0.2"/>
    <row r="9466" ht="12.75" x14ac:dyDescent="0.2"/>
    <row r="9467" ht="12.75" x14ac:dyDescent="0.2"/>
    <row r="9468" ht="12.75" x14ac:dyDescent="0.2"/>
    <row r="9469" ht="12.75" x14ac:dyDescent="0.2"/>
    <row r="9470" ht="12.75" x14ac:dyDescent="0.2"/>
    <row r="9471" ht="12.75" x14ac:dyDescent="0.2"/>
    <row r="9472" ht="12.75" x14ac:dyDescent="0.2"/>
    <row r="9473" ht="12.75" x14ac:dyDescent="0.2"/>
    <row r="9474" ht="12.75" x14ac:dyDescent="0.2"/>
    <row r="9475" ht="12.75" x14ac:dyDescent="0.2"/>
    <row r="9476" ht="12.75" x14ac:dyDescent="0.2"/>
    <row r="9477" ht="12.75" x14ac:dyDescent="0.2"/>
    <row r="9478" ht="12.75" x14ac:dyDescent="0.2"/>
    <row r="9479" ht="12.75" x14ac:dyDescent="0.2"/>
    <row r="9480" ht="12.75" x14ac:dyDescent="0.2"/>
    <row r="9481" ht="12.75" x14ac:dyDescent="0.2"/>
    <row r="9482" ht="12.75" x14ac:dyDescent="0.2"/>
    <row r="9483" ht="12.75" x14ac:dyDescent="0.2"/>
    <row r="9484" ht="12.75" x14ac:dyDescent="0.2"/>
    <row r="9485" ht="12.75" x14ac:dyDescent="0.2"/>
    <row r="9486" ht="12.75" x14ac:dyDescent="0.2"/>
    <row r="9487" ht="12.75" x14ac:dyDescent="0.2"/>
    <row r="9488" ht="12.75" x14ac:dyDescent="0.2"/>
    <row r="9489" ht="12.75" x14ac:dyDescent="0.2"/>
    <row r="9490" ht="12.75" x14ac:dyDescent="0.2"/>
    <row r="9491" ht="12.75" x14ac:dyDescent="0.2"/>
    <row r="9492" ht="12.75" x14ac:dyDescent="0.2"/>
    <row r="9493" ht="12.75" x14ac:dyDescent="0.2"/>
    <row r="9494" ht="12.75" x14ac:dyDescent="0.2"/>
    <row r="9495" ht="12.75" x14ac:dyDescent="0.2"/>
    <row r="9496" ht="12.75" x14ac:dyDescent="0.2"/>
    <row r="9497" ht="12.75" x14ac:dyDescent="0.2"/>
    <row r="9498" ht="12.75" x14ac:dyDescent="0.2"/>
    <row r="9499" ht="12.75" x14ac:dyDescent="0.2"/>
    <row r="9500" ht="12.75" x14ac:dyDescent="0.2"/>
    <row r="9501" ht="12.75" x14ac:dyDescent="0.2"/>
    <row r="9502" ht="12.75" x14ac:dyDescent="0.2"/>
    <row r="9503" ht="12.75" x14ac:dyDescent="0.2"/>
    <row r="9504" ht="12.75" x14ac:dyDescent="0.2"/>
    <row r="9505" ht="12.75" x14ac:dyDescent="0.2"/>
    <row r="9506" ht="12.75" x14ac:dyDescent="0.2"/>
    <row r="9507" ht="12.75" x14ac:dyDescent="0.2"/>
    <row r="9508" ht="12.75" x14ac:dyDescent="0.2"/>
    <row r="9509" ht="12.75" x14ac:dyDescent="0.2"/>
    <row r="9510" ht="12.75" x14ac:dyDescent="0.2"/>
    <row r="9511" ht="12.75" x14ac:dyDescent="0.2"/>
    <row r="9512" ht="12.75" x14ac:dyDescent="0.2"/>
    <row r="9513" ht="12.75" x14ac:dyDescent="0.2"/>
    <row r="9514" ht="12.75" x14ac:dyDescent="0.2"/>
    <row r="9515" ht="12.75" x14ac:dyDescent="0.2"/>
    <row r="9516" ht="12.75" x14ac:dyDescent="0.2"/>
    <row r="9517" ht="12.75" x14ac:dyDescent="0.2"/>
    <row r="9518" ht="12.75" x14ac:dyDescent="0.2"/>
    <row r="9519" ht="12.75" x14ac:dyDescent="0.2"/>
    <row r="9520" ht="12.75" x14ac:dyDescent="0.2"/>
    <row r="9521" ht="12.75" x14ac:dyDescent="0.2"/>
    <row r="9522" ht="12.75" x14ac:dyDescent="0.2"/>
    <row r="9523" ht="12.75" x14ac:dyDescent="0.2"/>
    <row r="9524" ht="12.75" x14ac:dyDescent="0.2"/>
    <row r="9525" ht="12.75" x14ac:dyDescent="0.2"/>
    <row r="9526" ht="12.75" x14ac:dyDescent="0.2"/>
    <row r="9527" ht="12.75" x14ac:dyDescent="0.2"/>
    <row r="9528" ht="12.75" x14ac:dyDescent="0.2"/>
    <row r="9529" ht="12.75" x14ac:dyDescent="0.2"/>
    <row r="9530" ht="12.75" x14ac:dyDescent="0.2"/>
    <row r="9531" ht="12.75" x14ac:dyDescent="0.2"/>
    <row r="9532" ht="12.75" x14ac:dyDescent="0.2"/>
    <row r="9533" ht="12.75" x14ac:dyDescent="0.2"/>
    <row r="9534" ht="12.75" x14ac:dyDescent="0.2"/>
    <row r="9535" ht="12.75" x14ac:dyDescent="0.2"/>
    <row r="9536" ht="12.75" x14ac:dyDescent="0.2"/>
    <row r="9537" ht="12.75" x14ac:dyDescent="0.2"/>
    <row r="9538" ht="12.75" x14ac:dyDescent="0.2"/>
    <row r="9539" ht="12.75" x14ac:dyDescent="0.2"/>
    <row r="9540" ht="12.75" x14ac:dyDescent="0.2"/>
    <row r="9541" ht="12.75" x14ac:dyDescent="0.2"/>
    <row r="9542" ht="12.75" x14ac:dyDescent="0.2"/>
    <row r="9543" ht="12.75" x14ac:dyDescent="0.2"/>
    <row r="9544" ht="12.75" x14ac:dyDescent="0.2"/>
    <row r="9545" ht="12.75" x14ac:dyDescent="0.2"/>
    <row r="9546" ht="12.75" x14ac:dyDescent="0.2"/>
    <row r="9547" ht="12.75" x14ac:dyDescent="0.2"/>
    <row r="9548" ht="12.75" x14ac:dyDescent="0.2"/>
    <row r="9549" ht="12.75" x14ac:dyDescent="0.2"/>
    <row r="9550" ht="12.75" x14ac:dyDescent="0.2"/>
    <row r="9551" ht="12.75" x14ac:dyDescent="0.2"/>
    <row r="9552" ht="12.75" x14ac:dyDescent="0.2"/>
    <row r="9553" ht="12.75" x14ac:dyDescent="0.2"/>
    <row r="9554" ht="12.75" x14ac:dyDescent="0.2"/>
    <row r="9555" ht="12.75" x14ac:dyDescent="0.2"/>
    <row r="9556" ht="12.75" x14ac:dyDescent="0.2"/>
    <row r="9557" ht="12.75" x14ac:dyDescent="0.2"/>
    <row r="9558" ht="12.75" x14ac:dyDescent="0.2"/>
    <row r="9559" ht="12.75" x14ac:dyDescent="0.2"/>
    <row r="9560" ht="12.75" x14ac:dyDescent="0.2"/>
    <row r="9561" ht="12.75" x14ac:dyDescent="0.2"/>
    <row r="9562" ht="12.75" x14ac:dyDescent="0.2"/>
    <row r="9563" ht="12.75" x14ac:dyDescent="0.2"/>
    <row r="9564" ht="12.75" x14ac:dyDescent="0.2"/>
    <row r="9565" ht="12.75" x14ac:dyDescent="0.2"/>
    <row r="9566" ht="12.75" x14ac:dyDescent="0.2"/>
    <row r="9567" ht="12.75" x14ac:dyDescent="0.2"/>
    <row r="9568" ht="12.75" x14ac:dyDescent="0.2"/>
    <row r="9569" ht="12.75" x14ac:dyDescent="0.2"/>
    <row r="9570" ht="12.75" x14ac:dyDescent="0.2"/>
    <row r="9571" ht="12.75" x14ac:dyDescent="0.2"/>
    <row r="9572" ht="12.75" x14ac:dyDescent="0.2"/>
    <row r="9573" ht="12.75" x14ac:dyDescent="0.2"/>
    <row r="9574" ht="12.75" x14ac:dyDescent="0.2"/>
    <row r="9575" ht="12.75" x14ac:dyDescent="0.2"/>
    <row r="9576" ht="12.75" x14ac:dyDescent="0.2"/>
    <row r="9577" ht="12.75" x14ac:dyDescent="0.2"/>
    <row r="9578" ht="12.75" x14ac:dyDescent="0.2"/>
    <row r="9579" ht="12.75" x14ac:dyDescent="0.2"/>
    <row r="9580" ht="12.75" x14ac:dyDescent="0.2"/>
    <row r="9581" ht="12.75" x14ac:dyDescent="0.2"/>
    <row r="9582" ht="12.75" x14ac:dyDescent="0.2"/>
    <row r="9583" ht="12.75" x14ac:dyDescent="0.2"/>
    <row r="9584" ht="12.75" x14ac:dyDescent="0.2"/>
    <row r="9585" ht="12.75" x14ac:dyDescent="0.2"/>
    <row r="9586" ht="12.75" x14ac:dyDescent="0.2"/>
    <row r="9587" ht="12.75" x14ac:dyDescent="0.2"/>
    <row r="9588" ht="12.75" x14ac:dyDescent="0.2"/>
    <row r="9589" ht="12.75" x14ac:dyDescent="0.2"/>
    <row r="9590" ht="12.75" x14ac:dyDescent="0.2"/>
    <row r="9591" ht="12.75" x14ac:dyDescent="0.2"/>
    <row r="9592" ht="12.75" x14ac:dyDescent="0.2"/>
    <row r="9593" ht="12.75" x14ac:dyDescent="0.2"/>
    <row r="9594" ht="12.75" x14ac:dyDescent="0.2"/>
    <row r="9595" ht="12.75" x14ac:dyDescent="0.2"/>
    <row r="9596" ht="12.75" x14ac:dyDescent="0.2"/>
    <row r="9597" ht="12.75" x14ac:dyDescent="0.2"/>
    <row r="9598" ht="12.75" x14ac:dyDescent="0.2"/>
    <row r="9599" ht="12.75" x14ac:dyDescent="0.2"/>
    <row r="9600" ht="12.75" x14ac:dyDescent="0.2"/>
    <row r="9601" ht="12.75" x14ac:dyDescent="0.2"/>
    <row r="9602" ht="12.75" x14ac:dyDescent="0.2"/>
    <row r="9603" ht="12.75" x14ac:dyDescent="0.2"/>
    <row r="9604" ht="12.75" x14ac:dyDescent="0.2"/>
    <row r="9605" ht="12.75" x14ac:dyDescent="0.2"/>
    <row r="9606" ht="12.75" x14ac:dyDescent="0.2"/>
    <row r="9607" ht="12.75" x14ac:dyDescent="0.2"/>
    <row r="9608" ht="12.75" x14ac:dyDescent="0.2"/>
    <row r="9609" ht="12.75" x14ac:dyDescent="0.2"/>
    <row r="9610" ht="12.75" x14ac:dyDescent="0.2"/>
    <row r="9611" ht="12.75" x14ac:dyDescent="0.2"/>
    <row r="9612" ht="12.75" x14ac:dyDescent="0.2"/>
    <row r="9613" ht="12.75" x14ac:dyDescent="0.2"/>
    <row r="9614" ht="12.75" x14ac:dyDescent="0.2"/>
    <row r="9615" ht="12.75" x14ac:dyDescent="0.2"/>
    <row r="9616" ht="12.75" x14ac:dyDescent="0.2"/>
    <row r="9617" ht="12.75" x14ac:dyDescent="0.2"/>
    <row r="9618" ht="12.75" x14ac:dyDescent="0.2"/>
    <row r="9619" ht="12.75" x14ac:dyDescent="0.2"/>
    <row r="9620" ht="12.75" x14ac:dyDescent="0.2"/>
    <row r="9621" ht="12.75" x14ac:dyDescent="0.2"/>
    <row r="9622" ht="12.75" x14ac:dyDescent="0.2"/>
    <row r="9623" ht="12.75" x14ac:dyDescent="0.2"/>
    <row r="9624" ht="12.75" x14ac:dyDescent="0.2"/>
    <row r="9625" ht="12.75" x14ac:dyDescent="0.2"/>
    <row r="9626" ht="12.75" x14ac:dyDescent="0.2"/>
    <row r="9627" ht="12.75" x14ac:dyDescent="0.2"/>
    <row r="9628" ht="12.75" x14ac:dyDescent="0.2"/>
    <row r="9629" ht="12.75" x14ac:dyDescent="0.2"/>
    <row r="9630" ht="12.75" x14ac:dyDescent="0.2"/>
    <row r="9631" ht="12.75" x14ac:dyDescent="0.2"/>
    <row r="9632" ht="12.75" x14ac:dyDescent="0.2"/>
    <row r="9633" ht="12.75" x14ac:dyDescent="0.2"/>
    <row r="9634" ht="12.75" x14ac:dyDescent="0.2"/>
    <row r="9635" ht="12.75" x14ac:dyDescent="0.2"/>
    <row r="9636" ht="12.75" x14ac:dyDescent="0.2"/>
    <row r="9637" ht="12.75" x14ac:dyDescent="0.2"/>
    <row r="9638" ht="12.75" x14ac:dyDescent="0.2"/>
    <row r="9639" ht="12.75" x14ac:dyDescent="0.2"/>
    <row r="9640" ht="12.75" x14ac:dyDescent="0.2"/>
    <row r="9641" ht="12.75" x14ac:dyDescent="0.2"/>
    <row r="9642" ht="12.75" x14ac:dyDescent="0.2"/>
    <row r="9643" ht="12.75" x14ac:dyDescent="0.2"/>
    <row r="9644" ht="12.75" x14ac:dyDescent="0.2"/>
    <row r="9645" ht="12.75" x14ac:dyDescent="0.2"/>
    <row r="9646" ht="12.75" x14ac:dyDescent="0.2"/>
    <row r="9647" ht="12.75" x14ac:dyDescent="0.2"/>
    <row r="9648" ht="12.75" x14ac:dyDescent="0.2"/>
    <row r="9649" ht="12.75" x14ac:dyDescent="0.2"/>
    <row r="9650" ht="12.75" x14ac:dyDescent="0.2"/>
    <row r="9651" ht="12.75" x14ac:dyDescent="0.2"/>
    <row r="9652" ht="12.75" x14ac:dyDescent="0.2"/>
    <row r="9653" ht="12.75" x14ac:dyDescent="0.2"/>
    <row r="9654" ht="12.75" x14ac:dyDescent="0.2"/>
    <row r="9655" ht="12.75" x14ac:dyDescent="0.2"/>
    <row r="9656" ht="12.75" x14ac:dyDescent="0.2"/>
    <row r="9657" ht="12.75" x14ac:dyDescent="0.2"/>
    <row r="9658" ht="12.75" x14ac:dyDescent="0.2"/>
    <row r="9659" ht="12.75" x14ac:dyDescent="0.2"/>
    <row r="9660" ht="12.75" x14ac:dyDescent="0.2"/>
    <row r="9661" ht="12.75" x14ac:dyDescent="0.2"/>
    <row r="9662" ht="12.75" x14ac:dyDescent="0.2"/>
    <row r="9663" ht="12.75" x14ac:dyDescent="0.2"/>
    <row r="9664" ht="12.75" x14ac:dyDescent="0.2"/>
    <row r="9665" ht="12.75" x14ac:dyDescent="0.2"/>
    <row r="9666" ht="12.75" x14ac:dyDescent="0.2"/>
    <row r="9667" ht="12.75" x14ac:dyDescent="0.2"/>
    <row r="9668" ht="12.75" x14ac:dyDescent="0.2"/>
    <row r="9669" ht="12.75" x14ac:dyDescent="0.2"/>
    <row r="9670" ht="12.75" x14ac:dyDescent="0.2"/>
    <row r="9671" ht="12.75" x14ac:dyDescent="0.2"/>
    <row r="9672" ht="12.75" x14ac:dyDescent="0.2"/>
    <row r="9673" ht="12.75" x14ac:dyDescent="0.2"/>
    <row r="9674" ht="12.75" x14ac:dyDescent="0.2"/>
    <row r="9675" ht="12.75" x14ac:dyDescent="0.2"/>
    <row r="9676" ht="12.75" x14ac:dyDescent="0.2"/>
    <row r="9677" ht="12.75" x14ac:dyDescent="0.2"/>
    <row r="9678" ht="12.75" x14ac:dyDescent="0.2"/>
    <row r="9679" ht="12.75" x14ac:dyDescent="0.2"/>
    <row r="9680" ht="12.75" x14ac:dyDescent="0.2"/>
    <row r="9681" ht="12.75" x14ac:dyDescent="0.2"/>
    <row r="9682" ht="12.75" x14ac:dyDescent="0.2"/>
    <row r="9683" ht="12.75" x14ac:dyDescent="0.2"/>
    <row r="9684" ht="12.75" x14ac:dyDescent="0.2"/>
    <row r="9685" ht="12.75" x14ac:dyDescent="0.2"/>
    <row r="9686" ht="12.75" x14ac:dyDescent="0.2"/>
    <row r="9687" ht="12.75" x14ac:dyDescent="0.2"/>
    <row r="9688" ht="12.75" x14ac:dyDescent="0.2"/>
    <row r="9689" ht="12.75" x14ac:dyDescent="0.2"/>
    <row r="9690" ht="12.75" x14ac:dyDescent="0.2"/>
    <row r="9691" ht="12.75" x14ac:dyDescent="0.2"/>
    <row r="9692" ht="12.75" x14ac:dyDescent="0.2"/>
    <row r="9693" ht="12.75" x14ac:dyDescent="0.2"/>
    <row r="9694" ht="12.75" x14ac:dyDescent="0.2"/>
    <row r="9695" ht="12.75" x14ac:dyDescent="0.2"/>
    <row r="9696" ht="12.75" x14ac:dyDescent="0.2"/>
    <row r="9697" ht="12.75" x14ac:dyDescent="0.2"/>
    <row r="9698" ht="12.75" x14ac:dyDescent="0.2"/>
    <row r="9699" ht="12.75" x14ac:dyDescent="0.2"/>
    <row r="9700" ht="12.75" x14ac:dyDescent="0.2"/>
    <row r="9701" ht="12.75" x14ac:dyDescent="0.2"/>
    <row r="9702" ht="12.75" x14ac:dyDescent="0.2"/>
    <row r="9703" ht="12.75" x14ac:dyDescent="0.2"/>
    <row r="9704" ht="12.75" x14ac:dyDescent="0.2"/>
    <row r="9705" ht="12.75" x14ac:dyDescent="0.2"/>
    <row r="9706" ht="12.75" x14ac:dyDescent="0.2"/>
    <row r="9707" ht="12.75" x14ac:dyDescent="0.2"/>
    <row r="9708" ht="12.75" x14ac:dyDescent="0.2"/>
    <row r="9709" ht="12.75" x14ac:dyDescent="0.2"/>
    <row r="9710" ht="12.75" x14ac:dyDescent="0.2"/>
    <row r="9711" ht="12.75" x14ac:dyDescent="0.2"/>
    <row r="9712" ht="12.75" x14ac:dyDescent="0.2"/>
    <row r="9713" ht="12.75" x14ac:dyDescent="0.2"/>
    <row r="9714" ht="12.75" x14ac:dyDescent="0.2"/>
    <row r="9715" ht="12.75" x14ac:dyDescent="0.2"/>
    <row r="9716" ht="12.75" x14ac:dyDescent="0.2"/>
    <row r="9717" ht="12.75" x14ac:dyDescent="0.2"/>
    <row r="9718" ht="12.75" x14ac:dyDescent="0.2"/>
    <row r="9719" ht="12.75" x14ac:dyDescent="0.2"/>
    <row r="9720" ht="12.75" x14ac:dyDescent="0.2"/>
    <row r="9721" ht="12.75" x14ac:dyDescent="0.2"/>
    <row r="9722" ht="12.75" x14ac:dyDescent="0.2"/>
    <row r="9723" ht="12.75" x14ac:dyDescent="0.2"/>
    <row r="9724" ht="12.75" x14ac:dyDescent="0.2"/>
    <row r="9725" ht="12.75" x14ac:dyDescent="0.2"/>
    <row r="9726" ht="12.75" x14ac:dyDescent="0.2"/>
    <row r="9727" ht="12.75" x14ac:dyDescent="0.2"/>
    <row r="9728" ht="12.75" x14ac:dyDescent="0.2"/>
    <row r="9729" ht="12.75" x14ac:dyDescent="0.2"/>
    <row r="9730" ht="12.75" x14ac:dyDescent="0.2"/>
    <row r="9731" ht="12.75" x14ac:dyDescent="0.2"/>
    <row r="9732" ht="12.75" x14ac:dyDescent="0.2"/>
    <row r="9733" ht="12.75" x14ac:dyDescent="0.2"/>
    <row r="9734" ht="12.75" x14ac:dyDescent="0.2"/>
    <row r="9735" ht="12.75" x14ac:dyDescent="0.2"/>
    <row r="9736" ht="12.75" x14ac:dyDescent="0.2"/>
    <row r="9737" ht="12.75" x14ac:dyDescent="0.2"/>
    <row r="9738" ht="12.75" x14ac:dyDescent="0.2"/>
    <row r="9739" ht="12.75" x14ac:dyDescent="0.2"/>
    <row r="9740" ht="12.75" x14ac:dyDescent="0.2"/>
    <row r="9741" ht="12.75" x14ac:dyDescent="0.2"/>
    <row r="9742" ht="12.75" x14ac:dyDescent="0.2"/>
    <row r="9743" ht="12.75" x14ac:dyDescent="0.2"/>
    <row r="9744" ht="12.75" x14ac:dyDescent="0.2"/>
    <row r="9745" ht="12.75" x14ac:dyDescent="0.2"/>
    <row r="9746" ht="12.75" x14ac:dyDescent="0.2"/>
    <row r="9747" ht="12.75" x14ac:dyDescent="0.2"/>
    <row r="9748" ht="12.75" x14ac:dyDescent="0.2"/>
    <row r="9749" ht="12.75" x14ac:dyDescent="0.2"/>
    <row r="9750" ht="12.75" x14ac:dyDescent="0.2"/>
    <row r="9751" ht="12.75" x14ac:dyDescent="0.2"/>
    <row r="9752" ht="12.75" x14ac:dyDescent="0.2"/>
    <row r="9753" ht="12.75" x14ac:dyDescent="0.2"/>
    <row r="9754" ht="12.75" x14ac:dyDescent="0.2"/>
    <row r="9755" ht="12.75" x14ac:dyDescent="0.2"/>
    <row r="9756" ht="12.75" x14ac:dyDescent="0.2"/>
    <row r="9757" ht="12.75" x14ac:dyDescent="0.2"/>
    <row r="9758" ht="12.75" x14ac:dyDescent="0.2"/>
    <row r="9759" ht="12.75" x14ac:dyDescent="0.2"/>
    <row r="9760" ht="12.75" x14ac:dyDescent="0.2"/>
    <row r="9761" ht="12.75" x14ac:dyDescent="0.2"/>
    <row r="9762" ht="12.75" x14ac:dyDescent="0.2"/>
    <row r="9763" ht="12.75" x14ac:dyDescent="0.2"/>
    <row r="9764" ht="12.75" x14ac:dyDescent="0.2"/>
    <row r="9765" ht="12.75" x14ac:dyDescent="0.2"/>
    <row r="9766" ht="12.75" x14ac:dyDescent="0.2"/>
    <row r="9767" ht="12.75" x14ac:dyDescent="0.2"/>
    <row r="9768" ht="12.75" x14ac:dyDescent="0.2"/>
    <row r="9769" ht="12.75" x14ac:dyDescent="0.2"/>
    <row r="9770" ht="12.75" x14ac:dyDescent="0.2"/>
    <row r="9771" ht="12.75" x14ac:dyDescent="0.2"/>
    <row r="9772" ht="12.75" x14ac:dyDescent="0.2"/>
    <row r="9773" ht="12.75" x14ac:dyDescent="0.2"/>
    <row r="9774" ht="12.75" x14ac:dyDescent="0.2"/>
    <row r="9775" ht="12.75" x14ac:dyDescent="0.2"/>
    <row r="9776" ht="12.75" x14ac:dyDescent="0.2"/>
    <row r="9777" ht="12.75" x14ac:dyDescent="0.2"/>
    <row r="9778" ht="12.75" x14ac:dyDescent="0.2"/>
    <row r="9779" ht="12.75" x14ac:dyDescent="0.2"/>
    <row r="9780" ht="12.75" x14ac:dyDescent="0.2"/>
    <row r="9781" ht="12.75" x14ac:dyDescent="0.2"/>
    <row r="9782" ht="12.75" x14ac:dyDescent="0.2"/>
    <row r="9783" ht="12.75" x14ac:dyDescent="0.2"/>
    <row r="9784" ht="12.75" x14ac:dyDescent="0.2"/>
    <row r="9785" ht="12.75" x14ac:dyDescent="0.2"/>
    <row r="9786" ht="12.75" x14ac:dyDescent="0.2"/>
    <row r="9787" ht="12.75" x14ac:dyDescent="0.2"/>
    <row r="9788" ht="12.75" x14ac:dyDescent="0.2"/>
    <row r="9789" ht="12.75" x14ac:dyDescent="0.2"/>
    <row r="9790" ht="12.75" x14ac:dyDescent="0.2"/>
    <row r="9791" ht="12.75" x14ac:dyDescent="0.2"/>
    <row r="9792" ht="12.75" x14ac:dyDescent="0.2"/>
    <row r="9793" ht="12.75" x14ac:dyDescent="0.2"/>
    <row r="9794" ht="12.75" x14ac:dyDescent="0.2"/>
    <row r="9795" ht="12.75" x14ac:dyDescent="0.2"/>
    <row r="9796" ht="12.75" x14ac:dyDescent="0.2"/>
    <row r="9797" ht="12.75" x14ac:dyDescent="0.2"/>
    <row r="9798" ht="12.75" x14ac:dyDescent="0.2"/>
    <row r="9799" ht="12.75" x14ac:dyDescent="0.2"/>
    <row r="9800" ht="12.75" x14ac:dyDescent="0.2"/>
    <row r="9801" ht="12.75" x14ac:dyDescent="0.2"/>
    <row r="9802" ht="12.75" x14ac:dyDescent="0.2"/>
    <row r="9803" ht="12.75" x14ac:dyDescent="0.2"/>
    <row r="9804" ht="12.75" x14ac:dyDescent="0.2"/>
    <row r="9805" ht="12.75" x14ac:dyDescent="0.2"/>
    <row r="9806" ht="12.75" x14ac:dyDescent="0.2"/>
    <row r="9807" ht="12.75" x14ac:dyDescent="0.2"/>
    <row r="9808" ht="12.75" x14ac:dyDescent="0.2"/>
    <row r="9809" ht="12.75" x14ac:dyDescent="0.2"/>
    <row r="9810" ht="12.75" x14ac:dyDescent="0.2"/>
    <row r="9811" ht="12.75" x14ac:dyDescent="0.2"/>
    <row r="9812" ht="12.75" x14ac:dyDescent="0.2"/>
    <row r="9813" ht="12.75" x14ac:dyDescent="0.2"/>
    <row r="9814" ht="12.75" x14ac:dyDescent="0.2"/>
    <row r="9815" ht="12.75" x14ac:dyDescent="0.2"/>
    <row r="9816" ht="12.75" x14ac:dyDescent="0.2"/>
    <row r="9817" ht="12.75" x14ac:dyDescent="0.2"/>
    <row r="9818" ht="12.75" x14ac:dyDescent="0.2"/>
    <row r="9819" ht="12.75" x14ac:dyDescent="0.2"/>
    <row r="9820" ht="12.75" x14ac:dyDescent="0.2"/>
    <row r="9821" ht="12.75" x14ac:dyDescent="0.2"/>
    <row r="9822" ht="12.75" x14ac:dyDescent="0.2"/>
    <row r="9823" ht="12.75" x14ac:dyDescent="0.2"/>
    <row r="9824" ht="12.75" x14ac:dyDescent="0.2"/>
    <row r="9825" ht="12.75" x14ac:dyDescent="0.2"/>
    <row r="9826" ht="12.75" x14ac:dyDescent="0.2"/>
    <row r="9827" ht="12.75" x14ac:dyDescent="0.2"/>
    <row r="9828" ht="12.75" x14ac:dyDescent="0.2"/>
    <row r="9829" ht="12.75" x14ac:dyDescent="0.2"/>
    <row r="9830" ht="12.75" x14ac:dyDescent="0.2"/>
    <row r="9831" ht="12.75" x14ac:dyDescent="0.2"/>
    <row r="9832" ht="12.75" x14ac:dyDescent="0.2"/>
    <row r="9833" ht="12.75" x14ac:dyDescent="0.2"/>
    <row r="9834" ht="12.75" x14ac:dyDescent="0.2"/>
    <row r="9835" ht="12.75" x14ac:dyDescent="0.2"/>
    <row r="9836" ht="12.75" x14ac:dyDescent="0.2"/>
    <row r="9837" ht="12.75" x14ac:dyDescent="0.2"/>
    <row r="9838" ht="12.75" x14ac:dyDescent="0.2"/>
    <row r="9839" ht="12.75" x14ac:dyDescent="0.2"/>
    <row r="9840" ht="12.75" x14ac:dyDescent="0.2"/>
    <row r="9841" ht="12.75" x14ac:dyDescent="0.2"/>
    <row r="9842" ht="12.75" x14ac:dyDescent="0.2"/>
    <row r="9843" ht="12.75" x14ac:dyDescent="0.2"/>
    <row r="9844" ht="12.75" x14ac:dyDescent="0.2"/>
    <row r="9845" ht="12.75" x14ac:dyDescent="0.2"/>
    <row r="9846" ht="12.75" x14ac:dyDescent="0.2"/>
    <row r="9847" ht="12.75" x14ac:dyDescent="0.2"/>
    <row r="9848" ht="12.75" x14ac:dyDescent="0.2"/>
    <row r="9849" ht="12.75" x14ac:dyDescent="0.2"/>
    <row r="9850" ht="12.75" x14ac:dyDescent="0.2"/>
    <row r="9851" ht="12.75" x14ac:dyDescent="0.2"/>
    <row r="9852" ht="12.75" x14ac:dyDescent="0.2"/>
    <row r="9853" ht="12.75" x14ac:dyDescent="0.2"/>
    <row r="9854" ht="12.75" x14ac:dyDescent="0.2"/>
    <row r="9855" ht="12.75" x14ac:dyDescent="0.2"/>
    <row r="9856" ht="12.75" x14ac:dyDescent="0.2"/>
    <row r="9857" ht="12.75" x14ac:dyDescent="0.2"/>
    <row r="9858" ht="12.75" x14ac:dyDescent="0.2"/>
    <row r="9859" ht="12.75" x14ac:dyDescent="0.2"/>
    <row r="9860" ht="12.75" x14ac:dyDescent="0.2"/>
    <row r="9861" ht="12.75" x14ac:dyDescent="0.2"/>
    <row r="9862" ht="12.75" x14ac:dyDescent="0.2"/>
    <row r="9863" ht="12.75" x14ac:dyDescent="0.2"/>
    <row r="9864" ht="12.75" x14ac:dyDescent="0.2"/>
    <row r="9865" ht="12.75" x14ac:dyDescent="0.2"/>
    <row r="9866" ht="12.75" x14ac:dyDescent="0.2"/>
    <row r="9867" ht="12.75" x14ac:dyDescent="0.2"/>
    <row r="9868" ht="12.75" x14ac:dyDescent="0.2"/>
    <row r="9869" ht="12.75" x14ac:dyDescent="0.2"/>
    <row r="9870" ht="12.75" x14ac:dyDescent="0.2"/>
    <row r="9871" ht="12.75" x14ac:dyDescent="0.2"/>
    <row r="9872" ht="12.75" x14ac:dyDescent="0.2"/>
    <row r="9873" ht="12.75" x14ac:dyDescent="0.2"/>
    <row r="9874" ht="12.75" x14ac:dyDescent="0.2"/>
    <row r="9875" ht="12.75" x14ac:dyDescent="0.2"/>
    <row r="9876" ht="12.75" x14ac:dyDescent="0.2"/>
    <row r="9877" ht="12.75" x14ac:dyDescent="0.2"/>
    <row r="9878" ht="12.75" x14ac:dyDescent="0.2"/>
    <row r="9879" ht="12.75" x14ac:dyDescent="0.2"/>
    <row r="9880" ht="12.75" x14ac:dyDescent="0.2"/>
    <row r="9881" ht="12.75" x14ac:dyDescent="0.2"/>
    <row r="9882" ht="12.75" x14ac:dyDescent="0.2"/>
    <row r="9883" ht="12.75" x14ac:dyDescent="0.2"/>
    <row r="9884" ht="12.75" x14ac:dyDescent="0.2"/>
    <row r="9885" ht="12.75" x14ac:dyDescent="0.2"/>
    <row r="9886" ht="12.75" x14ac:dyDescent="0.2"/>
    <row r="9887" ht="12.75" x14ac:dyDescent="0.2"/>
    <row r="9888" ht="12.75" x14ac:dyDescent="0.2"/>
    <row r="9889" ht="12.75" x14ac:dyDescent="0.2"/>
    <row r="9890" ht="12.75" x14ac:dyDescent="0.2"/>
    <row r="9891" ht="12.75" x14ac:dyDescent="0.2"/>
    <row r="9892" ht="12.75" x14ac:dyDescent="0.2"/>
    <row r="9893" ht="12.75" x14ac:dyDescent="0.2"/>
    <row r="9894" ht="12.75" x14ac:dyDescent="0.2"/>
    <row r="9895" ht="12.75" x14ac:dyDescent="0.2"/>
    <row r="9896" ht="12.75" x14ac:dyDescent="0.2"/>
    <row r="9897" ht="12.75" x14ac:dyDescent="0.2"/>
    <row r="9898" ht="12.75" x14ac:dyDescent="0.2"/>
    <row r="9899" ht="12.75" x14ac:dyDescent="0.2"/>
    <row r="9900" ht="12.75" x14ac:dyDescent="0.2"/>
    <row r="9901" ht="12.75" x14ac:dyDescent="0.2"/>
    <row r="9902" ht="12.75" x14ac:dyDescent="0.2"/>
    <row r="9903" ht="12.75" x14ac:dyDescent="0.2"/>
    <row r="9904" ht="12.75" x14ac:dyDescent="0.2"/>
    <row r="9905" ht="12.75" x14ac:dyDescent="0.2"/>
    <row r="9906" ht="12.75" x14ac:dyDescent="0.2"/>
    <row r="9907" ht="12.75" x14ac:dyDescent="0.2"/>
    <row r="9908" ht="12.75" x14ac:dyDescent="0.2"/>
    <row r="9909" ht="12.75" x14ac:dyDescent="0.2"/>
    <row r="9910" ht="12.75" x14ac:dyDescent="0.2"/>
    <row r="9911" ht="12.75" x14ac:dyDescent="0.2"/>
    <row r="9912" ht="12.75" x14ac:dyDescent="0.2"/>
    <row r="9913" ht="12.75" x14ac:dyDescent="0.2"/>
    <row r="9914" ht="12.75" x14ac:dyDescent="0.2"/>
    <row r="9915" ht="12.75" x14ac:dyDescent="0.2"/>
    <row r="9916" ht="12.75" x14ac:dyDescent="0.2"/>
    <row r="9917" ht="12.75" x14ac:dyDescent="0.2"/>
    <row r="9918" ht="12.75" x14ac:dyDescent="0.2"/>
    <row r="9919" ht="12.75" x14ac:dyDescent="0.2"/>
    <row r="9920" ht="12.75" x14ac:dyDescent="0.2"/>
    <row r="9921" ht="12.75" x14ac:dyDescent="0.2"/>
    <row r="9922" ht="12.75" x14ac:dyDescent="0.2"/>
    <row r="9923" ht="12.75" x14ac:dyDescent="0.2"/>
    <row r="9924" ht="12.75" x14ac:dyDescent="0.2"/>
    <row r="9925" ht="12.75" x14ac:dyDescent="0.2"/>
    <row r="9926" ht="12.75" x14ac:dyDescent="0.2"/>
    <row r="9927" ht="12.75" x14ac:dyDescent="0.2"/>
    <row r="9928" ht="12.75" x14ac:dyDescent="0.2"/>
    <row r="9929" ht="12.75" x14ac:dyDescent="0.2"/>
    <row r="9930" ht="12.75" x14ac:dyDescent="0.2"/>
    <row r="9931" ht="12.75" x14ac:dyDescent="0.2"/>
    <row r="9932" ht="12.75" x14ac:dyDescent="0.2"/>
    <row r="9933" ht="12.75" x14ac:dyDescent="0.2"/>
    <row r="9934" ht="12.75" x14ac:dyDescent="0.2"/>
    <row r="9935" ht="12.75" x14ac:dyDescent="0.2"/>
    <row r="9936" ht="12.75" x14ac:dyDescent="0.2"/>
    <row r="9937" ht="12.75" x14ac:dyDescent="0.2"/>
    <row r="9938" ht="12.75" x14ac:dyDescent="0.2"/>
    <row r="9939" ht="12.75" x14ac:dyDescent="0.2"/>
    <row r="9940" ht="12.75" x14ac:dyDescent="0.2"/>
    <row r="9941" ht="12.75" x14ac:dyDescent="0.2"/>
    <row r="9942" ht="12.75" x14ac:dyDescent="0.2"/>
    <row r="9943" ht="12.75" x14ac:dyDescent="0.2"/>
    <row r="9944" ht="12.75" x14ac:dyDescent="0.2"/>
    <row r="9945" ht="12.75" x14ac:dyDescent="0.2"/>
    <row r="9946" ht="12.75" x14ac:dyDescent="0.2"/>
    <row r="9947" ht="12.75" x14ac:dyDescent="0.2"/>
    <row r="9948" ht="12.75" x14ac:dyDescent="0.2"/>
    <row r="9949" ht="12.75" x14ac:dyDescent="0.2"/>
    <row r="9950" ht="12.75" x14ac:dyDescent="0.2"/>
    <row r="9951" ht="12.75" x14ac:dyDescent="0.2"/>
    <row r="9952" ht="12.75" x14ac:dyDescent="0.2"/>
    <row r="9953" ht="12.75" x14ac:dyDescent="0.2"/>
    <row r="9954" ht="12.75" x14ac:dyDescent="0.2"/>
    <row r="9955" ht="12.75" x14ac:dyDescent="0.2"/>
    <row r="9956" ht="12.75" x14ac:dyDescent="0.2"/>
    <row r="9957" ht="12.75" x14ac:dyDescent="0.2"/>
    <row r="9958" ht="12.75" x14ac:dyDescent="0.2"/>
    <row r="9959" ht="12.75" x14ac:dyDescent="0.2"/>
    <row r="9960" ht="12.75" x14ac:dyDescent="0.2"/>
    <row r="9961" ht="12.75" x14ac:dyDescent="0.2"/>
    <row r="9962" ht="12.75" x14ac:dyDescent="0.2"/>
    <row r="9963" ht="12.75" x14ac:dyDescent="0.2"/>
    <row r="9964" ht="12.75" x14ac:dyDescent="0.2"/>
    <row r="9965" ht="12.75" x14ac:dyDescent="0.2"/>
    <row r="9966" ht="12.75" x14ac:dyDescent="0.2"/>
    <row r="9967" ht="12.75" x14ac:dyDescent="0.2"/>
    <row r="9968" ht="12.75" x14ac:dyDescent="0.2"/>
    <row r="9969" ht="12.75" x14ac:dyDescent="0.2"/>
    <row r="9970" ht="12.75" x14ac:dyDescent="0.2"/>
    <row r="9971" ht="12.75" x14ac:dyDescent="0.2"/>
    <row r="9972" ht="12.75" x14ac:dyDescent="0.2"/>
    <row r="9973" ht="12.75" x14ac:dyDescent="0.2"/>
    <row r="9974" ht="12.75" x14ac:dyDescent="0.2"/>
    <row r="9975" ht="12.75" x14ac:dyDescent="0.2"/>
    <row r="9976" ht="12.75" x14ac:dyDescent="0.2"/>
    <row r="9977" ht="12.75" x14ac:dyDescent="0.2"/>
    <row r="9978" ht="12.75" x14ac:dyDescent="0.2"/>
    <row r="9979" ht="12.75" x14ac:dyDescent="0.2"/>
    <row r="9980" ht="12.75" x14ac:dyDescent="0.2"/>
    <row r="9981" ht="12.75" x14ac:dyDescent="0.2"/>
    <row r="9982" ht="12.75" x14ac:dyDescent="0.2"/>
    <row r="9983" ht="12.75" x14ac:dyDescent="0.2"/>
    <row r="9984" ht="12.75" x14ac:dyDescent="0.2"/>
    <row r="9985" ht="12.75" x14ac:dyDescent="0.2"/>
    <row r="9986" ht="12.75" x14ac:dyDescent="0.2"/>
    <row r="9987" ht="12.75" x14ac:dyDescent="0.2"/>
    <row r="9988" ht="12.75" x14ac:dyDescent="0.2"/>
    <row r="9989" ht="12.75" x14ac:dyDescent="0.2"/>
    <row r="9990" ht="12.75" x14ac:dyDescent="0.2"/>
    <row r="9991" ht="12.75" x14ac:dyDescent="0.2"/>
    <row r="9992" ht="12.75" x14ac:dyDescent="0.2"/>
    <row r="9993" ht="12.75" x14ac:dyDescent="0.2"/>
    <row r="9994" ht="12.75" x14ac:dyDescent="0.2"/>
    <row r="9995" ht="12.75" x14ac:dyDescent="0.2"/>
    <row r="9996" ht="12.75" x14ac:dyDescent="0.2"/>
    <row r="9997" ht="12.75" x14ac:dyDescent="0.2"/>
    <row r="9998" ht="12.75" x14ac:dyDescent="0.2"/>
    <row r="9999" ht="12.75" x14ac:dyDescent="0.2"/>
    <row r="10000" ht="12.75" x14ac:dyDescent="0.2"/>
    <row r="10001" ht="12.75" x14ac:dyDescent="0.2"/>
    <row r="10002" ht="12.75" x14ac:dyDescent="0.2"/>
    <row r="10003" ht="12.75" x14ac:dyDescent="0.2"/>
    <row r="10004" ht="12.75" x14ac:dyDescent="0.2"/>
    <row r="10005" ht="12.75" x14ac:dyDescent="0.2"/>
    <row r="10006" ht="12.75" x14ac:dyDescent="0.2"/>
    <row r="10007" ht="12.75" x14ac:dyDescent="0.2"/>
    <row r="10008" ht="12.75" x14ac:dyDescent="0.2"/>
    <row r="10009" ht="12.75" x14ac:dyDescent="0.2"/>
    <row r="10010" ht="12.75" x14ac:dyDescent="0.2"/>
    <row r="10011" ht="12.75" x14ac:dyDescent="0.2"/>
    <row r="10012" ht="12.75" x14ac:dyDescent="0.2"/>
    <row r="10013" ht="12.75" x14ac:dyDescent="0.2"/>
    <row r="10014" ht="12.75" x14ac:dyDescent="0.2"/>
    <row r="10015" ht="12.75" x14ac:dyDescent="0.2"/>
    <row r="10016" ht="12.75" x14ac:dyDescent="0.2"/>
    <row r="10017" ht="12.75" x14ac:dyDescent="0.2"/>
    <row r="10018" ht="12.75" x14ac:dyDescent="0.2"/>
    <row r="10019" ht="12.75" x14ac:dyDescent="0.2"/>
    <row r="10020" ht="12.75" x14ac:dyDescent="0.2"/>
    <row r="10021" ht="12.75" x14ac:dyDescent="0.2"/>
    <row r="10022" ht="12.75" x14ac:dyDescent="0.2"/>
    <row r="10023" ht="12.75" x14ac:dyDescent="0.2"/>
    <row r="10024" ht="12.75" x14ac:dyDescent="0.2"/>
    <row r="10025" ht="12.75" x14ac:dyDescent="0.2"/>
    <row r="10026" ht="12.75" x14ac:dyDescent="0.2"/>
    <row r="10027" ht="12.75" x14ac:dyDescent="0.2"/>
    <row r="10028" ht="12.75" x14ac:dyDescent="0.2"/>
    <row r="10029" ht="12.75" x14ac:dyDescent="0.2"/>
    <row r="10030" ht="12.75" x14ac:dyDescent="0.2"/>
    <row r="10031" ht="12.75" x14ac:dyDescent="0.2"/>
    <row r="10032" ht="12.75" x14ac:dyDescent="0.2"/>
    <row r="10033" ht="12.75" x14ac:dyDescent="0.2"/>
    <row r="10034" ht="12.75" x14ac:dyDescent="0.2"/>
    <row r="10035" ht="12.75" x14ac:dyDescent="0.2"/>
    <row r="10036" ht="12.75" x14ac:dyDescent="0.2"/>
    <row r="10037" ht="12.75" x14ac:dyDescent="0.2"/>
    <row r="10038" ht="12.75" x14ac:dyDescent="0.2"/>
    <row r="10039" ht="12.75" x14ac:dyDescent="0.2"/>
    <row r="10040" ht="12.75" x14ac:dyDescent="0.2"/>
    <row r="10041" ht="12.75" x14ac:dyDescent="0.2"/>
    <row r="10042" ht="12.75" x14ac:dyDescent="0.2"/>
    <row r="10043" ht="12.75" x14ac:dyDescent="0.2"/>
    <row r="10044" ht="12.75" x14ac:dyDescent="0.2"/>
    <row r="10045" ht="12.75" x14ac:dyDescent="0.2"/>
    <row r="10046" ht="12.75" x14ac:dyDescent="0.2"/>
    <row r="10047" ht="12.75" x14ac:dyDescent="0.2"/>
    <row r="10048" ht="12.75" x14ac:dyDescent="0.2"/>
    <row r="10049" ht="12.75" x14ac:dyDescent="0.2"/>
    <row r="10050" ht="12.75" x14ac:dyDescent="0.2"/>
    <row r="10051" ht="12.75" x14ac:dyDescent="0.2"/>
    <row r="10052" ht="12.75" x14ac:dyDescent="0.2"/>
    <row r="10053" ht="12.75" x14ac:dyDescent="0.2"/>
    <row r="10054" ht="12.75" x14ac:dyDescent="0.2"/>
    <row r="10055" ht="12.75" x14ac:dyDescent="0.2"/>
    <row r="10056" ht="12.75" x14ac:dyDescent="0.2"/>
    <row r="10057" ht="12.75" x14ac:dyDescent="0.2"/>
    <row r="10058" ht="12.75" x14ac:dyDescent="0.2"/>
    <row r="10059" ht="12.75" x14ac:dyDescent="0.2"/>
    <row r="10060" ht="12.75" x14ac:dyDescent="0.2"/>
    <row r="10061" ht="12.75" x14ac:dyDescent="0.2"/>
    <row r="10062" ht="12.75" x14ac:dyDescent="0.2"/>
    <row r="10063" ht="12.75" x14ac:dyDescent="0.2"/>
    <row r="10064" ht="12.75" x14ac:dyDescent="0.2"/>
    <row r="10065" ht="12.75" x14ac:dyDescent="0.2"/>
    <row r="10066" ht="12.75" x14ac:dyDescent="0.2"/>
    <row r="10067" ht="12.75" x14ac:dyDescent="0.2"/>
    <row r="10068" ht="12.75" x14ac:dyDescent="0.2"/>
    <row r="10069" ht="12.75" x14ac:dyDescent="0.2"/>
    <row r="10070" ht="12.75" x14ac:dyDescent="0.2"/>
    <row r="10071" ht="12.75" x14ac:dyDescent="0.2"/>
    <row r="10072" ht="12.75" x14ac:dyDescent="0.2"/>
    <row r="10073" ht="12.75" x14ac:dyDescent="0.2"/>
    <row r="10074" ht="12.75" x14ac:dyDescent="0.2"/>
    <row r="10075" ht="12.75" x14ac:dyDescent="0.2"/>
    <row r="10076" ht="12.75" x14ac:dyDescent="0.2"/>
    <row r="10077" ht="12.75" x14ac:dyDescent="0.2"/>
    <row r="10078" ht="12.75" x14ac:dyDescent="0.2"/>
    <row r="10079" ht="12.75" x14ac:dyDescent="0.2"/>
    <row r="10080" ht="12.75" x14ac:dyDescent="0.2"/>
    <row r="10081" ht="12.75" x14ac:dyDescent="0.2"/>
    <row r="10082" ht="12.75" x14ac:dyDescent="0.2"/>
    <row r="10083" ht="12.75" x14ac:dyDescent="0.2"/>
    <row r="10084" ht="12.75" x14ac:dyDescent="0.2"/>
    <row r="10085" ht="12.75" x14ac:dyDescent="0.2"/>
    <row r="10086" ht="12.75" x14ac:dyDescent="0.2"/>
    <row r="10087" ht="12.75" x14ac:dyDescent="0.2"/>
    <row r="10088" ht="12.75" x14ac:dyDescent="0.2"/>
    <row r="10089" ht="12.75" x14ac:dyDescent="0.2"/>
    <row r="10090" ht="12.75" x14ac:dyDescent="0.2"/>
    <row r="10091" ht="12.75" x14ac:dyDescent="0.2"/>
    <row r="10092" ht="12.75" x14ac:dyDescent="0.2"/>
    <row r="10093" ht="12.75" x14ac:dyDescent="0.2"/>
    <row r="10094" ht="12.75" x14ac:dyDescent="0.2"/>
    <row r="10095" ht="12.75" x14ac:dyDescent="0.2"/>
    <row r="10096" ht="12.75" x14ac:dyDescent="0.2"/>
    <row r="10097" ht="12.75" x14ac:dyDescent="0.2"/>
    <row r="10098" ht="12.75" x14ac:dyDescent="0.2"/>
    <row r="10099" ht="12.75" x14ac:dyDescent="0.2"/>
    <row r="10100" ht="12.75" x14ac:dyDescent="0.2"/>
    <row r="10101" ht="12.75" x14ac:dyDescent="0.2"/>
    <row r="10102" ht="12.75" x14ac:dyDescent="0.2"/>
    <row r="10103" ht="12.75" x14ac:dyDescent="0.2"/>
    <row r="10104" ht="12.75" x14ac:dyDescent="0.2"/>
    <row r="10105" ht="12.75" x14ac:dyDescent="0.2"/>
    <row r="10106" ht="12.75" x14ac:dyDescent="0.2"/>
    <row r="10107" ht="12.75" x14ac:dyDescent="0.2"/>
    <row r="10108" ht="12.75" x14ac:dyDescent="0.2"/>
    <row r="10109" ht="12.75" x14ac:dyDescent="0.2"/>
    <row r="10110" ht="12.75" x14ac:dyDescent="0.2"/>
    <row r="10111" ht="12.75" x14ac:dyDescent="0.2"/>
    <row r="10112" ht="12.75" x14ac:dyDescent="0.2"/>
    <row r="10113" ht="12.75" x14ac:dyDescent="0.2"/>
    <row r="10114" ht="12.75" x14ac:dyDescent="0.2"/>
    <row r="10115" ht="12.75" x14ac:dyDescent="0.2"/>
    <row r="10116" ht="12.75" x14ac:dyDescent="0.2"/>
    <row r="10117" ht="12.75" x14ac:dyDescent="0.2"/>
    <row r="10118" ht="12.75" x14ac:dyDescent="0.2"/>
    <row r="10119" ht="12.75" x14ac:dyDescent="0.2"/>
    <row r="10120" ht="12.75" x14ac:dyDescent="0.2"/>
    <row r="10121" ht="12.75" x14ac:dyDescent="0.2"/>
    <row r="10122" ht="12.75" x14ac:dyDescent="0.2"/>
    <row r="10123" ht="12.75" x14ac:dyDescent="0.2"/>
    <row r="10124" ht="12.75" x14ac:dyDescent="0.2"/>
    <row r="10125" ht="12.75" x14ac:dyDescent="0.2"/>
    <row r="10126" ht="12.75" x14ac:dyDescent="0.2"/>
    <row r="10127" ht="12.75" x14ac:dyDescent="0.2"/>
    <row r="10128" ht="12.75" x14ac:dyDescent="0.2"/>
    <row r="10129" ht="12.75" x14ac:dyDescent="0.2"/>
    <row r="10130" ht="12.75" x14ac:dyDescent="0.2"/>
    <row r="10131" ht="12.75" x14ac:dyDescent="0.2"/>
    <row r="10132" ht="12.75" x14ac:dyDescent="0.2"/>
    <row r="10133" ht="12.75" x14ac:dyDescent="0.2"/>
    <row r="10134" ht="12.75" x14ac:dyDescent="0.2"/>
    <row r="10135" ht="12.75" x14ac:dyDescent="0.2"/>
    <row r="10136" ht="12.75" x14ac:dyDescent="0.2"/>
    <row r="10137" ht="12.75" x14ac:dyDescent="0.2"/>
    <row r="10138" ht="12.75" x14ac:dyDescent="0.2"/>
    <row r="10139" ht="12.75" x14ac:dyDescent="0.2"/>
    <row r="10140" ht="12.75" x14ac:dyDescent="0.2"/>
    <row r="10141" ht="12.75" x14ac:dyDescent="0.2"/>
    <row r="10142" ht="12.75" x14ac:dyDescent="0.2"/>
    <row r="10143" ht="12.75" x14ac:dyDescent="0.2"/>
    <row r="10144" ht="12.75" x14ac:dyDescent="0.2"/>
    <row r="10145" ht="12.75" x14ac:dyDescent="0.2"/>
    <row r="10146" ht="12.75" x14ac:dyDescent="0.2"/>
    <row r="10147" ht="12.75" x14ac:dyDescent="0.2"/>
    <row r="10148" ht="12.75" x14ac:dyDescent="0.2"/>
    <row r="10149" ht="12.75" x14ac:dyDescent="0.2"/>
    <row r="10150" ht="12.75" x14ac:dyDescent="0.2"/>
    <row r="10151" ht="12.75" x14ac:dyDescent="0.2"/>
    <row r="10152" ht="12.75" x14ac:dyDescent="0.2"/>
    <row r="10153" ht="12.75" x14ac:dyDescent="0.2"/>
    <row r="10154" ht="12.75" x14ac:dyDescent="0.2"/>
    <row r="10155" ht="12.75" x14ac:dyDescent="0.2"/>
    <row r="10156" ht="12.75" x14ac:dyDescent="0.2"/>
    <row r="10157" ht="12.75" x14ac:dyDescent="0.2"/>
    <row r="10158" ht="12.75" x14ac:dyDescent="0.2"/>
    <row r="10159" ht="12.75" x14ac:dyDescent="0.2"/>
    <row r="10160" ht="12.75" x14ac:dyDescent="0.2"/>
    <row r="10161" ht="12.75" x14ac:dyDescent="0.2"/>
    <row r="10162" ht="12.75" x14ac:dyDescent="0.2"/>
    <row r="10163" ht="12.75" x14ac:dyDescent="0.2"/>
    <row r="10164" ht="12.75" x14ac:dyDescent="0.2"/>
    <row r="10165" ht="12.75" x14ac:dyDescent="0.2"/>
    <row r="10166" ht="12.75" x14ac:dyDescent="0.2"/>
    <row r="10167" ht="12.75" x14ac:dyDescent="0.2"/>
    <row r="10168" ht="12.75" x14ac:dyDescent="0.2"/>
    <row r="10169" ht="12.75" x14ac:dyDescent="0.2"/>
    <row r="10170" ht="12.75" x14ac:dyDescent="0.2"/>
    <row r="10171" ht="12.75" x14ac:dyDescent="0.2"/>
    <row r="10172" ht="12.75" x14ac:dyDescent="0.2"/>
    <row r="10173" ht="12.75" x14ac:dyDescent="0.2"/>
    <row r="10174" ht="12.75" x14ac:dyDescent="0.2"/>
    <row r="10175" ht="12.75" x14ac:dyDescent="0.2"/>
    <row r="10176" ht="12.75" x14ac:dyDescent="0.2"/>
    <row r="10177" ht="12.75" x14ac:dyDescent="0.2"/>
    <row r="10178" ht="12.75" x14ac:dyDescent="0.2"/>
    <row r="10179" ht="12.75" x14ac:dyDescent="0.2"/>
    <row r="10180" ht="12.75" x14ac:dyDescent="0.2"/>
    <row r="10181" ht="12.75" x14ac:dyDescent="0.2"/>
    <row r="10182" ht="12.75" x14ac:dyDescent="0.2"/>
    <row r="10183" ht="12.75" x14ac:dyDescent="0.2"/>
    <row r="10184" ht="12.75" x14ac:dyDescent="0.2"/>
    <row r="10185" ht="12.75" x14ac:dyDescent="0.2"/>
    <row r="10186" ht="12.75" x14ac:dyDescent="0.2"/>
    <row r="10187" ht="12.75" x14ac:dyDescent="0.2"/>
    <row r="10188" ht="12.75" x14ac:dyDescent="0.2"/>
    <row r="10189" ht="12.75" x14ac:dyDescent="0.2"/>
    <row r="10190" ht="12.75" x14ac:dyDescent="0.2"/>
    <row r="10191" ht="12.75" x14ac:dyDescent="0.2"/>
    <row r="10192" ht="12.75" x14ac:dyDescent="0.2"/>
    <row r="10193" ht="12.75" x14ac:dyDescent="0.2"/>
    <row r="10194" ht="12.75" x14ac:dyDescent="0.2"/>
    <row r="10195" ht="12.75" x14ac:dyDescent="0.2"/>
    <row r="10196" ht="12.75" x14ac:dyDescent="0.2"/>
    <row r="10197" ht="12.75" x14ac:dyDescent="0.2"/>
    <row r="10198" ht="12.75" x14ac:dyDescent="0.2"/>
    <row r="10199" ht="12.75" x14ac:dyDescent="0.2"/>
    <row r="10200" ht="12.75" x14ac:dyDescent="0.2"/>
    <row r="10201" ht="12.75" x14ac:dyDescent="0.2"/>
    <row r="10202" ht="12.75" x14ac:dyDescent="0.2"/>
    <row r="10203" ht="12.75" x14ac:dyDescent="0.2"/>
    <row r="10204" ht="12.75" x14ac:dyDescent="0.2"/>
    <row r="10205" ht="12.75" x14ac:dyDescent="0.2"/>
    <row r="10206" ht="12.75" x14ac:dyDescent="0.2"/>
    <row r="10207" ht="12.75" x14ac:dyDescent="0.2"/>
    <row r="10208" ht="12.75" x14ac:dyDescent="0.2"/>
    <row r="10209" ht="12.75" x14ac:dyDescent="0.2"/>
    <row r="10210" ht="12.75" x14ac:dyDescent="0.2"/>
    <row r="10211" ht="12.75" x14ac:dyDescent="0.2"/>
    <row r="10212" ht="12.75" x14ac:dyDescent="0.2"/>
    <row r="10213" ht="12.75" x14ac:dyDescent="0.2"/>
    <row r="10214" ht="12.75" x14ac:dyDescent="0.2"/>
    <row r="10215" ht="12.75" x14ac:dyDescent="0.2"/>
    <row r="10216" ht="12.75" x14ac:dyDescent="0.2"/>
    <row r="10217" ht="12.75" x14ac:dyDescent="0.2"/>
    <row r="10218" ht="12.75" x14ac:dyDescent="0.2"/>
    <row r="10219" ht="12.75" x14ac:dyDescent="0.2"/>
    <row r="10220" ht="12.75" x14ac:dyDescent="0.2"/>
    <row r="10221" ht="12.75" x14ac:dyDescent="0.2"/>
    <row r="10222" ht="12.75" x14ac:dyDescent="0.2"/>
    <row r="10223" ht="12.75" x14ac:dyDescent="0.2"/>
    <row r="10224" ht="12.75" x14ac:dyDescent="0.2"/>
    <row r="10225" ht="12.75" x14ac:dyDescent="0.2"/>
    <row r="10226" ht="12.75" x14ac:dyDescent="0.2"/>
    <row r="10227" ht="12.75" x14ac:dyDescent="0.2"/>
    <row r="10228" ht="12.75" x14ac:dyDescent="0.2"/>
    <row r="10229" ht="12.75" x14ac:dyDescent="0.2"/>
    <row r="10230" ht="12.75" x14ac:dyDescent="0.2"/>
    <row r="10231" ht="12.75" x14ac:dyDescent="0.2"/>
    <row r="10232" ht="12.75" x14ac:dyDescent="0.2"/>
    <row r="10233" ht="12.75" x14ac:dyDescent="0.2"/>
    <row r="10234" ht="12.75" x14ac:dyDescent="0.2"/>
    <row r="10235" ht="12.75" x14ac:dyDescent="0.2"/>
    <row r="10236" ht="12.75" x14ac:dyDescent="0.2"/>
    <row r="10237" ht="12.75" x14ac:dyDescent="0.2"/>
    <row r="10238" ht="12.75" x14ac:dyDescent="0.2"/>
    <row r="10239" ht="12.75" x14ac:dyDescent="0.2"/>
    <row r="10240" ht="12.75" x14ac:dyDescent="0.2"/>
    <row r="10241" ht="12.75" x14ac:dyDescent="0.2"/>
    <row r="10242" ht="12.75" x14ac:dyDescent="0.2"/>
    <row r="10243" ht="12.75" x14ac:dyDescent="0.2"/>
    <row r="10244" ht="12.75" x14ac:dyDescent="0.2"/>
    <row r="10245" ht="12.75" x14ac:dyDescent="0.2"/>
    <row r="10246" ht="12.75" x14ac:dyDescent="0.2"/>
    <row r="10247" ht="12.75" x14ac:dyDescent="0.2"/>
    <row r="10248" ht="12.75" x14ac:dyDescent="0.2"/>
    <row r="10249" ht="12.75" x14ac:dyDescent="0.2"/>
    <row r="10250" ht="12.75" x14ac:dyDescent="0.2"/>
    <row r="10251" ht="12.75" x14ac:dyDescent="0.2"/>
    <row r="10252" ht="12.75" x14ac:dyDescent="0.2"/>
    <row r="10253" ht="12.75" x14ac:dyDescent="0.2"/>
    <row r="10254" ht="12.75" x14ac:dyDescent="0.2"/>
    <row r="10255" ht="12.75" x14ac:dyDescent="0.2"/>
    <row r="10256" ht="12.75" x14ac:dyDescent="0.2"/>
    <row r="10257" ht="12.75" x14ac:dyDescent="0.2"/>
    <row r="10258" ht="12.75" x14ac:dyDescent="0.2"/>
    <row r="10259" ht="12.75" x14ac:dyDescent="0.2"/>
    <row r="10260" ht="12.75" x14ac:dyDescent="0.2"/>
    <row r="10261" ht="12.75" x14ac:dyDescent="0.2"/>
    <row r="10262" ht="12.75" x14ac:dyDescent="0.2"/>
    <row r="10263" ht="12.75" x14ac:dyDescent="0.2"/>
    <row r="10264" ht="12.75" x14ac:dyDescent="0.2"/>
    <row r="10265" ht="12.75" x14ac:dyDescent="0.2"/>
    <row r="10266" ht="12.75" x14ac:dyDescent="0.2"/>
    <row r="10267" ht="12.75" x14ac:dyDescent="0.2"/>
    <row r="10268" ht="12.75" x14ac:dyDescent="0.2"/>
    <row r="10269" ht="12.75" x14ac:dyDescent="0.2"/>
    <row r="10270" ht="12.75" x14ac:dyDescent="0.2"/>
    <row r="10271" ht="12.75" x14ac:dyDescent="0.2"/>
    <row r="10272" ht="12.75" x14ac:dyDescent="0.2"/>
    <row r="10273" ht="12.75" x14ac:dyDescent="0.2"/>
    <row r="10274" ht="12.75" x14ac:dyDescent="0.2"/>
    <row r="10275" ht="12.75" x14ac:dyDescent="0.2"/>
    <row r="10276" ht="12.75" x14ac:dyDescent="0.2"/>
    <row r="10277" ht="12.75" x14ac:dyDescent="0.2"/>
    <row r="10278" ht="12.75" x14ac:dyDescent="0.2"/>
    <row r="10279" ht="12.75" x14ac:dyDescent="0.2"/>
    <row r="10280" ht="12.75" x14ac:dyDescent="0.2"/>
    <row r="10281" ht="12.75" x14ac:dyDescent="0.2"/>
    <row r="10282" ht="12.75" x14ac:dyDescent="0.2"/>
    <row r="10283" ht="12.75" x14ac:dyDescent="0.2"/>
    <row r="10284" ht="12.75" x14ac:dyDescent="0.2"/>
    <row r="10285" ht="12.75" x14ac:dyDescent="0.2"/>
    <row r="10286" ht="12.75" x14ac:dyDescent="0.2"/>
    <row r="10287" ht="12.75" x14ac:dyDescent="0.2"/>
    <row r="10288" ht="12.75" x14ac:dyDescent="0.2"/>
    <row r="10289" ht="12.75" x14ac:dyDescent="0.2"/>
    <row r="10290" ht="12.75" x14ac:dyDescent="0.2"/>
    <row r="10291" ht="12.75" x14ac:dyDescent="0.2"/>
    <row r="10292" ht="12.75" x14ac:dyDescent="0.2"/>
    <row r="10293" ht="12.75" x14ac:dyDescent="0.2"/>
    <row r="10294" ht="12.75" x14ac:dyDescent="0.2"/>
    <row r="10295" ht="12.75" x14ac:dyDescent="0.2"/>
    <row r="10296" ht="12.75" x14ac:dyDescent="0.2"/>
    <row r="10297" ht="12.75" x14ac:dyDescent="0.2"/>
    <row r="10298" ht="12.75" x14ac:dyDescent="0.2"/>
    <row r="10299" ht="12.75" x14ac:dyDescent="0.2"/>
    <row r="10300" ht="12.75" x14ac:dyDescent="0.2"/>
    <row r="10301" ht="12.75" x14ac:dyDescent="0.2"/>
    <row r="10302" ht="12.75" x14ac:dyDescent="0.2"/>
    <row r="10303" ht="12.75" x14ac:dyDescent="0.2"/>
    <row r="10304" ht="12.75" x14ac:dyDescent="0.2"/>
    <row r="10305" ht="12.75" x14ac:dyDescent="0.2"/>
    <row r="10306" ht="12.75" x14ac:dyDescent="0.2"/>
    <row r="10307" ht="12.75" x14ac:dyDescent="0.2"/>
    <row r="10308" ht="12.75" x14ac:dyDescent="0.2"/>
    <row r="10309" ht="12.75" x14ac:dyDescent="0.2"/>
    <row r="10310" ht="12.75" x14ac:dyDescent="0.2"/>
    <row r="10311" ht="12.75" x14ac:dyDescent="0.2"/>
    <row r="10312" ht="12.75" x14ac:dyDescent="0.2"/>
    <row r="10313" ht="12.75" x14ac:dyDescent="0.2"/>
    <row r="10314" ht="12.75" x14ac:dyDescent="0.2"/>
    <row r="10315" ht="12.75" x14ac:dyDescent="0.2"/>
    <row r="10316" ht="12.75" x14ac:dyDescent="0.2"/>
    <row r="10317" ht="12.75" x14ac:dyDescent="0.2"/>
    <row r="10318" ht="12.75" x14ac:dyDescent="0.2"/>
    <row r="10319" ht="12.75" x14ac:dyDescent="0.2"/>
    <row r="10320" ht="12.75" x14ac:dyDescent="0.2"/>
    <row r="10321" ht="12.75" x14ac:dyDescent="0.2"/>
    <row r="10322" ht="12.75" x14ac:dyDescent="0.2"/>
    <row r="10323" ht="12.75" x14ac:dyDescent="0.2"/>
    <row r="10324" ht="12.75" x14ac:dyDescent="0.2"/>
    <row r="10325" ht="12.75" x14ac:dyDescent="0.2"/>
    <row r="10326" ht="12.75" x14ac:dyDescent="0.2"/>
    <row r="10327" ht="12.75" x14ac:dyDescent="0.2"/>
    <row r="10328" ht="12.75" x14ac:dyDescent="0.2"/>
    <row r="10329" ht="12.75" x14ac:dyDescent="0.2"/>
    <row r="10330" ht="12.75" x14ac:dyDescent="0.2"/>
    <row r="10331" ht="12.75" x14ac:dyDescent="0.2"/>
    <row r="10332" ht="12.75" x14ac:dyDescent="0.2"/>
    <row r="10333" ht="12.75" x14ac:dyDescent="0.2"/>
    <row r="10334" ht="12.75" x14ac:dyDescent="0.2"/>
    <row r="10335" ht="12.75" x14ac:dyDescent="0.2"/>
    <row r="10336" ht="12.75" x14ac:dyDescent="0.2"/>
    <row r="10337" ht="12.75" x14ac:dyDescent="0.2"/>
    <row r="10338" ht="12.75" x14ac:dyDescent="0.2"/>
    <row r="10339" ht="12.75" x14ac:dyDescent="0.2"/>
    <row r="10340" ht="12.75" x14ac:dyDescent="0.2"/>
    <row r="10341" ht="12.75" x14ac:dyDescent="0.2"/>
    <row r="10342" ht="12.75" x14ac:dyDescent="0.2"/>
    <row r="10343" ht="12.75" x14ac:dyDescent="0.2"/>
    <row r="10344" ht="12.75" x14ac:dyDescent="0.2"/>
    <row r="10345" ht="12.75" x14ac:dyDescent="0.2"/>
    <row r="10346" ht="12.75" x14ac:dyDescent="0.2"/>
    <row r="10347" ht="12.75" x14ac:dyDescent="0.2"/>
    <row r="10348" ht="12.75" x14ac:dyDescent="0.2"/>
    <row r="10349" ht="12.75" x14ac:dyDescent="0.2"/>
    <row r="10350" ht="12.75" x14ac:dyDescent="0.2"/>
    <row r="10351" ht="12.75" x14ac:dyDescent="0.2"/>
    <row r="10352" ht="12.75" x14ac:dyDescent="0.2"/>
    <row r="10353" ht="12.75" x14ac:dyDescent="0.2"/>
    <row r="10354" ht="12.75" x14ac:dyDescent="0.2"/>
    <row r="10355" ht="12.75" x14ac:dyDescent="0.2"/>
    <row r="10356" ht="12.75" x14ac:dyDescent="0.2"/>
    <row r="10357" ht="12.75" x14ac:dyDescent="0.2"/>
    <row r="10358" ht="12.75" x14ac:dyDescent="0.2"/>
    <row r="10359" ht="12.75" x14ac:dyDescent="0.2"/>
    <row r="10360" ht="12.75" x14ac:dyDescent="0.2"/>
    <row r="10361" ht="12.75" x14ac:dyDescent="0.2"/>
    <row r="10362" ht="12.75" x14ac:dyDescent="0.2"/>
    <row r="10363" ht="12.75" x14ac:dyDescent="0.2"/>
    <row r="10364" ht="12.75" x14ac:dyDescent="0.2"/>
    <row r="10365" ht="12.75" x14ac:dyDescent="0.2"/>
    <row r="10366" ht="12.75" x14ac:dyDescent="0.2"/>
    <row r="10367" ht="12.75" x14ac:dyDescent="0.2"/>
    <row r="10368" ht="12.75" x14ac:dyDescent="0.2"/>
    <row r="10369" ht="12.75" x14ac:dyDescent="0.2"/>
    <row r="10370" ht="12.75" x14ac:dyDescent="0.2"/>
    <row r="10371" ht="12.75" x14ac:dyDescent="0.2"/>
    <row r="10372" ht="12.75" x14ac:dyDescent="0.2"/>
    <row r="10373" ht="12.75" x14ac:dyDescent="0.2"/>
    <row r="10374" ht="12.75" x14ac:dyDescent="0.2"/>
    <row r="10375" ht="12.75" x14ac:dyDescent="0.2"/>
    <row r="10376" ht="12.75" x14ac:dyDescent="0.2"/>
    <row r="10377" ht="12.75" x14ac:dyDescent="0.2"/>
    <row r="10378" ht="12.75" x14ac:dyDescent="0.2"/>
    <row r="10379" ht="12.75" x14ac:dyDescent="0.2"/>
    <row r="10380" ht="12.75" x14ac:dyDescent="0.2"/>
    <row r="10381" ht="12.75" x14ac:dyDescent="0.2"/>
    <row r="10382" ht="12.75" x14ac:dyDescent="0.2"/>
    <row r="10383" ht="12.75" x14ac:dyDescent="0.2"/>
    <row r="10384" ht="12.75" x14ac:dyDescent="0.2"/>
    <row r="10385" ht="12.75" x14ac:dyDescent="0.2"/>
    <row r="10386" ht="12.75" x14ac:dyDescent="0.2"/>
    <row r="10387" ht="12.75" x14ac:dyDescent="0.2"/>
    <row r="10388" ht="12.75" x14ac:dyDescent="0.2"/>
    <row r="10389" ht="12.75" x14ac:dyDescent="0.2"/>
    <row r="10390" ht="12.75" x14ac:dyDescent="0.2"/>
    <row r="10391" ht="12.75" x14ac:dyDescent="0.2"/>
    <row r="10392" ht="12.75" x14ac:dyDescent="0.2"/>
    <row r="10393" ht="12.75" x14ac:dyDescent="0.2"/>
    <row r="10394" ht="12.75" x14ac:dyDescent="0.2"/>
    <row r="10395" ht="12.75" x14ac:dyDescent="0.2"/>
    <row r="10396" ht="12.75" x14ac:dyDescent="0.2"/>
    <row r="10397" ht="12.75" x14ac:dyDescent="0.2"/>
    <row r="10398" ht="12.75" x14ac:dyDescent="0.2"/>
    <row r="10399" ht="12.75" x14ac:dyDescent="0.2"/>
    <row r="10400" ht="12.75" x14ac:dyDescent="0.2"/>
    <row r="10401" ht="12.75" x14ac:dyDescent="0.2"/>
    <row r="10402" ht="12.75" x14ac:dyDescent="0.2"/>
    <row r="10403" ht="12.75" x14ac:dyDescent="0.2"/>
    <row r="10404" ht="12.75" x14ac:dyDescent="0.2"/>
    <row r="10405" ht="12.75" x14ac:dyDescent="0.2"/>
    <row r="10406" ht="12.75" x14ac:dyDescent="0.2"/>
    <row r="10407" ht="12.75" x14ac:dyDescent="0.2"/>
    <row r="10408" ht="12.75" x14ac:dyDescent="0.2"/>
    <row r="10409" ht="12.75" x14ac:dyDescent="0.2"/>
    <row r="10410" ht="12.75" x14ac:dyDescent="0.2"/>
    <row r="10411" ht="12.75" x14ac:dyDescent="0.2"/>
    <row r="10412" ht="12.75" x14ac:dyDescent="0.2"/>
    <row r="10413" ht="12.75" x14ac:dyDescent="0.2"/>
    <row r="10414" ht="12.75" x14ac:dyDescent="0.2"/>
    <row r="10415" ht="12.75" x14ac:dyDescent="0.2"/>
    <row r="10416" ht="12.75" x14ac:dyDescent="0.2"/>
    <row r="10417" ht="12.75" x14ac:dyDescent="0.2"/>
    <row r="10418" ht="12.75" x14ac:dyDescent="0.2"/>
    <row r="10419" ht="12.75" x14ac:dyDescent="0.2"/>
    <row r="10420" ht="12.75" x14ac:dyDescent="0.2"/>
    <row r="10421" ht="12.75" x14ac:dyDescent="0.2"/>
    <row r="10422" ht="12.75" x14ac:dyDescent="0.2"/>
    <row r="10423" ht="12.75" x14ac:dyDescent="0.2"/>
    <row r="10424" ht="12.75" x14ac:dyDescent="0.2"/>
    <row r="10425" ht="12.75" x14ac:dyDescent="0.2"/>
    <row r="10426" ht="12.75" x14ac:dyDescent="0.2"/>
    <row r="10427" ht="12.75" x14ac:dyDescent="0.2"/>
    <row r="10428" ht="12.75" x14ac:dyDescent="0.2"/>
    <row r="10429" ht="12.75" x14ac:dyDescent="0.2"/>
    <row r="10430" ht="12.75" x14ac:dyDescent="0.2"/>
    <row r="10431" ht="12.75" x14ac:dyDescent="0.2"/>
    <row r="10432" ht="12.75" x14ac:dyDescent="0.2"/>
    <row r="10433" ht="12.75" x14ac:dyDescent="0.2"/>
    <row r="10434" ht="12.75" x14ac:dyDescent="0.2"/>
    <row r="10435" ht="12.75" x14ac:dyDescent="0.2"/>
    <row r="10436" ht="12.75" x14ac:dyDescent="0.2"/>
    <row r="10437" ht="12.75" x14ac:dyDescent="0.2"/>
    <row r="10438" ht="12.75" x14ac:dyDescent="0.2"/>
    <row r="10439" ht="12.75" x14ac:dyDescent="0.2"/>
    <row r="10440" ht="12.75" x14ac:dyDescent="0.2"/>
    <row r="10441" ht="12.75" x14ac:dyDescent="0.2"/>
    <row r="10442" ht="12.75" x14ac:dyDescent="0.2"/>
    <row r="10443" ht="12.75" x14ac:dyDescent="0.2"/>
    <row r="10444" ht="12.75" x14ac:dyDescent="0.2"/>
    <row r="10445" ht="12.75" x14ac:dyDescent="0.2"/>
    <row r="10446" ht="12.75" x14ac:dyDescent="0.2"/>
    <row r="10447" ht="12.75" x14ac:dyDescent="0.2"/>
    <row r="10448" ht="12.75" x14ac:dyDescent="0.2"/>
    <row r="10449" ht="12.75" x14ac:dyDescent="0.2"/>
    <row r="10450" ht="12.75" x14ac:dyDescent="0.2"/>
    <row r="10451" ht="12.75" x14ac:dyDescent="0.2"/>
    <row r="10452" ht="12.75" x14ac:dyDescent="0.2"/>
    <row r="10453" ht="12.75" x14ac:dyDescent="0.2"/>
    <row r="10454" ht="12.75" x14ac:dyDescent="0.2"/>
    <row r="10455" ht="12.75" x14ac:dyDescent="0.2"/>
    <row r="10456" ht="12.75" x14ac:dyDescent="0.2"/>
    <row r="10457" ht="12.75" x14ac:dyDescent="0.2"/>
    <row r="10458" ht="12.75" x14ac:dyDescent="0.2"/>
    <row r="10459" ht="12.75" x14ac:dyDescent="0.2"/>
    <row r="10460" ht="12.75" x14ac:dyDescent="0.2"/>
    <row r="10461" ht="12.75" x14ac:dyDescent="0.2"/>
    <row r="10462" ht="12.75" x14ac:dyDescent="0.2"/>
    <row r="10463" ht="12.75" x14ac:dyDescent="0.2"/>
    <row r="10464" ht="12.75" x14ac:dyDescent="0.2"/>
    <row r="10465" ht="12.75" x14ac:dyDescent="0.2"/>
    <row r="10466" ht="12.75" x14ac:dyDescent="0.2"/>
    <row r="10467" ht="12.75" x14ac:dyDescent="0.2"/>
    <row r="10468" ht="12.75" x14ac:dyDescent="0.2"/>
    <row r="10469" ht="12.75" x14ac:dyDescent="0.2"/>
    <row r="10470" ht="12.75" x14ac:dyDescent="0.2"/>
    <row r="10471" ht="12.75" x14ac:dyDescent="0.2"/>
    <row r="10472" ht="12.75" x14ac:dyDescent="0.2"/>
    <row r="10473" ht="12.75" x14ac:dyDescent="0.2"/>
    <row r="10474" ht="12.75" x14ac:dyDescent="0.2"/>
    <row r="10475" ht="12.75" x14ac:dyDescent="0.2"/>
    <row r="10476" ht="12.75" x14ac:dyDescent="0.2"/>
    <row r="10477" ht="12.75" x14ac:dyDescent="0.2"/>
    <row r="10478" ht="12.75" x14ac:dyDescent="0.2"/>
    <row r="10479" ht="12.75" x14ac:dyDescent="0.2"/>
    <row r="10480" ht="12.75" x14ac:dyDescent="0.2"/>
    <row r="10481" ht="12.75" x14ac:dyDescent="0.2"/>
    <row r="10482" ht="12.75" x14ac:dyDescent="0.2"/>
    <row r="10483" ht="12.75" x14ac:dyDescent="0.2"/>
    <row r="10484" ht="12.75" x14ac:dyDescent="0.2"/>
    <row r="10485" ht="12.75" x14ac:dyDescent="0.2"/>
    <row r="10486" ht="12.75" x14ac:dyDescent="0.2"/>
    <row r="10487" ht="12.75" x14ac:dyDescent="0.2"/>
    <row r="10488" ht="12.75" x14ac:dyDescent="0.2"/>
    <row r="10489" ht="12.75" x14ac:dyDescent="0.2"/>
    <row r="10490" ht="12.75" x14ac:dyDescent="0.2"/>
    <row r="10491" ht="12.75" x14ac:dyDescent="0.2"/>
    <row r="10492" ht="12.75" x14ac:dyDescent="0.2"/>
    <row r="10493" ht="12.75" x14ac:dyDescent="0.2"/>
    <row r="10494" ht="12.75" x14ac:dyDescent="0.2"/>
    <row r="10495" ht="12.75" x14ac:dyDescent="0.2"/>
    <row r="10496" ht="12.75" x14ac:dyDescent="0.2"/>
    <row r="10497" ht="12.75" x14ac:dyDescent="0.2"/>
    <row r="10498" ht="12.75" x14ac:dyDescent="0.2"/>
    <row r="10499" ht="12.75" x14ac:dyDescent="0.2"/>
    <row r="10500" ht="12.75" x14ac:dyDescent="0.2"/>
    <row r="10501" ht="12.75" x14ac:dyDescent="0.2"/>
    <row r="10502" ht="12.75" x14ac:dyDescent="0.2"/>
    <row r="10503" ht="12.75" x14ac:dyDescent="0.2"/>
    <row r="10504" ht="12.75" x14ac:dyDescent="0.2"/>
    <row r="10505" ht="12.75" x14ac:dyDescent="0.2"/>
    <row r="10506" ht="12.75" x14ac:dyDescent="0.2"/>
    <row r="10507" ht="12.75" x14ac:dyDescent="0.2"/>
    <row r="10508" ht="12.75" x14ac:dyDescent="0.2"/>
    <row r="10509" ht="12.75" x14ac:dyDescent="0.2"/>
    <row r="10510" ht="12.75" x14ac:dyDescent="0.2"/>
    <row r="10511" ht="12.75" x14ac:dyDescent="0.2"/>
    <row r="10512" ht="12.75" x14ac:dyDescent="0.2"/>
    <row r="10513" ht="12.75" x14ac:dyDescent="0.2"/>
    <row r="10514" ht="12.75" x14ac:dyDescent="0.2"/>
    <row r="10515" ht="12.75" x14ac:dyDescent="0.2"/>
    <row r="10516" ht="12.75" x14ac:dyDescent="0.2"/>
    <row r="10517" ht="12.75" x14ac:dyDescent="0.2"/>
    <row r="10518" ht="12.75" x14ac:dyDescent="0.2"/>
    <row r="10519" ht="12.75" x14ac:dyDescent="0.2"/>
    <row r="10520" ht="12.75" x14ac:dyDescent="0.2"/>
    <row r="10521" ht="12.75" x14ac:dyDescent="0.2"/>
    <row r="10522" ht="12.75" x14ac:dyDescent="0.2"/>
    <row r="10523" ht="12.75" x14ac:dyDescent="0.2"/>
    <row r="10524" ht="12.75" x14ac:dyDescent="0.2"/>
    <row r="10525" ht="12.75" x14ac:dyDescent="0.2"/>
    <row r="10526" ht="12.75" x14ac:dyDescent="0.2"/>
    <row r="10527" ht="12.75" x14ac:dyDescent="0.2"/>
    <row r="10528" ht="12.75" x14ac:dyDescent="0.2"/>
    <row r="10529" ht="12.75" x14ac:dyDescent="0.2"/>
    <row r="10530" ht="12.75" x14ac:dyDescent="0.2"/>
    <row r="10531" ht="12.75" x14ac:dyDescent="0.2"/>
    <row r="10532" ht="12.75" x14ac:dyDescent="0.2"/>
    <row r="10533" ht="12.75" x14ac:dyDescent="0.2"/>
    <row r="10534" ht="12.75" x14ac:dyDescent="0.2"/>
    <row r="10535" ht="12.75" x14ac:dyDescent="0.2"/>
    <row r="10536" ht="12.75" x14ac:dyDescent="0.2"/>
    <row r="10537" ht="12.75" x14ac:dyDescent="0.2"/>
    <row r="10538" ht="12.75" x14ac:dyDescent="0.2"/>
    <row r="10539" ht="12.75" x14ac:dyDescent="0.2"/>
    <row r="10540" ht="12.75" x14ac:dyDescent="0.2"/>
    <row r="10541" ht="12.75" x14ac:dyDescent="0.2"/>
    <row r="10542" ht="12.75" x14ac:dyDescent="0.2"/>
    <row r="10543" ht="12.75" x14ac:dyDescent="0.2"/>
    <row r="10544" ht="12.75" x14ac:dyDescent="0.2"/>
    <row r="10545" ht="12.75" x14ac:dyDescent="0.2"/>
    <row r="10546" ht="12.75" x14ac:dyDescent="0.2"/>
    <row r="10547" ht="12.75" x14ac:dyDescent="0.2"/>
    <row r="10548" ht="12.75" x14ac:dyDescent="0.2"/>
    <row r="10549" ht="12.75" x14ac:dyDescent="0.2"/>
    <row r="10550" ht="12.75" x14ac:dyDescent="0.2"/>
    <row r="10551" ht="12.75" x14ac:dyDescent="0.2"/>
    <row r="10552" ht="12.75" x14ac:dyDescent="0.2"/>
    <row r="10553" ht="12.75" x14ac:dyDescent="0.2"/>
    <row r="10554" ht="12.75" x14ac:dyDescent="0.2"/>
    <row r="10555" ht="12.75" x14ac:dyDescent="0.2"/>
    <row r="10556" ht="12.75" x14ac:dyDescent="0.2"/>
    <row r="10557" ht="12.75" x14ac:dyDescent="0.2"/>
    <row r="10558" ht="12.75" x14ac:dyDescent="0.2"/>
    <row r="10559" ht="12.75" x14ac:dyDescent="0.2"/>
    <row r="10560" ht="12.75" x14ac:dyDescent="0.2"/>
    <row r="10561" ht="12.75" x14ac:dyDescent="0.2"/>
    <row r="10562" ht="12.75" x14ac:dyDescent="0.2"/>
    <row r="10563" ht="12.75" x14ac:dyDescent="0.2"/>
    <row r="10564" ht="12.75" x14ac:dyDescent="0.2"/>
    <row r="10565" ht="12.75" x14ac:dyDescent="0.2"/>
    <row r="10566" ht="12.75" x14ac:dyDescent="0.2"/>
    <row r="10567" ht="12.75" x14ac:dyDescent="0.2"/>
    <row r="10568" ht="12.75" x14ac:dyDescent="0.2"/>
    <row r="10569" ht="12.75" x14ac:dyDescent="0.2"/>
    <row r="10570" ht="12.75" x14ac:dyDescent="0.2"/>
    <row r="10571" ht="12.75" x14ac:dyDescent="0.2"/>
    <row r="10572" ht="12.75" x14ac:dyDescent="0.2"/>
    <row r="10573" ht="12.75" x14ac:dyDescent="0.2"/>
    <row r="10574" ht="12.75" x14ac:dyDescent="0.2"/>
    <row r="10575" ht="12.75" x14ac:dyDescent="0.2"/>
    <row r="10576" ht="12.75" x14ac:dyDescent="0.2"/>
    <row r="10577" ht="12.75" x14ac:dyDescent="0.2"/>
    <row r="10578" ht="12.75" x14ac:dyDescent="0.2"/>
    <row r="10579" ht="12.75" x14ac:dyDescent="0.2"/>
    <row r="10580" ht="12.75" x14ac:dyDescent="0.2"/>
    <row r="10581" ht="12.75" x14ac:dyDescent="0.2"/>
    <row r="10582" ht="12.75" x14ac:dyDescent="0.2"/>
    <row r="10583" ht="12.75" x14ac:dyDescent="0.2"/>
    <row r="10584" ht="12.75" x14ac:dyDescent="0.2"/>
    <row r="10585" ht="12.75" x14ac:dyDescent="0.2"/>
    <row r="10586" ht="12.75" x14ac:dyDescent="0.2"/>
    <row r="10587" ht="12.75" x14ac:dyDescent="0.2"/>
    <row r="10588" ht="12.75" x14ac:dyDescent="0.2"/>
    <row r="10589" ht="12.75" x14ac:dyDescent="0.2"/>
    <row r="10590" ht="12.75" x14ac:dyDescent="0.2"/>
    <row r="10591" ht="12.75" x14ac:dyDescent="0.2"/>
    <row r="10592" ht="12.75" x14ac:dyDescent="0.2"/>
    <row r="10593" ht="12.75" x14ac:dyDescent="0.2"/>
    <row r="10594" ht="12.75" x14ac:dyDescent="0.2"/>
    <row r="10595" ht="12.75" x14ac:dyDescent="0.2"/>
    <row r="10596" ht="12.75" x14ac:dyDescent="0.2"/>
    <row r="10597" ht="12.75" x14ac:dyDescent="0.2"/>
    <row r="10598" ht="12.75" x14ac:dyDescent="0.2"/>
    <row r="10599" ht="12.75" x14ac:dyDescent="0.2"/>
    <row r="10600" ht="12.75" x14ac:dyDescent="0.2"/>
    <row r="10601" ht="12.75" x14ac:dyDescent="0.2"/>
    <row r="10602" ht="12.75" x14ac:dyDescent="0.2"/>
    <row r="10603" ht="12.75" x14ac:dyDescent="0.2"/>
    <row r="10604" ht="12.75" x14ac:dyDescent="0.2"/>
    <row r="10605" ht="12.75" x14ac:dyDescent="0.2"/>
    <row r="10606" ht="12.75" x14ac:dyDescent="0.2"/>
    <row r="10607" ht="12.75" x14ac:dyDescent="0.2"/>
    <row r="10608" ht="12.75" x14ac:dyDescent="0.2"/>
    <row r="10609" ht="12.75" x14ac:dyDescent="0.2"/>
    <row r="10610" ht="12.75" x14ac:dyDescent="0.2"/>
    <row r="10611" ht="12.75" x14ac:dyDescent="0.2"/>
    <row r="10612" ht="12.75" x14ac:dyDescent="0.2"/>
    <row r="10613" ht="12.75" x14ac:dyDescent="0.2"/>
    <row r="10614" ht="12.75" x14ac:dyDescent="0.2"/>
    <row r="10615" ht="12.75" x14ac:dyDescent="0.2"/>
    <row r="10616" ht="12.75" x14ac:dyDescent="0.2"/>
    <row r="10617" ht="12.75" x14ac:dyDescent="0.2"/>
    <row r="10618" ht="12.75" x14ac:dyDescent="0.2"/>
    <row r="10619" ht="12.75" x14ac:dyDescent="0.2"/>
    <row r="10620" ht="12.75" x14ac:dyDescent="0.2"/>
    <row r="10621" ht="12.75" x14ac:dyDescent="0.2"/>
    <row r="10622" ht="12.75" x14ac:dyDescent="0.2"/>
    <row r="10623" ht="12.75" x14ac:dyDescent="0.2"/>
    <row r="10624" ht="12.75" x14ac:dyDescent="0.2"/>
    <row r="10625" ht="12.75" x14ac:dyDescent="0.2"/>
    <row r="10626" ht="12.75" x14ac:dyDescent="0.2"/>
    <row r="10627" ht="12.75" x14ac:dyDescent="0.2"/>
    <row r="10628" ht="12.75" x14ac:dyDescent="0.2"/>
    <row r="10629" ht="12.75" x14ac:dyDescent="0.2"/>
    <row r="10630" ht="12.75" x14ac:dyDescent="0.2"/>
    <row r="10631" ht="12.75" x14ac:dyDescent="0.2"/>
    <row r="10632" ht="12.75" x14ac:dyDescent="0.2"/>
    <row r="10633" ht="12.75" x14ac:dyDescent="0.2"/>
    <row r="10634" ht="12.75" x14ac:dyDescent="0.2"/>
    <row r="10635" ht="12.75" x14ac:dyDescent="0.2"/>
    <row r="10636" ht="12.75" x14ac:dyDescent="0.2"/>
    <row r="10637" ht="12.75" x14ac:dyDescent="0.2"/>
    <row r="10638" ht="12.75" x14ac:dyDescent="0.2"/>
    <row r="10639" ht="12.75" x14ac:dyDescent="0.2"/>
    <row r="10640" ht="12.75" x14ac:dyDescent="0.2"/>
    <row r="10641" ht="12.75" x14ac:dyDescent="0.2"/>
    <row r="10642" ht="12.75" x14ac:dyDescent="0.2"/>
    <row r="10643" ht="12.75" x14ac:dyDescent="0.2"/>
    <row r="10644" ht="12.75" x14ac:dyDescent="0.2"/>
    <row r="10645" ht="12.75" x14ac:dyDescent="0.2"/>
    <row r="10646" ht="12.75" x14ac:dyDescent="0.2"/>
    <row r="10647" ht="12.75" x14ac:dyDescent="0.2"/>
    <row r="10648" ht="12.75" x14ac:dyDescent="0.2"/>
    <row r="10649" ht="12.75" x14ac:dyDescent="0.2"/>
    <row r="10650" ht="12.75" x14ac:dyDescent="0.2"/>
    <row r="10651" ht="12.75" x14ac:dyDescent="0.2"/>
    <row r="10652" ht="12.75" x14ac:dyDescent="0.2"/>
    <row r="10653" ht="12.75" x14ac:dyDescent="0.2"/>
    <row r="10654" ht="12.75" x14ac:dyDescent="0.2"/>
    <row r="10655" ht="12.75" x14ac:dyDescent="0.2"/>
    <row r="10656" ht="12.75" x14ac:dyDescent="0.2"/>
    <row r="10657" ht="12.75" x14ac:dyDescent="0.2"/>
    <row r="10658" ht="12.75" x14ac:dyDescent="0.2"/>
    <row r="10659" ht="12.75" x14ac:dyDescent="0.2"/>
    <row r="10660" ht="12.75" x14ac:dyDescent="0.2"/>
    <row r="10661" ht="12.75" x14ac:dyDescent="0.2"/>
    <row r="10662" ht="12.75" x14ac:dyDescent="0.2"/>
    <row r="10663" ht="12.75" x14ac:dyDescent="0.2"/>
    <row r="10664" ht="12.75" x14ac:dyDescent="0.2"/>
    <row r="10665" ht="12.75" x14ac:dyDescent="0.2"/>
    <row r="10666" ht="12.75" x14ac:dyDescent="0.2"/>
    <row r="10667" ht="12.75" x14ac:dyDescent="0.2"/>
    <row r="10668" ht="12.75" x14ac:dyDescent="0.2"/>
    <row r="10669" ht="12.75" x14ac:dyDescent="0.2"/>
    <row r="10670" ht="12.75" x14ac:dyDescent="0.2"/>
    <row r="10671" ht="12.75" x14ac:dyDescent="0.2"/>
    <row r="10672" ht="12.75" x14ac:dyDescent="0.2"/>
    <row r="10673" ht="12.75" x14ac:dyDescent="0.2"/>
    <row r="10674" ht="12.75" x14ac:dyDescent="0.2"/>
    <row r="10675" ht="12.75" x14ac:dyDescent="0.2"/>
    <row r="10676" ht="12.75" x14ac:dyDescent="0.2"/>
    <row r="10677" ht="12.75" x14ac:dyDescent="0.2"/>
    <row r="10678" ht="12.75" x14ac:dyDescent="0.2"/>
    <row r="10679" ht="12.75" x14ac:dyDescent="0.2"/>
    <row r="10680" ht="12.75" x14ac:dyDescent="0.2"/>
    <row r="10681" ht="12.75" x14ac:dyDescent="0.2"/>
    <row r="10682" ht="12.75" x14ac:dyDescent="0.2"/>
    <row r="10683" ht="12.75" x14ac:dyDescent="0.2"/>
    <row r="10684" ht="12.75" x14ac:dyDescent="0.2"/>
    <row r="10685" ht="12.75" x14ac:dyDescent="0.2"/>
    <row r="10686" ht="12.75" x14ac:dyDescent="0.2"/>
    <row r="10687" ht="12.75" x14ac:dyDescent="0.2"/>
    <row r="10688" ht="12.75" x14ac:dyDescent="0.2"/>
    <row r="10689" ht="12.75" x14ac:dyDescent="0.2"/>
    <row r="10690" ht="12.75" x14ac:dyDescent="0.2"/>
    <row r="10691" ht="12.75" x14ac:dyDescent="0.2"/>
    <row r="10692" ht="12.75" x14ac:dyDescent="0.2"/>
    <row r="10693" ht="12.75" x14ac:dyDescent="0.2"/>
    <row r="10694" ht="12.75" x14ac:dyDescent="0.2"/>
    <row r="10695" ht="12.75" x14ac:dyDescent="0.2"/>
    <row r="10696" ht="12.75" x14ac:dyDescent="0.2"/>
    <row r="10697" ht="12.75" x14ac:dyDescent="0.2"/>
    <row r="10698" ht="12.75" x14ac:dyDescent="0.2"/>
    <row r="10699" ht="12.75" x14ac:dyDescent="0.2"/>
    <row r="10700" ht="12.75" x14ac:dyDescent="0.2"/>
    <row r="10701" ht="12.75" x14ac:dyDescent="0.2"/>
    <row r="10702" ht="12.75" x14ac:dyDescent="0.2"/>
    <row r="10703" ht="12.75" x14ac:dyDescent="0.2"/>
    <row r="10704" ht="12.75" x14ac:dyDescent="0.2"/>
    <row r="10705" ht="12.75" x14ac:dyDescent="0.2"/>
    <row r="10706" ht="12.75" x14ac:dyDescent="0.2"/>
    <row r="10707" ht="12.75" x14ac:dyDescent="0.2"/>
    <row r="10708" ht="12.75" x14ac:dyDescent="0.2"/>
    <row r="10709" ht="12.75" x14ac:dyDescent="0.2"/>
    <row r="10710" ht="12.75" x14ac:dyDescent="0.2"/>
    <row r="10711" ht="12.75" x14ac:dyDescent="0.2"/>
    <row r="10712" ht="12.75" x14ac:dyDescent="0.2"/>
    <row r="10713" ht="12.75" x14ac:dyDescent="0.2"/>
    <row r="10714" ht="12.75" x14ac:dyDescent="0.2"/>
    <row r="10715" ht="12.75" x14ac:dyDescent="0.2"/>
    <row r="10716" ht="12.75" x14ac:dyDescent="0.2"/>
    <row r="10717" ht="12.75" x14ac:dyDescent="0.2"/>
    <row r="10718" ht="12.75" x14ac:dyDescent="0.2"/>
    <row r="10719" ht="12.75" x14ac:dyDescent="0.2"/>
    <row r="10720" ht="12.75" x14ac:dyDescent="0.2"/>
    <row r="10721" ht="12.75" x14ac:dyDescent="0.2"/>
    <row r="10722" ht="12.75" x14ac:dyDescent="0.2"/>
    <row r="10723" ht="12.75" x14ac:dyDescent="0.2"/>
    <row r="10724" ht="12.75" x14ac:dyDescent="0.2"/>
    <row r="10725" ht="12.75" x14ac:dyDescent="0.2"/>
    <row r="10726" ht="12.75" x14ac:dyDescent="0.2"/>
    <row r="10727" ht="12.75" x14ac:dyDescent="0.2"/>
    <row r="10728" ht="12.75" x14ac:dyDescent="0.2"/>
    <row r="10729" ht="12.75" x14ac:dyDescent="0.2"/>
    <row r="10730" ht="12.75" x14ac:dyDescent="0.2"/>
    <row r="10731" ht="12.75" x14ac:dyDescent="0.2"/>
    <row r="10732" ht="12.75" x14ac:dyDescent="0.2"/>
    <row r="10733" ht="12.75" x14ac:dyDescent="0.2"/>
    <row r="10734" ht="12.75" x14ac:dyDescent="0.2"/>
    <row r="10735" ht="12.75" x14ac:dyDescent="0.2"/>
    <row r="10736" ht="12.75" x14ac:dyDescent="0.2"/>
    <row r="10737" ht="12.75" x14ac:dyDescent="0.2"/>
    <row r="10738" ht="12.75" x14ac:dyDescent="0.2"/>
    <row r="10739" ht="12.75" x14ac:dyDescent="0.2"/>
    <row r="10740" ht="12.75" x14ac:dyDescent="0.2"/>
    <row r="10741" ht="12.75" x14ac:dyDescent="0.2"/>
    <row r="10742" ht="12.75" x14ac:dyDescent="0.2"/>
    <row r="10743" ht="12.75" x14ac:dyDescent="0.2"/>
    <row r="10744" ht="12.75" x14ac:dyDescent="0.2"/>
    <row r="10745" ht="12.75" x14ac:dyDescent="0.2"/>
    <row r="10746" ht="12.75" x14ac:dyDescent="0.2"/>
    <row r="10747" ht="12.75" x14ac:dyDescent="0.2"/>
    <row r="10748" ht="12.75" x14ac:dyDescent="0.2"/>
    <row r="10749" ht="12.75" x14ac:dyDescent="0.2"/>
    <row r="10750" ht="12.75" x14ac:dyDescent="0.2"/>
    <row r="10751" ht="12.75" x14ac:dyDescent="0.2"/>
    <row r="10752" ht="12.75" x14ac:dyDescent="0.2"/>
    <row r="10753" ht="12.75" x14ac:dyDescent="0.2"/>
    <row r="10754" ht="12.75" x14ac:dyDescent="0.2"/>
    <row r="10755" ht="12.75" x14ac:dyDescent="0.2"/>
    <row r="10756" ht="12.75" x14ac:dyDescent="0.2"/>
    <row r="10757" ht="12.75" x14ac:dyDescent="0.2"/>
    <row r="10758" ht="12.75" x14ac:dyDescent="0.2"/>
    <row r="10759" ht="12.75" x14ac:dyDescent="0.2"/>
    <row r="10760" ht="12.75" x14ac:dyDescent="0.2"/>
    <row r="10761" ht="12.75" x14ac:dyDescent="0.2"/>
    <row r="10762" ht="12.75" x14ac:dyDescent="0.2"/>
    <row r="10763" ht="12.75" x14ac:dyDescent="0.2"/>
    <row r="10764" ht="12.75" x14ac:dyDescent="0.2"/>
    <row r="10765" ht="12.75" x14ac:dyDescent="0.2"/>
    <row r="10766" ht="12.75" x14ac:dyDescent="0.2"/>
    <row r="10767" ht="12.75" x14ac:dyDescent="0.2"/>
    <row r="10768" ht="12.75" x14ac:dyDescent="0.2"/>
    <row r="10769" ht="12.75" x14ac:dyDescent="0.2"/>
    <row r="10770" ht="12.75" x14ac:dyDescent="0.2"/>
    <row r="10771" ht="12.75" x14ac:dyDescent="0.2"/>
    <row r="10772" ht="12.75" x14ac:dyDescent="0.2"/>
    <row r="10773" ht="12.75" x14ac:dyDescent="0.2"/>
    <row r="10774" ht="12.75" x14ac:dyDescent="0.2"/>
    <row r="10775" ht="12.75" x14ac:dyDescent="0.2"/>
    <row r="10776" ht="12.75" x14ac:dyDescent="0.2"/>
    <row r="10777" ht="12.75" x14ac:dyDescent="0.2"/>
    <row r="10778" ht="12.75" x14ac:dyDescent="0.2"/>
    <row r="10779" ht="12.75" x14ac:dyDescent="0.2"/>
    <row r="10780" ht="12.75" x14ac:dyDescent="0.2"/>
    <row r="10781" ht="12.75" x14ac:dyDescent="0.2"/>
    <row r="10782" ht="12.75" x14ac:dyDescent="0.2"/>
    <row r="10783" ht="12.75" x14ac:dyDescent="0.2"/>
    <row r="10784" ht="12.75" x14ac:dyDescent="0.2"/>
    <row r="10785" ht="12.75" x14ac:dyDescent="0.2"/>
    <row r="10786" ht="12.75" x14ac:dyDescent="0.2"/>
    <row r="10787" ht="12.75" x14ac:dyDescent="0.2"/>
    <row r="10788" ht="12.75" x14ac:dyDescent="0.2"/>
    <row r="10789" ht="12.75" x14ac:dyDescent="0.2"/>
    <row r="10790" ht="12.75" x14ac:dyDescent="0.2"/>
    <row r="10791" ht="12.75" x14ac:dyDescent="0.2"/>
    <row r="10792" ht="12.75" x14ac:dyDescent="0.2"/>
    <row r="10793" ht="12.75" x14ac:dyDescent="0.2"/>
    <row r="10794" ht="12.75" x14ac:dyDescent="0.2"/>
    <row r="10795" ht="12.75" x14ac:dyDescent="0.2"/>
    <row r="10796" ht="12.75" x14ac:dyDescent="0.2"/>
    <row r="10797" ht="12.75" x14ac:dyDescent="0.2"/>
    <row r="10798" ht="12.75" x14ac:dyDescent="0.2"/>
    <row r="10799" ht="12.75" x14ac:dyDescent="0.2"/>
    <row r="10800" ht="12.75" x14ac:dyDescent="0.2"/>
    <row r="10801" ht="12.75" x14ac:dyDescent="0.2"/>
    <row r="10802" ht="12.75" x14ac:dyDescent="0.2"/>
    <row r="10803" ht="12.75" x14ac:dyDescent="0.2"/>
    <row r="10804" ht="12.75" x14ac:dyDescent="0.2"/>
    <row r="10805" ht="12.75" x14ac:dyDescent="0.2"/>
    <row r="10806" ht="12.75" x14ac:dyDescent="0.2"/>
    <row r="10807" ht="12.75" x14ac:dyDescent="0.2"/>
    <row r="10808" ht="12.75" x14ac:dyDescent="0.2"/>
    <row r="10809" ht="12.75" x14ac:dyDescent="0.2"/>
    <row r="10810" ht="12.75" x14ac:dyDescent="0.2"/>
    <row r="10811" ht="12.75" x14ac:dyDescent="0.2"/>
    <row r="10812" ht="12.75" x14ac:dyDescent="0.2"/>
    <row r="10813" ht="12.75" x14ac:dyDescent="0.2"/>
    <row r="10814" ht="12.75" x14ac:dyDescent="0.2"/>
    <row r="10815" ht="12.75" x14ac:dyDescent="0.2"/>
    <row r="10816" ht="12.75" x14ac:dyDescent="0.2"/>
    <row r="10817" ht="12.75" x14ac:dyDescent="0.2"/>
    <row r="10818" ht="12.75" x14ac:dyDescent="0.2"/>
    <row r="10819" ht="12.75" x14ac:dyDescent="0.2"/>
    <row r="10820" ht="12.75" x14ac:dyDescent="0.2"/>
    <row r="10821" ht="12.75" x14ac:dyDescent="0.2"/>
    <row r="10822" ht="12.75" x14ac:dyDescent="0.2"/>
    <row r="10823" ht="12.75" x14ac:dyDescent="0.2"/>
    <row r="10824" ht="12.75" x14ac:dyDescent="0.2"/>
    <row r="10825" ht="12.75" x14ac:dyDescent="0.2"/>
    <row r="10826" ht="12.75" x14ac:dyDescent="0.2"/>
    <row r="10827" ht="12.75" x14ac:dyDescent="0.2"/>
    <row r="10828" ht="12.75" x14ac:dyDescent="0.2"/>
    <row r="10829" ht="12.75" x14ac:dyDescent="0.2"/>
    <row r="10830" ht="12.75" x14ac:dyDescent="0.2"/>
    <row r="10831" ht="12.75" x14ac:dyDescent="0.2"/>
    <row r="10832" ht="12.75" x14ac:dyDescent="0.2"/>
    <row r="10833" ht="12.75" x14ac:dyDescent="0.2"/>
    <row r="10834" ht="12.75" x14ac:dyDescent="0.2"/>
    <row r="10835" ht="12.75" x14ac:dyDescent="0.2"/>
    <row r="10836" ht="12.75" x14ac:dyDescent="0.2"/>
    <row r="10837" ht="12.75" x14ac:dyDescent="0.2"/>
    <row r="10838" ht="12.75" x14ac:dyDescent="0.2"/>
    <row r="10839" ht="12.75" x14ac:dyDescent="0.2"/>
    <row r="10840" ht="12.75" x14ac:dyDescent="0.2"/>
    <row r="10841" ht="12.75" x14ac:dyDescent="0.2"/>
    <row r="10842" ht="12.75" x14ac:dyDescent="0.2"/>
    <row r="10843" ht="12.75" x14ac:dyDescent="0.2"/>
    <row r="10844" ht="12.75" x14ac:dyDescent="0.2"/>
    <row r="10845" ht="12.75" x14ac:dyDescent="0.2"/>
    <row r="10846" ht="12.75" x14ac:dyDescent="0.2"/>
    <row r="10847" ht="12.75" x14ac:dyDescent="0.2"/>
    <row r="10848" ht="12.75" x14ac:dyDescent="0.2"/>
    <row r="10849" ht="12.75" x14ac:dyDescent="0.2"/>
    <row r="10850" ht="12.75" x14ac:dyDescent="0.2"/>
    <row r="10851" ht="12.75" x14ac:dyDescent="0.2"/>
    <row r="10852" ht="12.75" x14ac:dyDescent="0.2"/>
    <row r="10853" ht="12.75" x14ac:dyDescent="0.2"/>
    <row r="10854" ht="12.75" x14ac:dyDescent="0.2"/>
    <row r="10855" ht="12.75" x14ac:dyDescent="0.2"/>
    <row r="10856" ht="12.75" x14ac:dyDescent="0.2"/>
    <row r="10857" ht="12.75" x14ac:dyDescent="0.2"/>
    <row r="10858" ht="12.75" x14ac:dyDescent="0.2"/>
    <row r="10859" ht="12.75" x14ac:dyDescent="0.2"/>
    <row r="10860" ht="12.75" x14ac:dyDescent="0.2"/>
    <row r="10861" ht="12.75" x14ac:dyDescent="0.2"/>
    <row r="10862" ht="12.75" x14ac:dyDescent="0.2"/>
    <row r="10863" ht="12.75" x14ac:dyDescent="0.2"/>
    <row r="10864" ht="12.75" x14ac:dyDescent="0.2"/>
    <row r="10865" ht="12.75" x14ac:dyDescent="0.2"/>
    <row r="10866" ht="12.75" x14ac:dyDescent="0.2"/>
    <row r="10867" ht="12.75" x14ac:dyDescent="0.2"/>
    <row r="10868" ht="12.75" x14ac:dyDescent="0.2"/>
    <row r="10869" ht="12.75" x14ac:dyDescent="0.2"/>
    <row r="10870" ht="12.75" x14ac:dyDescent="0.2"/>
    <row r="10871" ht="12.75" x14ac:dyDescent="0.2"/>
    <row r="10872" ht="12.75" x14ac:dyDescent="0.2"/>
    <row r="10873" ht="12.75" x14ac:dyDescent="0.2"/>
    <row r="10874" ht="12.75" x14ac:dyDescent="0.2"/>
    <row r="10875" ht="12.75" x14ac:dyDescent="0.2"/>
    <row r="10876" ht="12.75" x14ac:dyDescent="0.2"/>
    <row r="10877" ht="12.75" x14ac:dyDescent="0.2"/>
    <row r="10878" ht="12.75" x14ac:dyDescent="0.2"/>
    <row r="10879" ht="12.75" x14ac:dyDescent="0.2"/>
    <row r="10880" ht="12.75" x14ac:dyDescent="0.2"/>
    <row r="10881" ht="12.75" x14ac:dyDescent="0.2"/>
    <row r="10882" ht="12.75" x14ac:dyDescent="0.2"/>
    <row r="10883" ht="12.75" x14ac:dyDescent="0.2"/>
    <row r="10884" ht="12.75" x14ac:dyDescent="0.2"/>
    <row r="10885" ht="12.75" x14ac:dyDescent="0.2"/>
    <row r="10886" ht="12.75" x14ac:dyDescent="0.2"/>
    <row r="10887" ht="12.75" x14ac:dyDescent="0.2"/>
    <row r="10888" ht="12.75" x14ac:dyDescent="0.2"/>
    <row r="10889" ht="12.75" x14ac:dyDescent="0.2"/>
    <row r="10890" ht="12.75" x14ac:dyDescent="0.2"/>
    <row r="10891" ht="12.75" x14ac:dyDescent="0.2"/>
    <row r="10892" ht="12.75" x14ac:dyDescent="0.2"/>
    <row r="10893" ht="12.75" x14ac:dyDescent="0.2"/>
    <row r="10894" ht="12.75" x14ac:dyDescent="0.2"/>
    <row r="10895" ht="12.75" x14ac:dyDescent="0.2"/>
    <row r="10896" ht="12.75" x14ac:dyDescent="0.2"/>
    <row r="10897" ht="12.75" x14ac:dyDescent="0.2"/>
    <row r="10898" ht="12.75" x14ac:dyDescent="0.2"/>
    <row r="10899" ht="12.75" x14ac:dyDescent="0.2"/>
    <row r="10900" ht="12.75" x14ac:dyDescent="0.2"/>
    <row r="10901" ht="12.75" x14ac:dyDescent="0.2"/>
    <row r="10902" ht="12.75" x14ac:dyDescent="0.2"/>
    <row r="10903" ht="12.75" x14ac:dyDescent="0.2"/>
    <row r="10904" ht="12.75" x14ac:dyDescent="0.2"/>
    <row r="10905" ht="12.75" x14ac:dyDescent="0.2"/>
    <row r="10906" ht="12.75" x14ac:dyDescent="0.2"/>
    <row r="10907" ht="12.75" x14ac:dyDescent="0.2"/>
    <row r="10908" ht="12.75" x14ac:dyDescent="0.2"/>
    <row r="10909" ht="12.75" x14ac:dyDescent="0.2"/>
    <row r="10910" ht="12.75" x14ac:dyDescent="0.2"/>
    <row r="10911" ht="12.75" x14ac:dyDescent="0.2"/>
    <row r="10912" ht="12.75" x14ac:dyDescent="0.2"/>
    <row r="10913" ht="12.75" x14ac:dyDescent="0.2"/>
    <row r="10914" ht="12.75" x14ac:dyDescent="0.2"/>
    <row r="10915" ht="12.75" x14ac:dyDescent="0.2"/>
    <row r="10916" ht="12.75" x14ac:dyDescent="0.2"/>
    <row r="10917" ht="12.75" x14ac:dyDescent="0.2"/>
    <row r="10918" ht="12.75" x14ac:dyDescent="0.2"/>
    <row r="10919" ht="12.75" x14ac:dyDescent="0.2"/>
    <row r="10920" ht="12.75" x14ac:dyDescent="0.2"/>
    <row r="10921" ht="12.75" x14ac:dyDescent="0.2"/>
    <row r="10922" ht="12.75" x14ac:dyDescent="0.2"/>
    <row r="10923" ht="12.75" x14ac:dyDescent="0.2"/>
    <row r="10924" ht="12.75" x14ac:dyDescent="0.2"/>
    <row r="10925" ht="12.75" x14ac:dyDescent="0.2"/>
    <row r="10926" ht="12.75" x14ac:dyDescent="0.2"/>
    <row r="10927" ht="12.75" x14ac:dyDescent="0.2"/>
    <row r="10928" ht="12.75" x14ac:dyDescent="0.2"/>
    <row r="10929" ht="12.75" x14ac:dyDescent="0.2"/>
    <row r="10930" ht="12.75" x14ac:dyDescent="0.2"/>
    <row r="10931" ht="12.75" x14ac:dyDescent="0.2"/>
    <row r="10932" ht="12.75" x14ac:dyDescent="0.2"/>
    <row r="10933" ht="12.75" x14ac:dyDescent="0.2"/>
    <row r="10934" ht="12.75" x14ac:dyDescent="0.2"/>
    <row r="10935" ht="12.75" x14ac:dyDescent="0.2"/>
    <row r="10936" ht="12.75" x14ac:dyDescent="0.2"/>
    <row r="10937" ht="12.75" x14ac:dyDescent="0.2"/>
    <row r="10938" ht="12.75" x14ac:dyDescent="0.2"/>
    <row r="10939" ht="12.75" x14ac:dyDescent="0.2"/>
    <row r="10940" ht="12.75" x14ac:dyDescent="0.2"/>
    <row r="10941" ht="12.75" x14ac:dyDescent="0.2"/>
    <row r="10942" ht="12.75" x14ac:dyDescent="0.2"/>
    <row r="10943" ht="12.75" x14ac:dyDescent="0.2"/>
    <row r="10944" ht="12.75" x14ac:dyDescent="0.2"/>
    <row r="10945" ht="12.75" x14ac:dyDescent="0.2"/>
    <row r="10946" ht="12.75" x14ac:dyDescent="0.2"/>
    <row r="10947" ht="12.75" x14ac:dyDescent="0.2"/>
    <row r="10948" ht="12.75" x14ac:dyDescent="0.2"/>
    <row r="10949" ht="12.75" x14ac:dyDescent="0.2"/>
    <row r="10950" ht="12.75" x14ac:dyDescent="0.2"/>
    <row r="10951" ht="12.75" x14ac:dyDescent="0.2"/>
    <row r="10952" ht="12.75" x14ac:dyDescent="0.2"/>
    <row r="10953" ht="12.75" x14ac:dyDescent="0.2"/>
    <row r="10954" ht="12.75" x14ac:dyDescent="0.2"/>
    <row r="10955" ht="12.75" x14ac:dyDescent="0.2"/>
    <row r="10956" ht="12.75" x14ac:dyDescent="0.2"/>
    <row r="10957" ht="12.75" x14ac:dyDescent="0.2"/>
    <row r="10958" ht="12.75" x14ac:dyDescent="0.2"/>
    <row r="10959" ht="12.75" x14ac:dyDescent="0.2"/>
    <row r="10960" ht="12.75" x14ac:dyDescent="0.2"/>
    <row r="10961" ht="12.75" x14ac:dyDescent="0.2"/>
    <row r="10962" ht="12.75" x14ac:dyDescent="0.2"/>
    <row r="10963" ht="12.75" x14ac:dyDescent="0.2"/>
    <row r="10964" ht="12.75" x14ac:dyDescent="0.2"/>
    <row r="10965" ht="12.75" x14ac:dyDescent="0.2"/>
    <row r="10966" ht="12.75" x14ac:dyDescent="0.2"/>
    <row r="10967" ht="12.75" x14ac:dyDescent="0.2"/>
    <row r="10968" ht="12.75" x14ac:dyDescent="0.2"/>
    <row r="10969" ht="12.75" x14ac:dyDescent="0.2"/>
    <row r="10970" ht="12.75" x14ac:dyDescent="0.2"/>
    <row r="10971" ht="12.75" x14ac:dyDescent="0.2"/>
    <row r="10972" ht="12.75" x14ac:dyDescent="0.2"/>
    <row r="10973" ht="12.75" x14ac:dyDescent="0.2"/>
    <row r="10974" ht="12.75" x14ac:dyDescent="0.2"/>
    <row r="10975" ht="12.75" x14ac:dyDescent="0.2"/>
    <row r="10976" ht="12.75" x14ac:dyDescent="0.2"/>
    <row r="10977" ht="12.75" x14ac:dyDescent="0.2"/>
    <row r="10978" ht="12.75" x14ac:dyDescent="0.2"/>
    <row r="10979" ht="12.75" x14ac:dyDescent="0.2"/>
    <row r="10980" ht="12.75" x14ac:dyDescent="0.2"/>
    <row r="10981" ht="12.75" x14ac:dyDescent="0.2"/>
    <row r="10982" ht="12.75" x14ac:dyDescent="0.2"/>
    <row r="10983" ht="12.75" x14ac:dyDescent="0.2"/>
    <row r="10984" ht="12.75" x14ac:dyDescent="0.2"/>
    <row r="10985" ht="12.75" x14ac:dyDescent="0.2"/>
    <row r="10986" ht="12.75" x14ac:dyDescent="0.2"/>
    <row r="10987" ht="12.75" x14ac:dyDescent="0.2"/>
    <row r="10988" ht="12.75" x14ac:dyDescent="0.2"/>
    <row r="10989" ht="12.75" x14ac:dyDescent="0.2"/>
    <row r="10990" ht="12.75" x14ac:dyDescent="0.2"/>
    <row r="10991" ht="12.75" x14ac:dyDescent="0.2"/>
    <row r="10992" ht="12.75" x14ac:dyDescent="0.2"/>
    <row r="10993" ht="12.75" x14ac:dyDescent="0.2"/>
    <row r="10994" ht="12.75" x14ac:dyDescent="0.2"/>
    <row r="10995" ht="12.75" x14ac:dyDescent="0.2"/>
    <row r="10996" ht="12.75" x14ac:dyDescent="0.2"/>
    <row r="10997" ht="12.75" x14ac:dyDescent="0.2"/>
    <row r="10998" ht="12.75" x14ac:dyDescent="0.2"/>
    <row r="10999" ht="12.75" x14ac:dyDescent="0.2"/>
    <row r="11000" ht="12.75" x14ac:dyDescent="0.2"/>
    <row r="11001" ht="12.75" x14ac:dyDescent="0.2"/>
    <row r="11002" ht="12.75" x14ac:dyDescent="0.2"/>
    <row r="11003" ht="12.75" x14ac:dyDescent="0.2"/>
    <row r="11004" ht="12.75" x14ac:dyDescent="0.2"/>
    <row r="11005" ht="12.75" x14ac:dyDescent="0.2"/>
    <row r="11006" ht="12.75" x14ac:dyDescent="0.2"/>
    <row r="11007" ht="12.75" x14ac:dyDescent="0.2"/>
    <row r="11008" ht="12.75" x14ac:dyDescent="0.2"/>
    <row r="11009" ht="12.75" x14ac:dyDescent="0.2"/>
    <row r="11010" ht="12.75" x14ac:dyDescent="0.2"/>
    <row r="11011" ht="12.75" x14ac:dyDescent="0.2"/>
    <row r="11012" ht="12.75" x14ac:dyDescent="0.2"/>
    <row r="11013" ht="12.75" x14ac:dyDescent="0.2"/>
    <row r="11014" ht="12.75" x14ac:dyDescent="0.2"/>
    <row r="11015" ht="12.75" x14ac:dyDescent="0.2"/>
    <row r="11016" ht="12.75" x14ac:dyDescent="0.2"/>
    <row r="11017" ht="12.75" x14ac:dyDescent="0.2"/>
    <row r="11018" ht="12.75" x14ac:dyDescent="0.2"/>
    <row r="11019" ht="12.75" x14ac:dyDescent="0.2"/>
    <row r="11020" ht="12.75" x14ac:dyDescent="0.2"/>
    <row r="11021" ht="12.75" x14ac:dyDescent="0.2"/>
    <row r="11022" ht="12.75" x14ac:dyDescent="0.2"/>
    <row r="11023" ht="12.75" x14ac:dyDescent="0.2"/>
    <row r="11024" ht="12.75" x14ac:dyDescent="0.2"/>
    <row r="11025" ht="12.75" x14ac:dyDescent="0.2"/>
    <row r="11026" ht="12.75" x14ac:dyDescent="0.2"/>
    <row r="11027" ht="12.75" x14ac:dyDescent="0.2"/>
    <row r="11028" ht="12.75" x14ac:dyDescent="0.2"/>
    <row r="11029" ht="12.75" x14ac:dyDescent="0.2"/>
    <row r="11030" ht="12.75" x14ac:dyDescent="0.2"/>
    <row r="11031" ht="12.75" x14ac:dyDescent="0.2"/>
    <row r="11032" ht="12.75" x14ac:dyDescent="0.2"/>
    <row r="11033" ht="12.75" x14ac:dyDescent="0.2"/>
    <row r="11034" ht="12.75" x14ac:dyDescent="0.2"/>
    <row r="11035" ht="12.75" x14ac:dyDescent="0.2"/>
    <row r="11036" ht="12.75" x14ac:dyDescent="0.2"/>
    <row r="11037" ht="12.75" x14ac:dyDescent="0.2"/>
    <row r="11038" ht="12.75" x14ac:dyDescent="0.2"/>
    <row r="11039" ht="12.75" x14ac:dyDescent="0.2"/>
    <row r="11040" ht="12.75" x14ac:dyDescent="0.2"/>
    <row r="11041" ht="12.75" x14ac:dyDescent="0.2"/>
    <row r="11042" ht="12.75" x14ac:dyDescent="0.2"/>
    <row r="11043" ht="12.75" x14ac:dyDescent="0.2"/>
    <row r="11044" ht="12.75" x14ac:dyDescent="0.2"/>
    <row r="11045" ht="12.75" x14ac:dyDescent="0.2"/>
    <row r="11046" ht="12.75" x14ac:dyDescent="0.2"/>
    <row r="11047" ht="12.75" x14ac:dyDescent="0.2"/>
    <row r="11048" ht="12.75" x14ac:dyDescent="0.2"/>
    <row r="11049" ht="12.75" x14ac:dyDescent="0.2"/>
    <row r="11050" ht="12.75" x14ac:dyDescent="0.2"/>
    <row r="11051" ht="12.75" x14ac:dyDescent="0.2"/>
    <row r="11052" ht="12.75" x14ac:dyDescent="0.2"/>
    <row r="11053" ht="12.75" x14ac:dyDescent="0.2"/>
    <row r="11054" ht="12.75" x14ac:dyDescent="0.2"/>
    <row r="11055" ht="12.75" x14ac:dyDescent="0.2"/>
    <row r="11056" ht="12.75" x14ac:dyDescent="0.2"/>
    <row r="11057" ht="12.75" x14ac:dyDescent="0.2"/>
    <row r="11058" ht="12.75" x14ac:dyDescent="0.2"/>
    <row r="11059" ht="12.75" x14ac:dyDescent="0.2"/>
    <row r="11060" ht="12.75" x14ac:dyDescent="0.2"/>
    <row r="11061" ht="12.75" x14ac:dyDescent="0.2"/>
    <row r="11062" ht="12.75" x14ac:dyDescent="0.2"/>
    <row r="11063" ht="12.75" x14ac:dyDescent="0.2"/>
    <row r="11064" ht="12.75" x14ac:dyDescent="0.2"/>
    <row r="11065" ht="12.75" x14ac:dyDescent="0.2"/>
    <row r="11066" ht="12.75" x14ac:dyDescent="0.2"/>
    <row r="11067" ht="12.75" x14ac:dyDescent="0.2"/>
    <row r="11068" ht="12.75" x14ac:dyDescent="0.2"/>
    <row r="11069" ht="12.75" x14ac:dyDescent="0.2"/>
    <row r="11070" ht="12.75" x14ac:dyDescent="0.2"/>
    <row r="11071" ht="12.75" x14ac:dyDescent="0.2"/>
    <row r="11072" ht="12.75" x14ac:dyDescent="0.2"/>
    <row r="11073" ht="12.75" x14ac:dyDescent="0.2"/>
    <row r="11074" ht="12.75" x14ac:dyDescent="0.2"/>
    <row r="11075" ht="12.75" x14ac:dyDescent="0.2"/>
    <row r="11076" ht="12.75" x14ac:dyDescent="0.2"/>
    <row r="11077" ht="12.75" x14ac:dyDescent="0.2"/>
    <row r="11078" ht="12.75" x14ac:dyDescent="0.2"/>
    <row r="11079" ht="12.75" x14ac:dyDescent="0.2"/>
    <row r="11080" ht="12.75" x14ac:dyDescent="0.2"/>
    <row r="11081" ht="12.75" x14ac:dyDescent="0.2"/>
    <row r="11082" ht="12.75" x14ac:dyDescent="0.2"/>
    <row r="11083" ht="12.75" x14ac:dyDescent="0.2"/>
    <row r="11084" ht="12.75" x14ac:dyDescent="0.2"/>
    <row r="11085" ht="12.75" x14ac:dyDescent="0.2"/>
    <row r="11086" ht="12.75" x14ac:dyDescent="0.2"/>
    <row r="11087" ht="12.75" x14ac:dyDescent="0.2"/>
    <row r="11088" ht="12.75" x14ac:dyDescent="0.2"/>
    <row r="11089" ht="12.75" x14ac:dyDescent="0.2"/>
    <row r="11090" ht="12.75" x14ac:dyDescent="0.2"/>
    <row r="11091" ht="12.75" x14ac:dyDescent="0.2"/>
    <row r="11092" ht="12.75" x14ac:dyDescent="0.2"/>
    <row r="11093" ht="12.75" x14ac:dyDescent="0.2"/>
    <row r="11094" ht="12.75" x14ac:dyDescent="0.2"/>
    <row r="11095" ht="12.75" x14ac:dyDescent="0.2"/>
    <row r="11096" ht="12.75" x14ac:dyDescent="0.2"/>
    <row r="11097" ht="12.75" x14ac:dyDescent="0.2"/>
    <row r="11098" ht="12.75" x14ac:dyDescent="0.2"/>
    <row r="11099" ht="12.75" x14ac:dyDescent="0.2"/>
    <row r="11100" ht="12.75" x14ac:dyDescent="0.2"/>
    <row r="11101" ht="12.75" x14ac:dyDescent="0.2"/>
    <row r="11102" ht="12.75" x14ac:dyDescent="0.2"/>
    <row r="11103" ht="12.75" x14ac:dyDescent="0.2"/>
    <row r="11104" ht="12.75" x14ac:dyDescent="0.2"/>
    <row r="11105" ht="12.75" x14ac:dyDescent="0.2"/>
    <row r="11106" ht="12.75" x14ac:dyDescent="0.2"/>
    <row r="11107" ht="12.75" x14ac:dyDescent="0.2"/>
    <row r="11108" ht="12.75" x14ac:dyDescent="0.2"/>
    <row r="11109" ht="12.75" x14ac:dyDescent="0.2"/>
    <row r="11110" ht="12.75" x14ac:dyDescent="0.2"/>
    <row r="11111" ht="12.75" x14ac:dyDescent="0.2"/>
    <row r="11112" ht="12.75" x14ac:dyDescent="0.2"/>
    <row r="11113" ht="12.75" x14ac:dyDescent="0.2"/>
    <row r="11114" ht="12.75" x14ac:dyDescent="0.2"/>
    <row r="11115" ht="12.75" x14ac:dyDescent="0.2"/>
    <row r="11116" ht="12.75" x14ac:dyDescent="0.2"/>
    <row r="11117" ht="12.75" x14ac:dyDescent="0.2"/>
    <row r="11118" ht="12.75" x14ac:dyDescent="0.2"/>
    <row r="11119" ht="12.75" x14ac:dyDescent="0.2"/>
    <row r="11120" ht="12.75" x14ac:dyDescent="0.2"/>
    <row r="11121" ht="12.75" x14ac:dyDescent="0.2"/>
    <row r="11122" ht="12.75" x14ac:dyDescent="0.2"/>
    <row r="11123" ht="12.75" x14ac:dyDescent="0.2"/>
    <row r="11124" ht="12.75" x14ac:dyDescent="0.2"/>
    <row r="11125" ht="12.75" x14ac:dyDescent="0.2"/>
    <row r="11126" ht="12.75" x14ac:dyDescent="0.2"/>
    <row r="11127" ht="12.75" x14ac:dyDescent="0.2"/>
    <row r="11128" ht="12.75" x14ac:dyDescent="0.2"/>
    <row r="11129" ht="12.75" x14ac:dyDescent="0.2"/>
    <row r="11130" ht="12.75" x14ac:dyDescent="0.2"/>
    <row r="11131" ht="12.75" x14ac:dyDescent="0.2"/>
    <row r="11132" ht="12.75" x14ac:dyDescent="0.2"/>
    <row r="11133" ht="12.75" x14ac:dyDescent="0.2"/>
    <row r="11134" ht="12.75" x14ac:dyDescent="0.2"/>
    <row r="11135" ht="12.75" x14ac:dyDescent="0.2"/>
    <row r="11136" ht="12.75" x14ac:dyDescent="0.2"/>
    <row r="11137" ht="12.75" x14ac:dyDescent="0.2"/>
    <row r="11138" ht="12.75" x14ac:dyDescent="0.2"/>
    <row r="11139" ht="12.75" x14ac:dyDescent="0.2"/>
    <row r="11140" ht="12.75" x14ac:dyDescent="0.2"/>
    <row r="11141" ht="12.75" x14ac:dyDescent="0.2"/>
    <row r="11142" ht="12.75" x14ac:dyDescent="0.2"/>
    <row r="11143" ht="12.75" x14ac:dyDescent="0.2"/>
    <row r="11144" ht="12.75" x14ac:dyDescent="0.2"/>
    <row r="11145" ht="12.75" x14ac:dyDescent="0.2"/>
    <row r="11146" ht="12.75" x14ac:dyDescent="0.2"/>
    <row r="11147" ht="12.75" x14ac:dyDescent="0.2"/>
    <row r="11148" ht="12.75" x14ac:dyDescent="0.2"/>
    <row r="11149" ht="12.75" x14ac:dyDescent="0.2"/>
    <row r="11150" ht="12.75" x14ac:dyDescent="0.2"/>
    <row r="11151" ht="12.75" x14ac:dyDescent="0.2"/>
    <row r="11152" ht="12.75" x14ac:dyDescent="0.2"/>
    <row r="11153" ht="12.75" x14ac:dyDescent="0.2"/>
    <row r="11154" ht="12.75" x14ac:dyDescent="0.2"/>
    <row r="11155" ht="12.75" x14ac:dyDescent="0.2"/>
    <row r="11156" ht="12.75" x14ac:dyDescent="0.2"/>
    <row r="11157" ht="12.75" x14ac:dyDescent="0.2"/>
    <row r="11158" ht="12.75" x14ac:dyDescent="0.2"/>
    <row r="11159" ht="12.75" x14ac:dyDescent="0.2"/>
    <row r="11160" ht="12.75" x14ac:dyDescent="0.2"/>
    <row r="11161" ht="12.75" x14ac:dyDescent="0.2"/>
    <row r="11162" ht="12.75" x14ac:dyDescent="0.2"/>
    <row r="11163" ht="12.75" x14ac:dyDescent="0.2"/>
    <row r="11164" ht="12.75" x14ac:dyDescent="0.2"/>
    <row r="11165" ht="12.75" x14ac:dyDescent="0.2"/>
    <row r="11166" ht="12.75" x14ac:dyDescent="0.2"/>
    <row r="11167" ht="12.75" x14ac:dyDescent="0.2"/>
    <row r="11168" ht="12.75" x14ac:dyDescent="0.2"/>
    <row r="11169" ht="12.75" x14ac:dyDescent="0.2"/>
    <row r="11170" ht="12.75" x14ac:dyDescent="0.2"/>
    <row r="11171" ht="12.75" x14ac:dyDescent="0.2"/>
    <row r="11172" ht="12.75" x14ac:dyDescent="0.2"/>
    <row r="11173" ht="12.75" x14ac:dyDescent="0.2"/>
    <row r="11174" ht="12.75" x14ac:dyDescent="0.2"/>
    <row r="11175" ht="12.75" x14ac:dyDescent="0.2"/>
    <row r="11176" ht="12.75" x14ac:dyDescent="0.2"/>
    <row r="11177" ht="12.75" x14ac:dyDescent="0.2"/>
    <row r="11178" ht="12.75" x14ac:dyDescent="0.2"/>
    <row r="11179" ht="12.75" x14ac:dyDescent="0.2"/>
    <row r="11180" ht="12.75" x14ac:dyDescent="0.2"/>
    <row r="11181" ht="12.75" x14ac:dyDescent="0.2"/>
    <row r="11182" ht="12.75" x14ac:dyDescent="0.2"/>
    <row r="11183" ht="12.75" x14ac:dyDescent="0.2"/>
    <row r="11184" ht="12.75" x14ac:dyDescent="0.2"/>
    <row r="11185" ht="12.75" x14ac:dyDescent="0.2"/>
    <row r="11186" ht="12.75" x14ac:dyDescent="0.2"/>
    <row r="11187" ht="12.75" x14ac:dyDescent="0.2"/>
    <row r="11188" ht="12.75" x14ac:dyDescent="0.2"/>
    <row r="11189" ht="12.75" x14ac:dyDescent="0.2"/>
    <row r="11190" ht="12.75" x14ac:dyDescent="0.2"/>
    <row r="11191" ht="12.75" x14ac:dyDescent="0.2"/>
    <row r="11192" ht="12.75" x14ac:dyDescent="0.2"/>
    <row r="11193" ht="12.75" x14ac:dyDescent="0.2"/>
    <row r="11194" ht="12.75" x14ac:dyDescent="0.2"/>
    <row r="11195" ht="12.75" x14ac:dyDescent="0.2"/>
    <row r="11196" ht="12.75" x14ac:dyDescent="0.2"/>
    <row r="11197" ht="12.75" x14ac:dyDescent="0.2"/>
    <row r="11198" ht="12.75" x14ac:dyDescent="0.2"/>
    <row r="11199" ht="12.75" x14ac:dyDescent="0.2"/>
    <row r="11200" ht="12.75" x14ac:dyDescent="0.2"/>
    <row r="11201" ht="12.75" x14ac:dyDescent="0.2"/>
    <row r="11202" ht="12.75" x14ac:dyDescent="0.2"/>
    <row r="11203" ht="12.75" x14ac:dyDescent="0.2"/>
    <row r="11204" ht="12.75" x14ac:dyDescent="0.2"/>
    <row r="11205" ht="12.75" x14ac:dyDescent="0.2"/>
    <row r="11206" ht="12.75" x14ac:dyDescent="0.2"/>
    <row r="11207" ht="12.75" x14ac:dyDescent="0.2"/>
    <row r="11208" ht="12.75" x14ac:dyDescent="0.2"/>
    <row r="11209" ht="12.75" x14ac:dyDescent="0.2"/>
    <row r="11210" ht="12.75" x14ac:dyDescent="0.2"/>
    <row r="11211" ht="12.75" x14ac:dyDescent="0.2"/>
    <row r="11212" ht="12.75" x14ac:dyDescent="0.2"/>
    <row r="11213" ht="12.75" x14ac:dyDescent="0.2"/>
    <row r="11214" ht="12.75" x14ac:dyDescent="0.2"/>
    <row r="11215" ht="12.75" x14ac:dyDescent="0.2"/>
    <row r="11216" ht="12.75" x14ac:dyDescent="0.2"/>
    <row r="11217" ht="12.75" x14ac:dyDescent="0.2"/>
    <row r="11218" ht="12.75" x14ac:dyDescent="0.2"/>
    <row r="11219" ht="12.75" x14ac:dyDescent="0.2"/>
    <row r="11220" ht="12.75" x14ac:dyDescent="0.2"/>
    <row r="11221" ht="12.75" x14ac:dyDescent="0.2"/>
    <row r="11222" ht="12.75" x14ac:dyDescent="0.2"/>
    <row r="11223" ht="12.75" x14ac:dyDescent="0.2"/>
    <row r="11224" ht="12.75" x14ac:dyDescent="0.2"/>
    <row r="11225" ht="12.75" x14ac:dyDescent="0.2"/>
    <row r="11226" ht="12.75" x14ac:dyDescent="0.2"/>
    <row r="11227" ht="12.75" x14ac:dyDescent="0.2"/>
    <row r="11228" ht="12.75" x14ac:dyDescent="0.2"/>
    <row r="11229" ht="12.75" x14ac:dyDescent="0.2"/>
    <row r="11230" ht="12.75" x14ac:dyDescent="0.2"/>
    <row r="11231" ht="12.75" x14ac:dyDescent="0.2"/>
    <row r="11232" ht="12.75" x14ac:dyDescent="0.2"/>
    <row r="11233" ht="12.75" x14ac:dyDescent="0.2"/>
    <row r="11234" ht="12.75" x14ac:dyDescent="0.2"/>
    <row r="11235" ht="12.75" x14ac:dyDescent="0.2"/>
    <row r="11236" ht="12.75" x14ac:dyDescent="0.2"/>
    <row r="11237" ht="12.75" x14ac:dyDescent="0.2"/>
    <row r="11238" ht="12.75" x14ac:dyDescent="0.2"/>
    <row r="11239" ht="12.75" x14ac:dyDescent="0.2"/>
    <row r="11240" ht="12.75" x14ac:dyDescent="0.2"/>
    <row r="11241" ht="12.75" x14ac:dyDescent="0.2"/>
    <row r="11242" ht="12.75" x14ac:dyDescent="0.2"/>
    <row r="11243" ht="12.75" x14ac:dyDescent="0.2"/>
    <row r="11244" ht="12.75" x14ac:dyDescent="0.2"/>
    <row r="11245" ht="12.75" x14ac:dyDescent="0.2"/>
    <row r="11246" ht="12.75" x14ac:dyDescent="0.2"/>
    <row r="11247" ht="12.75" x14ac:dyDescent="0.2"/>
    <row r="11248" ht="12.75" x14ac:dyDescent="0.2"/>
    <row r="11249" ht="12.75" x14ac:dyDescent="0.2"/>
    <row r="11250" ht="12.75" x14ac:dyDescent="0.2"/>
    <row r="11251" ht="12.75" x14ac:dyDescent="0.2"/>
    <row r="11252" ht="12.75" x14ac:dyDescent="0.2"/>
    <row r="11253" ht="12.75" x14ac:dyDescent="0.2"/>
    <row r="11254" ht="12.75" x14ac:dyDescent="0.2"/>
    <row r="11255" ht="12.75" x14ac:dyDescent="0.2"/>
    <row r="11256" ht="12.75" x14ac:dyDescent="0.2"/>
    <row r="11257" ht="12.75" x14ac:dyDescent="0.2"/>
    <row r="11258" ht="12.75" x14ac:dyDescent="0.2"/>
    <row r="11259" ht="12.75" x14ac:dyDescent="0.2"/>
    <row r="11260" ht="12.75" x14ac:dyDescent="0.2"/>
    <row r="11261" ht="12.75" x14ac:dyDescent="0.2"/>
    <row r="11262" ht="12.75" x14ac:dyDescent="0.2"/>
    <row r="11263" ht="12.75" x14ac:dyDescent="0.2"/>
    <row r="11264" ht="12.75" x14ac:dyDescent="0.2"/>
    <row r="11265" ht="12.75" x14ac:dyDescent="0.2"/>
    <row r="11266" ht="12.75" x14ac:dyDescent="0.2"/>
    <row r="11267" ht="12.75" x14ac:dyDescent="0.2"/>
    <row r="11268" ht="12.75" x14ac:dyDescent="0.2"/>
    <row r="11269" ht="12.75" x14ac:dyDescent="0.2"/>
    <row r="11270" ht="12.75" x14ac:dyDescent="0.2"/>
    <row r="11271" ht="12.75" x14ac:dyDescent="0.2"/>
    <row r="11272" ht="12.75" x14ac:dyDescent="0.2"/>
    <row r="11273" ht="12.75" x14ac:dyDescent="0.2"/>
    <row r="11274" ht="12.75" x14ac:dyDescent="0.2"/>
    <row r="11275" ht="12.75" x14ac:dyDescent="0.2"/>
    <row r="11276" ht="12.75" x14ac:dyDescent="0.2"/>
    <row r="11277" ht="12.75" x14ac:dyDescent="0.2"/>
    <row r="11278" ht="12.75" x14ac:dyDescent="0.2"/>
    <row r="11279" ht="12.75" x14ac:dyDescent="0.2"/>
    <row r="11280" ht="12.75" x14ac:dyDescent="0.2"/>
    <row r="11281" ht="12.75" x14ac:dyDescent="0.2"/>
    <row r="11282" ht="12.75" x14ac:dyDescent="0.2"/>
    <row r="11283" ht="12.75" x14ac:dyDescent="0.2"/>
    <row r="11284" ht="12.75" x14ac:dyDescent="0.2"/>
    <row r="11285" ht="12.75" x14ac:dyDescent="0.2"/>
    <row r="11286" ht="12.75" x14ac:dyDescent="0.2"/>
    <row r="11287" ht="12.75" x14ac:dyDescent="0.2"/>
    <row r="11288" ht="12.75" x14ac:dyDescent="0.2"/>
    <row r="11289" ht="12.75" x14ac:dyDescent="0.2"/>
    <row r="11290" ht="12.75" x14ac:dyDescent="0.2"/>
    <row r="11291" ht="12.75" x14ac:dyDescent="0.2"/>
    <row r="11292" ht="12.75" x14ac:dyDescent="0.2"/>
    <row r="11293" ht="12.75" x14ac:dyDescent="0.2"/>
    <row r="11294" ht="12.75" x14ac:dyDescent="0.2"/>
    <row r="11295" ht="12.75" x14ac:dyDescent="0.2"/>
    <row r="11296" ht="12.75" x14ac:dyDescent="0.2"/>
    <row r="11297" ht="12.75" x14ac:dyDescent="0.2"/>
    <row r="11298" ht="12.75" x14ac:dyDescent="0.2"/>
    <row r="11299" ht="12.75" x14ac:dyDescent="0.2"/>
    <row r="11300" ht="12.75" x14ac:dyDescent="0.2"/>
    <row r="11301" ht="12.75" x14ac:dyDescent="0.2"/>
    <row r="11302" ht="12.75" x14ac:dyDescent="0.2"/>
    <row r="11303" ht="12.75" x14ac:dyDescent="0.2"/>
    <row r="11304" ht="12.75" x14ac:dyDescent="0.2"/>
    <row r="11305" ht="12.75" x14ac:dyDescent="0.2"/>
    <row r="11306" ht="12.75" x14ac:dyDescent="0.2"/>
    <row r="11307" ht="12.75" x14ac:dyDescent="0.2"/>
    <row r="11308" ht="12.75" x14ac:dyDescent="0.2"/>
    <row r="11309" ht="12.75" x14ac:dyDescent="0.2"/>
    <row r="11310" ht="12.75" x14ac:dyDescent="0.2"/>
    <row r="11311" ht="12.75" x14ac:dyDescent="0.2"/>
    <row r="11312" ht="12.75" x14ac:dyDescent="0.2"/>
    <row r="11313" ht="12.75" x14ac:dyDescent="0.2"/>
    <row r="11314" ht="12.75" x14ac:dyDescent="0.2"/>
    <row r="11315" ht="12.75" x14ac:dyDescent="0.2"/>
    <row r="11316" ht="12.75" x14ac:dyDescent="0.2"/>
    <row r="11317" ht="12.75" x14ac:dyDescent="0.2"/>
    <row r="11318" ht="12.75" x14ac:dyDescent="0.2"/>
    <row r="11319" ht="12.75" x14ac:dyDescent="0.2"/>
    <row r="11320" ht="12.75" x14ac:dyDescent="0.2"/>
    <row r="11321" ht="12.75" x14ac:dyDescent="0.2"/>
    <row r="11322" ht="12.75" x14ac:dyDescent="0.2"/>
    <row r="11323" ht="12.75" x14ac:dyDescent="0.2"/>
    <row r="11324" ht="12.75" x14ac:dyDescent="0.2"/>
    <row r="11325" ht="12.75" x14ac:dyDescent="0.2"/>
    <row r="11326" ht="12.75" x14ac:dyDescent="0.2"/>
    <row r="11327" ht="12.75" x14ac:dyDescent="0.2"/>
    <row r="11328" ht="12.75" x14ac:dyDescent="0.2"/>
    <row r="11329" ht="12.75" x14ac:dyDescent="0.2"/>
    <row r="11330" ht="12.75" x14ac:dyDescent="0.2"/>
    <row r="11331" ht="12.75" x14ac:dyDescent="0.2"/>
    <row r="11332" ht="12.75" x14ac:dyDescent="0.2"/>
    <row r="11333" ht="12.75" x14ac:dyDescent="0.2"/>
    <row r="11334" ht="12.75" x14ac:dyDescent="0.2"/>
    <row r="11335" ht="12.75" x14ac:dyDescent="0.2"/>
    <row r="11336" ht="12.75" x14ac:dyDescent="0.2"/>
    <row r="11337" ht="12.75" x14ac:dyDescent="0.2"/>
    <row r="11338" ht="12.75" x14ac:dyDescent="0.2"/>
    <row r="11339" ht="12.75" x14ac:dyDescent="0.2"/>
    <row r="11340" ht="12.75" x14ac:dyDescent="0.2"/>
    <row r="11341" ht="12.75" x14ac:dyDescent="0.2"/>
    <row r="11342" ht="12.75" x14ac:dyDescent="0.2"/>
    <row r="11343" ht="12.75" x14ac:dyDescent="0.2"/>
    <row r="11344" ht="12.75" x14ac:dyDescent="0.2"/>
    <row r="11345" ht="12.75" x14ac:dyDescent="0.2"/>
    <row r="11346" ht="12.75" x14ac:dyDescent="0.2"/>
    <row r="11347" ht="12.75" x14ac:dyDescent="0.2"/>
    <row r="11348" ht="12.75" x14ac:dyDescent="0.2"/>
    <row r="11349" ht="12.75" x14ac:dyDescent="0.2"/>
    <row r="11350" ht="12.75" x14ac:dyDescent="0.2"/>
    <row r="11351" ht="12.75" x14ac:dyDescent="0.2"/>
    <row r="11352" ht="12.75" x14ac:dyDescent="0.2"/>
    <row r="11353" ht="12.75" x14ac:dyDescent="0.2"/>
    <row r="11354" ht="12.75" x14ac:dyDescent="0.2"/>
    <row r="11355" ht="12.75" x14ac:dyDescent="0.2"/>
    <row r="11356" ht="12.75" x14ac:dyDescent="0.2"/>
    <row r="11357" ht="12.75" x14ac:dyDescent="0.2"/>
    <row r="11358" ht="12.75" x14ac:dyDescent="0.2"/>
    <row r="11359" ht="12.75" x14ac:dyDescent="0.2"/>
    <row r="11360" ht="12.75" x14ac:dyDescent="0.2"/>
    <row r="11361" ht="12.75" x14ac:dyDescent="0.2"/>
    <row r="11362" ht="12.75" x14ac:dyDescent="0.2"/>
    <row r="11363" ht="12.75" x14ac:dyDescent="0.2"/>
    <row r="11364" ht="12.75" x14ac:dyDescent="0.2"/>
    <row r="11365" ht="12.75" x14ac:dyDescent="0.2"/>
    <row r="11366" ht="12.75" x14ac:dyDescent="0.2"/>
    <row r="11367" ht="12.75" x14ac:dyDescent="0.2"/>
    <row r="11368" ht="12.75" x14ac:dyDescent="0.2"/>
    <row r="11369" ht="12.75" x14ac:dyDescent="0.2"/>
    <row r="11370" ht="12.75" x14ac:dyDescent="0.2"/>
    <row r="11371" ht="12.75" x14ac:dyDescent="0.2"/>
    <row r="11372" ht="12.75" x14ac:dyDescent="0.2"/>
    <row r="11373" ht="12.75" x14ac:dyDescent="0.2"/>
    <row r="11374" ht="12.75" x14ac:dyDescent="0.2"/>
    <row r="11375" ht="12.75" x14ac:dyDescent="0.2"/>
    <row r="11376" ht="12.75" x14ac:dyDescent="0.2"/>
    <row r="11377" ht="12.75" x14ac:dyDescent="0.2"/>
    <row r="11378" ht="12.75" x14ac:dyDescent="0.2"/>
    <row r="11379" ht="12.75" x14ac:dyDescent="0.2"/>
    <row r="11380" ht="12.75" x14ac:dyDescent="0.2"/>
    <row r="11381" ht="12.75" x14ac:dyDescent="0.2"/>
    <row r="11382" ht="12.75" x14ac:dyDescent="0.2"/>
    <row r="11383" ht="12.75" x14ac:dyDescent="0.2"/>
    <row r="11384" ht="12.75" x14ac:dyDescent="0.2"/>
    <row r="11385" ht="12.75" x14ac:dyDescent="0.2"/>
    <row r="11386" ht="12.75" x14ac:dyDescent="0.2"/>
    <row r="11387" ht="12.75" x14ac:dyDescent="0.2"/>
    <row r="11388" ht="12.75" x14ac:dyDescent="0.2"/>
    <row r="11389" ht="12.75" x14ac:dyDescent="0.2"/>
    <row r="11390" ht="12.75" x14ac:dyDescent="0.2"/>
    <row r="11391" ht="12.75" x14ac:dyDescent="0.2"/>
    <row r="11392" ht="12.75" x14ac:dyDescent="0.2"/>
    <row r="11393" ht="12.75" x14ac:dyDescent="0.2"/>
    <row r="11394" ht="12.75" x14ac:dyDescent="0.2"/>
    <row r="11395" ht="12.75" x14ac:dyDescent="0.2"/>
    <row r="11396" ht="12.75" x14ac:dyDescent="0.2"/>
    <row r="11397" ht="12.75" x14ac:dyDescent="0.2"/>
    <row r="11398" ht="12.75" x14ac:dyDescent="0.2"/>
    <row r="11399" ht="12.75" x14ac:dyDescent="0.2"/>
    <row r="11400" ht="12.75" x14ac:dyDescent="0.2"/>
    <row r="11401" ht="12.75" x14ac:dyDescent="0.2"/>
    <row r="11402" ht="12.75" x14ac:dyDescent="0.2"/>
    <row r="11403" ht="12.75" x14ac:dyDescent="0.2"/>
    <row r="11404" ht="12.75" x14ac:dyDescent="0.2"/>
    <row r="11405" ht="12.75" x14ac:dyDescent="0.2"/>
    <row r="11406" ht="12.75" x14ac:dyDescent="0.2"/>
    <row r="11407" ht="12.75" x14ac:dyDescent="0.2"/>
    <row r="11408" ht="12.75" x14ac:dyDescent="0.2"/>
    <row r="11409" ht="12.75" x14ac:dyDescent="0.2"/>
    <row r="11410" ht="12.75" x14ac:dyDescent="0.2"/>
    <row r="11411" ht="12.75" x14ac:dyDescent="0.2"/>
    <row r="11412" ht="12.75" x14ac:dyDescent="0.2"/>
    <row r="11413" ht="12.75" x14ac:dyDescent="0.2"/>
    <row r="11414" ht="12.75" x14ac:dyDescent="0.2"/>
    <row r="11415" ht="12.75" x14ac:dyDescent="0.2"/>
    <row r="11416" ht="12.75" x14ac:dyDescent="0.2"/>
    <row r="11417" ht="12.75" x14ac:dyDescent="0.2"/>
    <row r="11418" ht="12.75" x14ac:dyDescent="0.2"/>
    <row r="11419" ht="12.75" x14ac:dyDescent="0.2"/>
    <row r="11420" ht="12.75" x14ac:dyDescent="0.2"/>
    <row r="11421" ht="12.75" x14ac:dyDescent="0.2"/>
    <row r="11422" ht="12.75" x14ac:dyDescent="0.2"/>
    <row r="11423" ht="12.75" x14ac:dyDescent="0.2"/>
    <row r="11424" ht="12.75" x14ac:dyDescent="0.2"/>
    <row r="11425" ht="12.75" x14ac:dyDescent="0.2"/>
    <row r="11426" ht="12.75" x14ac:dyDescent="0.2"/>
    <row r="11427" ht="12.75" x14ac:dyDescent="0.2"/>
    <row r="11428" ht="12.75" x14ac:dyDescent="0.2"/>
    <row r="11429" ht="12.75" x14ac:dyDescent="0.2"/>
    <row r="11430" ht="12.75" x14ac:dyDescent="0.2"/>
    <row r="11431" ht="12.75" x14ac:dyDescent="0.2"/>
    <row r="11432" ht="12.75" x14ac:dyDescent="0.2"/>
    <row r="11433" ht="12.75" x14ac:dyDescent="0.2"/>
    <row r="11434" ht="12.75" x14ac:dyDescent="0.2"/>
    <row r="11435" ht="12.75" x14ac:dyDescent="0.2"/>
    <row r="11436" ht="12.75" x14ac:dyDescent="0.2"/>
    <row r="11437" ht="12.75" x14ac:dyDescent="0.2"/>
    <row r="11438" ht="12.75" x14ac:dyDescent="0.2"/>
    <row r="11439" ht="12.75" x14ac:dyDescent="0.2"/>
    <row r="11440" ht="12.75" x14ac:dyDescent="0.2"/>
    <row r="11441" ht="12.75" x14ac:dyDescent="0.2"/>
    <row r="11442" ht="12.75" x14ac:dyDescent="0.2"/>
    <row r="11443" ht="12.75" x14ac:dyDescent="0.2"/>
    <row r="11444" ht="12.75" x14ac:dyDescent="0.2"/>
    <row r="11445" ht="12.75" x14ac:dyDescent="0.2"/>
    <row r="11446" ht="12.75" x14ac:dyDescent="0.2"/>
    <row r="11447" ht="12.75" x14ac:dyDescent="0.2"/>
    <row r="11448" ht="12.75" x14ac:dyDescent="0.2"/>
    <row r="11449" ht="12.75" x14ac:dyDescent="0.2"/>
    <row r="11450" ht="12.75" x14ac:dyDescent="0.2"/>
    <row r="11451" ht="12.75" x14ac:dyDescent="0.2"/>
    <row r="11452" ht="12.75" x14ac:dyDescent="0.2"/>
    <row r="11453" ht="12.75" x14ac:dyDescent="0.2"/>
    <row r="11454" ht="12.75" x14ac:dyDescent="0.2"/>
    <row r="11455" ht="12.75" x14ac:dyDescent="0.2"/>
    <row r="11456" ht="12.75" x14ac:dyDescent="0.2"/>
    <row r="11457" ht="12.75" x14ac:dyDescent="0.2"/>
    <row r="11458" ht="12.75" x14ac:dyDescent="0.2"/>
    <row r="11459" ht="12.75" x14ac:dyDescent="0.2"/>
    <row r="11460" ht="12.75" x14ac:dyDescent="0.2"/>
    <row r="11461" ht="12.75" x14ac:dyDescent="0.2"/>
    <row r="11462" ht="12.75" x14ac:dyDescent="0.2"/>
    <row r="11463" ht="12.75" x14ac:dyDescent="0.2"/>
    <row r="11464" ht="12.75" x14ac:dyDescent="0.2"/>
    <row r="11465" ht="12.75" x14ac:dyDescent="0.2"/>
    <row r="11466" ht="12.75" x14ac:dyDescent="0.2"/>
    <row r="11467" ht="12.75" x14ac:dyDescent="0.2"/>
    <row r="11468" ht="12.75" x14ac:dyDescent="0.2"/>
    <row r="11469" ht="12.75" x14ac:dyDescent="0.2"/>
    <row r="11470" ht="12.75" x14ac:dyDescent="0.2"/>
    <row r="11471" ht="12.75" x14ac:dyDescent="0.2"/>
    <row r="11472" ht="12.75" x14ac:dyDescent="0.2"/>
    <row r="11473" ht="12.75" x14ac:dyDescent="0.2"/>
    <row r="11474" ht="12.75" x14ac:dyDescent="0.2"/>
    <row r="11475" ht="12.75" x14ac:dyDescent="0.2"/>
    <row r="11476" ht="12.75" x14ac:dyDescent="0.2"/>
    <row r="11477" ht="12.75" x14ac:dyDescent="0.2"/>
    <row r="11478" ht="12.75" x14ac:dyDescent="0.2"/>
    <row r="11479" ht="12.75" x14ac:dyDescent="0.2"/>
    <row r="11480" ht="12.75" x14ac:dyDescent="0.2"/>
    <row r="11481" ht="12.75" x14ac:dyDescent="0.2"/>
    <row r="11482" ht="12.75" x14ac:dyDescent="0.2"/>
    <row r="11483" ht="12.75" x14ac:dyDescent="0.2"/>
    <row r="11484" ht="12.75" x14ac:dyDescent="0.2"/>
    <row r="11485" ht="12.75" x14ac:dyDescent="0.2"/>
    <row r="11486" ht="12.75" x14ac:dyDescent="0.2"/>
    <row r="11487" ht="12.75" x14ac:dyDescent="0.2"/>
    <row r="11488" ht="12.75" x14ac:dyDescent="0.2"/>
    <row r="11489" ht="12.75" x14ac:dyDescent="0.2"/>
    <row r="11490" ht="12.75" x14ac:dyDescent="0.2"/>
    <row r="11491" ht="12.75" x14ac:dyDescent="0.2"/>
    <row r="11492" ht="12.75" x14ac:dyDescent="0.2"/>
    <row r="11493" ht="12.75" x14ac:dyDescent="0.2"/>
    <row r="11494" ht="12.75" x14ac:dyDescent="0.2"/>
    <row r="11495" ht="12.75" x14ac:dyDescent="0.2"/>
    <row r="11496" ht="12.75" x14ac:dyDescent="0.2"/>
    <row r="11497" ht="12.75" x14ac:dyDescent="0.2"/>
    <row r="11498" ht="12.75" x14ac:dyDescent="0.2"/>
    <row r="11499" ht="12.75" x14ac:dyDescent="0.2"/>
    <row r="11500" ht="12.75" x14ac:dyDescent="0.2"/>
    <row r="11501" ht="12.75" x14ac:dyDescent="0.2"/>
    <row r="11502" ht="12.75" x14ac:dyDescent="0.2"/>
    <row r="11503" ht="12.75" x14ac:dyDescent="0.2"/>
    <row r="11504" ht="12.75" x14ac:dyDescent="0.2"/>
    <row r="11505" ht="12.75" x14ac:dyDescent="0.2"/>
    <row r="11506" ht="12.75" x14ac:dyDescent="0.2"/>
    <row r="11507" ht="12.75" x14ac:dyDescent="0.2"/>
    <row r="11508" ht="12.75" x14ac:dyDescent="0.2"/>
    <row r="11509" ht="12.75" x14ac:dyDescent="0.2"/>
    <row r="11510" ht="12.75" x14ac:dyDescent="0.2"/>
    <row r="11511" ht="12.75" x14ac:dyDescent="0.2"/>
    <row r="11512" ht="12.75" x14ac:dyDescent="0.2"/>
    <row r="11513" ht="12.75" x14ac:dyDescent="0.2"/>
    <row r="11514" ht="12.75" x14ac:dyDescent="0.2"/>
    <row r="11515" ht="12.75" x14ac:dyDescent="0.2"/>
    <row r="11516" ht="12.75" x14ac:dyDescent="0.2"/>
    <row r="11517" ht="12.75" x14ac:dyDescent="0.2"/>
    <row r="11518" ht="12.75" x14ac:dyDescent="0.2"/>
    <row r="11519" ht="12.75" x14ac:dyDescent="0.2"/>
    <row r="11520" ht="12.75" x14ac:dyDescent="0.2"/>
    <row r="11521" ht="12.75" x14ac:dyDescent="0.2"/>
    <row r="11522" ht="12.75" x14ac:dyDescent="0.2"/>
    <row r="11523" ht="12.75" x14ac:dyDescent="0.2"/>
    <row r="11524" ht="12.75" x14ac:dyDescent="0.2"/>
    <row r="11525" ht="12.75" x14ac:dyDescent="0.2"/>
    <row r="11526" ht="12.75" x14ac:dyDescent="0.2"/>
    <row r="11527" ht="12.75" x14ac:dyDescent="0.2"/>
    <row r="11528" ht="12.75" x14ac:dyDescent="0.2"/>
    <row r="11529" ht="12.75" x14ac:dyDescent="0.2"/>
    <row r="11530" ht="12.75" x14ac:dyDescent="0.2"/>
    <row r="11531" ht="12.75" x14ac:dyDescent="0.2"/>
    <row r="11532" ht="12.75" x14ac:dyDescent="0.2"/>
    <row r="11533" ht="12.75" x14ac:dyDescent="0.2"/>
    <row r="11534" ht="12.75" x14ac:dyDescent="0.2"/>
    <row r="11535" ht="12.75" x14ac:dyDescent="0.2"/>
    <row r="11536" ht="12.75" x14ac:dyDescent="0.2"/>
    <row r="11537" ht="12.75" x14ac:dyDescent="0.2"/>
    <row r="11538" ht="12.75" x14ac:dyDescent="0.2"/>
    <row r="11539" ht="12.75" x14ac:dyDescent="0.2"/>
    <row r="11540" ht="12.75" x14ac:dyDescent="0.2"/>
    <row r="11541" ht="12.75" x14ac:dyDescent="0.2"/>
    <row r="11542" ht="12.75" x14ac:dyDescent="0.2"/>
    <row r="11543" ht="12.75" x14ac:dyDescent="0.2"/>
    <row r="11544" ht="12.75" x14ac:dyDescent="0.2"/>
    <row r="11545" ht="12.75" x14ac:dyDescent="0.2"/>
    <row r="11546" ht="12.75" x14ac:dyDescent="0.2"/>
    <row r="11547" ht="12.75" x14ac:dyDescent="0.2"/>
    <row r="11548" ht="12.75" x14ac:dyDescent="0.2"/>
    <row r="11549" ht="12.75" x14ac:dyDescent="0.2"/>
    <row r="11550" ht="12.75" x14ac:dyDescent="0.2"/>
    <row r="11551" ht="12.75" x14ac:dyDescent="0.2"/>
    <row r="11552" ht="12.75" x14ac:dyDescent="0.2"/>
    <row r="11553" ht="12.75" x14ac:dyDescent="0.2"/>
    <row r="11554" ht="12.75" x14ac:dyDescent="0.2"/>
    <row r="11555" ht="12.75" x14ac:dyDescent="0.2"/>
    <row r="11556" ht="12.75" x14ac:dyDescent="0.2"/>
    <row r="11557" ht="12.75" x14ac:dyDescent="0.2"/>
    <row r="11558" ht="12.75" x14ac:dyDescent="0.2"/>
    <row r="11559" ht="12.75" x14ac:dyDescent="0.2"/>
    <row r="11560" ht="12.75" x14ac:dyDescent="0.2"/>
    <row r="11561" ht="12.75" x14ac:dyDescent="0.2"/>
    <row r="11562" ht="12.75" x14ac:dyDescent="0.2"/>
    <row r="11563" ht="12.75" x14ac:dyDescent="0.2"/>
    <row r="11564" ht="12.75" x14ac:dyDescent="0.2"/>
    <row r="11565" ht="12.75" x14ac:dyDescent="0.2"/>
    <row r="11566" ht="12.75" x14ac:dyDescent="0.2"/>
    <row r="11567" ht="12.75" x14ac:dyDescent="0.2"/>
    <row r="11568" ht="12.75" x14ac:dyDescent="0.2"/>
    <row r="11569" ht="12.75" x14ac:dyDescent="0.2"/>
    <row r="11570" ht="12.75" x14ac:dyDescent="0.2"/>
    <row r="11571" ht="12.75" x14ac:dyDescent="0.2"/>
    <row r="11572" ht="12.75" x14ac:dyDescent="0.2"/>
    <row r="11573" ht="12.75" x14ac:dyDescent="0.2"/>
    <row r="11574" ht="12.75" x14ac:dyDescent="0.2"/>
    <row r="11575" ht="12.75" x14ac:dyDescent="0.2"/>
    <row r="11576" ht="12.75" x14ac:dyDescent="0.2"/>
    <row r="11577" ht="12.75" x14ac:dyDescent="0.2"/>
    <row r="11578" ht="12.75" x14ac:dyDescent="0.2"/>
    <row r="11579" ht="12.75" x14ac:dyDescent="0.2"/>
    <row r="11580" ht="12.75" x14ac:dyDescent="0.2"/>
    <row r="11581" ht="12.75" x14ac:dyDescent="0.2"/>
    <row r="11582" ht="12.75" x14ac:dyDescent="0.2"/>
    <row r="11583" ht="12.75" x14ac:dyDescent="0.2"/>
    <row r="11584" ht="12.75" x14ac:dyDescent="0.2"/>
    <row r="11585" ht="12.75" x14ac:dyDescent="0.2"/>
    <row r="11586" ht="12.75" x14ac:dyDescent="0.2"/>
    <row r="11587" ht="12.75" x14ac:dyDescent="0.2"/>
    <row r="11588" ht="12.75" x14ac:dyDescent="0.2"/>
    <row r="11589" ht="12.75" x14ac:dyDescent="0.2"/>
    <row r="11590" ht="12.75" x14ac:dyDescent="0.2"/>
    <row r="11591" ht="12.75" x14ac:dyDescent="0.2"/>
    <row r="11592" ht="12.75" x14ac:dyDescent="0.2"/>
    <row r="11593" ht="12.75" x14ac:dyDescent="0.2"/>
    <row r="11594" ht="12.75" x14ac:dyDescent="0.2"/>
    <row r="11595" ht="12.75" x14ac:dyDescent="0.2"/>
    <row r="11596" ht="12.75" x14ac:dyDescent="0.2"/>
    <row r="11597" ht="12.75" x14ac:dyDescent="0.2"/>
    <row r="11598" ht="12.75" x14ac:dyDescent="0.2"/>
    <row r="11599" ht="12.75" x14ac:dyDescent="0.2"/>
    <row r="11600" ht="12.75" x14ac:dyDescent="0.2"/>
    <row r="11601" ht="12.75" x14ac:dyDescent="0.2"/>
    <row r="11602" ht="12.75" x14ac:dyDescent="0.2"/>
    <row r="11603" ht="12.75" x14ac:dyDescent="0.2"/>
    <row r="11604" ht="12.75" x14ac:dyDescent="0.2"/>
    <row r="11605" ht="12.75" x14ac:dyDescent="0.2"/>
    <row r="11606" ht="12.75" x14ac:dyDescent="0.2"/>
    <row r="11607" ht="12.75" x14ac:dyDescent="0.2"/>
    <row r="11608" ht="12.75" x14ac:dyDescent="0.2"/>
    <row r="11609" ht="12.75" x14ac:dyDescent="0.2"/>
    <row r="11610" ht="12.75" x14ac:dyDescent="0.2"/>
    <row r="11611" ht="12.75" x14ac:dyDescent="0.2"/>
    <row r="11612" ht="12.75" x14ac:dyDescent="0.2"/>
    <row r="11613" ht="12.75" x14ac:dyDescent="0.2"/>
    <row r="11614" ht="12.75" x14ac:dyDescent="0.2"/>
    <row r="11615" ht="12.75" x14ac:dyDescent="0.2"/>
    <row r="11616" ht="12.75" x14ac:dyDescent="0.2"/>
    <row r="11617" ht="12.75" x14ac:dyDescent="0.2"/>
    <row r="11618" ht="12.75" x14ac:dyDescent="0.2"/>
    <row r="11619" ht="12.75" x14ac:dyDescent="0.2"/>
    <row r="11620" ht="12.75" x14ac:dyDescent="0.2"/>
    <row r="11621" ht="12.75" x14ac:dyDescent="0.2"/>
    <row r="11622" ht="12.75" x14ac:dyDescent="0.2"/>
    <row r="11623" ht="12.75" x14ac:dyDescent="0.2"/>
    <row r="11624" ht="12.75" x14ac:dyDescent="0.2"/>
    <row r="11625" ht="12.75" x14ac:dyDescent="0.2"/>
    <row r="11626" ht="12.75" x14ac:dyDescent="0.2"/>
    <row r="11627" ht="12.75" x14ac:dyDescent="0.2"/>
    <row r="11628" ht="12.75" x14ac:dyDescent="0.2"/>
    <row r="11629" ht="12.75" x14ac:dyDescent="0.2"/>
    <row r="11630" ht="12.75" x14ac:dyDescent="0.2"/>
    <row r="11631" ht="12.75" x14ac:dyDescent="0.2"/>
    <row r="11632" ht="12.75" x14ac:dyDescent="0.2"/>
    <row r="11633" ht="12.75" x14ac:dyDescent="0.2"/>
    <row r="11634" ht="12.75" x14ac:dyDescent="0.2"/>
    <row r="11635" ht="12.75" x14ac:dyDescent="0.2"/>
    <row r="11636" ht="12.75" x14ac:dyDescent="0.2"/>
    <row r="11637" ht="12.75" x14ac:dyDescent="0.2"/>
    <row r="11638" ht="12.75" x14ac:dyDescent="0.2"/>
    <row r="11639" ht="12.75" x14ac:dyDescent="0.2"/>
    <row r="11640" ht="12.75" x14ac:dyDescent="0.2"/>
    <row r="11641" ht="12.75" x14ac:dyDescent="0.2"/>
    <row r="11642" ht="12.75" x14ac:dyDescent="0.2"/>
    <row r="11643" ht="12.75" x14ac:dyDescent="0.2"/>
    <row r="11644" ht="12.75" x14ac:dyDescent="0.2"/>
    <row r="11645" ht="12.75" x14ac:dyDescent="0.2"/>
    <row r="11646" ht="12.75" x14ac:dyDescent="0.2"/>
    <row r="11647" ht="12.75" x14ac:dyDescent="0.2"/>
    <row r="11648" ht="12.75" x14ac:dyDescent="0.2"/>
    <row r="11649" ht="12.75" x14ac:dyDescent="0.2"/>
    <row r="11650" ht="12.75" x14ac:dyDescent="0.2"/>
    <row r="11651" ht="12.75" x14ac:dyDescent="0.2"/>
    <row r="11652" ht="12.75" x14ac:dyDescent="0.2"/>
    <row r="11653" ht="12.75" x14ac:dyDescent="0.2"/>
    <row r="11654" ht="12.75" x14ac:dyDescent="0.2"/>
    <row r="11655" ht="12.75" x14ac:dyDescent="0.2"/>
    <row r="11656" ht="12.75" x14ac:dyDescent="0.2"/>
    <row r="11657" ht="12.75" x14ac:dyDescent="0.2"/>
    <row r="11658" ht="12.75" x14ac:dyDescent="0.2"/>
    <row r="11659" ht="12.75" x14ac:dyDescent="0.2"/>
    <row r="11660" ht="12.75" x14ac:dyDescent="0.2"/>
    <row r="11661" ht="12.75" x14ac:dyDescent="0.2"/>
    <row r="11662" ht="12.75" x14ac:dyDescent="0.2"/>
    <row r="11663" ht="12.75" x14ac:dyDescent="0.2"/>
    <row r="11664" ht="12.75" x14ac:dyDescent="0.2"/>
    <row r="11665" ht="12.75" x14ac:dyDescent="0.2"/>
    <row r="11666" ht="12.75" x14ac:dyDescent="0.2"/>
    <row r="11667" ht="12.75" x14ac:dyDescent="0.2"/>
    <row r="11668" ht="12.75" x14ac:dyDescent="0.2"/>
    <row r="11669" ht="12.75" x14ac:dyDescent="0.2"/>
    <row r="11670" ht="12.75" x14ac:dyDescent="0.2"/>
    <row r="11671" ht="12.75" x14ac:dyDescent="0.2"/>
    <row r="11672" ht="12.75" x14ac:dyDescent="0.2"/>
    <row r="11673" ht="12.75" x14ac:dyDescent="0.2"/>
    <row r="11674" ht="12.75" x14ac:dyDescent="0.2"/>
    <row r="11675" ht="12.75" x14ac:dyDescent="0.2"/>
    <row r="11676" ht="12.75" x14ac:dyDescent="0.2"/>
    <row r="11677" ht="12.75" x14ac:dyDescent="0.2"/>
    <row r="11678" ht="12.75" x14ac:dyDescent="0.2"/>
    <row r="11679" ht="12.75" x14ac:dyDescent="0.2"/>
    <row r="11680" ht="12.75" x14ac:dyDescent="0.2"/>
    <row r="11681" ht="12.75" x14ac:dyDescent="0.2"/>
    <row r="11682" ht="12.75" x14ac:dyDescent="0.2"/>
    <row r="11683" ht="12.75" x14ac:dyDescent="0.2"/>
    <row r="11684" ht="12.75" x14ac:dyDescent="0.2"/>
    <row r="11685" ht="12.75" x14ac:dyDescent="0.2"/>
    <row r="11686" ht="12.75" x14ac:dyDescent="0.2"/>
    <row r="11687" ht="12.75" x14ac:dyDescent="0.2"/>
    <row r="11688" ht="12.75" x14ac:dyDescent="0.2"/>
    <row r="11689" ht="12.75" x14ac:dyDescent="0.2"/>
    <row r="11690" ht="12.75" x14ac:dyDescent="0.2"/>
    <row r="11691" ht="12.75" x14ac:dyDescent="0.2"/>
    <row r="11692" ht="12.75" x14ac:dyDescent="0.2"/>
    <row r="11693" ht="12.75" x14ac:dyDescent="0.2"/>
    <row r="11694" ht="12.75" x14ac:dyDescent="0.2"/>
    <row r="11695" ht="12.75" x14ac:dyDescent="0.2"/>
    <row r="11696" ht="12.75" x14ac:dyDescent="0.2"/>
    <row r="11697" ht="12.75" x14ac:dyDescent="0.2"/>
    <row r="11698" ht="12.75" x14ac:dyDescent="0.2"/>
    <row r="11699" ht="12.75" x14ac:dyDescent="0.2"/>
    <row r="11700" ht="12.75" x14ac:dyDescent="0.2"/>
    <row r="11701" ht="12.75" x14ac:dyDescent="0.2"/>
    <row r="11702" ht="12.75" x14ac:dyDescent="0.2"/>
    <row r="11703" ht="12.75" x14ac:dyDescent="0.2"/>
    <row r="11704" ht="12.75" x14ac:dyDescent="0.2"/>
    <row r="11705" ht="12.75" x14ac:dyDescent="0.2"/>
    <row r="11706" ht="12.75" x14ac:dyDescent="0.2"/>
    <row r="11707" ht="12.75" x14ac:dyDescent="0.2"/>
    <row r="11708" ht="12.75" x14ac:dyDescent="0.2"/>
    <row r="11709" ht="12.75" x14ac:dyDescent="0.2"/>
    <row r="11710" ht="12.75" x14ac:dyDescent="0.2"/>
    <row r="11711" ht="12.75" x14ac:dyDescent="0.2"/>
    <row r="11712" ht="12.75" x14ac:dyDescent="0.2"/>
    <row r="11713" ht="12.75" x14ac:dyDescent="0.2"/>
    <row r="11714" ht="12.75" x14ac:dyDescent="0.2"/>
    <row r="11715" ht="12.75" x14ac:dyDescent="0.2"/>
    <row r="11716" ht="12.75" x14ac:dyDescent="0.2"/>
    <row r="11717" ht="12.75" x14ac:dyDescent="0.2"/>
    <row r="11718" ht="12.75" x14ac:dyDescent="0.2"/>
    <row r="11719" ht="12.75" x14ac:dyDescent="0.2"/>
    <row r="11720" ht="12.75" x14ac:dyDescent="0.2"/>
    <row r="11721" ht="12.75" x14ac:dyDescent="0.2"/>
    <row r="11722" ht="12.75" x14ac:dyDescent="0.2"/>
    <row r="11723" ht="12.75" x14ac:dyDescent="0.2"/>
    <row r="11724" ht="12.75" x14ac:dyDescent="0.2"/>
    <row r="11725" ht="12.75" x14ac:dyDescent="0.2"/>
    <row r="11726" ht="12.75" x14ac:dyDescent="0.2"/>
    <row r="11727" ht="12.75" x14ac:dyDescent="0.2"/>
    <row r="11728" ht="12.75" x14ac:dyDescent="0.2"/>
    <row r="11729" ht="12.75" x14ac:dyDescent="0.2"/>
    <row r="11730" ht="12.75" x14ac:dyDescent="0.2"/>
    <row r="11731" ht="12.75" x14ac:dyDescent="0.2"/>
    <row r="11732" ht="12.75" x14ac:dyDescent="0.2"/>
    <row r="11733" ht="12.75" x14ac:dyDescent="0.2"/>
    <row r="11734" ht="12.75" x14ac:dyDescent="0.2"/>
    <row r="11735" ht="12.75" x14ac:dyDescent="0.2"/>
    <row r="11736" ht="12.75" x14ac:dyDescent="0.2"/>
    <row r="11737" ht="12.75" x14ac:dyDescent="0.2"/>
    <row r="11738" ht="12.75" x14ac:dyDescent="0.2"/>
    <row r="11739" ht="12.75" x14ac:dyDescent="0.2"/>
    <row r="11740" ht="12.75" x14ac:dyDescent="0.2"/>
    <row r="11741" ht="12.75" x14ac:dyDescent="0.2"/>
    <row r="11742" ht="12.75" x14ac:dyDescent="0.2"/>
    <row r="11743" ht="12.75" x14ac:dyDescent="0.2"/>
    <row r="11744" ht="12.75" x14ac:dyDescent="0.2"/>
    <row r="11745" ht="12.75" x14ac:dyDescent="0.2"/>
    <row r="11746" ht="12.75" x14ac:dyDescent="0.2"/>
    <row r="11747" ht="12.75" x14ac:dyDescent="0.2"/>
    <row r="11748" ht="12.75" x14ac:dyDescent="0.2"/>
    <row r="11749" ht="12.75" x14ac:dyDescent="0.2"/>
    <row r="11750" ht="12.75" x14ac:dyDescent="0.2"/>
    <row r="11751" ht="12.75" x14ac:dyDescent="0.2"/>
    <row r="11752" ht="12.75" x14ac:dyDescent="0.2"/>
    <row r="11753" ht="12.75" x14ac:dyDescent="0.2"/>
    <row r="11754" ht="12.75" x14ac:dyDescent="0.2"/>
    <row r="11755" ht="12.75" x14ac:dyDescent="0.2"/>
    <row r="11756" ht="12.75" x14ac:dyDescent="0.2"/>
    <row r="11757" ht="12.75" x14ac:dyDescent="0.2"/>
    <row r="11758" ht="12.75" x14ac:dyDescent="0.2"/>
    <row r="11759" ht="12.75" x14ac:dyDescent="0.2"/>
    <row r="11760" ht="12.75" x14ac:dyDescent="0.2"/>
    <row r="11761" ht="12.75" x14ac:dyDescent="0.2"/>
    <row r="11762" ht="12.75" x14ac:dyDescent="0.2"/>
    <row r="11763" ht="12.75" x14ac:dyDescent="0.2"/>
    <row r="11764" ht="12.75" x14ac:dyDescent="0.2"/>
    <row r="11765" ht="12.75" x14ac:dyDescent="0.2"/>
    <row r="11766" ht="12.75" x14ac:dyDescent="0.2"/>
    <row r="11767" ht="12.75" x14ac:dyDescent="0.2"/>
    <row r="11768" ht="12.75" x14ac:dyDescent="0.2"/>
    <row r="11769" ht="12.75" x14ac:dyDescent="0.2"/>
    <row r="11770" ht="12.75" x14ac:dyDescent="0.2"/>
    <row r="11771" ht="12.75" x14ac:dyDescent="0.2"/>
    <row r="11772" ht="12.75" x14ac:dyDescent="0.2"/>
    <row r="11773" ht="12.75" x14ac:dyDescent="0.2"/>
    <row r="11774" ht="12.75" x14ac:dyDescent="0.2"/>
    <row r="11775" ht="12.75" x14ac:dyDescent="0.2"/>
    <row r="11776" ht="12.75" x14ac:dyDescent="0.2"/>
    <row r="11777" ht="12.75" x14ac:dyDescent="0.2"/>
    <row r="11778" ht="12.75" x14ac:dyDescent="0.2"/>
    <row r="11779" ht="12.75" x14ac:dyDescent="0.2"/>
    <row r="11780" ht="12.75" x14ac:dyDescent="0.2"/>
    <row r="11781" ht="12.75" x14ac:dyDescent="0.2"/>
    <row r="11782" ht="12.75" x14ac:dyDescent="0.2"/>
    <row r="11783" ht="12.75" x14ac:dyDescent="0.2"/>
    <row r="11784" ht="12.75" x14ac:dyDescent="0.2"/>
    <row r="11785" ht="12.75" x14ac:dyDescent="0.2"/>
    <row r="11786" ht="12.75" x14ac:dyDescent="0.2"/>
    <row r="11787" ht="12.75" x14ac:dyDescent="0.2"/>
    <row r="11788" ht="12.75" x14ac:dyDescent="0.2"/>
    <row r="11789" ht="12.75" x14ac:dyDescent="0.2"/>
    <row r="11790" ht="12.75" x14ac:dyDescent="0.2"/>
    <row r="11791" ht="12.75" x14ac:dyDescent="0.2"/>
    <row r="11792" ht="12.75" x14ac:dyDescent="0.2"/>
    <row r="11793" ht="12.75" x14ac:dyDescent="0.2"/>
    <row r="11794" ht="12.75" x14ac:dyDescent="0.2"/>
    <row r="11795" ht="12.75" x14ac:dyDescent="0.2"/>
    <row r="11796" ht="12.75" x14ac:dyDescent="0.2"/>
    <row r="11797" ht="12.75" x14ac:dyDescent="0.2"/>
    <row r="11798" ht="12.75" x14ac:dyDescent="0.2"/>
    <row r="11799" ht="12.75" x14ac:dyDescent="0.2"/>
    <row r="11800" ht="12.75" x14ac:dyDescent="0.2"/>
    <row r="11801" ht="12.75" x14ac:dyDescent="0.2"/>
    <row r="11802" ht="12.75" x14ac:dyDescent="0.2"/>
    <row r="11803" ht="12.75" x14ac:dyDescent="0.2"/>
    <row r="11804" ht="12.75" x14ac:dyDescent="0.2"/>
    <row r="11805" ht="12.75" x14ac:dyDescent="0.2"/>
    <row r="11806" ht="12.75" x14ac:dyDescent="0.2"/>
    <row r="11807" ht="12.75" x14ac:dyDescent="0.2"/>
    <row r="11808" ht="12.75" x14ac:dyDescent="0.2"/>
    <row r="11809" ht="12.75" x14ac:dyDescent="0.2"/>
    <row r="11810" ht="12.75" x14ac:dyDescent="0.2"/>
    <row r="11811" ht="12.75" x14ac:dyDescent="0.2"/>
    <row r="11812" ht="12.75" x14ac:dyDescent="0.2"/>
    <row r="11813" ht="12.75" x14ac:dyDescent="0.2"/>
    <row r="11814" ht="12.75" x14ac:dyDescent="0.2"/>
    <row r="11815" ht="12.75" x14ac:dyDescent="0.2"/>
    <row r="11816" ht="12.75" x14ac:dyDescent="0.2"/>
    <row r="11817" ht="12.75" x14ac:dyDescent="0.2"/>
    <row r="11818" ht="12.75" x14ac:dyDescent="0.2"/>
    <row r="11819" ht="12.75" x14ac:dyDescent="0.2"/>
    <row r="11820" ht="12.75" x14ac:dyDescent="0.2"/>
    <row r="11821" ht="12.75" x14ac:dyDescent="0.2"/>
    <row r="11822" ht="12.75" x14ac:dyDescent="0.2"/>
    <row r="11823" ht="12.75" x14ac:dyDescent="0.2"/>
    <row r="11824" ht="12.75" x14ac:dyDescent="0.2"/>
    <row r="11825" ht="12.75" x14ac:dyDescent="0.2"/>
    <row r="11826" ht="12.75" x14ac:dyDescent="0.2"/>
    <row r="11827" ht="12.75" x14ac:dyDescent="0.2"/>
    <row r="11828" ht="12.75" x14ac:dyDescent="0.2"/>
    <row r="11829" ht="12.75" x14ac:dyDescent="0.2"/>
    <row r="11830" ht="12.75" x14ac:dyDescent="0.2"/>
    <row r="11831" ht="12.75" x14ac:dyDescent="0.2"/>
    <row r="11832" ht="12.75" x14ac:dyDescent="0.2"/>
    <row r="11833" ht="12.75" x14ac:dyDescent="0.2"/>
    <row r="11834" ht="12.75" x14ac:dyDescent="0.2"/>
    <row r="11835" ht="12.75" x14ac:dyDescent="0.2"/>
    <row r="11836" ht="12.75" x14ac:dyDescent="0.2"/>
    <row r="11837" ht="12.75" x14ac:dyDescent="0.2"/>
    <row r="11838" ht="12.75" x14ac:dyDescent="0.2"/>
    <row r="11839" ht="12.75" x14ac:dyDescent="0.2"/>
    <row r="11840" ht="12.75" x14ac:dyDescent="0.2"/>
    <row r="11841" ht="12.75" x14ac:dyDescent="0.2"/>
    <row r="11842" ht="12.75" x14ac:dyDescent="0.2"/>
    <row r="11843" ht="12.75" x14ac:dyDescent="0.2"/>
    <row r="11844" ht="12.75" x14ac:dyDescent="0.2"/>
    <row r="11845" ht="12.75" x14ac:dyDescent="0.2"/>
    <row r="11846" ht="12.75" x14ac:dyDescent="0.2"/>
    <row r="11847" ht="12.75" x14ac:dyDescent="0.2"/>
    <row r="11848" ht="12.75" x14ac:dyDescent="0.2"/>
    <row r="11849" ht="12.75" x14ac:dyDescent="0.2"/>
    <row r="11850" ht="12.75" x14ac:dyDescent="0.2"/>
    <row r="11851" ht="12.75" x14ac:dyDescent="0.2"/>
    <row r="11852" ht="12.75" x14ac:dyDescent="0.2"/>
    <row r="11853" ht="12.75" x14ac:dyDescent="0.2"/>
    <row r="11854" ht="12.75" x14ac:dyDescent="0.2"/>
    <row r="11855" ht="12.75" x14ac:dyDescent="0.2"/>
    <row r="11856" ht="12.75" x14ac:dyDescent="0.2"/>
    <row r="11857" ht="12.75" x14ac:dyDescent="0.2"/>
    <row r="11858" ht="12.75" x14ac:dyDescent="0.2"/>
    <row r="11859" ht="12.75" x14ac:dyDescent="0.2"/>
    <row r="11860" ht="12.75" x14ac:dyDescent="0.2"/>
    <row r="11861" ht="12.75" x14ac:dyDescent="0.2"/>
    <row r="11862" ht="12.75" x14ac:dyDescent="0.2"/>
    <row r="11863" ht="12.75" x14ac:dyDescent="0.2"/>
    <row r="11864" ht="12.75" x14ac:dyDescent="0.2"/>
    <row r="11865" ht="12.75" x14ac:dyDescent="0.2"/>
    <row r="11866" ht="12.75" x14ac:dyDescent="0.2"/>
    <row r="11867" ht="12.75" x14ac:dyDescent="0.2"/>
    <row r="11868" ht="12.75" x14ac:dyDescent="0.2"/>
    <row r="11869" ht="12.75" x14ac:dyDescent="0.2"/>
    <row r="11870" ht="12.75" x14ac:dyDescent="0.2"/>
    <row r="11871" ht="12.75" x14ac:dyDescent="0.2"/>
    <row r="11872" ht="12.75" x14ac:dyDescent="0.2"/>
    <row r="11873" ht="12.75" x14ac:dyDescent="0.2"/>
    <row r="11874" ht="12.75" x14ac:dyDescent="0.2"/>
    <row r="11875" ht="12.75" x14ac:dyDescent="0.2"/>
    <row r="11876" ht="12.75" x14ac:dyDescent="0.2"/>
    <row r="11877" ht="12.75" x14ac:dyDescent="0.2"/>
    <row r="11878" ht="12.75" x14ac:dyDescent="0.2"/>
    <row r="11879" ht="12.75" x14ac:dyDescent="0.2"/>
    <row r="11880" ht="12.75" x14ac:dyDescent="0.2"/>
    <row r="11881" ht="12.75" x14ac:dyDescent="0.2"/>
    <row r="11882" ht="12.75" x14ac:dyDescent="0.2"/>
    <row r="11883" ht="12.75" x14ac:dyDescent="0.2"/>
    <row r="11884" ht="12.75" x14ac:dyDescent="0.2"/>
    <row r="11885" ht="12.75" x14ac:dyDescent="0.2"/>
    <row r="11886" ht="12.75" x14ac:dyDescent="0.2"/>
    <row r="11887" ht="12.75" x14ac:dyDescent="0.2"/>
    <row r="11888" ht="12.75" x14ac:dyDescent="0.2"/>
    <row r="11889" ht="12.75" x14ac:dyDescent="0.2"/>
    <row r="11890" ht="12.75" x14ac:dyDescent="0.2"/>
    <row r="11891" ht="12.75" x14ac:dyDescent="0.2"/>
    <row r="11892" ht="12.75" x14ac:dyDescent="0.2"/>
    <row r="11893" ht="12.75" x14ac:dyDescent="0.2"/>
    <row r="11894" ht="12.75" x14ac:dyDescent="0.2"/>
    <row r="11895" ht="12.75" x14ac:dyDescent="0.2"/>
    <row r="11896" ht="12.75" x14ac:dyDescent="0.2"/>
    <row r="11897" ht="12.75" x14ac:dyDescent="0.2"/>
    <row r="11898" ht="12.75" x14ac:dyDescent="0.2"/>
    <row r="11899" ht="12.75" x14ac:dyDescent="0.2"/>
    <row r="11900" ht="12.75" x14ac:dyDescent="0.2"/>
    <row r="11901" ht="12.75" x14ac:dyDescent="0.2"/>
    <row r="11902" ht="12.75" x14ac:dyDescent="0.2"/>
    <row r="11903" ht="12.75" x14ac:dyDescent="0.2"/>
    <row r="11904" ht="12.75" x14ac:dyDescent="0.2"/>
    <row r="11905" ht="12.75" x14ac:dyDescent="0.2"/>
    <row r="11906" ht="12.75" x14ac:dyDescent="0.2"/>
    <row r="11907" ht="12.75" x14ac:dyDescent="0.2"/>
    <row r="11908" ht="12.75" x14ac:dyDescent="0.2"/>
    <row r="11909" ht="12.75" x14ac:dyDescent="0.2"/>
    <row r="11910" ht="12.75" x14ac:dyDescent="0.2"/>
    <row r="11911" ht="12.75" x14ac:dyDescent="0.2"/>
    <row r="11912" ht="12.75" x14ac:dyDescent="0.2"/>
    <row r="11913" ht="12.75" x14ac:dyDescent="0.2"/>
    <row r="11914" ht="12.75" x14ac:dyDescent="0.2"/>
    <row r="11915" ht="12.75" x14ac:dyDescent="0.2"/>
    <row r="11916" ht="12.75" x14ac:dyDescent="0.2"/>
    <row r="11917" ht="12.75" x14ac:dyDescent="0.2"/>
    <row r="11918" ht="12.75" x14ac:dyDescent="0.2"/>
    <row r="11919" ht="12.75" x14ac:dyDescent="0.2"/>
    <row r="11920" ht="12.75" x14ac:dyDescent="0.2"/>
    <row r="11921" ht="12.75" x14ac:dyDescent="0.2"/>
    <row r="11922" ht="12.75" x14ac:dyDescent="0.2"/>
    <row r="11923" ht="12.75" x14ac:dyDescent="0.2"/>
    <row r="11924" ht="12.75" x14ac:dyDescent="0.2"/>
    <row r="11925" ht="12.75" x14ac:dyDescent="0.2"/>
    <row r="11926" ht="12.75" x14ac:dyDescent="0.2"/>
    <row r="11927" ht="12.75" x14ac:dyDescent="0.2"/>
    <row r="11928" ht="12.75" x14ac:dyDescent="0.2"/>
    <row r="11929" ht="12.75" x14ac:dyDescent="0.2"/>
    <row r="11930" ht="12.75" x14ac:dyDescent="0.2"/>
    <row r="11931" ht="12.75" x14ac:dyDescent="0.2"/>
    <row r="11932" ht="12.75" x14ac:dyDescent="0.2"/>
    <row r="11933" ht="12.75" x14ac:dyDescent="0.2"/>
    <row r="11934" ht="12.75" x14ac:dyDescent="0.2"/>
    <row r="11935" ht="12.75" x14ac:dyDescent="0.2"/>
    <row r="11936" ht="12.75" x14ac:dyDescent="0.2"/>
    <row r="11937" ht="12.75" x14ac:dyDescent="0.2"/>
    <row r="11938" ht="12.75" x14ac:dyDescent="0.2"/>
    <row r="11939" ht="12.75" x14ac:dyDescent="0.2"/>
    <row r="11940" ht="12.75" x14ac:dyDescent="0.2"/>
    <row r="11941" ht="12.75" x14ac:dyDescent="0.2"/>
    <row r="11942" ht="12.75" x14ac:dyDescent="0.2"/>
    <row r="11943" ht="12.75" x14ac:dyDescent="0.2"/>
    <row r="11944" ht="12.75" x14ac:dyDescent="0.2"/>
    <row r="11945" ht="12.75" x14ac:dyDescent="0.2"/>
    <row r="11946" ht="12.75" x14ac:dyDescent="0.2"/>
    <row r="11947" ht="12.75" x14ac:dyDescent="0.2"/>
    <row r="11948" ht="12.75" x14ac:dyDescent="0.2"/>
    <row r="11949" ht="12.75" x14ac:dyDescent="0.2"/>
    <row r="11950" ht="12.75" x14ac:dyDescent="0.2"/>
    <row r="11951" ht="12.75" x14ac:dyDescent="0.2"/>
    <row r="11952" ht="12.75" x14ac:dyDescent="0.2"/>
    <row r="11953" ht="12.75" x14ac:dyDescent="0.2"/>
    <row r="11954" ht="12.75" x14ac:dyDescent="0.2"/>
    <row r="11955" ht="12.75" x14ac:dyDescent="0.2"/>
    <row r="11956" ht="12.75" x14ac:dyDescent="0.2"/>
    <row r="11957" ht="12.75" x14ac:dyDescent="0.2"/>
    <row r="11958" ht="12.75" x14ac:dyDescent="0.2"/>
    <row r="11959" ht="12.75" x14ac:dyDescent="0.2"/>
    <row r="11960" ht="12.75" x14ac:dyDescent="0.2"/>
    <row r="11961" ht="12.75" x14ac:dyDescent="0.2"/>
    <row r="11962" ht="12.75" x14ac:dyDescent="0.2"/>
    <row r="11963" ht="12.75" x14ac:dyDescent="0.2"/>
    <row r="11964" ht="12.75" x14ac:dyDescent="0.2"/>
    <row r="11965" ht="12.75" x14ac:dyDescent="0.2"/>
    <row r="11966" ht="12.75" x14ac:dyDescent="0.2"/>
    <row r="11967" ht="12.75" x14ac:dyDescent="0.2"/>
    <row r="11968" ht="12.75" x14ac:dyDescent="0.2"/>
    <row r="11969" ht="12.75" x14ac:dyDescent="0.2"/>
    <row r="11970" ht="12.75" x14ac:dyDescent="0.2"/>
    <row r="11971" ht="12.75" x14ac:dyDescent="0.2"/>
    <row r="11972" ht="12.75" x14ac:dyDescent="0.2"/>
    <row r="11973" ht="12.75" x14ac:dyDescent="0.2"/>
    <row r="11974" ht="12.75" x14ac:dyDescent="0.2"/>
    <row r="11975" ht="12.75" x14ac:dyDescent="0.2"/>
    <row r="11976" ht="12.75" x14ac:dyDescent="0.2"/>
    <row r="11977" ht="12.75" x14ac:dyDescent="0.2"/>
    <row r="11978" ht="12.75" x14ac:dyDescent="0.2"/>
    <row r="11979" ht="12.75" x14ac:dyDescent="0.2"/>
    <row r="11980" ht="12.75" x14ac:dyDescent="0.2"/>
    <row r="11981" ht="12.75" x14ac:dyDescent="0.2"/>
    <row r="11982" ht="12.75" x14ac:dyDescent="0.2"/>
    <row r="11983" ht="12.75" x14ac:dyDescent="0.2"/>
    <row r="11984" ht="12.75" x14ac:dyDescent="0.2"/>
    <row r="11985" ht="12.75" x14ac:dyDescent="0.2"/>
    <row r="11986" ht="12.75" x14ac:dyDescent="0.2"/>
    <row r="11987" ht="12.75" x14ac:dyDescent="0.2"/>
    <row r="11988" ht="12.75" x14ac:dyDescent="0.2"/>
    <row r="11989" ht="12.75" x14ac:dyDescent="0.2"/>
    <row r="11990" ht="12.75" x14ac:dyDescent="0.2"/>
    <row r="11991" ht="12.75" x14ac:dyDescent="0.2"/>
    <row r="11992" ht="12.75" x14ac:dyDescent="0.2"/>
    <row r="11993" ht="12.75" x14ac:dyDescent="0.2"/>
    <row r="11994" ht="12.75" x14ac:dyDescent="0.2"/>
    <row r="11995" ht="12.75" x14ac:dyDescent="0.2"/>
    <row r="11996" ht="12.75" x14ac:dyDescent="0.2"/>
    <row r="11997" ht="12.75" x14ac:dyDescent="0.2"/>
    <row r="11998" ht="12.75" x14ac:dyDescent="0.2"/>
    <row r="11999" ht="12.75" x14ac:dyDescent="0.2"/>
    <row r="12000" ht="12.75" x14ac:dyDescent="0.2"/>
    <row r="12001" ht="12.75" x14ac:dyDescent="0.2"/>
    <row r="12002" ht="12.75" x14ac:dyDescent="0.2"/>
    <row r="12003" ht="12.75" x14ac:dyDescent="0.2"/>
    <row r="12004" ht="12.75" x14ac:dyDescent="0.2"/>
    <row r="12005" ht="12.75" x14ac:dyDescent="0.2"/>
    <row r="12006" ht="12.75" x14ac:dyDescent="0.2"/>
    <row r="12007" ht="12.75" x14ac:dyDescent="0.2"/>
    <row r="12008" ht="12.75" x14ac:dyDescent="0.2"/>
    <row r="12009" ht="12.75" x14ac:dyDescent="0.2"/>
    <row r="12010" ht="12.75" x14ac:dyDescent="0.2"/>
    <row r="12011" ht="12.75" x14ac:dyDescent="0.2"/>
    <row r="12012" ht="12.75" x14ac:dyDescent="0.2"/>
    <row r="12013" ht="12.75" x14ac:dyDescent="0.2"/>
    <row r="12014" ht="12.75" x14ac:dyDescent="0.2"/>
    <row r="12015" ht="12.75" x14ac:dyDescent="0.2"/>
    <row r="12016" ht="12.75" x14ac:dyDescent="0.2"/>
    <row r="12017" ht="12.75" x14ac:dyDescent="0.2"/>
    <row r="12018" ht="12.75" x14ac:dyDescent="0.2"/>
    <row r="12019" ht="12.75" x14ac:dyDescent="0.2"/>
    <row r="12020" ht="12.75" x14ac:dyDescent="0.2"/>
    <row r="12021" ht="12.75" x14ac:dyDescent="0.2"/>
    <row r="12022" ht="12.75" x14ac:dyDescent="0.2"/>
    <row r="12023" ht="12.75" x14ac:dyDescent="0.2"/>
    <row r="12024" ht="12.75" x14ac:dyDescent="0.2"/>
    <row r="12025" ht="12.75" x14ac:dyDescent="0.2"/>
    <row r="12026" ht="12.75" x14ac:dyDescent="0.2"/>
    <row r="12027" ht="12.75" x14ac:dyDescent="0.2"/>
    <row r="12028" ht="12.75" x14ac:dyDescent="0.2"/>
    <row r="12029" ht="12.75" x14ac:dyDescent="0.2"/>
    <row r="12030" ht="12.75" x14ac:dyDescent="0.2"/>
    <row r="12031" ht="12.75" x14ac:dyDescent="0.2"/>
    <row r="12032" ht="12.75" x14ac:dyDescent="0.2"/>
    <row r="12033" ht="12.75" x14ac:dyDescent="0.2"/>
    <row r="12034" ht="12.75" x14ac:dyDescent="0.2"/>
    <row r="12035" ht="12.75" x14ac:dyDescent="0.2"/>
    <row r="12036" ht="12.75" x14ac:dyDescent="0.2"/>
    <row r="12037" ht="12.75" x14ac:dyDescent="0.2"/>
    <row r="12038" ht="12.75" x14ac:dyDescent="0.2"/>
    <row r="12039" ht="12.75" x14ac:dyDescent="0.2"/>
    <row r="12040" ht="12.75" x14ac:dyDescent="0.2"/>
    <row r="12041" ht="12.75" x14ac:dyDescent="0.2"/>
    <row r="12042" ht="12.75" x14ac:dyDescent="0.2"/>
    <row r="12043" ht="12.75" x14ac:dyDescent="0.2"/>
    <row r="12044" ht="12.75" x14ac:dyDescent="0.2"/>
    <row r="12045" ht="12.75" x14ac:dyDescent="0.2"/>
    <row r="12046" ht="12.75" x14ac:dyDescent="0.2"/>
    <row r="12047" ht="12.75" x14ac:dyDescent="0.2"/>
    <row r="12048" ht="12.75" x14ac:dyDescent="0.2"/>
    <row r="12049" ht="12.75" x14ac:dyDescent="0.2"/>
    <row r="12050" ht="12.75" x14ac:dyDescent="0.2"/>
    <row r="12051" ht="12.75" x14ac:dyDescent="0.2"/>
    <row r="12052" ht="12.75" x14ac:dyDescent="0.2"/>
    <row r="12053" ht="12.75" x14ac:dyDescent="0.2"/>
    <row r="12054" ht="12.75" x14ac:dyDescent="0.2"/>
    <row r="12055" ht="12.75" x14ac:dyDescent="0.2"/>
    <row r="12056" ht="12.75" x14ac:dyDescent="0.2"/>
    <row r="12057" ht="12.75" x14ac:dyDescent="0.2"/>
    <row r="12058" ht="12.75" x14ac:dyDescent="0.2"/>
    <row r="12059" ht="12.75" x14ac:dyDescent="0.2"/>
    <row r="12060" ht="12.75" x14ac:dyDescent="0.2"/>
    <row r="12061" ht="12.75" x14ac:dyDescent="0.2"/>
    <row r="12062" ht="12.75" x14ac:dyDescent="0.2"/>
    <row r="12063" ht="12.75" x14ac:dyDescent="0.2"/>
    <row r="12064" ht="12.75" x14ac:dyDescent="0.2"/>
    <row r="12065" ht="12.75" x14ac:dyDescent="0.2"/>
    <row r="12066" ht="12.75" x14ac:dyDescent="0.2"/>
    <row r="12067" ht="12.75" x14ac:dyDescent="0.2"/>
    <row r="12068" ht="12.75" x14ac:dyDescent="0.2"/>
    <row r="12069" ht="12.75" x14ac:dyDescent="0.2"/>
    <row r="12070" ht="12.75" x14ac:dyDescent="0.2"/>
    <row r="12071" ht="12.75" x14ac:dyDescent="0.2"/>
    <row r="12072" ht="12.75" x14ac:dyDescent="0.2"/>
    <row r="12073" ht="12.75" x14ac:dyDescent="0.2"/>
    <row r="12074" ht="12.75" x14ac:dyDescent="0.2"/>
    <row r="12075" ht="12.75" x14ac:dyDescent="0.2"/>
    <row r="12076" ht="12.75" x14ac:dyDescent="0.2"/>
    <row r="12077" ht="12.75" x14ac:dyDescent="0.2"/>
    <row r="12078" ht="12.75" x14ac:dyDescent="0.2"/>
    <row r="12079" ht="12.75" x14ac:dyDescent="0.2"/>
    <row r="12080" ht="12.75" x14ac:dyDescent="0.2"/>
    <row r="12081" ht="12.75" x14ac:dyDescent="0.2"/>
    <row r="12082" ht="12.75" x14ac:dyDescent="0.2"/>
    <row r="12083" ht="12.75" x14ac:dyDescent="0.2"/>
    <row r="12084" ht="12.75" x14ac:dyDescent="0.2"/>
    <row r="12085" ht="12.75" x14ac:dyDescent="0.2"/>
    <row r="12086" ht="12.75" x14ac:dyDescent="0.2"/>
    <row r="12087" ht="12.75" x14ac:dyDescent="0.2"/>
    <row r="12088" ht="12.75" x14ac:dyDescent="0.2"/>
    <row r="12089" ht="12.75" x14ac:dyDescent="0.2"/>
    <row r="12090" ht="12.75" x14ac:dyDescent="0.2"/>
    <row r="12091" ht="12.75" x14ac:dyDescent="0.2"/>
    <row r="12092" ht="12.75" x14ac:dyDescent="0.2"/>
    <row r="12093" ht="12.75" x14ac:dyDescent="0.2"/>
    <row r="12094" ht="12.75" x14ac:dyDescent="0.2"/>
    <row r="12095" ht="12.75" x14ac:dyDescent="0.2"/>
    <row r="12096" ht="12.75" x14ac:dyDescent="0.2"/>
    <row r="12097" ht="12.75" x14ac:dyDescent="0.2"/>
    <row r="12098" ht="12.75" x14ac:dyDescent="0.2"/>
    <row r="12099" ht="12.75" x14ac:dyDescent="0.2"/>
    <row r="12100" ht="12.75" x14ac:dyDescent="0.2"/>
    <row r="12101" ht="12.75" x14ac:dyDescent="0.2"/>
    <row r="12102" ht="12.75" x14ac:dyDescent="0.2"/>
    <row r="12103" ht="12.75" x14ac:dyDescent="0.2"/>
    <row r="12104" ht="12.75" x14ac:dyDescent="0.2"/>
    <row r="12105" ht="12.75" x14ac:dyDescent="0.2"/>
    <row r="12106" ht="12.75" x14ac:dyDescent="0.2"/>
    <row r="12107" ht="12.75" x14ac:dyDescent="0.2"/>
    <row r="12108" ht="12.75" x14ac:dyDescent="0.2"/>
    <row r="12109" ht="12.75" x14ac:dyDescent="0.2"/>
    <row r="12110" ht="12.75" x14ac:dyDescent="0.2"/>
    <row r="12111" ht="12.75" x14ac:dyDescent="0.2"/>
    <row r="12112" ht="12.75" x14ac:dyDescent="0.2"/>
    <row r="12113" ht="12.75" x14ac:dyDescent="0.2"/>
    <row r="12114" ht="12.75" x14ac:dyDescent="0.2"/>
    <row r="12115" ht="12.75" x14ac:dyDescent="0.2"/>
    <row r="12116" ht="12.75" x14ac:dyDescent="0.2"/>
    <row r="12117" ht="12.75" x14ac:dyDescent="0.2"/>
    <row r="12118" ht="12.75" x14ac:dyDescent="0.2"/>
    <row r="12119" ht="12.75" x14ac:dyDescent="0.2"/>
    <row r="12120" ht="12.75" x14ac:dyDescent="0.2"/>
    <row r="12121" ht="12.75" x14ac:dyDescent="0.2"/>
    <row r="12122" ht="12.75" x14ac:dyDescent="0.2"/>
    <row r="12123" ht="12.75" x14ac:dyDescent="0.2"/>
    <row r="12124" ht="12.75" x14ac:dyDescent="0.2"/>
    <row r="12125" ht="12.75" x14ac:dyDescent="0.2"/>
    <row r="12126" ht="12.75" x14ac:dyDescent="0.2"/>
    <row r="12127" ht="12.75" x14ac:dyDescent="0.2"/>
    <row r="12128" ht="12.75" x14ac:dyDescent="0.2"/>
    <row r="12129" ht="12.75" x14ac:dyDescent="0.2"/>
    <row r="12130" ht="12.75" x14ac:dyDescent="0.2"/>
    <row r="12131" ht="12.75" x14ac:dyDescent="0.2"/>
    <row r="12132" ht="12.75" x14ac:dyDescent="0.2"/>
    <row r="12133" ht="12.75" x14ac:dyDescent="0.2"/>
    <row r="12134" ht="12.75" x14ac:dyDescent="0.2"/>
    <row r="12135" ht="12.75" x14ac:dyDescent="0.2"/>
    <row r="12136" ht="12.75" x14ac:dyDescent="0.2"/>
    <row r="12137" ht="12.75" x14ac:dyDescent="0.2"/>
    <row r="12138" ht="12.75" x14ac:dyDescent="0.2"/>
    <row r="12139" ht="12.75" x14ac:dyDescent="0.2"/>
    <row r="12140" ht="12.75" x14ac:dyDescent="0.2"/>
    <row r="12141" ht="12.75" x14ac:dyDescent="0.2"/>
    <row r="12142" ht="12.75" x14ac:dyDescent="0.2"/>
    <row r="12143" ht="12.75" x14ac:dyDescent="0.2"/>
    <row r="12144" ht="12.75" x14ac:dyDescent="0.2"/>
    <row r="12145" ht="12.75" x14ac:dyDescent="0.2"/>
    <row r="12146" ht="12.75" x14ac:dyDescent="0.2"/>
    <row r="12147" ht="12.75" x14ac:dyDescent="0.2"/>
    <row r="12148" ht="12.75" x14ac:dyDescent="0.2"/>
    <row r="12149" ht="12.75" x14ac:dyDescent="0.2"/>
    <row r="12150" ht="12.75" x14ac:dyDescent="0.2"/>
    <row r="12151" ht="12.75" x14ac:dyDescent="0.2"/>
    <row r="12152" ht="12.75" x14ac:dyDescent="0.2"/>
    <row r="12153" ht="12.75" x14ac:dyDescent="0.2"/>
    <row r="12154" ht="12.75" x14ac:dyDescent="0.2"/>
    <row r="12155" ht="12.75" x14ac:dyDescent="0.2"/>
    <row r="12156" ht="12.75" x14ac:dyDescent="0.2"/>
    <row r="12157" ht="12.75" x14ac:dyDescent="0.2"/>
    <row r="12158" ht="12.75" x14ac:dyDescent="0.2"/>
    <row r="12159" ht="12.75" x14ac:dyDescent="0.2"/>
    <row r="12160" ht="12.75" x14ac:dyDescent="0.2"/>
    <row r="12161" ht="12.75" x14ac:dyDescent="0.2"/>
    <row r="12162" ht="12.75" x14ac:dyDescent="0.2"/>
    <row r="12163" ht="12.75" x14ac:dyDescent="0.2"/>
    <row r="12164" ht="12.75" x14ac:dyDescent="0.2"/>
    <row r="12165" ht="12.75" x14ac:dyDescent="0.2"/>
    <row r="12166" ht="12.75" x14ac:dyDescent="0.2"/>
    <row r="12167" ht="12.75" x14ac:dyDescent="0.2"/>
    <row r="12168" ht="12.75" x14ac:dyDescent="0.2"/>
    <row r="12169" ht="12.75" x14ac:dyDescent="0.2"/>
    <row r="12170" ht="12.75" x14ac:dyDescent="0.2"/>
    <row r="12171" ht="12.75" x14ac:dyDescent="0.2"/>
    <row r="12172" ht="12.75" x14ac:dyDescent="0.2"/>
    <row r="12173" ht="12.75" x14ac:dyDescent="0.2"/>
    <row r="12174" ht="12.75" x14ac:dyDescent="0.2"/>
    <row r="12175" ht="12.75" x14ac:dyDescent="0.2"/>
    <row r="12176" ht="12.75" x14ac:dyDescent="0.2"/>
    <row r="12177" ht="12.75" x14ac:dyDescent="0.2"/>
    <row r="12178" ht="12.75" x14ac:dyDescent="0.2"/>
    <row r="12179" ht="12.75" x14ac:dyDescent="0.2"/>
    <row r="12180" ht="12.75" x14ac:dyDescent="0.2"/>
    <row r="12181" ht="12.75" x14ac:dyDescent="0.2"/>
    <row r="12182" ht="12.75" x14ac:dyDescent="0.2"/>
    <row r="12183" ht="12.75" x14ac:dyDescent="0.2"/>
    <row r="12184" ht="12.75" x14ac:dyDescent="0.2"/>
    <row r="12185" ht="12.75" x14ac:dyDescent="0.2"/>
    <row r="12186" ht="12.75" x14ac:dyDescent="0.2"/>
    <row r="12187" ht="12.75" x14ac:dyDescent="0.2"/>
    <row r="12188" ht="12.75" x14ac:dyDescent="0.2"/>
    <row r="12189" ht="12.75" x14ac:dyDescent="0.2"/>
    <row r="12190" ht="12.75" x14ac:dyDescent="0.2"/>
    <row r="12191" ht="12.75" x14ac:dyDescent="0.2"/>
    <row r="12192" ht="12.75" x14ac:dyDescent="0.2"/>
    <row r="12193" ht="12.75" x14ac:dyDescent="0.2"/>
    <row r="12194" ht="12.75" x14ac:dyDescent="0.2"/>
    <row r="12195" ht="12.75" x14ac:dyDescent="0.2"/>
    <row r="12196" ht="12.75" x14ac:dyDescent="0.2"/>
    <row r="12197" ht="12.75" x14ac:dyDescent="0.2"/>
    <row r="12198" ht="12.75" x14ac:dyDescent="0.2"/>
    <row r="12199" ht="12.75" x14ac:dyDescent="0.2"/>
    <row r="12200" ht="12.75" x14ac:dyDescent="0.2"/>
    <row r="12201" ht="12.75" x14ac:dyDescent="0.2"/>
    <row r="12202" ht="12.75" x14ac:dyDescent="0.2"/>
    <row r="12203" ht="12.75" x14ac:dyDescent="0.2"/>
    <row r="12204" ht="12.75" x14ac:dyDescent="0.2"/>
    <row r="12205" ht="12.75" x14ac:dyDescent="0.2"/>
    <row r="12206" ht="12.75" x14ac:dyDescent="0.2"/>
    <row r="12207" ht="12.75" x14ac:dyDescent="0.2"/>
    <row r="12208" ht="12.75" x14ac:dyDescent="0.2"/>
    <row r="12209" ht="12.75" x14ac:dyDescent="0.2"/>
    <row r="12210" ht="12.75" x14ac:dyDescent="0.2"/>
    <row r="12211" ht="12.75" x14ac:dyDescent="0.2"/>
    <row r="12212" ht="12.75" x14ac:dyDescent="0.2"/>
    <row r="12213" ht="12.75" x14ac:dyDescent="0.2"/>
    <row r="12214" ht="12.75" x14ac:dyDescent="0.2"/>
    <row r="12215" ht="12.75" x14ac:dyDescent="0.2"/>
    <row r="12216" ht="12.75" x14ac:dyDescent="0.2"/>
    <row r="12217" ht="12.75" x14ac:dyDescent="0.2"/>
    <row r="12218" ht="12.75" x14ac:dyDescent="0.2"/>
    <row r="12219" ht="12.75" x14ac:dyDescent="0.2"/>
    <row r="12220" ht="12.75" x14ac:dyDescent="0.2"/>
    <row r="12221" ht="12.75" x14ac:dyDescent="0.2"/>
    <row r="12222" ht="12.75" x14ac:dyDescent="0.2"/>
    <row r="12223" ht="12.75" x14ac:dyDescent="0.2"/>
    <row r="12224" ht="12.75" x14ac:dyDescent="0.2"/>
    <row r="12225" ht="12.75" x14ac:dyDescent="0.2"/>
    <row r="12226" ht="12.75" x14ac:dyDescent="0.2"/>
    <row r="12227" ht="12.75" x14ac:dyDescent="0.2"/>
    <row r="12228" ht="12.75" x14ac:dyDescent="0.2"/>
    <row r="12229" ht="12.75" x14ac:dyDescent="0.2"/>
    <row r="12230" ht="12.75" x14ac:dyDescent="0.2"/>
    <row r="12231" ht="12.75" x14ac:dyDescent="0.2"/>
    <row r="12232" ht="12.75" x14ac:dyDescent="0.2"/>
    <row r="12233" ht="12.75" x14ac:dyDescent="0.2"/>
    <row r="12234" ht="12.75" x14ac:dyDescent="0.2"/>
    <row r="12235" ht="12.75" x14ac:dyDescent="0.2"/>
    <row r="12236" ht="12.75" x14ac:dyDescent="0.2"/>
    <row r="12237" ht="12.75" x14ac:dyDescent="0.2"/>
    <row r="12238" ht="12.75" x14ac:dyDescent="0.2"/>
    <row r="12239" ht="12.75" x14ac:dyDescent="0.2"/>
    <row r="12240" ht="12.75" x14ac:dyDescent="0.2"/>
    <row r="12241" ht="12.75" x14ac:dyDescent="0.2"/>
    <row r="12242" ht="12.75" x14ac:dyDescent="0.2"/>
    <row r="12243" ht="12.75" x14ac:dyDescent="0.2"/>
    <row r="12244" ht="12.75" x14ac:dyDescent="0.2"/>
    <row r="12245" ht="12.75" x14ac:dyDescent="0.2"/>
    <row r="12246" ht="12.75" x14ac:dyDescent="0.2"/>
    <row r="12247" ht="12.75" x14ac:dyDescent="0.2"/>
    <row r="12248" ht="12.75" x14ac:dyDescent="0.2"/>
    <row r="12249" ht="12.75" x14ac:dyDescent="0.2"/>
    <row r="12250" ht="12.75" x14ac:dyDescent="0.2"/>
    <row r="12251" ht="12.75" x14ac:dyDescent="0.2"/>
    <row r="12252" ht="12.75" x14ac:dyDescent="0.2"/>
    <row r="12253" ht="12.75" x14ac:dyDescent="0.2"/>
    <row r="12254" ht="12.75" x14ac:dyDescent="0.2"/>
    <row r="12255" ht="12.75" x14ac:dyDescent="0.2"/>
    <row r="12256" ht="12.75" x14ac:dyDescent="0.2"/>
    <row r="12257" ht="12.75" x14ac:dyDescent="0.2"/>
    <row r="12258" ht="12.75" x14ac:dyDescent="0.2"/>
    <row r="12259" ht="12.75" x14ac:dyDescent="0.2"/>
    <row r="12260" ht="12.75" x14ac:dyDescent="0.2"/>
    <row r="12261" ht="12.75" x14ac:dyDescent="0.2"/>
    <row r="12262" ht="12.75" x14ac:dyDescent="0.2"/>
    <row r="12263" ht="12.75" x14ac:dyDescent="0.2"/>
    <row r="12264" ht="12.75" x14ac:dyDescent="0.2"/>
    <row r="12265" ht="12.75" x14ac:dyDescent="0.2"/>
    <row r="12266" ht="12.75" x14ac:dyDescent="0.2"/>
    <row r="12267" ht="12.75" x14ac:dyDescent="0.2"/>
    <row r="12268" ht="12.75" x14ac:dyDescent="0.2"/>
    <row r="12269" ht="12.75" x14ac:dyDescent="0.2"/>
    <row r="12270" ht="12.75" x14ac:dyDescent="0.2"/>
    <row r="12271" ht="12.75" x14ac:dyDescent="0.2"/>
    <row r="12272" ht="12.75" x14ac:dyDescent="0.2"/>
    <row r="12273" ht="12.75" x14ac:dyDescent="0.2"/>
    <row r="12274" ht="12.75" x14ac:dyDescent="0.2"/>
    <row r="12275" ht="12.75" x14ac:dyDescent="0.2"/>
    <row r="12276" ht="12.75" x14ac:dyDescent="0.2"/>
    <row r="12277" ht="12.75" x14ac:dyDescent="0.2"/>
    <row r="12278" ht="12.75" x14ac:dyDescent="0.2"/>
    <row r="12279" ht="12.75" x14ac:dyDescent="0.2"/>
    <row r="12280" ht="12.75" x14ac:dyDescent="0.2"/>
    <row r="12281" ht="12.75" x14ac:dyDescent="0.2"/>
    <row r="12282" ht="12.75" x14ac:dyDescent="0.2"/>
    <row r="12283" ht="12.75" x14ac:dyDescent="0.2"/>
    <row r="12284" ht="12.75" x14ac:dyDescent="0.2"/>
    <row r="12285" ht="12.75" x14ac:dyDescent="0.2"/>
    <row r="12286" ht="12.75" x14ac:dyDescent="0.2"/>
    <row r="12287" ht="12.75" x14ac:dyDescent="0.2"/>
    <row r="12288" ht="12.75" x14ac:dyDescent="0.2"/>
    <row r="12289" ht="12.75" x14ac:dyDescent="0.2"/>
    <row r="12290" ht="12.75" x14ac:dyDescent="0.2"/>
    <row r="12291" ht="12.75" x14ac:dyDescent="0.2"/>
    <row r="12292" ht="12.75" x14ac:dyDescent="0.2"/>
    <row r="12293" ht="12.75" x14ac:dyDescent="0.2"/>
    <row r="12294" ht="12.75" x14ac:dyDescent="0.2"/>
    <row r="12295" ht="12.75" x14ac:dyDescent="0.2"/>
    <row r="12296" ht="12.75" x14ac:dyDescent="0.2"/>
    <row r="12297" ht="12.75" x14ac:dyDescent="0.2"/>
    <row r="12298" ht="12.75" x14ac:dyDescent="0.2"/>
    <row r="12299" ht="12.75" x14ac:dyDescent="0.2"/>
    <row r="12300" ht="12.75" x14ac:dyDescent="0.2"/>
    <row r="12301" ht="12.75" x14ac:dyDescent="0.2"/>
    <row r="12302" ht="12.75" x14ac:dyDescent="0.2"/>
    <row r="12303" ht="12.75" x14ac:dyDescent="0.2"/>
    <row r="12304" ht="12.75" x14ac:dyDescent="0.2"/>
    <row r="12305" ht="12.75" x14ac:dyDescent="0.2"/>
    <row r="12306" ht="12.75" x14ac:dyDescent="0.2"/>
    <row r="12307" ht="12.75" x14ac:dyDescent="0.2"/>
    <row r="12308" ht="12.75" x14ac:dyDescent="0.2"/>
    <row r="12309" ht="12.75" x14ac:dyDescent="0.2"/>
    <row r="12310" ht="12.75" x14ac:dyDescent="0.2"/>
    <row r="12311" ht="12.75" x14ac:dyDescent="0.2"/>
    <row r="12312" ht="12.75" x14ac:dyDescent="0.2"/>
    <row r="12313" ht="12.75" x14ac:dyDescent="0.2"/>
    <row r="12314" ht="12.75" x14ac:dyDescent="0.2"/>
    <row r="12315" ht="12.75" x14ac:dyDescent="0.2"/>
    <row r="12316" ht="12.75" x14ac:dyDescent="0.2"/>
    <row r="12317" ht="12.75" x14ac:dyDescent="0.2"/>
    <row r="12318" ht="12.75" x14ac:dyDescent="0.2"/>
    <row r="12319" ht="12.75" x14ac:dyDescent="0.2"/>
    <row r="12320" ht="12.75" x14ac:dyDescent="0.2"/>
    <row r="12321" ht="12.75" x14ac:dyDescent="0.2"/>
    <row r="12322" ht="12.75" x14ac:dyDescent="0.2"/>
    <row r="12323" ht="12.75" x14ac:dyDescent="0.2"/>
    <row r="12324" ht="12.75" x14ac:dyDescent="0.2"/>
    <row r="12325" ht="12.75" x14ac:dyDescent="0.2"/>
    <row r="12326" ht="12.75" x14ac:dyDescent="0.2"/>
    <row r="12327" ht="12.75" x14ac:dyDescent="0.2"/>
    <row r="12328" ht="12.75" x14ac:dyDescent="0.2"/>
    <row r="12329" ht="12.75" x14ac:dyDescent="0.2"/>
    <row r="12330" ht="12.75" x14ac:dyDescent="0.2"/>
    <row r="12331" ht="12.75" x14ac:dyDescent="0.2"/>
    <row r="12332" ht="12.75" x14ac:dyDescent="0.2"/>
    <row r="12333" ht="12.75" x14ac:dyDescent="0.2"/>
    <row r="12334" ht="12.75" x14ac:dyDescent="0.2"/>
    <row r="12335" ht="12.75" x14ac:dyDescent="0.2"/>
    <row r="12336" ht="12.75" x14ac:dyDescent="0.2"/>
    <row r="12337" ht="12.75" x14ac:dyDescent="0.2"/>
    <row r="12338" ht="12.75" x14ac:dyDescent="0.2"/>
    <row r="12339" ht="12.75" x14ac:dyDescent="0.2"/>
    <row r="12340" ht="12.75" x14ac:dyDescent="0.2"/>
    <row r="12341" ht="12.75" x14ac:dyDescent="0.2"/>
    <row r="12342" ht="12.75" x14ac:dyDescent="0.2"/>
    <row r="12343" ht="12.75" x14ac:dyDescent="0.2"/>
    <row r="12344" ht="12.75" x14ac:dyDescent="0.2"/>
    <row r="12345" ht="12.75" x14ac:dyDescent="0.2"/>
    <row r="12346" ht="12.75" x14ac:dyDescent="0.2"/>
    <row r="12347" ht="12.75" x14ac:dyDescent="0.2"/>
    <row r="12348" ht="12.75" x14ac:dyDescent="0.2"/>
    <row r="12349" ht="12.75" x14ac:dyDescent="0.2"/>
    <row r="12350" ht="12.75" x14ac:dyDescent="0.2"/>
    <row r="12351" ht="12.75" x14ac:dyDescent="0.2"/>
    <row r="12352" ht="12.75" x14ac:dyDescent="0.2"/>
    <row r="12353" ht="12.75" x14ac:dyDescent="0.2"/>
    <row r="12354" ht="12.75" x14ac:dyDescent="0.2"/>
    <row r="12355" ht="12.75" x14ac:dyDescent="0.2"/>
    <row r="12356" ht="12.75" x14ac:dyDescent="0.2"/>
    <row r="12357" ht="12.75" x14ac:dyDescent="0.2"/>
    <row r="12358" ht="12.75" x14ac:dyDescent="0.2"/>
    <row r="12359" ht="12.75" x14ac:dyDescent="0.2"/>
    <row r="12360" ht="12.75" x14ac:dyDescent="0.2"/>
    <row r="12361" ht="12.75" x14ac:dyDescent="0.2"/>
    <row r="12362" ht="12.75" x14ac:dyDescent="0.2"/>
    <row r="12363" ht="12.75" x14ac:dyDescent="0.2"/>
    <row r="12364" ht="12.75" x14ac:dyDescent="0.2"/>
    <row r="12365" ht="12.75" x14ac:dyDescent="0.2"/>
    <row r="12366" ht="12.75" x14ac:dyDescent="0.2"/>
    <row r="12367" ht="12.75" x14ac:dyDescent="0.2"/>
    <row r="12368" ht="12.75" x14ac:dyDescent="0.2"/>
    <row r="12369" ht="12.75" x14ac:dyDescent="0.2"/>
    <row r="12370" ht="12.75" x14ac:dyDescent="0.2"/>
    <row r="12371" ht="12.75" x14ac:dyDescent="0.2"/>
    <row r="12372" ht="12.75" x14ac:dyDescent="0.2"/>
    <row r="12373" ht="12.75" x14ac:dyDescent="0.2"/>
    <row r="12374" ht="12.75" x14ac:dyDescent="0.2"/>
    <row r="12375" ht="12.75" x14ac:dyDescent="0.2"/>
    <row r="12376" ht="12.75" x14ac:dyDescent="0.2"/>
    <row r="12377" ht="12.75" x14ac:dyDescent="0.2"/>
    <row r="12378" ht="12.75" x14ac:dyDescent="0.2"/>
    <row r="12379" ht="12.75" x14ac:dyDescent="0.2"/>
    <row r="12380" ht="12.75" x14ac:dyDescent="0.2"/>
    <row r="12381" ht="12.75" x14ac:dyDescent="0.2"/>
    <row r="12382" ht="12.75" x14ac:dyDescent="0.2"/>
    <row r="12383" ht="12.75" x14ac:dyDescent="0.2"/>
    <row r="12384" ht="12.75" x14ac:dyDescent="0.2"/>
    <row r="12385" ht="12.75" x14ac:dyDescent="0.2"/>
    <row r="12386" ht="12.75" x14ac:dyDescent="0.2"/>
    <row r="12387" ht="12.75" x14ac:dyDescent="0.2"/>
    <row r="12388" ht="12.75" x14ac:dyDescent="0.2"/>
    <row r="12389" ht="12.75" x14ac:dyDescent="0.2"/>
    <row r="12390" ht="12.75" x14ac:dyDescent="0.2"/>
    <row r="12391" ht="12.75" x14ac:dyDescent="0.2"/>
    <row r="12392" ht="12.75" x14ac:dyDescent="0.2"/>
    <row r="12393" ht="12.75" x14ac:dyDescent="0.2"/>
    <row r="12394" ht="12.75" x14ac:dyDescent="0.2"/>
    <row r="12395" ht="12.75" x14ac:dyDescent="0.2"/>
    <row r="12396" ht="12.75" x14ac:dyDescent="0.2"/>
    <row r="12397" ht="12.75" x14ac:dyDescent="0.2"/>
    <row r="12398" ht="12.75" x14ac:dyDescent="0.2"/>
    <row r="12399" ht="12.75" x14ac:dyDescent="0.2"/>
    <row r="12400" ht="12.75" x14ac:dyDescent="0.2"/>
    <row r="12401" ht="12.75" x14ac:dyDescent="0.2"/>
    <row r="12402" ht="12.75" x14ac:dyDescent="0.2"/>
    <row r="12403" ht="12.75" x14ac:dyDescent="0.2"/>
    <row r="12404" ht="12.75" x14ac:dyDescent="0.2"/>
    <row r="12405" ht="12.75" x14ac:dyDescent="0.2"/>
    <row r="12406" ht="12.75" x14ac:dyDescent="0.2"/>
    <row r="12407" ht="12.75" x14ac:dyDescent="0.2"/>
    <row r="12408" ht="12.75" x14ac:dyDescent="0.2"/>
    <row r="12409" ht="12.75" x14ac:dyDescent="0.2"/>
    <row r="12410" ht="12.75" x14ac:dyDescent="0.2"/>
    <row r="12411" ht="12.75" x14ac:dyDescent="0.2"/>
    <row r="12412" ht="12.75" x14ac:dyDescent="0.2"/>
    <row r="12413" ht="12.75" x14ac:dyDescent="0.2"/>
    <row r="12414" ht="12.75" x14ac:dyDescent="0.2"/>
    <row r="12415" ht="12.75" x14ac:dyDescent="0.2"/>
    <row r="12416" ht="12.75" x14ac:dyDescent="0.2"/>
    <row r="12417" ht="12.75" x14ac:dyDescent="0.2"/>
    <row r="12418" ht="12.75" x14ac:dyDescent="0.2"/>
    <row r="12419" ht="12.75" x14ac:dyDescent="0.2"/>
    <row r="12420" ht="12.75" x14ac:dyDescent="0.2"/>
    <row r="12421" ht="12.75" x14ac:dyDescent="0.2"/>
    <row r="12422" ht="12.75" x14ac:dyDescent="0.2"/>
    <row r="12423" ht="12.75" x14ac:dyDescent="0.2"/>
    <row r="12424" ht="12.75" x14ac:dyDescent="0.2"/>
    <row r="12425" ht="12.75" x14ac:dyDescent="0.2"/>
    <row r="12426" ht="12.75" x14ac:dyDescent="0.2"/>
    <row r="12427" ht="12.75" x14ac:dyDescent="0.2"/>
    <row r="12428" ht="12.75" x14ac:dyDescent="0.2"/>
    <row r="12429" ht="12.75" x14ac:dyDescent="0.2"/>
    <row r="12430" ht="12.75" x14ac:dyDescent="0.2"/>
    <row r="12431" ht="12.75" x14ac:dyDescent="0.2"/>
    <row r="12432" ht="12.75" x14ac:dyDescent="0.2"/>
    <row r="12433" ht="12.75" x14ac:dyDescent="0.2"/>
    <row r="12434" ht="12.75" x14ac:dyDescent="0.2"/>
    <row r="12435" ht="12.75" x14ac:dyDescent="0.2"/>
    <row r="12436" ht="12.75" x14ac:dyDescent="0.2"/>
    <row r="12437" ht="12.75" x14ac:dyDescent="0.2"/>
    <row r="12438" ht="12.75" x14ac:dyDescent="0.2"/>
    <row r="12439" ht="12.75" x14ac:dyDescent="0.2"/>
    <row r="12440" ht="12.75" x14ac:dyDescent="0.2"/>
    <row r="12441" ht="12.75" x14ac:dyDescent="0.2"/>
    <row r="12442" ht="12.75" x14ac:dyDescent="0.2"/>
    <row r="12443" ht="12.75" x14ac:dyDescent="0.2"/>
    <row r="12444" ht="12.75" x14ac:dyDescent="0.2"/>
    <row r="12445" ht="12.75" x14ac:dyDescent="0.2"/>
    <row r="12446" ht="12.75" x14ac:dyDescent="0.2"/>
    <row r="12447" ht="12.75" x14ac:dyDescent="0.2"/>
    <row r="12448" ht="12.75" x14ac:dyDescent="0.2"/>
    <row r="12449" ht="12.75" x14ac:dyDescent="0.2"/>
    <row r="12450" ht="12.75" x14ac:dyDescent="0.2"/>
    <row r="12451" ht="12.75" x14ac:dyDescent="0.2"/>
    <row r="12452" ht="12.75" x14ac:dyDescent="0.2"/>
    <row r="12453" ht="12.75" x14ac:dyDescent="0.2"/>
    <row r="12454" ht="12.75" x14ac:dyDescent="0.2"/>
    <row r="12455" ht="12.75" x14ac:dyDescent="0.2"/>
    <row r="12456" ht="12.75" x14ac:dyDescent="0.2"/>
    <row r="12457" ht="12.75" x14ac:dyDescent="0.2"/>
    <row r="12458" ht="12.75" x14ac:dyDescent="0.2"/>
    <row r="12459" ht="12.75" x14ac:dyDescent="0.2"/>
    <row r="12460" ht="12.75" x14ac:dyDescent="0.2"/>
    <row r="12461" ht="12.75" x14ac:dyDescent="0.2"/>
    <row r="12462" ht="12.75" x14ac:dyDescent="0.2"/>
    <row r="12463" ht="12.75" x14ac:dyDescent="0.2"/>
    <row r="12464" ht="12.75" x14ac:dyDescent="0.2"/>
    <row r="12465" ht="12.75" x14ac:dyDescent="0.2"/>
    <row r="12466" ht="12.75" x14ac:dyDescent="0.2"/>
    <row r="12467" ht="12.75" x14ac:dyDescent="0.2"/>
    <row r="12468" ht="12.75" x14ac:dyDescent="0.2"/>
    <row r="12469" ht="12.75" x14ac:dyDescent="0.2"/>
    <row r="12470" ht="12.75" x14ac:dyDescent="0.2"/>
    <row r="12471" ht="12.75" x14ac:dyDescent="0.2"/>
    <row r="12472" ht="12.75" x14ac:dyDescent="0.2"/>
    <row r="12473" ht="12.75" x14ac:dyDescent="0.2"/>
    <row r="12474" ht="12.75" x14ac:dyDescent="0.2"/>
    <row r="12475" ht="12.75" x14ac:dyDescent="0.2"/>
    <row r="12476" ht="12.75" x14ac:dyDescent="0.2"/>
    <row r="12477" ht="12.75" x14ac:dyDescent="0.2"/>
    <row r="12478" ht="12.75" x14ac:dyDescent="0.2"/>
    <row r="12479" ht="12.75" x14ac:dyDescent="0.2"/>
    <row r="12480" ht="12.75" x14ac:dyDescent="0.2"/>
    <row r="12481" ht="12.75" x14ac:dyDescent="0.2"/>
    <row r="12482" ht="12.75" x14ac:dyDescent="0.2"/>
    <row r="12483" ht="12.75" x14ac:dyDescent="0.2"/>
    <row r="12484" ht="12.75" x14ac:dyDescent="0.2"/>
    <row r="12485" ht="12.75" x14ac:dyDescent="0.2"/>
    <row r="12486" ht="12.75" x14ac:dyDescent="0.2"/>
    <row r="12487" ht="12.75" x14ac:dyDescent="0.2"/>
    <row r="12488" ht="12.75" x14ac:dyDescent="0.2"/>
    <row r="12489" ht="12.75" x14ac:dyDescent="0.2"/>
    <row r="12490" ht="12.75" x14ac:dyDescent="0.2"/>
    <row r="12491" ht="12.75" x14ac:dyDescent="0.2"/>
    <row r="12492" ht="12.75" x14ac:dyDescent="0.2"/>
    <row r="12493" ht="12.75" x14ac:dyDescent="0.2"/>
    <row r="12494" ht="12.75" x14ac:dyDescent="0.2"/>
    <row r="12495" ht="12.75" x14ac:dyDescent="0.2"/>
    <row r="12496" ht="12.75" x14ac:dyDescent="0.2"/>
    <row r="12497" ht="12.75" x14ac:dyDescent="0.2"/>
    <row r="12498" ht="12.75" x14ac:dyDescent="0.2"/>
    <row r="12499" ht="12.75" x14ac:dyDescent="0.2"/>
    <row r="12500" ht="12.75" x14ac:dyDescent="0.2"/>
    <row r="12501" ht="12.75" x14ac:dyDescent="0.2"/>
    <row r="12502" ht="12.75" x14ac:dyDescent="0.2"/>
    <row r="12503" ht="12.75" x14ac:dyDescent="0.2"/>
    <row r="12504" ht="12.75" x14ac:dyDescent="0.2"/>
    <row r="12505" ht="12.75" x14ac:dyDescent="0.2"/>
    <row r="12506" ht="12.75" x14ac:dyDescent="0.2"/>
    <row r="12507" ht="12.75" x14ac:dyDescent="0.2"/>
    <row r="12508" ht="12.75" x14ac:dyDescent="0.2"/>
    <row r="12509" ht="12.75" x14ac:dyDescent="0.2"/>
    <row r="12510" ht="12.75" x14ac:dyDescent="0.2"/>
    <row r="12511" ht="12.75" x14ac:dyDescent="0.2"/>
    <row r="12512" ht="12.75" x14ac:dyDescent="0.2"/>
    <row r="12513" ht="12.75" x14ac:dyDescent="0.2"/>
    <row r="12514" ht="12.75" x14ac:dyDescent="0.2"/>
    <row r="12515" ht="12.75" x14ac:dyDescent="0.2"/>
    <row r="12516" ht="12.75" x14ac:dyDescent="0.2"/>
    <row r="12517" ht="12.75" x14ac:dyDescent="0.2"/>
    <row r="12518" ht="12.75" x14ac:dyDescent="0.2"/>
    <row r="12519" ht="12.75" x14ac:dyDescent="0.2"/>
    <row r="12520" ht="12.75" x14ac:dyDescent="0.2"/>
    <row r="12521" ht="12.75" x14ac:dyDescent="0.2"/>
    <row r="12522" ht="12.75" x14ac:dyDescent="0.2"/>
    <row r="12523" ht="12.75" x14ac:dyDescent="0.2"/>
    <row r="12524" ht="12.75" x14ac:dyDescent="0.2"/>
    <row r="12525" ht="12.75" x14ac:dyDescent="0.2"/>
    <row r="12526" ht="12.75" x14ac:dyDescent="0.2"/>
    <row r="12527" ht="12.75" x14ac:dyDescent="0.2"/>
    <row r="12528" ht="12.75" x14ac:dyDescent="0.2"/>
    <row r="12529" ht="12.75" x14ac:dyDescent="0.2"/>
    <row r="12530" ht="12.75" x14ac:dyDescent="0.2"/>
    <row r="12531" ht="12.75" x14ac:dyDescent="0.2"/>
    <row r="12532" ht="12.75" x14ac:dyDescent="0.2"/>
    <row r="12533" ht="12.75" x14ac:dyDescent="0.2"/>
    <row r="12534" ht="12.75" x14ac:dyDescent="0.2"/>
    <row r="12535" ht="12.75" x14ac:dyDescent="0.2"/>
    <row r="12536" ht="12.75" x14ac:dyDescent="0.2"/>
    <row r="12537" ht="12.75" x14ac:dyDescent="0.2"/>
    <row r="12538" ht="12.75" x14ac:dyDescent="0.2"/>
    <row r="12539" ht="12.75" x14ac:dyDescent="0.2"/>
    <row r="12540" ht="12.75" x14ac:dyDescent="0.2"/>
    <row r="12541" ht="12.75" x14ac:dyDescent="0.2"/>
    <row r="12542" ht="12.75" x14ac:dyDescent="0.2"/>
    <row r="12543" ht="12.75" x14ac:dyDescent="0.2"/>
    <row r="12544" ht="12.75" x14ac:dyDescent="0.2"/>
    <row r="12545" ht="12.75" x14ac:dyDescent="0.2"/>
    <row r="12546" ht="12.75" x14ac:dyDescent="0.2"/>
    <row r="12547" ht="12.75" x14ac:dyDescent="0.2"/>
    <row r="12548" ht="12.75" x14ac:dyDescent="0.2"/>
    <row r="12549" ht="12.75" x14ac:dyDescent="0.2"/>
    <row r="12550" ht="12.75" x14ac:dyDescent="0.2"/>
    <row r="12551" ht="12.75" x14ac:dyDescent="0.2"/>
    <row r="12552" ht="12.75" x14ac:dyDescent="0.2"/>
    <row r="12553" ht="12.75" x14ac:dyDescent="0.2"/>
    <row r="12554" ht="12.75" x14ac:dyDescent="0.2"/>
    <row r="12555" ht="12.75" x14ac:dyDescent="0.2"/>
    <row r="12556" ht="12.75" x14ac:dyDescent="0.2"/>
    <row r="12557" ht="12.75" x14ac:dyDescent="0.2"/>
    <row r="12558" ht="12.75" x14ac:dyDescent="0.2"/>
    <row r="12559" ht="12.75" x14ac:dyDescent="0.2"/>
    <row r="12560" ht="12.75" x14ac:dyDescent="0.2"/>
    <row r="12561" ht="12.75" x14ac:dyDescent="0.2"/>
    <row r="12562" ht="12.75" x14ac:dyDescent="0.2"/>
    <row r="12563" ht="12.75" x14ac:dyDescent="0.2"/>
    <row r="12564" ht="12.75" x14ac:dyDescent="0.2"/>
    <row r="12565" ht="12.75" x14ac:dyDescent="0.2"/>
    <row r="12566" ht="12.75" x14ac:dyDescent="0.2"/>
    <row r="12567" ht="12.75" x14ac:dyDescent="0.2"/>
    <row r="12568" ht="12.75" x14ac:dyDescent="0.2"/>
    <row r="12569" ht="12.75" x14ac:dyDescent="0.2"/>
    <row r="12570" ht="12.75" x14ac:dyDescent="0.2"/>
    <row r="12571" ht="12.75" x14ac:dyDescent="0.2"/>
    <row r="12572" ht="12.75" x14ac:dyDescent="0.2"/>
    <row r="12573" ht="12.75" x14ac:dyDescent="0.2"/>
    <row r="12574" ht="12.75" x14ac:dyDescent="0.2"/>
    <row r="12575" ht="12.75" x14ac:dyDescent="0.2"/>
    <row r="12576" ht="12.75" x14ac:dyDescent="0.2"/>
    <row r="12577" ht="12.75" x14ac:dyDescent="0.2"/>
    <row r="12578" ht="12.75" x14ac:dyDescent="0.2"/>
    <row r="12579" ht="12.75" x14ac:dyDescent="0.2"/>
    <row r="12580" ht="12.75" x14ac:dyDescent="0.2"/>
    <row r="12581" ht="12.75" x14ac:dyDescent="0.2"/>
    <row r="12582" ht="12.75" x14ac:dyDescent="0.2"/>
    <row r="12583" ht="12.75" x14ac:dyDescent="0.2"/>
    <row r="12584" ht="12.75" x14ac:dyDescent="0.2"/>
    <row r="12585" ht="12.75" x14ac:dyDescent="0.2"/>
    <row r="12586" ht="12.75" x14ac:dyDescent="0.2"/>
    <row r="12587" ht="12.75" x14ac:dyDescent="0.2"/>
    <row r="12588" ht="12.75" x14ac:dyDescent="0.2"/>
    <row r="12589" ht="12.75" x14ac:dyDescent="0.2"/>
    <row r="12590" ht="12.75" x14ac:dyDescent="0.2"/>
    <row r="12591" ht="12.75" x14ac:dyDescent="0.2"/>
    <row r="12592" ht="12.75" x14ac:dyDescent="0.2"/>
    <row r="12593" ht="12.75" x14ac:dyDescent="0.2"/>
    <row r="12594" ht="12.75" x14ac:dyDescent="0.2"/>
    <row r="12595" ht="12.75" x14ac:dyDescent="0.2"/>
    <row r="12596" ht="12.75" x14ac:dyDescent="0.2"/>
    <row r="12597" ht="12.75" x14ac:dyDescent="0.2"/>
    <row r="12598" ht="12.75" x14ac:dyDescent="0.2"/>
    <row r="12599" ht="12.75" x14ac:dyDescent="0.2"/>
    <row r="12600" ht="12.75" x14ac:dyDescent="0.2"/>
    <row r="12601" ht="12.75" x14ac:dyDescent="0.2"/>
    <row r="12602" ht="12.75" x14ac:dyDescent="0.2"/>
    <row r="12603" ht="12.75" x14ac:dyDescent="0.2"/>
    <row r="12604" ht="12.75" x14ac:dyDescent="0.2"/>
    <row r="12605" ht="12.75" x14ac:dyDescent="0.2"/>
    <row r="12606" ht="12.75" x14ac:dyDescent="0.2"/>
    <row r="12607" ht="12.75" x14ac:dyDescent="0.2"/>
    <row r="12608" ht="12.75" x14ac:dyDescent="0.2"/>
    <row r="12609" ht="12.75" x14ac:dyDescent="0.2"/>
    <row r="12610" ht="12.75" x14ac:dyDescent="0.2"/>
    <row r="12611" ht="12.75" x14ac:dyDescent="0.2"/>
    <row r="12612" ht="12.75" x14ac:dyDescent="0.2"/>
    <row r="12613" ht="12.75" x14ac:dyDescent="0.2"/>
    <row r="12614" ht="12.75" x14ac:dyDescent="0.2"/>
    <row r="12615" ht="12.75" x14ac:dyDescent="0.2"/>
    <row r="12616" ht="12.75" x14ac:dyDescent="0.2"/>
    <row r="12617" ht="12.75" x14ac:dyDescent="0.2"/>
    <row r="12618" ht="12.75" x14ac:dyDescent="0.2"/>
    <row r="12619" ht="12.75" x14ac:dyDescent="0.2"/>
    <row r="12620" ht="12.75" x14ac:dyDescent="0.2"/>
    <row r="12621" ht="12.75" x14ac:dyDescent="0.2"/>
    <row r="12622" ht="12.75" x14ac:dyDescent="0.2"/>
    <row r="12623" ht="12.75" x14ac:dyDescent="0.2"/>
    <row r="12624" ht="12.75" x14ac:dyDescent="0.2"/>
    <row r="12625" ht="12.75" x14ac:dyDescent="0.2"/>
    <row r="12626" ht="12.75" x14ac:dyDescent="0.2"/>
    <row r="12627" ht="12.75" x14ac:dyDescent="0.2"/>
    <row r="12628" ht="12.75" x14ac:dyDescent="0.2"/>
    <row r="12629" ht="12.75" x14ac:dyDescent="0.2"/>
    <row r="12630" ht="12.75" x14ac:dyDescent="0.2"/>
    <row r="12631" ht="12.75" x14ac:dyDescent="0.2"/>
    <row r="12632" ht="12.75" x14ac:dyDescent="0.2"/>
    <row r="12633" ht="12.75" x14ac:dyDescent="0.2"/>
    <row r="12634" ht="12.75" x14ac:dyDescent="0.2"/>
    <row r="12635" ht="12.75" x14ac:dyDescent="0.2"/>
    <row r="12636" ht="12.75" x14ac:dyDescent="0.2"/>
    <row r="12637" ht="12.75" x14ac:dyDescent="0.2"/>
    <row r="12638" ht="12.75" x14ac:dyDescent="0.2"/>
    <row r="12639" ht="12.75" x14ac:dyDescent="0.2"/>
    <row r="12640" ht="12.75" x14ac:dyDescent="0.2"/>
    <row r="12641" ht="12.75" x14ac:dyDescent="0.2"/>
    <row r="12642" ht="12.75" x14ac:dyDescent="0.2"/>
    <row r="12643" ht="12.75" x14ac:dyDescent="0.2"/>
    <row r="12644" ht="12.75" x14ac:dyDescent="0.2"/>
    <row r="12645" ht="12.75" x14ac:dyDescent="0.2"/>
    <row r="12646" ht="12.75" x14ac:dyDescent="0.2"/>
    <row r="12647" ht="12.75" x14ac:dyDescent="0.2"/>
    <row r="12648" ht="12.75" x14ac:dyDescent="0.2"/>
    <row r="12649" ht="12.75" x14ac:dyDescent="0.2"/>
    <row r="12650" ht="12.75" x14ac:dyDescent="0.2"/>
    <row r="12651" ht="12.75" x14ac:dyDescent="0.2"/>
    <row r="12652" ht="12.75" x14ac:dyDescent="0.2"/>
    <row r="12653" ht="12.75" x14ac:dyDescent="0.2"/>
    <row r="12654" ht="12.75" x14ac:dyDescent="0.2"/>
    <row r="12655" ht="12.75" x14ac:dyDescent="0.2"/>
    <row r="12656" ht="12.75" x14ac:dyDescent="0.2"/>
    <row r="12657" ht="12.75" x14ac:dyDescent="0.2"/>
    <row r="12658" ht="12.75" x14ac:dyDescent="0.2"/>
    <row r="12659" ht="12.75" x14ac:dyDescent="0.2"/>
    <row r="12660" ht="12.75" x14ac:dyDescent="0.2"/>
    <row r="12661" ht="12.75" x14ac:dyDescent="0.2"/>
    <row r="12662" ht="12.75" x14ac:dyDescent="0.2"/>
    <row r="12663" ht="12.75" x14ac:dyDescent="0.2"/>
    <row r="12664" ht="12.75" x14ac:dyDescent="0.2"/>
    <row r="12665" ht="12.75" x14ac:dyDescent="0.2"/>
    <row r="12666" ht="12.75" x14ac:dyDescent="0.2"/>
    <row r="12667" ht="12.75" x14ac:dyDescent="0.2"/>
    <row r="12668" ht="12.75" x14ac:dyDescent="0.2"/>
    <row r="12669" ht="12.75" x14ac:dyDescent="0.2"/>
    <row r="12670" ht="12.75" x14ac:dyDescent="0.2"/>
    <row r="12671" ht="12.75" x14ac:dyDescent="0.2"/>
    <row r="12672" ht="12.75" x14ac:dyDescent="0.2"/>
    <row r="12673" ht="12.75" x14ac:dyDescent="0.2"/>
    <row r="12674" ht="12.75" x14ac:dyDescent="0.2"/>
    <row r="12675" ht="12.75" x14ac:dyDescent="0.2"/>
    <row r="12676" ht="12.75" x14ac:dyDescent="0.2"/>
    <row r="12677" ht="12.75" x14ac:dyDescent="0.2"/>
    <row r="12678" ht="12.75" x14ac:dyDescent="0.2"/>
    <row r="12679" ht="12.75" x14ac:dyDescent="0.2"/>
    <row r="12680" ht="12.75" x14ac:dyDescent="0.2"/>
    <row r="12681" ht="12.75" x14ac:dyDescent="0.2"/>
    <row r="12682" ht="12.75" x14ac:dyDescent="0.2"/>
    <row r="12683" ht="12.75" x14ac:dyDescent="0.2"/>
    <row r="12684" ht="12.75" x14ac:dyDescent="0.2"/>
    <row r="12685" ht="12.75" x14ac:dyDescent="0.2"/>
    <row r="12686" ht="12.75" x14ac:dyDescent="0.2"/>
    <row r="12687" ht="12.75" x14ac:dyDescent="0.2"/>
    <row r="12688" ht="12.75" x14ac:dyDescent="0.2"/>
    <row r="12689" ht="12.75" x14ac:dyDescent="0.2"/>
    <row r="12690" ht="12.75" x14ac:dyDescent="0.2"/>
    <row r="12691" ht="12.75" x14ac:dyDescent="0.2"/>
    <row r="12692" ht="12.75" x14ac:dyDescent="0.2"/>
    <row r="12693" ht="12.75" x14ac:dyDescent="0.2"/>
    <row r="12694" ht="12.75" x14ac:dyDescent="0.2"/>
    <row r="12695" ht="12.75" x14ac:dyDescent="0.2"/>
    <row r="12696" ht="12.75" x14ac:dyDescent="0.2"/>
    <row r="12697" ht="12.75" x14ac:dyDescent="0.2"/>
    <row r="12698" ht="12.75" x14ac:dyDescent="0.2"/>
    <row r="12699" ht="12.75" x14ac:dyDescent="0.2"/>
    <row r="12700" ht="12.75" x14ac:dyDescent="0.2"/>
    <row r="12701" ht="12.75" x14ac:dyDescent="0.2"/>
    <row r="12702" ht="12.75" x14ac:dyDescent="0.2"/>
    <row r="12703" ht="12.75" x14ac:dyDescent="0.2"/>
    <row r="12704" ht="12.75" x14ac:dyDescent="0.2"/>
    <row r="12705" ht="12.75" x14ac:dyDescent="0.2"/>
    <row r="12706" ht="12.75" x14ac:dyDescent="0.2"/>
    <row r="12707" ht="12.75" x14ac:dyDescent="0.2"/>
    <row r="12708" ht="12.75" x14ac:dyDescent="0.2"/>
    <row r="12709" ht="12.75" x14ac:dyDescent="0.2"/>
    <row r="12710" ht="12.75" x14ac:dyDescent="0.2"/>
    <row r="12711" ht="12.75" x14ac:dyDescent="0.2"/>
    <row r="12712" ht="12.75" x14ac:dyDescent="0.2"/>
    <row r="12713" ht="12.75" x14ac:dyDescent="0.2"/>
    <row r="12714" ht="12.75" x14ac:dyDescent="0.2"/>
    <row r="12715" ht="12.75" x14ac:dyDescent="0.2"/>
    <row r="12716" ht="12.75" x14ac:dyDescent="0.2"/>
    <row r="12717" ht="12.75" x14ac:dyDescent="0.2"/>
    <row r="12718" ht="12.75" x14ac:dyDescent="0.2"/>
    <row r="12719" ht="12.75" x14ac:dyDescent="0.2"/>
    <row r="12720" ht="12.75" x14ac:dyDescent="0.2"/>
    <row r="12721" ht="12.75" x14ac:dyDescent="0.2"/>
    <row r="12722" ht="12.75" x14ac:dyDescent="0.2"/>
    <row r="12723" ht="12.75" x14ac:dyDescent="0.2"/>
    <row r="12724" ht="12.75" x14ac:dyDescent="0.2"/>
    <row r="12725" ht="12.75" x14ac:dyDescent="0.2"/>
    <row r="12726" ht="12.75" x14ac:dyDescent="0.2"/>
    <row r="12727" ht="12.75" x14ac:dyDescent="0.2"/>
    <row r="12728" ht="12.75" x14ac:dyDescent="0.2"/>
    <row r="12729" ht="12.75" x14ac:dyDescent="0.2"/>
    <row r="12730" ht="12.75" x14ac:dyDescent="0.2"/>
    <row r="12731" ht="12.75" x14ac:dyDescent="0.2"/>
    <row r="12732" ht="12.75" x14ac:dyDescent="0.2"/>
    <row r="12733" ht="12.75" x14ac:dyDescent="0.2"/>
    <row r="12734" ht="12.75" x14ac:dyDescent="0.2"/>
    <row r="12735" ht="12.75" x14ac:dyDescent="0.2"/>
    <row r="12736" ht="12.75" x14ac:dyDescent="0.2"/>
    <row r="12737" ht="12.75" x14ac:dyDescent="0.2"/>
    <row r="12738" ht="12.75" x14ac:dyDescent="0.2"/>
    <row r="12739" ht="12.75" x14ac:dyDescent="0.2"/>
    <row r="12740" ht="12.75" x14ac:dyDescent="0.2"/>
    <row r="12741" ht="12.75" x14ac:dyDescent="0.2"/>
    <row r="12742" ht="12.75" x14ac:dyDescent="0.2"/>
    <row r="12743" ht="12.75" x14ac:dyDescent="0.2"/>
    <row r="12744" ht="12.75" x14ac:dyDescent="0.2"/>
    <row r="12745" ht="12.75" x14ac:dyDescent="0.2"/>
    <row r="12746" ht="12.75" x14ac:dyDescent="0.2"/>
    <row r="12747" ht="12.75" x14ac:dyDescent="0.2"/>
    <row r="12748" ht="12.75" x14ac:dyDescent="0.2"/>
    <row r="12749" ht="12.75" x14ac:dyDescent="0.2"/>
    <row r="12750" ht="12.75" x14ac:dyDescent="0.2"/>
    <row r="12751" ht="12.75" x14ac:dyDescent="0.2"/>
    <row r="12752" ht="12.75" x14ac:dyDescent="0.2"/>
    <row r="12753" ht="12.75" x14ac:dyDescent="0.2"/>
    <row r="12754" ht="12.75" x14ac:dyDescent="0.2"/>
    <row r="12755" ht="12.75" x14ac:dyDescent="0.2"/>
    <row r="12756" ht="12.75" x14ac:dyDescent="0.2"/>
    <row r="12757" ht="12.75" x14ac:dyDescent="0.2"/>
    <row r="12758" ht="12.75" x14ac:dyDescent="0.2"/>
    <row r="12759" ht="12.75" x14ac:dyDescent="0.2"/>
    <row r="12760" ht="12.75" x14ac:dyDescent="0.2"/>
    <row r="12761" ht="12.75" x14ac:dyDescent="0.2"/>
    <row r="12762" ht="12.75" x14ac:dyDescent="0.2"/>
    <row r="12763" ht="12.75" x14ac:dyDescent="0.2"/>
    <row r="12764" ht="12.75" x14ac:dyDescent="0.2"/>
    <row r="12765" ht="12.75" x14ac:dyDescent="0.2"/>
    <row r="12766" ht="12.75" x14ac:dyDescent="0.2"/>
    <row r="12767" ht="12.75" x14ac:dyDescent="0.2"/>
    <row r="12768" ht="12.75" x14ac:dyDescent="0.2"/>
    <row r="12769" ht="12.75" x14ac:dyDescent="0.2"/>
    <row r="12770" ht="12.75" x14ac:dyDescent="0.2"/>
    <row r="12771" ht="12.75" x14ac:dyDescent="0.2"/>
    <row r="12772" ht="12.75" x14ac:dyDescent="0.2"/>
    <row r="12773" ht="12.75" x14ac:dyDescent="0.2"/>
    <row r="12774" ht="12.75" x14ac:dyDescent="0.2"/>
    <row r="12775" ht="12.75" x14ac:dyDescent="0.2"/>
    <row r="12776" ht="12.75" x14ac:dyDescent="0.2"/>
    <row r="12777" ht="12.75" x14ac:dyDescent="0.2"/>
    <row r="12778" ht="12.75" x14ac:dyDescent="0.2"/>
    <row r="12779" ht="12.75" x14ac:dyDescent="0.2"/>
    <row r="12780" ht="12.75" x14ac:dyDescent="0.2"/>
    <row r="12781" ht="12.75" x14ac:dyDescent="0.2"/>
    <row r="12782" ht="12.75" x14ac:dyDescent="0.2"/>
    <row r="12783" ht="12.75" x14ac:dyDescent="0.2"/>
    <row r="12784" ht="12.75" x14ac:dyDescent="0.2"/>
    <row r="12785" ht="12.75" x14ac:dyDescent="0.2"/>
    <row r="12786" ht="12.75" x14ac:dyDescent="0.2"/>
    <row r="12787" ht="12.75" x14ac:dyDescent="0.2"/>
    <row r="12788" ht="12.75" x14ac:dyDescent="0.2"/>
    <row r="12789" ht="12.75" x14ac:dyDescent="0.2"/>
    <row r="12790" ht="12.75" x14ac:dyDescent="0.2"/>
    <row r="12791" ht="12.75" x14ac:dyDescent="0.2"/>
    <row r="12792" ht="12.75" x14ac:dyDescent="0.2"/>
    <row r="12793" ht="12.75" x14ac:dyDescent="0.2"/>
    <row r="12794" ht="12.75" x14ac:dyDescent="0.2"/>
    <row r="12795" ht="12.75" x14ac:dyDescent="0.2"/>
    <row r="12796" ht="12.75" x14ac:dyDescent="0.2"/>
    <row r="12797" ht="12.75" x14ac:dyDescent="0.2"/>
    <row r="12798" ht="12.75" x14ac:dyDescent="0.2"/>
    <row r="12799" ht="12.75" x14ac:dyDescent="0.2"/>
    <row r="12800" ht="12.75" x14ac:dyDescent="0.2"/>
    <row r="12801" ht="12.75" x14ac:dyDescent="0.2"/>
    <row r="12802" ht="12.75" x14ac:dyDescent="0.2"/>
    <row r="12803" ht="12.75" x14ac:dyDescent="0.2"/>
    <row r="12804" ht="12.75" x14ac:dyDescent="0.2"/>
    <row r="12805" ht="12.75" x14ac:dyDescent="0.2"/>
    <row r="12806" ht="12.75" x14ac:dyDescent="0.2"/>
    <row r="12807" ht="12.75" x14ac:dyDescent="0.2"/>
    <row r="12808" ht="12.75" x14ac:dyDescent="0.2"/>
    <row r="12809" ht="12.75" x14ac:dyDescent="0.2"/>
    <row r="12810" ht="12.75" x14ac:dyDescent="0.2"/>
    <row r="12811" ht="12.75" x14ac:dyDescent="0.2"/>
    <row r="12812" ht="12.75" x14ac:dyDescent="0.2"/>
    <row r="12813" ht="12.75" x14ac:dyDescent="0.2"/>
    <row r="12814" ht="12.75" x14ac:dyDescent="0.2"/>
    <row r="12815" ht="12.75" x14ac:dyDescent="0.2"/>
    <row r="12816" ht="12.75" x14ac:dyDescent="0.2"/>
    <row r="12817" ht="12.75" x14ac:dyDescent="0.2"/>
    <row r="12818" ht="12.75" x14ac:dyDescent="0.2"/>
    <row r="12819" ht="12.75" x14ac:dyDescent="0.2"/>
    <row r="12820" ht="12.75" x14ac:dyDescent="0.2"/>
    <row r="12821" ht="12.75" x14ac:dyDescent="0.2"/>
    <row r="12822" ht="12.75" x14ac:dyDescent="0.2"/>
    <row r="12823" ht="12.75" x14ac:dyDescent="0.2"/>
    <row r="12824" ht="12.75" x14ac:dyDescent="0.2"/>
    <row r="12825" ht="12.75" x14ac:dyDescent="0.2"/>
    <row r="12826" ht="12.75" x14ac:dyDescent="0.2"/>
    <row r="12827" ht="12.75" x14ac:dyDescent="0.2"/>
    <row r="12828" ht="12.75" x14ac:dyDescent="0.2"/>
    <row r="12829" ht="12.75" x14ac:dyDescent="0.2"/>
    <row r="12830" ht="12.75" x14ac:dyDescent="0.2"/>
    <row r="12831" ht="12.75" x14ac:dyDescent="0.2"/>
    <row r="12832" ht="12.75" x14ac:dyDescent="0.2"/>
    <row r="12833" ht="12.75" x14ac:dyDescent="0.2"/>
    <row r="12834" ht="12.75" x14ac:dyDescent="0.2"/>
    <row r="12835" ht="12.75" x14ac:dyDescent="0.2"/>
    <row r="12836" ht="12.75" x14ac:dyDescent="0.2"/>
    <row r="12837" ht="12.75" x14ac:dyDescent="0.2"/>
    <row r="12838" ht="12.75" x14ac:dyDescent="0.2"/>
    <row r="12839" ht="12.75" x14ac:dyDescent="0.2"/>
    <row r="12840" ht="12.75" x14ac:dyDescent="0.2"/>
    <row r="12841" ht="12.75" x14ac:dyDescent="0.2"/>
    <row r="12842" ht="12.75" x14ac:dyDescent="0.2"/>
    <row r="12843" ht="12.75" x14ac:dyDescent="0.2"/>
    <row r="12844" ht="12.75" x14ac:dyDescent="0.2"/>
    <row r="12845" ht="12.75" x14ac:dyDescent="0.2"/>
    <row r="12846" ht="12.75" x14ac:dyDescent="0.2"/>
    <row r="12847" ht="12.75" x14ac:dyDescent="0.2"/>
    <row r="12848" ht="12.75" x14ac:dyDescent="0.2"/>
    <row r="12849" ht="12.75" x14ac:dyDescent="0.2"/>
    <row r="12850" ht="12.75" x14ac:dyDescent="0.2"/>
    <row r="12851" ht="12.75" x14ac:dyDescent="0.2"/>
    <row r="12852" ht="12.75" x14ac:dyDescent="0.2"/>
    <row r="12853" ht="12.75" x14ac:dyDescent="0.2"/>
    <row r="12854" ht="12.75" x14ac:dyDescent="0.2"/>
    <row r="12855" ht="12.75" x14ac:dyDescent="0.2"/>
    <row r="12856" ht="12.75" x14ac:dyDescent="0.2"/>
    <row r="12857" ht="12.75" x14ac:dyDescent="0.2"/>
    <row r="12858" ht="12.75" x14ac:dyDescent="0.2"/>
    <row r="12859" ht="12.75" x14ac:dyDescent="0.2"/>
    <row r="12860" ht="12.75" x14ac:dyDescent="0.2"/>
    <row r="12861" ht="12.75" x14ac:dyDescent="0.2"/>
    <row r="12862" ht="12.75" x14ac:dyDescent="0.2"/>
    <row r="12863" ht="12.75" x14ac:dyDescent="0.2"/>
    <row r="12864" ht="12.75" x14ac:dyDescent="0.2"/>
    <row r="12865" ht="12.75" x14ac:dyDescent="0.2"/>
    <row r="12866" ht="12.75" x14ac:dyDescent="0.2"/>
    <row r="12867" ht="12.75" x14ac:dyDescent="0.2"/>
    <row r="12868" ht="12.75" x14ac:dyDescent="0.2"/>
    <row r="12869" ht="12.75" x14ac:dyDescent="0.2"/>
    <row r="12870" ht="12.75" x14ac:dyDescent="0.2"/>
    <row r="12871" ht="12.75" x14ac:dyDescent="0.2"/>
    <row r="12872" ht="12.75" x14ac:dyDescent="0.2"/>
    <row r="12873" ht="12.75" x14ac:dyDescent="0.2"/>
    <row r="12874" ht="12.75" x14ac:dyDescent="0.2"/>
    <row r="12875" ht="12.75" x14ac:dyDescent="0.2"/>
    <row r="12876" ht="12.75" x14ac:dyDescent="0.2"/>
    <row r="12877" ht="12.75" x14ac:dyDescent="0.2"/>
    <row r="12878" ht="12.75" x14ac:dyDescent="0.2"/>
    <row r="12879" ht="12.75" x14ac:dyDescent="0.2"/>
    <row r="12880" ht="12.75" x14ac:dyDescent="0.2"/>
    <row r="12881" ht="12.75" x14ac:dyDescent="0.2"/>
    <row r="12882" ht="12.75" x14ac:dyDescent="0.2"/>
    <row r="12883" ht="12.75" x14ac:dyDescent="0.2"/>
    <row r="12884" ht="12.75" x14ac:dyDescent="0.2"/>
    <row r="12885" ht="12.75" x14ac:dyDescent="0.2"/>
    <row r="12886" ht="12.75" x14ac:dyDescent="0.2"/>
    <row r="12887" ht="12.75" x14ac:dyDescent="0.2"/>
    <row r="12888" ht="12.75" x14ac:dyDescent="0.2"/>
    <row r="12889" ht="12.75" x14ac:dyDescent="0.2"/>
    <row r="12890" ht="12.75" x14ac:dyDescent="0.2"/>
    <row r="12891" ht="12.75" x14ac:dyDescent="0.2"/>
    <row r="12892" ht="12.75" x14ac:dyDescent="0.2"/>
    <row r="12893" ht="12.75" x14ac:dyDescent="0.2"/>
    <row r="12894" ht="12.75" x14ac:dyDescent="0.2"/>
    <row r="12895" ht="12.75" x14ac:dyDescent="0.2"/>
    <row r="12896" ht="12.75" x14ac:dyDescent="0.2"/>
    <row r="12897" ht="12.75" x14ac:dyDescent="0.2"/>
    <row r="12898" ht="12.75" x14ac:dyDescent="0.2"/>
    <row r="12899" ht="12.75" x14ac:dyDescent="0.2"/>
    <row r="12900" ht="12.75" x14ac:dyDescent="0.2"/>
    <row r="12901" ht="12.75" x14ac:dyDescent="0.2"/>
    <row r="12902" ht="12.75" x14ac:dyDescent="0.2"/>
    <row r="12903" ht="12.75" x14ac:dyDescent="0.2"/>
    <row r="12904" ht="12.75" x14ac:dyDescent="0.2"/>
    <row r="12905" ht="12.75" x14ac:dyDescent="0.2"/>
    <row r="12906" ht="12.75" x14ac:dyDescent="0.2"/>
    <row r="12907" ht="12.75" x14ac:dyDescent="0.2"/>
    <row r="12908" ht="12.75" x14ac:dyDescent="0.2"/>
    <row r="12909" ht="12.75" x14ac:dyDescent="0.2"/>
    <row r="12910" ht="12.75" x14ac:dyDescent="0.2"/>
    <row r="12911" ht="12.75" x14ac:dyDescent="0.2"/>
    <row r="12912" ht="12.75" x14ac:dyDescent="0.2"/>
    <row r="12913" ht="12.75" x14ac:dyDescent="0.2"/>
    <row r="12914" ht="12.75" x14ac:dyDescent="0.2"/>
    <row r="12915" ht="12.75" x14ac:dyDescent="0.2"/>
    <row r="12916" ht="12.75" x14ac:dyDescent="0.2"/>
    <row r="12917" ht="12.75" x14ac:dyDescent="0.2"/>
    <row r="12918" ht="12.75" x14ac:dyDescent="0.2"/>
    <row r="12919" ht="12.75" x14ac:dyDescent="0.2"/>
    <row r="12920" ht="12.75" x14ac:dyDescent="0.2"/>
    <row r="12921" ht="12.75" x14ac:dyDescent="0.2"/>
    <row r="12922" ht="12.75" x14ac:dyDescent="0.2"/>
    <row r="12923" ht="12.75" x14ac:dyDescent="0.2"/>
    <row r="12924" ht="12.75" x14ac:dyDescent="0.2"/>
    <row r="12925" ht="12.75" x14ac:dyDescent="0.2"/>
    <row r="12926" ht="12.75" x14ac:dyDescent="0.2"/>
    <row r="12927" ht="12.75" x14ac:dyDescent="0.2"/>
    <row r="12928" ht="12.75" x14ac:dyDescent="0.2"/>
    <row r="12929" ht="12.75" x14ac:dyDescent="0.2"/>
    <row r="12930" ht="12.75" x14ac:dyDescent="0.2"/>
    <row r="12931" ht="12.75" x14ac:dyDescent="0.2"/>
    <row r="12932" ht="12.75" x14ac:dyDescent="0.2"/>
    <row r="12933" ht="12.75" x14ac:dyDescent="0.2"/>
    <row r="12934" ht="12.75" x14ac:dyDescent="0.2"/>
    <row r="12935" ht="12.75" x14ac:dyDescent="0.2"/>
    <row r="12936" ht="12.75" x14ac:dyDescent="0.2"/>
    <row r="12937" ht="12.75" x14ac:dyDescent="0.2"/>
    <row r="12938" ht="12.75" x14ac:dyDescent="0.2"/>
    <row r="12939" ht="12.75" x14ac:dyDescent="0.2"/>
    <row r="12940" ht="12.75" x14ac:dyDescent="0.2"/>
    <row r="12941" ht="12.75" x14ac:dyDescent="0.2"/>
    <row r="12942" ht="12.75" x14ac:dyDescent="0.2"/>
    <row r="12943" ht="12.75" x14ac:dyDescent="0.2"/>
    <row r="12944" ht="12.75" x14ac:dyDescent="0.2"/>
    <row r="12945" ht="12.75" x14ac:dyDescent="0.2"/>
    <row r="12946" ht="12.75" x14ac:dyDescent="0.2"/>
    <row r="12947" ht="12.75" x14ac:dyDescent="0.2"/>
    <row r="12948" ht="12.75" x14ac:dyDescent="0.2"/>
    <row r="12949" ht="12.75" x14ac:dyDescent="0.2"/>
    <row r="12950" ht="12.75" x14ac:dyDescent="0.2"/>
    <row r="12951" ht="12.75" x14ac:dyDescent="0.2"/>
    <row r="12952" ht="12.75" x14ac:dyDescent="0.2"/>
    <row r="12953" ht="12.75" x14ac:dyDescent="0.2"/>
    <row r="12954" ht="12.75" x14ac:dyDescent="0.2"/>
    <row r="12955" ht="12.75" x14ac:dyDescent="0.2"/>
    <row r="12956" ht="12.75" x14ac:dyDescent="0.2"/>
    <row r="12957" ht="12.75" x14ac:dyDescent="0.2"/>
    <row r="12958" ht="12.75" x14ac:dyDescent="0.2"/>
    <row r="12959" ht="12.75" x14ac:dyDescent="0.2"/>
    <row r="12960" ht="12.75" x14ac:dyDescent="0.2"/>
    <row r="12961" ht="12.75" x14ac:dyDescent="0.2"/>
    <row r="12962" ht="12.75" x14ac:dyDescent="0.2"/>
    <row r="12963" ht="12.75" x14ac:dyDescent="0.2"/>
    <row r="12964" ht="12.75" x14ac:dyDescent="0.2"/>
    <row r="12965" ht="12.75" x14ac:dyDescent="0.2"/>
    <row r="12966" ht="12.75" x14ac:dyDescent="0.2"/>
    <row r="12967" ht="12.75" x14ac:dyDescent="0.2"/>
    <row r="12968" ht="12.75" x14ac:dyDescent="0.2"/>
    <row r="12969" ht="12.75" x14ac:dyDescent="0.2"/>
    <row r="12970" ht="12.75" x14ac:dyDescent="0.2"/>
    <row r="12971" ht="12.75" x14ac:dyDescent="0.2"/>
    <row r="12972" ht="12.75" x14ac:dyDescent="0.2"/>
    <row r="12973" ht="12.75" x14ac:dyDescent="0.2"/>
    <row r="12974" ht="12.75" x14ac:dyDescent="0.2"/>
    <row r="12975" ht="12.75" x14ac:dyDescent="0.2"/>
    <row r="12976" ht="12.75" x14ac:dyDescent="0.2"/>
    <row r="12977" ht="12.75" x14ac:dyDescent="0.2"/>
    <row r="12978" ht="12.75" x14ac:dyDescent="0.2"/>
    <row r="12979" ht="12.75" x14ac:dyDescent="0.2"/>
    <row r="12980" ht="12.75" x14ac:dyDescent="0.2"/>
    <row r="12981" ht="12.75" x14ac:dyDescent="0.2"/>
    <row r="12982" ht="12.75" x14ac:dyDescent="0.2"/>
    <row r="12983" ht="12.75" x14ac:dyDescent="0.2"/>
    <row r="12984" ht="12.75" x14ac:dyDescent="0.2"/>
    <row r="12985" ht="12.75" x14ac:dyDescent="0.2"/>
    <row r="12986" ht="12.75" x14ac:dyDescent="0.2"/>
    <row r="12987" ht="12.75" x14ac:dyDescent="0.2"/>
    <row r="12988" ht="12.75" x14ac:dyDescent="0.2"/>
    <row r="12989" ht="12.75" x14ac:dyDescent="0.2"/>
    <row r="12990" ht="12.75" x14ac:dyDescent="0.2"/>
    <row r="12991" ht="12.75" x14ac:dyDescent="0.2"/>
    <row r="12992" ht="12.75" x14ac:dyDescent="0.2"/>
    <row r="12993" ht="12.75" x14ac:dyDescent="0.2"/>
    <row r="12994" ht="12.75" x14ac:dyDescent="0.2"/>
    <row r="12995" ht="12.75" x14ac:dyDescent="0.2"/>
    <row r="12996" ht="12.75" x14ac:dyDescent="0.2"/>
    <row r="12997" ht="12.75" x14ac:dyDescent="0.2"/>
    <row r="12998" ht="12.75" x14ac:dyDescent="0.2"/>
    <row r="12999" ht="12.75" x14ac:dyDescent="0.2"/>
    <row r="13000" ht="12.75" x14ac:dyDescent="0.2"/>
    <row r="13001" ht="12.75" x14ac:dyDescent="0.2"/>
    <row r="13002" ht="12.75" x14ac:dyDescent="0.2"/>
    <row r="13003" ht="12.75" x14ac:dyDescent="0.2"/>
    <row r="13004" ht="12.75" x14ac:dyDescent="0.2"/>
    <row r="13005" ht="12.75" x14ac:dyDescent="0.2"/>
    <row r="13006" ht="12.75" x14ac:dyDescent="0.2"/>
    <row r="13007" ht="12.75" x14ac:dyDescent="0.2"/>
    <row r="13008" ht="12.75" x14ac:dyDescent="0.2"/>
    <row r="13009" ht="12.75" x14ac:dyDescent="0.2"/>
    <row r="13010" ht="12.75" x14ac:dyDescent="0.2"/>
    <row r="13011" ht="12.75" x14ac:dyDescent="0.2"/>
    <row r="13012" ht="12.75" x14ac:dyDescent="0.2"/>
    <row r="13013" ht="12.75" x14ac:dyDescent="0.2"/>
    <row r="13014" ht="12.75" x14ac:dyDescent="0.2"/>
    <row r="13015" ht="12.75" x14ac:dyDescent="0.2"/>
    <row r="13016" ht="12.75" x14ac:dyDescent="0.2"/>
    <row r="13017" ht="12.75" x14ac:dyDescent="0.2"/>
    <row r="13018" ht="12.75" x14ac:dyDescent="0.2"/>
    <row r="13019" ht="12.75" x14ac:dyDescent="0.2"/>
    <row r="13020" ht="12.75" x14ac:dyDescent="0.2"/>
    <row r="13021" ht="12.75" x14ac:dyDescent="0.2"/>
    <row r="13022" ht="12.75" x14ac:dyDescent="0.2"/>
    <row r="13023" ht="12.75" x14ac:dyDescent="0.2"/>
    <row r="13024" ht="12.75" x14ac:dyDescent="0.2"/>
    <row r="13025" ht="12.75" x14ac:dyDescent="0.2"/>
    <row r="13026" ht="12.75" x14ac:dyDescent="0.2"/>
    <row r="13027" ht="12.75" x14ac:dyDescent="0.2"/>
    <row r="13028" ht="12.75" x14ac:dyDescent="0.2"/>
    <row r="13029" ht="12.75" x14ac:dyDescent="0.2"/>
    <row r="13030" ht="12.75" x14ac:dyDescent="0.2"/>
    <row r="13031" ht="12.75" x14ac:dyDescent="0.2"/>
    <row r="13032" ht="12.75" x14ac:dyDescent="0.2"/>
    <row r="13033" ht="12.75" x14ac:dyDescent="0.2"/>
    <row r="13034" ht="12.75" x14ac:dyDescent="0.2"/>
    <row r="13035" ht="12.75" x14ac:dyDescent="0.2"/>
    <row r="13036" ht="12.75" x14ac:dyDescent="0.2"/>
    <row r="13037" ht="12.75" x14ac:dyDescent="0.2"/>
    <row r="13038" ht="12.75" x14ac:dyDescent="0.2"/>
    <row r="13039" ht="12.75" x14ac:dyDescent="0.2"/>
    <row r="13040" ht="12.75" x14ac:dyDescent="0.2"/>
    <row r="13041" ht="12.75" x14ac:dyDescent="0.2"/>
    <row r="13042" ht="12.75" x14ac:dyDescent="0.2"/>
    <row r="13043" ht="12.75" x14ac:dyDescent="0.2"/>
    <row r="13044" ht="12.75" x14ac:dyDescent="0.2"/>
    <row r="13045" ht="12.75" x14ac:dyDescent="0.2"/>
    <row r="13046" ht="12.75" x14ac:dyDescent="0.2"/>
    <row r="13047" ht="12.75" x14ac:dyDescent="0.2"/>
    <row r="13048" ht="12.75" x14ac:dyDescent="0.2"/>
    <row r="13049" ht="12.75" x14ac:dyDescent="0.2"/>
    <row r="13050" ht="12.75" x14ac:dyDescent="0.2"/>
    <row r="13051" ht="12.75" x14ac:dyDescent="0.2"/>
    <row r="13052" ht="12.75" x14ac:dyDescent="0.2"/>
    <row r="13053" ht="12.75" x14ac:dyDescent="0.2"/>
    <row r="13054" ht="12.75" x14ac:dyDescent="0.2"/>
    <row r="13055" ht="12.75" x14ac:dyDescent="0.2"/>
    <row r="13056" ht="12.75" x14ac:dyDescent="0.2"/>
    <row r="13057" ht="12.75" x14ac:dyDescent="0.2"/>
    <row r="13058" ht="12.75" x14ac:dyDescent="0.2"/>
    <row r="13059" ht="12.75" x14ac:dyDescent="0.2"/>
    <row r="13060" ht="12.75" x14ac:dyDescent="0.2"/>
    <row r="13061" ht="12.75" x14ac:dyDescent="0.2"/>
    <row r="13062" ht="12.75" x14ac:dyDescent="0.2"/>
    <row r="13063" ht="12.75" x14ac:dyDescent="0.2"/>
    <row r="13064" ht="12.75" x14ac:dyDescent="0.2"/>
    <row r="13065" ht="12.75" x14ac:dyDescent="0.2"/>
    <row r="13066" ht="12.75" x14ac:dyDescent="0.2"/>
    <row r="13067" ht="12.75" x14ac:dyDescent="0.2"/>
    <row r="13068" ht="12.75" x14ac:dyDescent="0.2"/>
    <row r="13069" ht="12.75" x14ac:dyDescent="0.2"/>
    <row r="13070" ht="12.75" x14ac:dyDescent="0.2"/>
    <row r="13071" ht="12.75" x14ac:dyDescent="0.2"/>
    <row r="13072" ht="12.75" x14ac:dyDescent="0.2"/>
    <row r="13073" ht="12.75" x14ac:dyDescent="0.2"/>
    <row r="13074" ht="12.75" x14ac:dyDescent="0.2"/>
    <row r="13075" ht="12.75" x14ac:dyDescent="0.2"/>
    <row r="13076" ht="12.75" x14ac:dyDescent="0.2"/>
    <row r="13077" ht="12.75" x14ac:dyDescent="0.2"/>
    <row r="13078" ht="12.75" x14ac:dyDescent="0.2"/>
    <row r="13079" ht="12.75" x14ac:dyDescent="0.2"/>
    <row r="13080" ht="12.75" x14ac:dyDescent="0.2"/>
    <row r="13081" ht="12.75" x14ac:dyDescent="0.2"/>
    <row r="13082" ht="12.75" x14ac:dyDescent="0.2"/>
    <row r="13083" ht="12.75" x14ac:dyDescent="0.2"/>
    <row r="13084" ht="12.75" x14ac:dyDescent="0.2"/>
    <row r="13085" ht="12.75" x14ac:dyDescent="0.2"/>
    <row r="13086" ht="12.75" x14ac:dyDescent="0.2"/>
    <row r="13087" ht="12.75" x14ac:dyDescent="0.2"/>
    <row r="13088" ht="12.75" x14ac:dyDescent="0.2"/>
    <row r="13089" ht="12.75" x14ac:dyDescent="0.2"/>
    <row r="13090" ht="12.75" x14ac:dyDescent="0.2"/>
    <row r="13091" ht="12.75" x14ac:dyDescent="0.2"/>
    <row r="13092" ht="12.75" x14ac:dyDescent="0.2"/>
    <row r="13093" ht="12.75" x14ac:dyDescent="0.2"/>
    <row r="13094" ht="12.75" x14ac:dyDescent="0.2"/>
    <row r="13095" ht="12.75" x14ac:dyDescent="0.2"/>
    <row r="13096" ht="12.75" x14ac:dyDescent="0.2"/>
    <row r="13097" ht="12.75" x14ac:dyDescent="0.2"/>
    <row r="13098" ht="12.75" x14ac:dyDescent="0.2"/>
    <row r="13099" ht="12.75" x14ac:dyDescent="0.2"/>
    <row r="13100" ht="12.75" x14ac:dyDescent="0.2"/>
    <row r="13101" ht="12.75" x14ac:dyDescent="0.2"/>
    <row r="13102" ht="12.75" x14ac:dyDescent="0.2"/>
    <row r="13103" ht="12.75" x14ac:dyDescent="0.2"/>
    <row r="13104" ht="12.75" x14ac:dyDescent="0.2"/>
    <row r="13105" ht="12.75" x14ac:dyDescent="0.2"/>
    <row r="13106" ht="12.75" x14ac:dyDescent="0.2"/>
    <row r="13107" ht="12.75" x14ac:dyDescent="0.2"/>
    <row r="13108" ht="12.75" x14ac:dyDescent="0.2"/>
    <row r="13109" ht="12.75" x14ac:dyDescent="0.2"/>
    <row r="13110" ht="12.75" x14ac:dyDescent="0.2"/>
    <row r="13111" ht="12.75" x14ac:dyDescent="0.2"/>
    <row r="13112" ht="12.75" x14ac:dyDescent="0.2"/>
    <row r="13113" ht="12.75" x14ac:dyDescent="0.2"/>
    <row r="13114" ht="12.75" x14ac:dyDescent="0.2"/>
    <row r="13115" ht="12.75" x14ac:dyDescent="0.2"/>
    <row r="13116" ht="12.75" x14ac:dyDescent="0.2"/>
    <row r="13117" ht="12.75" x14ac:dyDescent="0.2"/>
    <row r="13118" ht="12.75" x14ac:dyDescent="0.2"/>
    <row r="13119" ht="12.75" x14ac:dyDescent="0.2"/>
    <row r="13120" ht="12.75" x14ac:dyDescent="0.2"/>
    <row r="13121" ht="12.75" x14ac:dyDescent="0.2"/>
    <row r="13122" ht="12.75" x14ac:dyDescent="0.2"/>
    <row r="13123" ht="12.75" x14ac:dyDescent="0.2"/>
    <row r="13124" ht="12.75" x14ac:dyDescent="0.2"/>
    <row r="13125" ht="12.75" x14ac:dyDescent="0.2"/>
    <row r="13126" ht="12.75" x14ac:dyDescent="0.2"/>
    <row r="13127" ht="12.75" x14ac:dyDescent="0.2"/>
    <row r="13128" ht="12.75" x14ac:dyDescent="0.2"/>
    <row r="13129" ht="12.75" x14ac:dyDescent="0.2"/>
    <row r="13130" ht="12.75" x14ac:dyDescent="0.2"/>
    <row r="13131" ht="12.75" x14ac:dyDescent="0.2"/>
    <row r="13132" ht="12.75" x14ac:dyDescent="0.2"/>
    <row r="13133" ht="12.75" x14ac:dyDescent="0.2"/>
    <row r="13134" ht="12.75" x14ac:dyDescent="0.2"/>
    <row r="13135" ht="12.75" x14ac:dyDescent="0.2"/>
    <row r="13136" ht="12.75" x14ac:dyDescent="0.2"/>
    <row r="13137" ht="12.75" x14ac:dyDescent="0.2"/>
    <row r="13138" ht="12.75" x14ac:dyDescent="0.2"/>
    <row r="13139" ht="12.75" x14ac:dyDescent="0.2"/>
    <row r="13140" ht="12.75" x14ac:dyDescent="0.2"/>
    <row r="13141" ht="12.75" x14ac:dyDescent="0.2"/>
    <row r="13142" ht="12.75" x14ac:dyDescent="0.2"/>
    <row r="13143" ht="12.75" x14ac:dyDescent="0.2"/>
    <row r="13144" ht="12.75" x14ac:dyDescent="0.2"/>
    <row r="13145" ht="12.75" x14ac:dyDescent="0.2"/>
    <row r="13146" ht="12.75" x14ac:dyDescent="0.2"/>
    <row r="13147" ht="12.75" x14ac:dyDescent="0.2"/>
    <row r="13148" ht="12.75" x14ac:dyDescent="0.2"/>
    <row r="13149" ht="12.75" x14ac:dyDescent="0.2"/>
    <row r="13150" ht="12.75" x14ac:dyDescent="0.2"/>
    <row r="13151" ht="12.75" x14ac:dyDescent="0.2"/>
    <row r="13152" ht="12.75" x14ac:dyDescent="0.2"/>
    <row r="13153" ht="12.75" x14ac:dyDescent="0.2"/>
    <row r="13154" ht="12.75" x14ac:dyDescent="0.2"/>
    <row r="13155" ht="12.75" x14ac:dyDescent="0.2"/>
    <row r="13156" ht="12.75" x14ac:dyDescent="0.2"/>
    <row r="13157" ht="12.75" x14ac:dyDescent="0.2"/>
    <row r="13158" ht="12.75" x14ac:dyDescent="0.2"/>
    <row r="13159" ht="12.75" x14ac:dyDescent="0.2"/>
    <row r="13160" ht="12.75" x14ac:dyDescent="0.2"/>
    <row r="13161" ht="12.75" x14ac:dyDescent="0.2"/>
    <row r="13162" ht="12.75" x14ac:dyDescent="0.2"/>
    <row r="13163" ht="12.75" x14ac:dyDescent="0.2"/>
    <row r="13164" ht="12.75" x14ac:dyDescent="0.2"/>
    <row r="13165" ht="12.75" x14ac:dyDescent="0.2"/>
    <row r="13166" ht="12.75" x14ac:dyDescent="0.2"/>
    <row r="13167" ht="12.75" x14ac:dyDescent="0.2"/>
    <row r="13168" ht="12.75" x14ac:dyDescent="0.2"/>
    <row r="13169" ht="12.75" x14ac:dyDescent="0.2"/>
    <row r="13170" ht="12.75" x14ac:dyDescent="0.2"/>
    <row r="13171" ht="12.75" x14ac:dyDescent="0.2"/>
    <row r="13172" ht="12.75" x14ac:dyDescent="0.2"/>
    <row r="13173" ht="12.75" x14ac:dyDescent="0.2"/>
    <row r="13174" ht="12.75" x14ac:dyDescent="0.2"/>
    <row r="13175" ht="12.75" x14ac:dyDescent="0.2"/>
    <row r="13176" ht="12.75" x14ac:dyDescent="0.2"/>
    <row r="13177" ht="12.75" x14ac:dyDescent="0.2"/>
    <row r="13178" ht="12.75" x14ac:dyDescent="0.2"/>
    <row r="13179" ht="12.75" x14ac:dyDescent="0.2"/>
    <row r="13180" ht="12.75" x14ac:dyDescent="0.2"/>
    <row r="13181" ht="12.75" x14ac:dyDescent="0.2"/>
    <row r="13182" ht="12.75" x14ac:dyDescent="0.2"/>
    <row r="13183" ht="12.75" x14ac:dyDescent="0.2"/>
    <row r="13184" ht="12.75" x14ac:dyDescent="0.2"/>
    <row r="13185" ht="12.75" x14ac:dyDescent="0.2"/>
    <row r="13186" ht="12.75" x14ac:dyDescent="0.2"/>
    <row r="13187" ht="12.75" x14ac:dyDescent="0.2"/>
    <row r="13188" ht="12.75" x14ac:dyDescent="0.2"/>
    <row r="13189" ht="12.75" x14ac:dyDescent="0.2"/>
    <row r="13190" ht="12.75" x14ac:dyDescent="0.2"/>
    <row r="13191" ht="12.75" x14ac:dyDescent="0.2"/>
    <row r="13192" ht="12.75" x14ac:dyDescent="0.2"/>
    <row r="13193" ht="12.75" x14ac:dyDescent="0.2"/>
    <row r="13194" ht="12.75" x14ac:dyDescent="0.2"/>
    <row r="13195" ht="12.75" x14ac:dyDescent="0.2"/>
    <row r="13196" ht="12.75" x14ac:dyDescent="0.2"/>
    <row r="13197" ht="12.75" x14ac:dyDescent="0.2"/>
    <row r="13198" ht="12.75" x14ac:dyDescent="0.2"/>
    <row r="13199" ht="12.75" x14ac:dyDescent="0.2"/>
    <row r="13200" ht="12.75" x14ac:dyDescent="0.2"/>
    <row r="13201" ht="12.75" x14ac:dyDescent="0.2"/>
    <row r="13202" ht="12.75" x14ac:dyDescent="0.2"/>
    <row r="13203" ht="12.75" x14ac:dyDescent="0.2"/>
    <row r="13204" ht="12.75" x14ac:dyDescent="0.2"/>
    <row r="13205" ht="12.75" x14ac:dyDescent="0.2"/>
    <row r="13206" ht="12.75" x14ac:dyDescent="0.2"/>
    <row r="13207" ht="12.75" x14ac:dyDescent="0.2"/>
    <row r="13208" ht="12.75" x14ac:dyDescent="0.2"/>
    <row r="13209" ht="12.75" x14ac:dyDescent="0.2"/>
    <row r="13210" ht="12.75" x14ac:dyDescent="0.2"/>
    <row r="13211" ht="12.75" x14ac:dyDescent="0.2"/>
    <row r="13212" ht="12.75" x14ac:dyDescent="0.2"/>
    <row r="13213" ht="12.75" x14ac:dyDescent="0.2"/>
    <row r="13214" ht="12.75" x14ac:dyDescent="0.2"/>
    <row r="13215" ht="12.75" x14ac:dyDescent="0.2"/>
    <row r="13216" ht="12.75" x14ac:dyDescent="0.2"/>
    <row r="13217" ht="12.75" x14ac:dyDescent="0.2"/>
    <row r="13218" ht="12.75" x14ac:dyDescent="0.2"/>
    <row r="13219" ht="12.75" x14ac:dyDescent="0.2"/>
    <row r="13220" ht="12.75" x14ac:dyDescent="0.2"/>
    <row r="13221" ht="12.75" x14ac:dyDescent="0.2"/>
    <row r="13222" ht="12.75" x14ac:dyDescent="0.2"/>
    <row r="13223" ht="12.75" x14ac:dyDescent="0.2"/>
    <row r="13224" ht="12.75" x14ac:dyDescent="0.2"/>
    <row r="13225" ht="12.75" x14ac:dyDescent="0.2"/>
    <row r="13226" ht="12.75" x14ac:dyDescent="0.2"/>
    <row r="13227" ht="12.75" x14ac:dyDescent="0.2"/>
    <row r="13228" ht="12.75" x14ac:dyDescent="0.2"/>
    <row r="13229" ht="12.75" x14ac:dyDescent="0.2"/>
    <row r="13230" ht="12.75" x14ac:dyDescent="0.2"/>
    <row r="13231" ht="12.75" x14ac:dyDescent="0.2"/>
    <row r="13232" ht="12.75" x14ac:dyDescent="0.2"/>
    <row r="13233" ht="12.75" x14ac:dyDescent="0.2"/>
    <row r="13234" ht="12.75" x14ac:dyDescent="0.2"/>
    <row r="13235" ht="12.75" x14ac:dyDescent="0.2"/>
    <row r="13236" ht="12.75" x14ac:dyDescent="0.2"/>
    <row r="13237" ht="12.75" x14ac:dyDescent="0.2"/>
    <row r="13238" ht="12.75" x14ac:dyDescent="0.2"/>
    <row r="13239" ht="12.75" x14ac:dyDescent="0.2"/>
    <row r="13240" ht="12.75" x14ac:dyDescent="0.2"/>
    <row r="13241" ht="12.75" x14ac:dyDescent="0.2"/>
    <row r="13242" ht="12.75" x14ac:dyDescent="0.2"/>
    <row r="13243" ht="12.75" x14ac:dyDescent="0.2"/>
    <row r="13244" ht="12.75" x14ac:dyDescent="0.2"/>
    <row r="13245" ht="12.75" x14ac:dyDescent="0.2"/>
    <row r="13246" ht="12.75" x14ac:dyDescent="0.2"/>
    <row r="13247" ht="12.75" x14ac:dyDescent="0.2"/>
    <row r="13248" ht="12.75" x14ac:dyDescent="0.2"/>
    <row r="13249" ht="12.75" x14ac:dyDescent="0.2"/>
    <row r="13250" ht="12.75" x14ac:dyDescent="0.2"/>
    <row r="13251" ht="12.75" x14ac:dyDescent="0.2"/>
    <row r="13252" ht="12.75" x14ac:dyDescent="0.2"/>
    <row r="13253" ht="12.75" x14ac:dyDescent="0.2"/>
    <row r="13254" ht="12.75" x14ac:dyDescent="0.2"/>
    <row r="13255" ht="12.75" x14ac:dyDescent="0.2"/>
    <row r="13256" ht="12.75" x14ac:dyDescent="0.2"/>
    <row r="13257" ht="12.75" x14ac:dyDescent="0.2"/>
    <row r="13258" ht="12.75" x14ac:dyDescent="0.2"/>
    <row r="13259" ht="12.75" x14ac:dyDescent="0.2"/>
    <row r="13260" ht="12.75" x14ac:dyDescent="0.2"/>
    <row r="13261" ht="12.75" x14ac:dyDescent="0.2"/>
    <row r="13262" ht="12.75" x14ac:dyDescent="0.2"/>
    <row r="13263" ht="12.75" x14ac:dyDescent="0.2"/>
    <row r="13264" ht="12.75" x14ac:dyDescent="0.2"/>
    <row r="13265" ht="12.75" x14ac:dyDescent="0.2"/>
    <row r="13266" ht="12.75" x14ac:dyDescent="0.2"/>
    <row r="13267" ht="12.75" x14ac:dyDescent="0.2"/>
    <row r="13268" ht="12.75" x14ac:dyDescent="0.2"/>
    <row r="13269" ht="12.75" x14ac:dyDescent="0.2"/>
    <row r="13270" ht="12.75" x14ac:dyDescent="0.2"/>
    <row r="13271" ht="12.75" x14ac:dyDescent="0.2"/>
    <row r="13272" ht="12.75" x14ac:dyDescent="0.2"/>
    <row r="13273" ht="12.75" x14ac:dyDescent="0.2"/>
    <row r="13274" ht="12.75" x14ac:dyDescent="0.2"/>
    <row r="13275" ht="12.75" x14ac:dyDescent="0.2"/>
    <row r="13276" ht="12.75" x14ac:dyDescent="0.2"/>
    <row r="13277" ht="12.75" x14ac:dyDescent="0.2"/>
    <row r="13278" ht="12.75" x14ac:dyDescent="0.2"/>
    <row r="13279" ht="12.75" x14ac:dyDescent="0.2"/>
    <row r="13280" ht="12.75" x14ac:dyDescent="0.2"/>
    <row r="13281" ht="12.75" x14ac:dyDescent="0.2"/>
    <row r="13282" ht="12.75" x14ac:dyDescent="0.2"/>
    <row r="13283" ht="12.75" x14ac:dyDescent="0.2"/>
    <row r="13284" ht="12.75" x14ac:dyDescent="0.2"/>
    <row r="13285" ht="12.75" x14ac:dyDescent="0.2"/>
    <row r="13286" ht="12.75" x14ac:dyDescent="0.2"/>
    <row r="13287" ht="12.75" x14ac:dyDescent="0.2"/>
    <row r="13288" ht="12.75" x14ac:dyDescent="0.2"/>
    <row r="13289" ht="12.75" x14ac:dyDescent="0.2"/>
    <row r="13290" ht="12.75" x14ac:dyDescent="0.2"/>
    <row r="13291" ht="12.75" x14ac:dyDescent="0.2"/>
    <row r="13292" ht="12.75" x14ac:dyDescent="0.2"/>
    <row r="13293" ht="12.75" x14ac:dyDescent="0.2"/>
    <row r="13294" ht="12.75" x14ac:dyDescent="0.2"/>
    <row r="13295" ht="12.75" x14ac:dyDescent="0.2"/>
    <row r="13296" ht="12.75" x14ac:dyDescent="0.2"/>
    <row r="13297" ht="12.75" x14ac:dyDescent="0.2"/>
    <row r="13298" ht="12.75" x14ac:dyDescent="0.2"/>
    <row r="13299" ht="12.75" x14ac:dyDescent="0.2"/>
    <row r="13300" ht="12.75" x14ac:dyDescent="0.2"/>
    <row r="13301" ht="12.75" x14ac:dyDescent="0.2"/>
    <row r="13302" ht="12.75" x14ac:dyDescent="0.2"/>
    <row r="13303" ht="12.75" x14ac:dyDescent="0.2"/>
    <row r="13304" ht="12.75" x14ac:dyDescent="0.2"/>
    <row r="13305" ht="12.75" x14ac:dyDescent="0.2"/>
    <row r="13306" ht="12.75" x14ac:dyDescent="0.2"/>
    <row r="13307" ht="12.75" x14ac:dyDescent="0.2"/>
    <row r="13308" ht="12.75" x14ac:dyDescent="0.2"/>
    <row r="13309" ht="12.75" x14ac:dyDescent="0.2"/>
    <row r="13310" ht="12.75" x14ac:dyDescent="0.2"/>
    <row r="13311" ht="12.75" x14ac:dyDescent="0.2"/>
    <row r="13312" ht="12.75" x14ac:dyDescent="0.2"/>
    <row r="13313" ht="12.75" x14ac:dyDescent="0.2"/>
    <row r="13314" ht="12.75" x14ac:dyDescent="0.2"/>
    <row r="13315" ht="12.75" x14ac:dyDescent="0.2"/>
    <row r="13316" ht="12.75" x14ac:dyDescent="0.2"/>
    <row r="13317" ht="12.75" x14ac:dyDescent="0.2"/>
    <row r="13318" ht="12.75" x14ac:dyDescent="0.2"/>
    <row r="13319" ht="12.75" x14ac:dyDescent="0.2"/>
    <row r="13320" ht="12.75" x14ac:dyDescent="0.2"/>
    <row r="13321" ht="12.75" x14ac:dyDescent="0.2"/>
    <row r="13322" ht="12.75" x14ac:dyDescent="0.2"/>
    <row r="13323" ht="12.75" x14ac:dyDescent="0.2"/>
    <row r="13324" ht="12.75" x14ac:dyDescent="0.2"/>
    <row r="13325" ht="12.75" x14ac:dyDescent="0.2"/>
    <row r="13326" ht="12.75" x14ac:dyDescent="0.2"/>
    <row r="13327" ht="12.75" x14ac:dyDescent="0.2"/>
    <row r="13328" ht="12.75" x14ac:dyDescent="0.2"/>
    <row r="13329" ht="12.75" x14ac:dyDescent="0.2"/>
    <row r="13330" ht="12.75" x14ac:dyDescent="0.2"/>
    <row r="13331" ht="12.75" x14ac:dyDescent="0.2"/>
    <row r="13332" ht="12.75" x14ac:dyDescent="0.2"/>
    <row r="13333" ht="12.75" x14ac:dyDescent="0.2"/>
    <row r="13334" ht="12.75" x14ac:dyDescent="0.2"/>
    <row r="13335" ht="12.75" x14ac:dyDescent="0.2"/>
    <row r="13336" ht="12.75" x14ac:dyDescent="0.2"/>
    <row r="13337" ht="12.75" x14ac:dyDescent="0.2"/>
    <row r="13338" ht="12.75" x14ac:dyDescent="0.2"/>
    <row r="13339" ht="12.75" x14ac:dyDescent="0.2"/>
    <row r="13340" ht="12.75" x14ac:dyDescent="0.2"/>
    <row r="13341" ht="12.75" x14ac:dyDescent="0.2"/>
    <row r="13342" ht="12.75" x14ac:dyDescent="0.2"/>
    <row r="13343" ht="12.75" x14ac:dyDescent="0.2"/>
    <row r="13344" ht="12.75" x14ac:dyDescent="0.2"/>
    <row r="13345" ht="12.75" x14ac:dyDescent="0.2"/>
    <row r="13346" ht="12.75" x14ac:dyDescent="0.2"/>
    <row r="13347" ht="12.75" x14ac:dyDescent="0.2"/>
    <row r="13348" ht="12.75" x14ac:dyDescent="0.2"/>
    <row r="13349" ht="12.75" x14ac:dyDescent="0.2"/>
    <row r="13350" ht="12.75" x14ac:dyDescent="0.2"/>
    <row r="13351" ht="12.75" x14ac:dyDescent="0.2"/>
    <row r="13352" ht="12.75" x14ac:dyDescent="0.2"/>
    <row r="13353" ht="12.75" x14ac:dyDescent="0.2"/>
    <row r="13354" ht="12.75" x14ac:dyDescent="0.2"/>
    <row r="13355" ht="12.75" x14ac:dyDescent="0.2"/>
    <row r="13356" ht="12.75" x14ac:dyDescent="0.2"/>
    <row r="13357" ht="12.75" x14ac:dyDescent="0.2"/>
    <row r="13358" ht="12.75" x14ac:dyDescent="0.2"/>
    <row r="13359" ht="12.75" x14ac:dyDescent="0.2"/>
    <row r="13360" ht="12.75" x14ac:dyDescent="0.2"/>
    <row r="13361" ht="12.75" x14ac:dyDescent="0.2"/>
    <row r="13362" ht="12.75" x14ac:dyDescent="0.2"/>
    <row r="13363" ht="12.75" x14ac:dyDescent="0.2"/>
    <row r="13364" ht="12.75" x14ac:dyDescent="0.2"/>
    <row r="13365" ht="12.75" x14ac:dyDescent="0.2"/>
    <row r="13366" ht="12.75" x14ac:dyDescent="0.2"/>
    <row r="13367" ht="12.75" x14ac:dyDescent="0.2"/>
    <row r="13368" ht="12.75" x14ac:dyDescent="0.2"/>
    <row r="13369" ht="12.75" x14ac:dyDescent="0.2"/>
    <row r="13370" ht="12.75" x14ac:dyDescent="0.2"/>
    <row r="13371" ht="12.75" x14ac:dyDescent="0.2"/>
    <row r="13372" ht="12.75" x14ac:dyDescent="0.2"/>
    <row r="13373" ht="12.75" x14ac:dyDescent="0.2"/>
    <row r="13374" ht="12.75" x14ac:dyDescent="0.2"/>
    <row r="13375" ht="12.75" x14ac:dyDescent="0.2"/>
    <row r="13376" ht="12.75" x14ac:dyDescent="0.2"/>
    <row r="13377" ht="12.75" x14ac:dyDescent="0.2"/>
    <row r="13378" ht="12.75" x14ac:dyDescent="0.2"/>
    <row r="13379" ht="12.75" x14ac:dyDescent="0.2"/>
    <row r="13380" ht="12.75" x14ac:dyDescent="0.2"/>
    <row r="13381" ht="12.75" x14ac:dyDescent="0.2"/>
    <row r="13382" ht="12.75" x14ac:dyDescent="0.2"/>
    <row r="13383" ht="12.75" x14ac:dyDescent="0.2"/>
    <row r="13384" ht="12.75" x14ac:dyDescent="0.2"/>
    <row r="13385" ht="12.75" x14ac:dyDescent="0.2"/>
    <row r="13386" ht="12.75" x14ac:dyDescent="0.2"/>
    <row r="13387" ht="12.75" x14ac:dyDescent="0.2"/>
    <row r="13388" ht="12.75" x14ac:dyDescent="0.2"/>
    <row r="13389" ht="12.75" x14ac:dyDescent="0.2"/>
    <row r="13390" ht="12.75" x14ac:dyDescent="0.2"/>
    <row r="13391" ht="12.75" x14ac:dyDescent="0.2"/>
    <row r="13392" ht="12.75" x14ac:dyDescent="0.2"/>
    <row r="13393" ht="12.75" x14ac:dyDescent="0.2"/>
    <row r="13394" ht="12.75" x14ac:dyDescent="0.2"/>
    <row r="13395" ht="12.75" x14ac:dyDescent="0.2"/>
    <row r="13396" ht="12.75" x14ac:dyDescent="0.2"/>
    <row r="13397" ht="12.75" x14ac:dyDescent="0.2"/>
    <row r="13398" ht="12.75" x14ac:dyDescent="0.2"/>
    <row r="13399" ht="12.75" x14ac:dyDescent="0.2"/>
    <row r="13400" ht="12.75" x14ac:dyDescent="0.2"/>
    <row r="13401" ht="12.75" x14ac:dyDescent="0.2"/>
    <row r="13402" ht="12.75" x14ac:dyDescent="0.2"/>
    <row r="13403" ht="12.75" x14ac:dyDescent="0.2"/>
    <row r="13404" ht="12.75" x14ac:dyDescent="0.2"/>
    <row r="13405" ht="12.75" x14ac:dyDescent="0.2"/>
    <row r="13406" ht="12.75" x14ac:dyDescent="0.2"/>
    <row r="13407" ht="12.75" x14ac:dyDescent="0.2"/>
    <row r="13408" ht="12.75" x14ac:dyDescent="0.2"/>
    <row r="13409" ht="12.75" x14ac:dyDescent="0.2"/>
    <row r="13410" ht="12.75" x14ac:dyDescent="0.2"/>
    <row r="13411" ht="12.75" x14ac:dyDescent="0.2"/>
    <row r="13412" ht="12.75" x14ac:dyDescent="0.2"/>
    <row r="13413" ht="12.75" x14ac:dyDescent="0.2"/>
    <row r="13414" ht="12.75" x14ac:dyDescent="0.2"/>
    <row r="13415" ht="12.75" x14ac:dyDescent="0.2"/>
    <row r="13416" ht="12.75" x14ac:dyDescent="0.2"/>
    <row r="13417" ht="12.75" x14ac:dyDescent="0.2"/>
    <row r="13418" ht="12.75" x14ac:dyDescent="0.2"/>
    <row r="13419" ht="12.75" x14ac:dyDescent="0.2"/>
    <row r="13420" ht="12.75" x14ac:dyDescent="0.2"/>
    <row r="13421" ht="12.75" x14ac:dyDescent="0.2"/>
    <row r="13422" ht="12.75" x14ac:dyDescent="0.2"/>
    <row r="13423" ht="12.75" x14ac:dyDescent="0.2"/>
    <row r="13424" ht="12.75" x14ac:dyDescent="0.2"/>
    <row r="13425" ht="12.75" x14ac:dyDescent="0.2"/>
    <row r="13426" ht="12.75" x14ac:dyDescent="0.2"/>
    <row r="13427" ht="12.75" x14ac:dyDescent="0.2"/>
    <row r="13428" ht="12.75" x14ac:dyDescent="0.2"/>
    <row r="13429" ht="12.75" x14ac:dyDescent="0.2"/>
    <row r="13430" ht="12.75" x14ac:dyDescent="0.2"/>
    <row r="13431" ht="12.75" x14ac:dyDescent="0.2"/>
    <row r="13432" ht="12.75" x14ac:dyDescent="0.2"/>
    <row r="13433" ht="12.75" x14ac:dyDescent="0.2"/>
    <row r="13434" ht="12.75" x14ac:dyDescent="0.2"/>
    <row r="13435" ht="12.75" x14ac:dyDescent="0.2"/>
    <row r="13436" ht="12.75" x14ac:dyDescent="0.2"/>
    <row r="13437" ht="12.75" x14ac:dyDescent="0.2"/>
    <row r="13438" ht="12.75" x14ac:dyDescent="0.2"/>
    <row r="13439" ht="12.75" x14ac:dyDescent="0.2"/>
    <row r="13440" ht="12.75" x14ac:dyDescent="0.2"/>
    <row r="13441" ht="12.75" x14ac:dyDescent="0.2"/>
    <row r="13442" ht="12.75" x14ac:dyDescent="0.2"/>
    <row r="13443" ht="12.75" x14ac:dyDescent="0.2"/>
    <row r="13444" ht="12.75" x14ac:dyDescent="0.2"/>
    <row r="13445" ht="12.75" x14ac:dyDescent="0.2"/>
    <row r="13446" ht="12.75" x14ac:dyDescent="0.2"/>
    <row r="13447" ht="12.75" x14ac:dyDescent="0.2"/>
    <row r="13448" ht="12.75" x14ac:dyDescent="0.2"/>
    <row r="13449" ht="12.75" x14ac:dyDescent="0.2"/>
    <row r="13450" ht="12.75" x14ac:dyDescent="0.2"/>
    <row r="13451" ht="12.75" x14ac:dyDescent="0.2"/>
    <row r="13452" ht="12.75" x14ac:dyDescent="0.2"/>
    <row r="13453" ht="12.75" x14ac:dyDescent="0.2"/>
    <row r="13454" ht="12.75" x14ac:dyDescent="0.2"/>
    <row r="13455" ht="12.75" x14ac:dyDescent="0.2"/>
    <row r="13456" ht="12.75" x14ac:dyDescent="0.2"/>
    <row r="13457" ht="12.75" x14ac:dyDescent="0.2"/>
    <row r="13458" ht="12.75" x14ac:dyDescent="0.2"/>
    <row r="13459" ht="12.75" x14ac:dyDescent="0.2"/>
    <row r="13460" ht="12.75" x14ac:dyDescent="0.2"/>
    <row r="13461" ht="12.75" x14ac:dyDescent="0.2"/>
    <row r="13462" ht="12.75" x14ac:dyDescent="0.2"/>
    <row r="13463" ht="12.75" x14ac:dyDescent="0.2"/>
    <row r="13464" ht="12.75" x14ac:dyDescent="0.2"/>
    <row r="13465" ht="12.75" x14ac:dyDescent="0.2"/>
    <row r="13466" ht="12.75" x14ac:dyDescent="0.2"/>
    <row r="13467" ht="12.75" x14ac:dyDescent="0.2"/>
    <row r="13468" ht="12.75" x14ac:dyDescent="0.2"/>
    <row r="13469" ht="12.75" x14ac:dyDescent="0.2"/>
    <row r="13470" ht="12.75" x14ac:dyDescent="0.2"/>
    <row r="13471" ht="12.75" x14ac:dyDescent="0.2"/>
    <row r="13472" ht="12.75" x14ac:dyDescent="0.2"/>
    <row r="13473" ht="12.75" x14ac:dyDescent="0.2"/>
    <row r="13474" ht="12.75" x14ac:dyDescent="0.2"/>
    <row r="13475" ht="12.75" x14ac:dyDescent="0.2"/>
    <row r="13476" ht="12.75" x14ac:dyDescent="0.2"/>
    <row r="13477" ht="12.75" x14ac:dyDescent="0.2"/>
    <row r="13478" ht="12.75" x14ac:dyDescent="0.2"/>
    <row r="13479" ht="12.75" x14ac:dyDescent="0.2"/>
    <row r="13480" ht="12.75" x14ac:dyDescent="0.2"/>
    <row r="13481" ht="12.75" x14ac:dyDescent="0.2"/>
    <row r="13482" ht="12.75" x14ac:dyDescent="0.2"/>
    <row r="13483" ht="12.75" x14ac:dyDescent="0.2"/>
    <row r="13484" ht="12.75" x14ac:dyDescent="0.2"/>
    <row r="13485" ht="12.75" x14ac:dyDescent="0.2"/>
    <row r="13486" ht="12.75" x14ac:dyDescent="0.2"/>
    <row r="13487" ht="12.75" x14ac:dyDescent="0.2"/>
    <row r="13488" ht="12.75" x14ac:dyDescent="0.2"/>
    <row r="13489" ht="12.75" x14ac:dyDescent="0.2"/>
    <row r="13490" ht="12.75" x14ac:dyDescent="0.2"/>
    <row r="13491" ht="12.75" x14ac:dyDescent="0.2"/>
    <row r="13492" ht="12.75" x14ac:dyDescent="0.2"/>
    <row r="13493" ht="12.75" x14ac:dyDescent="0.2"/>
    <row r="13494" ht="12.75" x14ac:dyDescent="0.2"/>
    <row r="13495" ht="12.75" x14ac:dyDescent="0.2"/>
    <row r="13496" ht="12.75" x14ac:dyDescent="0.2"/>
    <row r="13497" ht="12.75" x14ac:dyDescent="0.2"/>
    <row r="13498" ht="12.75" x14ac:dyDescent="0.2"/>
    <row r="13499" ht="12.75" x14ac:dyDescent="0.2"/>
    <row r="13500" ht="12.75" x14ac:dyDescent="0.2"/>
    <row r="13501" ht="12.75" x14ac:dyDescent="0.2"/>
    <row r="13502" ht="12.75" x14ac:dyDescent="0.2"/>
    <row r="13503" ht="12.75" x14ac:dyDescent="0.2"/>
    <row r="13504" ht="12.75" x14ac:dyDescent="0.2"/>
    <row r="13505" ht="12.75" x14ac:dyDescent="0.2"/>
    <row r="13506" ht="12.75" x14ac:dyDescent="0.2"/>
    <row r="13507" ht="12.75" x14ac:dyDescent="0.2"/>
    <row r="13508" ht="12.75" x14ac:dyDescent="0.2"/>
    <row r="13509" ht="12.75" x14ac:dyDescent="0.2"/>
    <row r="13510" ht="12.75" x14ac:dyDescent="0.2"/>
    <row r="13511" ht="12.75" x14ac:dyDescent="0.2"/>
    <row r="13512" ht="12.75" x14ac:dyDescent="0.2"/>
    <row r="13513" ht="12.75" x14ac:dyDescent="0.2"/>
    <row r="13514" ht="12.75" x14ac:dyDescent="0.2"/>
    <row r="13515" ht="12.75" x14ac:dyDescent="0.2"/>
    <row r="13516" ht="12.75" x14ac:dyDescent="0.2"/>
    <row r="13517" ht="12.75" x14ac:dyDescent="0.2"/>
    <row r="13518" ht="12.75" x14ac:dyDescent="0.2"/>
    <row r="13519" ht="12.75" x14ac:dyDescent="0.2"/>
    <row r="13520" ht="12.75" x14ac:dyDescent="0.2"/>
    <row r="13521" ht="12.75" x14ac:dyDescent="0.2"/>
    <row r="13522" ht="12.75" x14ac:dyDescent="0.2"/>
    <row r="13523" ht="12.75" x14ac:dyDescent="0.2"/>
    <row r="13524" ht="12.75" x14ac:dyDescent="0.2"/>
    <row r="13525" ht="12.75" x14ac:dyDescent="0.2"/>
    <row r="13526" ht="12.75" x14ac:dyDescent="0.2"/>
    <row r="13527" ht="12.75" x14ac:dyDescent="0.2"/>
    <row r="13528" ht="12.75" x14ac:dyDescent="0.2"/>
    <row r="13529" ht="12.75" x14ac:dyDescent="0.2"/>
    <row r="13530" ht="12.75" x14ac:dyDescent="0.2"/>
    <row r="13531" ht="12.75" x14ac:dyDescent="0.2"/>
    <row r="13532" ht="12.75" x14ac:dyDescent="0.2"/>
    <row r="13533" ht="12.75" x14ac:dyDescent="0.2"/>
    <row r="13534" ht="12.75" x14ac:dyDescent="0.2"/>
    <row r="13535" ht="12.75" x14ac:dyDescent="0.2"/>
    <row r="13536" ht="12.75" x14ac:dyDescent="0.2"/>
    <row r="13537" ht="12.75" x14ac:dyDescent="0.2"/>
    <row r="13538" ht="12.75" x14ac:dyDescent="0.2"/>
    <row r="13539" ht="12.75" x14ac:dyDescent="0.2"/>
    <row r="13540" ht="12.75" x14ac:dyDescent="0.2"/>
    <row r="13541" ht="12.75" x14ac:dyDescent="0.2"/>
    <row r="13542" ht="12.75" x14ac:dyDescent="0.2"/>
    <row r="13543" ht="12.75" x14ac:dyDescent="0.2"/>
    <row r="13544" ht="12.75" x14ac:dyDescent="0.2"/>
    <row r="13545" ht="12.75" x14ac:dyDescent="0.2"/>
    <row r="13546" ht="12.75" x14ac:dyDescent="0.2"/>
    <row r="13547" ht="12.75" x14ac:dyDescent="0.2"/>
    <row r="13548" ht="12.75" x14ac:dyDescent="0.2"/>
    <row r="13549" ht="12.75" x14ac:dyDescent="0.2"/>
    <row r="13550" ht="12.75" x14ac:dyDescent="0.2"/>
    <row r="13551" ht="12.75" x14ac:dyDescent="0.2"/>
    <row r="13552" ht="12.75" x14ac:dyDescent="0.2"/>
    <row r="13553" ht="12.75" x14ac:dyDescent="0.2"/>
    <row r="13554" ht="12.75" x14ac:dyDescent="0.2"/>
    <row r="13555" ht="12.75" x14ac:dyDescent="0.2"/>
    <row r="13556" ht="12.75" x14ac:dyDescent="0.2"/>
    <row r="13557" ht="12.75" x14ac:dyDescent="0.2"/>
    <row r="13558" ht="12.75" x14ac:dyDescent="0.2"/>
    <row r="13559" ht="12.75" x14ac:dyDescent="0.2"/>
    <row r="13560" ht="12.75" x14ac:dyDescent="0.2"/>
    <row r="13561" ht="12.75" x14ac:dyDescent="0.2"/>
    <row r="13562" ht="12.75" x14ac:dyDescent="0.2"/>
    <row r="13563" ht="12.75" x14ac:dyDescent="0.2"/>
    <row r="13564" ht="12.75" x14ac:dyDescent="0.2"/>
    <row r="13565" ht="12.75" x14ac:dyDescent="0.2"/>
    <row r="13566" ht="12.75" x14ac:dyDescent="0.2"/>
    <row r="13567" ht="12.75" x14ac:dyDescent="0.2"/>
    <row r="13568" ht="12.75" x14ac:dyDescent="0.2"/>
    <row r="13569" ht="12.75" x14ac:dyDescent="0.2"/>
    <row r="13570" ht="12.75" x14ac:dyDescent="0.2"/>
    <row r="13571" ht="12.75" x14ac:dyDescent="0.2"/>
    <row r="13572" ht="12.75" x14ac:dyDescent="0.2"/>
    <row r="13573" ht="12.75" x14ac:dyDescent="0.2"/>
    <row r="13574" ht="12.75" x14ac:dyDescent="0.2"/>
    <row r="13575" ht="12.75" x14ac:dyDescent="0.2"/>
    <row r="13576" ht="12.75" x14ac:dyDescent="0.2"/>
    <row r="13577" ht="12.75" x14ac:dyDescent="0.2"/>
    <row r="13578" ht="12.75" x14ac:dyDescent="0.2"/>
    <row r="13579" ht="12.75" x14ac:dyDescent="0.2"/>
    <row r="13580" ht="12.75" x14ac:dyDescent="0.2"/>
    <row r="13581" ht="12.75" x14ac:dyDescent="0.2"/>
    <row r="13582" ht="12.75" x14ac:dyDescent="0.2"/>
    <row r="13583" ht="12.75" x14ac:dyDescent="0.2"/>
    <row r="13584" ht="12.75" x14ac:dyDescent="0.2"/>
    <row r="13585" ht="12.75" x14ac:dyDescent="0.2"/>
    <row r="13586" ht="12.75" x14ac:dyDescent="0.2"/>
    <row r="13587" ht="12.75" x14ac:dyDescent="0.2"/>
    <row r="13588" ht="12.75" x14ac:dyDescent="0.2"/>
    <row r="13589" ht="12.75" x14ac:dyDescent="0.2"/>
    <row r="13590" ht="12.75" x14ac:dyDescent="0.2"/>
    <row r="13591" ht="12.75" x14ac:dyDescent="0.2"/>
    <row r="13592" ht="12.75" x14ac:dyDescent="0.2"/>
    <row r="13593" ht="12.75" x14ac:dyDescent="0.2"/>
    <row r="13594" ht="12.75" x14ac:dyDescent="0.2"/>
    <row r="13595" ht="12.75" x14ac:dyDescent="0.2"/>
    <row r="13596" ht="12.75" x14ac:dyDescent="0.2"/>
    <row r="13597" ht="12.75" x14ac:dyDescent="0.2"/>
    <row r="13598" ht="12.75" x14ac:dyDescent="0.2"/>
    <row r="13599" ht="12.75" x14ac:dyDescent="0.2"/>
    <row r="13600" ht="12.75" x14ac:dyDescent="0.2"/>
    <row r="13601" ht="12.75" x14ac:dyDescent="0.2"/>
    <row r="13602" ht="12.75" x14ac:dyDescent="0.2"/>
    <row r="13603" ht="12.75" x14ac:dyDescent="0.2"/>
    <row r="13604" ht="12.75" x14ac:dyDescent="0.2"/>
    <row r="13605" ht="12.75" x14ac:dyDescent="0.2"/>
    <row r="13606" ht="12.75" x14ac:dyDescent="0.2"/>
    <row r="13607" ht="12.75" x14ac:dyDescent="0.2"/>
    <row r="13608" ht="12.75" x14ac:dyDescent="0.2"/>
    <row r="13609" ht="12.75" x14ac:dyDescent="0.2"/>
    <row r="13610" ht="12.75" x14ac:dyDescent="0.2"/>
    <row r="13611" ht="12.75" x14ac:dyDescent="0.2"/>
    <row r="13612" ht="12.75" x14ac:dyDescent="0.2"/>
    <row r="13613" ht="12.75" x14ac:dyDescent="0.2"/>
    <row r="13614" ht="12.75" x14ac:dyDescent="0.2"/>
    <row r="13615" ht="12.75" x14ac:dyDescent="0.2"/>
    <row r="13616" ht="12.75" x14ac:dyDescent="0.2"/>
    <row r="13617" ht="12.75" x14ac:dyDescent="0.2"/>
    <row r="13618" ht="12.75" x14ac:dyDescent="0.2"/>
    <row r="13619" ht="12.75" x14ac:dyDescent="0.2"/>
    <row r="13620" ht="12.75" x14ac:dyDescent="0.2"/>
    <row r="13621" ht="12.75" x14ac:dyDescent="0.2"/>
    <row r="13622" ht="12.75" x14ac:dyDescent="0.2"/>
    <row r="13623" ht="12.75" x14ac:dyDescent="0.2"/>
    <row r="13624" ht="12.75" x14ac:dyDescent="0.2"/>
    <row r="13625" ht="12.75" x14ac:dyDescent="0.2"/>
    <row r="13626" ht="12.75" x14ac:dyDescent="0.2"/>
    <row r="13627" ht="12.75" x14ac:dyDescent="0.2"/>
    <row r="13628" ht="12.75" x14ac:dyDescent="0.2"/>
    <row r="13629" ht="12.75" x14ac:dyDescent="0.2"/>
    <row r="13630" ht="12.75" x14ac:dyDescent="0.2"/>
    <row r="13631" ht="12.75" x14ac:dyDescent="0.2"/>
    <row r="13632" ht="12.75" x14ac:dyDescent="0.2"/>
    <row r="13633" ht="12.75" x14ac:dyDescent="0.2"/>
    <row r="13634" ht="12.75" x14ac:dyDescent="0.2"/>
    <row r="13635" ht="12.75" x14ac:dyDescent="0.2"/>
    <row r="13636" ht="12.75" x14ac:dyDescent="0.2"/>
    <row r="13637" ht="12.75" x14ac:dyDescent="0.2"/>
    <row r="13638" ht="12.75" x14ac:dyDescent="0.2"/>
    <row r="13639" ht="12.75" x14ac:dyDescent="0.2"/>
    <row r="13640" ht="12.75" x14ac:dyDescent="0.2"/>
    <row r="13641" ht="12.75" x14ac:dyDescent="0.2"/>
    <row r="13642" ht="12.75" x14ac:dyDescent="0.2"/>
    <row r="13643" ht="12.75" x14ac:dyDescent="0.2"/>
    <row r="13644" ht="12.75" x14ac:dyDescent="0.2"/>
    <row r="13645" ht="12.75" x14ac:dyDescent="0.2"/>
    <row r="13646" ht="12.75" x14ac:dyDescent="0.2"/>
    <row r="13647" ht="12.75" x14ac:dyDescent="0.2"/>
    <row r="13648" ht="12.75" x14ac:dyDescent="0.2"/>
    <row r="13649" ht="12.75" x14ac:dyDescent="0.2"/>
    <row r="13650" ht="12.75" x14ac:dyDescent="0.2"/>
    <row r="13651" ht="12.75" x14ac:dyDescent="0.2"/>
    <row r="13652" ht="12.75" x14ac:dyDescent="0.2"/>
    <row r="13653" ht="12.75" x14ac:dyDescent="0.2"/>
    <row r="13654" ht="12.75" x14ac:dyDescent="0.2"/>
    <row r="13655" ht="12.75" x14ac:dyDescent="0.2"/>
    <row r="13656" ht="12.75" x14ac:dyDescent="0.2"/>
    <row r="13657" ht="12.75" x14ac:dyDescent="0.2"/>
    <row r="13658" ht="12.75" x14ac:dyDescent="0.2"/>
    <row r="13659" ht="12.75" x14ac:dyDescent="0.2"/>
    <row r="13660" ht="12.75" x14ac:dyDescent="0.2"/>
    <row r="13661" ht="12.75" x14ac:dyDescent="0.2"/>
    <row r="13662" ht="12.75" x14ac:dyDescent="0.2"/>
    <row r="13663" ht="12.75" x14ac:dyDescent="0.2"/>
    <row r="13664" ht="12.75" x14ac:dyDescent="0.2"/>
    <row r="13665" ht="12.75" x14ac:dyDescent="0.2"/>
    <row r="13666" ht="12.75" x14ac:dyDescent="0.2"/>
    <row r="13667" ht="12.75" x14ac:dyDescent="0.2"/>
    <row r="13668" ht="12.75" x14ac:dyDescent="0.2"/>
    <row r="13669" ht="12.75" x14ac:dyDescent="0.2"/>
    <row r="13670" ht="12.75" x14ac:dyDescent="0.2"/>
    <row r="13671" ht="12.75" x14ac:dyDescent="0.2"/>
    <row r="13672" ht="12.75" x14ac:dyDescent="0.2"/>
    <row r="13673" ht="12.75" x14ac:dyDescent="0.2"/>
    <row r="13674" ht="12.75" x14ac:dyDescent="0.2"/>
    <row r="13675" ht="12.75" x14ac:dyDescent="0.2"/>
    <row r="13676" ht="12.75" x14ac:dyDescent="0.2"/>
    <row r="13677" ht="12.75" x14ac:dyDescent="0.2"/>
    <row r="13678" ht="12.75" x14ac:dyDescent="0.2"/>
    <row r="13679" ht="12.75" x14ac:dyDescent="0.2"/>
    <row r="13680" ht="12.75" x14ac:dyDescent="0.2"/>
    <row r="13681" ht="12.75" x14ac:dyDescent="0.2"/>
    <row r="13682" ht="12.75" x14ac:dyDescent="0.2"/>
    <row r="13683" ht="12.75" x14ac:dyDescent="0.2"/>
    <row r="13684" ht="12.75" x14ac:dyDescent="0.2"/>
    <row r="13685" ht="12.75" x14ac:dyDescent="0.2"/>
    <row r="13686" ht="12.75" x14ac:dyDescent="0.2"/>
    <row r="13687" ht="12.75" x14ac:dyDescent="0.2"/>
    <row r="13688" ht="12.75" x14ac:dyDescent="0.2"/>
    <row r="13689" ht="12.75" x14ac:dyDescent="0.2"/>
    <row r="13690" ht="12.75" x14ac:dyDescent="0.2"/>
    <row r="13691" ht="12.75" x14ac:dyDescent="0.2"/>
    <row r="13692" ht="12.75" x14ac:dyDescent="0.2"/>
    <row r="13693" ht="12.75" x14ac:dyDescent="0.2"/>
    <row r="13694" ht="12.75" x14ac:dyDescent="0.2"/>
    <row r="13695" ht="12.75" x14ac:dyDescent="0.2"/>
    <row r="13696" ht="12.75" x14ac:dyDescent="0.2"/>
    <row r="13697" ht="12.75" x14ac:dyDescent="0.2"/>
    <row r="13698" ht="12.75" x14ac:dyDescent="0.2"/>
    <row r="13699" ht="12.75" x14ac:dyDescent="0.2"/>
    <row r="13700" ht="12.75" x14ac:dyDescent="0.2"/>
    <row r="13701" ht="12.75" x14ac:dyDescent="0.2"/>
    <row r="13702" ht="12.75" x14ac:dyDescent="0.2"/>
    <row r="13703" ht="12.75" x14ac:dyDescent="0.2"/>
    <row r="13704" ht="12.75" x14ac:dyDescent="0.2"/>
    <row r="13705" ht="12.75" x14ac:dyDescent="0.2"/>
    <row r="13706" ht="12.75" x14ac:dyDescent="0.2"/>
    <row r="13707" ht="12.75" x14ac:dyDescent="0.2"/>
    <row r="13708" ht="12.75" x14ac:dyDescent="0.2"/>
    <row r="13709" ht="12.75" x14ac:dyDescent="0.2"/>
    <row r="13710" ht="12.75" x14ac:dyDescent="0.2"/>
    <row r="13711" ht="12.75" x14ac:dyDescent="0.2"/>
    <row r="13712" ht="12.75" x14ac:dyDescent="0.2"/>
    <row r="13713" ht="12.75" x14ac:dyDescent="0.2"/>
    <row r="13714" ht="12.75" x14ac:dyDescent="0.2"/>
    <row r="13715" ht="12.75" x14ac:dyDescent="0.2"/>
    <row r="13716" ht="12.75" x14ac:dyDescent="0.2"/>
    <row r="13717" ht="12.75" x14ac:dyDescent="0.2"/>
    <row r="13718" ht="12.75" x14ac:dyDescent="0.2"/>
    <row r="13719" ht="12.75" x14ac:dyDescent="0.2"/>
    <row r="13720" ht="12.75" x14ac:dyDescent="0.2"/>
    <row r="13721" ht="12.75" x14ac:dyDescent="0.2"/>
    <row r="13722" ht="12.75" x14ac:dyDescent="0.2"/>
    <row r="13723" ht="12.75" x14ac:dyDescent="0.2"/>
    <row r="13724" ht="12.75" x14ac:dyDescent="0.2"/>
    <row r="13725" ht="12.75" x14ac:dyDescent="0.2"/>
    <row r="13726" ht="12.75" x14ac:dyDescent="0.2"/>
    <row r="13727" ht="12.75" x14ac:dyDescent="0.2"/>
    <row r="13728" ht="12.75" x14ac:dyDescent="0.2"/>
    <row r="13729" ht="12.75" x14ac:dyDescent="0.2"/>
    <row r="13730" ht="12.75" x14ac:dyDescent="0.2"/>
    <row r="13731" ht="12.75" x14ac:dyDescent="0.2"/>
    <row r="13732" ht="12.75" x14ac:dyDescent="0.2"/>
    <row r="13733" ht="12.75" x14ac:dyDescent="0.2"/>
    <row r="13734" ht="12.75" x14ac:dyDescent="0.2"/>
    <row r="13735" ht="12.75" x14ac:dyDescent="0.2"/>
    <row r="13736" ht="12.75" x14ac:dyDescent="0.2"/>
    <row r="13737" ht="12.75" x14ac:dyDescent="0.2"/>
    <row r="13738" ht="12.75" x14ac:dyDescent="0.2"/>
    <row r="13739" ht="12.75" x14ac:dyDescent="0.2"/>
    <row r="13740" ht="12.75" x14ac:dyDescent="0.2"/>
    <row r="13741" ht="12.75" x14ac:dyDescent="0.2"/>
    <row r="13742" ht="12.75" x14ac:dyDescent="0.2"/>
    <row r="13743" ht="12.75" x14ac:dyDescent="0.2"/>
    <row r="13744" ht="12.75" x14ac:dyDescent="0.2"/>
    <row r="13745" ht="12.75" x14ac:dyDescent="0.2"/>
    <row r="13746" ht="12.75" x14ac:dyDescent="0.2"/>
    <row r="13747" ht="12.75" x14ac:dyDescent="0.2"/>
    <row r="13748" ht="12.75" x14ac:dyDescent="0.2"/>
    <row r="13749" ht="12.75" x14ac:dyDescent="0.2"/>
    <row r="13750" ht="12.75" x14ac:dyDescent="0.2"/>
    <row r="13751" ht="12.75" x14ac:dyDescent="0.2"/>
    <row r="13752" ht="12.75" x14ac:dyDescent="0.2"/>
    <row r="13753" ht="12.75" x14ac:dyDescent="0.2"/>
    <row r="13754" ht="12.75" x14ac:dyDescent="0.2"/>
    <row r="13755" ht="12.75" x14ac:dyDescent="0.2"/>
    <row r="13756" ht="12.75" x14ac:dyDescent="0.2"/>
    <row r="13757" ht="12.75" x14ac:dyDescent="0.2"/>
    <row r="13758" ht="12.75" x14ac:dyDescent="0.2"/>
    <row r="13759" ht="12.75" x14ac:dyDescent="0.2"/>
    <row r="13760" ht="12.75" x14ac:dyDescent="0.2"/>
    <row r="13761" ht="12.75" x14ac:dyDescent="0.2"/>
    <row r="13762" ht="12.75" x14ac:dyDescent="0.2"/>
    <row r="13763" ht="12.75" x14ac:dyDescent="0.2"/>
    <row r="13764" ht="12.75" x14ac:dyDescent="0.2"/>
    <row r="13765" ht="12.75" x14ac:dyDescent="0.2"/>
    <row r="13766" ht="12.75" x14ac:dyDescent="0.2"/>
    <row r="13767" ht="12.75" x14ac:dyDescent="0.2"/>
    <row r="13768" ht="12.75" x14ac:dyDescent="0.2"/>
    <row r="13769" ht="12.75" x14ac:dyDescent="0.2"/>
    <row r="13770" ht="12.75" x14ac:dyDescent="0.2"/>
    <row r="13771" ht="12.75" x14ac:dyDescent="0.2"/>
    <row r="13772" ht="12.75" x14ac:dyDescent="0.2"/>
    <row r="13773" ht="12.75" x14ac:dyDescent="0.2"/>
    <row r="13774" ht="12.75" x14ac:dyDescent="0.2"/>
    <row r="13775" ht="12.75" x14ac:dyDescent="0.2"/>
    <row r="13776" ht="12.75" x14ac:dyDescent="0.2"/>
    <row r="13777" ht="12.75" x14ac:dyDescent="0.2"/>
    <row r="13778" ht="12.75" x14ac:dyDescent="0.2"/>
    <row r="13779" ht="12.75" x14ac:dyDescent="0.2"/>
    <row r="13780" ht="12.75" x14ac:dyDescent="0.2"/>
    <row r="13781" ht="12.75" x14ac:dyDescent="0.2"/>
    <row r="13782" ht="12.75" x14ac:dyDescent="0.2"/>
    <row r="13783" ht="12.75" x14ac:dyDescent="0.2"/>
    <row r="13784" ht="12.75" x14ac:dyDescent="0.2"/>
    <row r="13785" ht="12.75" x14ac:dyDescent="0.2"/>
    <row r="13786" ht="12.75" x14ac:dyDescent="0.2"/>
    <row r="13787" ht="12.75" x14ac:dyDescent="0.2"/>
    <row r="13788" ht="12.75" x14ac:dyDescent="0.2"/>
    <row r="13789" ht="12.75" x14ac:dyDescent="0.2"/>
    <row r="13790" ht="12.75" x14ac:dyDescent="0.2"/>
    <row r="13791" ht="12.75" x14ac:dyDescent="0.2"/>
    <row r="13792" ht="12.75" x14ac:dyDescent="0.2"/>
    <row r="13793" ht="12.75" x14ac:dyDescent="0.2"/>
    <row r="13794" ht="12.75" x14ac:dyDescent="0.2"/>
    <row r="13795" ht="12.75" x14ac:dyDescent="0.2"/>
    <row r="13796" ht="12.75" x14ac:dyDescent="0.2"/>
    <row r="13797" ht="12.75" x14ac:dyDescent="0.2"/>
    <row r="13798" ht="12.75" x14ac:dyDescent="0.2"/>
    <row r="13799" ht="12.75" x14ac:dyDescent="0.2"/>
    <row r="13800" ht="12.75" x14ac:dyDescent="0.2"/>
    <row r="13801" ht="12.75" x14ac:dyDescent="0.2"/>
    <row r="13802" ht="12.75" x14ac:dyDescent="0.2"/>
    <row r="13803" ht="12.75" x14ac:dyDescent="0.2"/>
    <row r="13804" ht="12.75" x14ac:dyDescent="0.2"/>
    <row r="13805" ht="12.75" x14ac:dyDescent="0.2"/>
    <row r="13806" ht="12.75" x14ac:dyDescent="0.2"/>
    <row r="13807" ht="12.75" x14ac:dyDescent="0.2"/>
    <row r="13808" ht="12.75" x14ac:dyDescent="0.2"/>
    <row r="13809" ht="12.75" x14ac:dyDescent="0.2"/>
    <row r="13810" ht="12.75" x14ac:dyDescent="0.2"/>
    <row r="13811" ht="12.75" x14ac:dyDescent="0.2"/>
    <row r="13812" ht="12.75" x14ac:dyDescent="0.2"/>
    <row r="13813" ht="12.75" x14ac:dyDescent="0.2"/>
    <row r="13814" ht="12.75" x14ac:dyDescent="0.2"/>
    <row r="13815" ht="12.75" x14ac:dyDescent="0.2"/>
    <row r="13816" ht="12.75" x14ac:dyDescent="0.2"/>
    <row r="13817" ht="12.75" x14ac:dyDescent="0.2"/>
    <row r="13818" ht="12.75" x14ac:dyDescent="0.2"/>
    <row r="13819" ht="12.75" x14ac:dyDescent="0.2"/>
    <row r="13820" ht="12.75" x14ac:dyDescent="0.2"/>
    <row r="13821" ht="12.75" x14ac:dyDescent="0.2"/>
    <row r="13822" ht="12.75" x14ac:dyDescent="0.2"/>
    <row r="13823" ht="12.75" x14ac:dyDescent="0.2"/>
    <row r="13824" ht="12.75" x14ac:dyDescent="0.2"/>
    <row r="13825" ht="12.75" x14ac:dyDescent="0.2"/>
    <row r="13826" ht="12.75" x14ac:dyDescent="0.2"/>
    <row r="13827" ht="12.75" x14ac:dyDescent="0.2"/>
    <row r="13828" ht="12.75" x14ac:dyDescent="0.2"/>
    <row r="13829" ht="12.75" x14ac:dyDescent="0.2"/>
    <row r="13830" ht="12.75" x14ac:dyDescent="0.2"/>
    <row r="13831" ht="12.75" x14ac:dyDescent="0.2"/>
    <row r="13832" ht="12.75" x14ac:dyDescent="0.2"/>
    <row r="13833" ht="12.75" x14ac:dyDescent="0.2"/>
    <row r="13834" ht="12.75" x14ac:dyDescent="0.2"/>
    <row r="13835" ht="12.75" x14ac:dyDescent="0.2"/>
    <row r="13836" ht="12.75" x14ac:dyDescent="0.2"/>
    <row r="13837" ht="12.75" x14ac:dyDescent="0.2"/>
    <row r="13838" ht="12.75" x14ac:dyDescent="0.2"/>
    <row r="13839" ht="12.75" x14ac:dyDescent="0.2"/>
    <row r="13840" ht="12.75" x14ac:dyDescent="0.2"/>
    <row r="13841" ht="12.75" x14ac:dyDescent="0.2"/>
    <row r="13842" ht="12.75" x14ac:dyDescent="0.2"/>
    <row r="13843" ht="12.75" x14ac:dyDescent="0.2"/>
    <row r="13844" ht="12.75" x14ac:dyDescent="0.2"/>
    <row r="13845" ht="12.75" x14ac:dyDescent="0.2"/>
    <row r="13846" ht="12.75" x14ac:dyDescent="0.2"/>
    <row r="13847" ht="12.75" x14ac:dyDescent="0.2"/>
    <row r="13848" ht="12.75" x14ac:dyDescent="0.2"/>
    <row r="13849" ht="12.75" x14ac:dyDescent="0.2"/>
    <row r="13850" ht="12.75" x14ac:dyDescent="0.2"/>
    <row r="13851" ht="12.75" x14ac:dyDescent="0.2"/>
    <row r="13852" ht="12.75" x14ac:dyDescent="0.2"/>
    <row r="13853" ht="12.75" x14ac:dyDescent="0.2"/>
    <row r="13854" ht="12.75" x14ac:dyDescent="0.2"/>
    <row r="13855" ht="12.75" x14ac:dyDescent="0.2"/>
    <row r="13856" ht="12.75" x14ac:dyDescent="0.2"/>
    <row r="13857" ht="12.75" x14ac:dyDescent="0.2"/>
    <row r="13858" ht="12.75" x14ac:dyDescent="0.2"/>
    <row r="13859" ht="12.75" x14ac:dyDescent="0.2"/>
    <row r="13860" ht="12.75" x14ac:dyDescent="0.2"/>
    <row r="13861" ht="12.75" x14ac:dyDescent="0.2"/>
    <row r="13862" ht="12.75" x14ac:dyDescent="0.2"/>
    <row r="13863" ht="12.75" x14ac:dyDescent="0.2"/>
    <row r="13864" ht="12.75" x14ac:dyDescent="0.2"/>
    <row r="13865" ht="12.75" x14ac:dyDescent="0.2"/>
    <row r="13866" ht="12.75" x14ac:dyDescent="0.2"/>
    <row r="13867" ht="12.75" x14ac:dyDescent="0.2"/>
    <row r="13868" ht="12.75" x14ac:dyDescent="0.2"/>
    <row r="13869" ht="12.75" x14ac:dyDescent="0.2"/>
    <row r="13870" ht="12.75" x14ac:dyDescent="0.2"/>
    <row r="13871" ht="12.75" x14ac:dyDescent="0.2"/>
    <row r="13872" ht="12.75" x14ac:dyDescent="0.2"/>
    <row r="13873" ht="12.75" x14ac:dyDescent="0.2"/>
    <row r="13874" ht="12.75" x14ac:dyDescent="0.2"/>
    <row r="13875" ht="12.75" x14ac:dyDescent="0.2"/>
    <row r="13876" ht="12.75" x14ac:dyDescent="0.2"/>
    <row r="13877" ht="12.75" x14ac:dyDescent="0.2"/>
    <row r="13878" ht="12.75" x14ac:dyDescent="0.2"/>
    <row r="13879" ht="12.75" x14ac:dyDescent="0.2"/>
    <row r="13880" ht="12.75" x14ac:dyDescent="0.2"/>
    <row r="13881" ht="12.75" x14ac:dyDescent="0.2"/>
    <row r="13882" ht="12.75" x14ac:dyDescent="0.2"/>
    <row r="13883" ht="12.75" x14ac:dyDescent="0.2"/>
    <row r="13884" ht="12.75" x14ac:dyDescent="0.2"/>
    <row r="13885" ht="12.75" x14ac:dyDescent="0.2"/>
    <row r="13886" ht="12.75" x14ac:dyDescent="0.2"/>
    <row r="13887" ht="12.75" x14ac:dyDescent="0.2"/>
    <row r="13888" ht="12.75" x14ac:dyDescent="0.2"/>
    <row r="13889" ht="12.75" x14ac:dyDescent="0.2"/>
    <row r="13890" ht="12.75" x14ac:dyDescent="0.2"/>
    <row r="13891" ht="12.75" x14ac:dyDescent="0.2"/>
    <row r="13892" ht="12.75" x14ac:dyDescent="0.2"/>
    <row r="13893" ht="12.75" x14ac:dyDescent="0.2"/>
    <row r="13894" ht="12.75" x14ac:dyDescent="0.2"/>
    <row r="13895" ht="12.75" x14ac:dyDescent="0.2"/>
    <row r="13896" ht="12.75" x14ac:dyDescent="0.2"/>
    <row r="13897" ht="12.75" x14ac:dyDescent="0.2"/>
    <row r="13898" ht="12.75" x14ac:dyDescent="0.2"/>
    <row r="13899" ht="12.75" x14ac:dyDescent="0.2"/>
    <row r="13900" ht="12.75" x14ac:dyDescent="0.2"/>
    <row r="13901" ht="12.75" x14ac:dyDescent="0.2"/>
    <row r="13902" ht="12.75" x14ac:dyDescent="0.2"/>
    <row r="13903" ht="12.75" x14ac:dyDescent="0.2"/>
    <row r="13904" ht="12.75" x14ac:dyDescent="0.2"/>
    <row r="13905" ht="12.75" x14ac:dyDescent="0.2"/>
    <row r="13906" ht="12.75" x14ac:dyDescent="0.2"/>
    <row r="13907" ht="12.75" x14ac:dyDescent="0.2"/>
    <row r="13908" ht="12.75" x14ac:dyDescent="0.2"/>
    <row r="13909" ht="12.75" x14ac:dyDescent="0.2"/>
    <row r="13910" ht="12.75" x14ac:dyDescent="0.2"/>
    <row r="13911" ht="12.75" x14ac:dyDescent="0.2"/>
    <row r="13912" ht="12.75" x14ac:dyDescent="0.2"/>
    <row r="13913" ht="12.75" x14ac:dyDescent="0.2"/>
    <row r="13914" ht="12.75" x14ac:dyDescent="0.2"/>
    <row r="13915" ht="12.75" x14ac:dyDescent="0.2"/>
    <row r="13916" ht="12.75" x14ac:dyDescent="0.2"/>
    <row r="13917" ht="12.75" x14ac:dyDescent="0.2"/>
    <row r="13918" ht="12.75" x14ac:dyDescent="0.2"/>
    <row r="13919" ht="12.75" x14ac:dyDescent="0.2"/>
    <row r="13920" ht="12.75" x14ac:dyDescent="0.2"/>
    <row r="13921" ht="12.75" x14ac:dyDescent="0.2"/>
    <row r="13922" ht="12.75" x14ac:dyDescent="0.2"/>
    <row r="13923" ht="12.75" x14ac:dyDescent="0.2"/>
    <row r="13924" ht="12.75" x14ac:dyDescent="0.2"/>
    <row r="13925" ht="12.75" x14ac:dyDescent="0.2"/>
    <row r="13926" ht="12.75" x14ac:dyDescent="0.2"/>
    <row r="13927" ht="12.75" x14ac:dyDescent="0.2"/>
    <row r="13928" ht="12.75" x14ac:dyDescent="0.2"/>
    <row r="13929" ht="12.75" x14ac:dyDescent="0.2"/>
    <row r="13930" ht="12.75" x14ac:dyDescent="0.2"/>
    <row r="13931" ht="12.75" x14ac:dyDescent="0.2"/>
    <row r="13932" ht="12.75" x14ac:dyDescent="0.2"/>
    <row r="13933" ht="12.75" x14ac:dyDescent="0.2"/>
    <row r="13934" ht="12.75" x14ac:dyDescent="0.2"/>
    <row r="13935" ht="12.75" x14ac:dyDescent="0.2"/>
    <row r="13936" ht="12.75" x14ac:dyDescent="0.2"/>
    <row r="13937" ht="12.75" x14ac:dyDescent="0.2"/>
    <row r="13938" ht="12.75" x14ac:dyDescent="0.2"/>
    <row r="13939" ht="12.75" x14ac:dyDescent="0.2"/>
    <row r="13940" ht="12.75" x14ac:dyDescent="0.2"/>
    <row r="13941" ht="12.75" x14ac:dyDescent="0.2"/>
    <row r="13942" ht="12.75" x14ac:dyDescent="0.2"/>
    <row r="13943" ht="12.75" x14ac:dyDescent="0.2"/>
    <row r="13944" ht="12.75" x14ac:dyDescent="0.2"/>
    <row r="13945" ht="12.75" x14ac:dyDescent="0.2"/>
    <row r="13946" ht="12.75" x14ac:dyDescent="0.2"/>
    <row r="13947" ht="12.75" x14ac:dyDescent="0.2"/>
    <row r="13948" ht="12.75" x14ac:dyDescent="0.2"/>
    <row r="13949" ht="12.75" x14ac:dyDescent="0.2"/>
    <row r="13950" ht="12.75" x14ac:dyDescent="0.2"/>
    <row r="13951" ht="12.75" x14ac:dyDescent="0.2"/>
    <row r="13952" ht="12.75" x14ac:dyDescent="0.2"/>
    <row r="13953" ht="12.75" x14ac:dyDescent="0.2"/>
    <row r="13954" ht="12.75" x14ac:dyDescent="0.2"/>
    <row r="13955" ht="12.75" x14ac:dyDescent="0.2"/>
    <row r="13956" ht="12.75" x14ac:dyDescent="0.2"/>
    <row r="13957" ht="12.75" x14ac:dyDescent="0.2"/>
    <row r="13958" ht="12.75" x14ac:dyDescent="0.2"/>
    <row r="13959" ht="12.75" x14ac:dyDescent="0.2"/>
    <row r="13960" ht="12.75" x14ac:dyDescent="0.2"/>
    <row r="13961" ht="12.75" x14ac:dyDescent="0.2"/>
    <row r="13962" ht="12.75" x14ac:dyDescent="0.2"/>
    <row r="13963" ht="12.75" x14ac:dyDescent="0.2"/>
    <row r="13964" ht="12.75" x14ac:dyDescent="0.2"/>
    <row r="13965" ht="12.75" x14ac:dyDescent="0.2"/>
    <row r="13966" ht="12.75" x14ac:dyDescent="0.2"/>
    <row r="13967" ht="12.75" x14ac:dyDescent="0.2"/>
    <row r="13968" ht="12.75" x14ac:dyDescent="0.2"/>
    <row r="13969" ht="12.75" x14ac:dyDescent="0.2"/>
    <row r="13970" ht="12.75" x14ac:dyDescent="0.2"/>
    <row r="13971" ht="12.75" x14ac:dyDescent="0.2"/>
    <row r="13972" ht="12.75" x14ac:dyDescent="0.2"/>
    <row r="13973" ht="12.75" x14ac:dyDescent="0.2"/>
    <row r="13974" ht="12.75" x14ac:dyDescent="0.2"/>
    <row r="13975" ht="12.75" x14ac:dyDescent="0.2"/>
    <row r="13976" ht="12.75" x14ac:dyDescent="0.2"/>
    <row r="13977" ht="12.75" x14ac:dyDescent="0.2"/>
    <row r="13978" ht="12.75" x14ac:dyDescent="0.2"/>
    <row r="13979" ht="12.75" x14ac:dyDescent="0.2"/>
    <row r="13980" ht="12.75" x14ac:dyDescent="0.2"/>
    <row r="13981" ht="12.75" x14ac:dyDescent="0.2"/>
    <row r="13982" ht="12.75" x14ac:dyDescent="0.2"/>
    <row r="13983" ht="12.75" x14ac:dyDescent="0.2"/>
    <row r="13984" ht="12.75" x14ac:dyDescent="0.2"/>
    <row r="13985" ht="12.75" x14ac:dyDescent="0.2"/>
    <row r="13986" ht="12.75" x14ac:dyDescent="0.2"/>
    <row r="13987" ht="12.75" x14ac:dyDescent="0.2"/>
    <row r="13988" ht="12.75" x14ac:dyDescent="0.2"/>
    <row r="13989" ht="12.75" x14ac:dyDescent="0.2"/>
    <row r="13990" ht="12.75" x14ac:dyDescent="0.2"/>
    <row r="13991" ht="12.75" x14ac:dyDescent="0.2"/>
    <row r="13992" ht="12.75" x14ac:dyDescent="0.2"/>
    <row r="13993" ht="12.75" x14ac:dyDescent="0.2"/>
    <row r="13994" ht="12.75" x14ac:dyDescent="0.2"/>
    <row r="13995" ht="12.75" x14ac:dyDescent="0.2"/>
    <row r="13996" ht="12.75" x14ac:dyDescent="0.2"/>
    <row r="13997" ht="12.75" x14ac:dyDescent="0.2"/>
    <row r="13998" ht="12.75" x14ac:dyDescent="0.2"/>
    <row r="13999" ht="12.75" x14ac:dyDescent="0.2"/>
    <row r="14000" ht="12.75" x14ac:dyDescent="0.2"/>
    <row r="14001" ht="12.75" x14ac:dyDescent="0.2"/>
    <row r="14002" ht="12.75" x14ac:dyDescent="0.2"/>
    <row r="14003" ht="12.75" x14ac:dyDescent="0.2"/>
    <row r="14004" ht="12.75" x14ac:dyDescent="0.2"/>
    <row r="14005" ht="12.75" x14ac:dyDescent="0.2"/>
    <row r="14006" ht="12.75" x14ac:dyDescent="0.2"/>
    <row r="14007" ht="12.75" x14ac:dyDescent="0.2"/>
    <row r="14008" ht="12.75" x14ac:dyDescent="0.2"/>
    <row r="14009" ht="12.75" x14ac:dyDescent="0.2"/>
    <row r="14010" ht="12.75" x14ac:dyDescent="0.2"/>
    <row r="14011" ht="12.75" x14ac:dyDescent="0.2"/>
    <row r="14012" ht="12.75" x14ac:dyDescent="0.2"/>
    <row r="14013" ht="12.75" x14ac:dyDescent="0.2"/>
    <row r="14014" ht="12.75" x14ac:dyDescent="0.2"/>
    <row r="14015" ht="12.75" x14ac:dyDescent="0.2"/>
    <row r="14016" ht="12.75" x14ac:dyDescent="0.2"/>
    <row r="14017" ht="12.75" x14ac:dyDescent="0.2"/>
    <row r="14018" ht="12.75" x14ac:dyDescent="0.2"/>
    <row r="14019" ht="12.75" x14ac:dyDescent="0.2"/>
    <row r="14020" ht="12.75" x14ac:dyDescent="0.2"/>
    <row r="14021" ht="12.75" x14ac:dyDescent="0.2"/>
    <row r="14022" ht="12.75" x14ac:dyDescent="0.2"/>
    <row r="14023" ht="12.75" x14ac:dyDescent="0.2"/>
    <row r="14024" ht="12.75" x14ac:dyDescent="0.2"/>
    <row r="14025" ht="12.75" x14ac:dyDescent="0.2"/>
    <row r="14026" ht="12.75" x14ac:dyDescent="0.2"/>
    <row r="14027" ht="12.75" x14ac:dyDescent="0.2"/>
    <row r="14028" ht="12.75" x14ac:dyDescent="0.2"/>
    <row r="14029" ht="12.75" x14ac:dyDescent="0.2"/>
    <row r="14030" ht="12.75" x14ac:dyDescent="0.2"/>
    <row r="14031" ht="12.75" x14ac:dyDescent="0.2"/>
    <row r="14032" ht="12.75" x14ac:dyDescent="0.2"/>
    <row r="14033" ht="12.75" x14ac:dyDescent="0.2"/>
    <row r="14034" ht="12.75" x14ac:dyDescent="0.2"/>
    <row r="14035" ht="12.75" x14ac:dyDescent="0.2"/>
    <row r="14036" ht="12.75" x14ac:dyDescent="0.2"/>
    <row r="14037" ht="12.75" x14ac:dyDescent="0.2"/>
    <row r="14038" ht="12.75" x14ac:dyDescent="0.2"/>
    <row r="14039" ht="12.75" x14ac:dyDescent="0.2"/>
    <row r="14040" ht="12.75" x14ac:dyDescent="0.2"/>
    <row r="14041" ht="12.75" x14ac:dyDescent="0.2"/>
    <row r="14042" ht="12.75" x14ac:dyDescent="0.2"/>
    <row r="14043" ht="12.75" x14ac:dyDescent="0.2"/>
    <row r="14044" ht="12.75" x14ac:dyDescent="0.2"/>
    <row r="14045" ht="12.75" x14ac:dyDescent="0.2"/>
    <row r="14046" ht="12.75" x14ac:dyDescent="0.2"/>
    <row r="14047" ht="12.75" x14ac:dyDescent="0.2"/>
    <row r="14048" ht="12.75" x14ac:dyDescent="0.2"/>
    <row r="14049" ht="12.75" x14ac:dyDescent="0.2"/>
    <row r="14050" ht="12.75" x14ac:dyDescent="0.2"/>
    <row r="14051" ht="12.75" x14ac:dyDescent="0.2"/>
    <row r="14052" ht="12.75" x14ac:dyDescent="0.2"/>
    <row r="14053" ht="12.75" x14ac:dyDescent="0.2"/>
    <row r="14054" ht="12.75" x14ac:dyDescent="0.2"/>
    <row r="14055" ht="12.75" x14ac:dyDescent="0.2"/>
    <row r="14056" ht="12.75" x14ac:dyDescent="0.2"/>
    <row r="14057" ht="12.75" x14ac:dyDescent="0.2"/>
    <row r="14058" ht="12.75" x14ac:dyDescent="0.2"/>
    <row r="14059" ht="12.75" x14ac:dyDescent="0.2"/>
    <row r="14060" ht="12.75" x14ac:dyDescent="0.2"/>
    <row r="14061" ht="12.75" x14ac:dyDescent="0.2"/>
    <row r="14062" ht="12.75" x14ac:dyDescent="0.2"/>
    <row r="14063" ht="12.75" x14ac:dyDescent="0.2"/>
    <row r="14064" ht="12.75" x14ac:dyDescent="0.2"/>
    <row r="14065" ht="12.75" x14ac:dyDescent="0.2"/>
    <row r="14066" ht="12.75" x14ac:dyDescent="0.2"/>
    <row r="14067" ht="12.75" x14ac:dyDescent="0.2"/>
    <row r="14068" ht="12.75" x14ac:dyDescent="0.2"/>
    <row r="14069" ht="12.75" x14ac:dyDescent="0.2"/>
    <row r="14070" ht="12.75" x14ac:dyDescent="0.2"/>
    <row r="14071" ht="12.75" x14ac:dyDescent="0.2"/>
    <row r="14072" ht="12.75" x14ac:dyDescent="0.2"/>
    <row r="14073" ht="12.75" x14ac:dyDescent="0.2"/>
    <row r="14074" ht="12.75" x14ac:dyDescent="0.2"/>
    <row r="14075" ht="12.75" x14ac:dyDescent="0.2"/>
    <row r="14076" ht="12.75" x14ac:dyDescent="0.2"/>
    <row r="14077" ht="12.75" x14ac:dyDescent="0.2"/>
    <row r="14078" ht="12.75" x14ac:dyDescent="0.2"/>
    <row r="14079" ht="12.75" x14ac:dyDescent="0.2"/>
    <row r="14080" ht="12.75" x14ac:dyDescent="0.2"/>
    <row r="14081" ht="12.75" x14ac:dyDescent="0.2"/>
    <row r="14082" ht="12.75" x14ac:dyDescent="0.2"/>
    <row r="14083" ht="12.75" x14ac:dyDescent="0.2"/>
    <row r="14084" ht="12.75" x14ac:dyDescent="0.2"/>
    <row r="14085" ht="12.75" x14ac:dyDescent="0.2"/>
    <row r="14086" ht="12.75" x14ac:dyDescent="0.2"/>
    <row r="14087" ht="12.75" x14ac:dyDescent="0.2"/>
    <row r="14088" ht="12.75" x14ac:dyDescent="0.2"/>
    <row r="14089" ht="12.75" x14ac:dyDescent="0.2"/>
    <row r="14090" ht="12.75" x14ac:dyDescent="0.2"/>
    <row r="14091" ht="12.75" x14ac:dyDescent="0.2"/>
    <row r="14092" ht="12.75" x14ac:dyDescent="0.2"/>
    <row r="14093" ht="12.75" x14ac:dyDescent="0.2"/>
    <row r="14094" ht="12.75" x14ac:dyDescent="0.2"/>
    <row r="14095" ht="12.75" x14ac:dyDescent="0.2"/>
    <row r="14096" ht="12.75" x14ac:dyDescent="0.2"/>
    <row r="14097" ht="12.75" x14ac:dyDescent="0.2"/>
    <row r="14098" ht="12.75" x14ac:dyDescent="0.2"/>
    <row r="14099" ht="12.75" x14ac:dyDescent="0.2"/>
    <row r="14100" ht="12.75" x14ac:dyDescent="0.2"/>
    <row r="14101" ht="12.75" x14ac:dyDescent="0.2"/>
    <row r="14102" ht="12.75" x14ac:dyDescent="0.2"/>
    <row r="14103" ht="12.75" x14ac:dyDescent="0.2"/>
    <row r="14104" ht="12.75" x14ac:dyDescent="0.2"/>
    <row r="14105" ht="12.75" x14ac:dyDescent="0.2"/>
    <row r="14106" ht="12.75" x14ac:dyDescent="0.2"/>
    <row r="14107" ht="12.75" x14ac:dyDescent="0.2"/>
    <row r="14108" ht="12.75" x14ac:dyDescent="0.2"/>
    <row r="14109" ht="12.75" x14ac:dyDescent="0.2"/>
    <row r="14110" ht="12.75" x14ac:dyDescent="0.2"/>
    <row r="14111" ht="12.75" x14ac:dyDescent="0.2"/>
    <row r="14112" ht="12.75" x14ac:dyDescent="0.2"/>
    <row r="14113" ht="12.75" x14ac:dyDescent="0.2"/>
    <row r="14114" ht="12.75" x14ac:dyDescent="0.2"/>
    <row r="14115" ht="12.75" x14ac:dyDescent="0.2"/>
    <row r="14116" ht="12.75" x14ac:dyDescent="0.2"/>
    <row r="14117" ht="12.75" x14ac:dyDescent="0.2"/>
    <row r="14118" ht="12.75" x14ac:dyDescent="0.2"/>
    <row r="14119" ht="12.75" x14ac:dyDescent="0.2"/>
    <row r="14120" ht="12.75" x14ac:dyDescent="0.2"/>
    <row r="14121" ht="12.75" x14ac:dyDescent="0.2"/>
    <row r="14122" ht="12.75" x14ac:dyDescent="0.2"/>
    <row r="14123" ht="12.75" x14ac:dyDescent="0.2"/>
    <row r="14124" ht="12.75" x14ac:dyDescent="0.2"/>
    <row r="14125" ht="12.75" x14ac:dyDescent="0.2"/>
    <row r="14126" ht="12.75" x14ac:dyDescent="0.2"/>
    <row r="14127" ht="12.75" x14ac:dyDescent="0.2"/>
    <row r="14128" ht="12.75" x14ac:dyDescent="0.2"/>
    <row r="14129" ht="12.75" x14ac:dyDescent="0.2"/>
    <row r="14130" ht="12.75" x14ac:dyDescent="0.2"/>
    <row r="14131" ht="12.75" x14ac:dyDescent="0.2"/>
    <row r="14132" ht="12.75" x14ac:dyDescent="0.2"/>
    <row r="14133" ht="12.75" x14ac:dyDescent="0.2"/>
    <row r="14134" ht="12.75" x14ac:dyDescent="0.2"/>
    <row r="14135" ht="12.75" x14ac:dyDescent="0.2"/>
    <row r="14136" ht="12.75" x14ac:dyDescent="0.2"/>
    <row r="14137" ht="12.75" x14ac:dyDescent="0.2"/>
    <row r="14138" ht="12.75" x14ac:dyDescent="0.2"/>
    <row r="14139" ht="12.75" x14ac:dyDescent="0.2"/>
    <row r="14140" ht="12.75" x14ac:dyDescent="0.2"/>
    <row r="14141" ht="12.75" x14ac:dyDescent="0.2"/>
    <row r="14142" ht="12.75" x14ac:dyDescent="0.2"/>
    <row r="14143" ht="12.75" x14ac:dyDescent="0.2"/>
    <row r="14144" ht="12.75" x14ac:dyDescent="0.2"/>
    <row r="14145" ht="12.75" x14ac:dyDescent="0.2"/>
    <row r="14146" ht="12.75" x14ac:dyDescent="0.2"/>
    <row r="14147" ht="12.75" x14ac:dyDescent="0.2"/>
    <row r="14148" ht="12.75" x14ac:dyDescent="0.2"/>
    <row r="14149" ht="12.75" x14ac:dyDescent="0.2"/>
    <row r="14150" ht="12.75" x14ac:dyDescent="0.2"/>
    <row r="14151" ht="12.75" x14ac:dyDescent="0.2"/>
    <row r="14152" ht="12.75" x14ac:dyDescent="0.2"/>
    <row r="14153" ht="12.75" x14ac:dyDescent="0.2"/>
    <row r="14154" ht="12.75" x14ac:dyDescent="0.2"/>
    <row r="14155" ht="12.75" x14ac:dyDescent="0.2"/>
    <row r="14156" ht="12.75" x14ac:dyDescent="0.2"/>
    <row r="14157" ht="12.75" x14ac:dyDescent="0.2"/>
    <row r="14158" ht="12.75" x14ac:dyDescent="0.2"/>
    <row r="14159" ht="12.75" x14ac:dyDescent="0.2"/>
    <row r="14160" ht="12.75" x14ac:dyDescent="0.2"/>
    <row r="14161" ht="12.75" x14ac:dyDescent="0.2"/>
    <row r="14162" ht="12.75" x14ac:dyDescent="0.2"/>
    <row r="14163" ht="12.75" x14ac:dyDescent="0.2"/>
    <row r="14164" ht="12.75" x14ac:dyDescent="0.2"/>
    <row r="14165" ht="12.75" x14ac:dyDescent="0.2"/>
    <row r="14166" ht="12.75" x14ac:dyDescent="0.2"/>
    <row r="14167" ht="12.75" x14ac:dyDescent="0.2"/>
    <row r="14168" ht="12.75" x14ac:dyDescent="0.2"/>
    <row r="14169" ht="12.75" x14ac:dyDescent="0.2"/>
    <row r="14170" ht="12.75" x14ac:dyDescent="0.2"/>
    <row r="14171" ht="12.75" x14ac:dyDescent="0.2"/>
    <row r="14172" ht="12.75" x14ac:dyDescent="0.2"/>
    <row r="14173" ht="12.75" x14ac:dyDescent="0.2"/>
    <row r="14174" ht="12.75" x14ac:dyDescent="0.2"/>
    <row r="14175" ht="12.75" x14ac:dyDescent="0.2"/>
    <row r="14176" ht="12.75" x14ac:dyDescent="0.2"/>
    <row r="14177" ht="12.75" x14ac:dyDescent="0.2"/>
    <row r="14178" ht="12.75" x14ac:dyDescent="0.2"/>
    <row r="14179" ht="12.75" x14ac:dyDescent="0.2"/>
    <row r="14180" ht="12.75" x14ac:dyDescent="0.2"/>
    <row r="14181" ht="12.75" x14ac:dyDescent="0.2"/>
    <row r="14182" ht="12.75" x14ac:dyDescent="0.2"/>
    <row r="14183" ht="12.75" x14ac:dyDescent="0.2"/>
    <row r="14184" ht="12.75" x14ac:dyDescent="0.2"/>
    <row r="14185" ht="12.75" x14ac:dyDescent="0.2"/>
    <row r="14186" ht="12.75" x14ac:dyDescent="0.2"/>
    <row r="14187" ht="12.75" x14ac:dyDescent="0.2"/>
    <row r="14188" ht="12.75" x14ac:dyDescent="0.2"/>
    <row r="14189" ht="12.75" x14ac:dyDescent="0.2"/>
    <row r="14190" ht="12.75" x14ac:dyDescent="0.2"/>
    <row r="14191" ht="12.75" x14ac:dyDescent="0.2"/>
    <row r="14192" ht="12.75" x14ac:dyDescent="0.2"/>
    <row r="14193" ht="12.75" x14ac:dyDescent="0.2"/>
    <row r="14194" ht="12.75" x14ac:dyDescent="0.2"/>
    <row r="14195" ht="12.75" x14ac:dyDescent="0.2"/>
    <row r="14196" ht="12.75" x14ac:dyDescent="0.2"/>
    <row r="14197" ht="12.75" x14ac:dyDescent="0.2"/>
    <row r="14198" ht="12.75" x14ac:dyDescent="0.2"/>
    <row r="14199" ht="12.75" x14ac:dyDescent="0.2"/>
    <row r="14200" ht="12.75" x14ac:dyDescent="0.2"/>
    <row r="14201" ht="12.75" x14ac:dyDescent="0.2"/>
    <row r="14202" ht="12.75" x14ac:dyDescent="0.2"/>
    <row r="14203" ht="12.75" x14ac:dyDescent="0.2"/>
    <row r="14204" ht="12.75" x14ac:dyDescent="0.2"/>
    <row r="14205" ht="12.75" x14ac:dyDescent="0.2"/>
    <row r="14206" ht="12.75" x14ac:dyDescent="0.2"/>
    <row r="14207" ht="12.75" x14ac:dyDescent="0.2"/>
    <row r="14208" ht="12.75" x14ac:dyDescent="0.2"/>
    <row r="14209" ht="12.75" x14ac:dyDescent="0.2"/>
    <row r="14210" ht="12.75" x14ac:dyDescent="0.2"/>
    <row r="14211" ht="12.75" x14ac:dyDescent="0.2"/>
    <row r="14212" ht="12.75" x14ac:dyDescent="0.2"/>
    <row r="14213" ht="12.75" x14ac:dyDescent="0.2"/>
    <row r="14214" ht="12.75" x14ac:dyDescent="0.2"/>
    <row r="14215" ht="12.75" x14ac:dyDescent="0.2"/>
    <row r="14216" ht="12.75" x14ac:dyDescent="0.2"/>
    <row r="14217" ht="12.75" x14ac:dyDescent="0.2"/>
    <row r="14218" ht="12.75" x14ac:dyDescent="0.2"/>
    <row r="14219" ht="12.75" x14ac:dyDescent="0.2"/>
    <row r="14220" ht="12.75" x14ac:dyDescent="0.2"/>
    <row r="14221" ht="12.75" x14ac:dyDescent="0.2"/>
    <row r="14222" ht="12.75" x14ac:dyDescent="0.2"/>
    <row r="14223" ht="12.75" x14ac:dyDescent="0.2"/>
    <row r="14224" ht="12.75" x14ac:dyDescent="0.2"/>
    <row r="14225" ht="12.75" x14ac:dyDescent="0.2"/>
    <row r="14226" ht="12.75" x14ac:dyDescent="0.2"/>
    <row r="14227" ht="12.75" x14ac:dyDescent="0.2"/>
    <row r="14228" ht="12.75" x14ac:dyDescent="0.2"/>
    <row r="14229" ht="12.75" x14ac:dyDescent="0.2"/>
    <row r="14230" ht="12.75" x14ac:dyDescent="0.2"/>
    <row r="14231" ht="12.75" x14ac:dyDescent="0.2"/>
    <row r="14232" ht="12.75" x14ac:dyDescent="0.2"/>
    <row r="14233" ht="12.75" x14ac:dyDescent="0.2"/>
    <row r="14234" ht="12.75" x14ac:dyDescent="0.2"/>
    <row r="14235" ht="12.75" x14ac:dyDescent="0.2"/>
    <row r="14236" ht="12.75" x14ac:dyDescent="0.2"/>
    <row r="14237" ht="12.75" x14ac:dyDescent="0.2"/>
    <row r="14238" ht="12.75" x14ac:dyDescent="0.2"/>
    <row r="14239" ht="12.75" x14ac:dyDescent="0.2"/>
    <row r="14240" ht="12.75" x14ac:dyDescent="0.2"/>
    <row r="14241" ht="12.75" x14ac:dyDescent="0.2"/>
    <row r="14242" ht="12.75" x14ac:dyDescent="0.2"/>
    <row r="14243" ht="12.75" x14ac:dyDescent="0.2"/>
    <row r="14244" ht="12.75" x14ac:dyDescent="0.2"/>
    <row r="14245" ht="12.75" x14ac:dyDescent="0.2"/>
    <row r="14246" ht="12.75" x14ac:dyDescent="0.2"/>
    <row r="14247" ht="12.75" x14ac:dyDescent="0.2"/>
    <row r="14248" ht="12.75" x14ac:dyDescent="0.2"/>
    <row r="14249" ht="12.75" x14ac:dyDescent="0.2"/>
    <row r="14250" ht="12.75" x14ac:dyDescent="0.2"/>
    <row r="14251" ht="12.75" x14ac:dyDescent="0.2"/>
    <row r="14252" ht="12.75" x14ac:dyDescent="0.2"/>
    <row r="14253" ht="12.75" x14ac:dyDescent="0.2"/>
    <row r="14254" ht="12.75" x14ac:dyDescent="0.2"/>
    <row r="14255" ht="12.75" x14ac:dyDescent="0.2"/>
    <row r="14256" ht="12.75" x14ac:dyDescent="0.2"/>
    <row r="14257" ht="12.75" x14ac:dyDescent="0.2"/>
    <row r="14258" ht="12.75" x14ac:dyDescent="0.2"/>
    <row r="14259" ht="12.75" x14ac:dyDescent="0.2"/>
    <row r="14260" ht="12.75" x14ac:dyDescent="0.2"/>
    <row r="14261" ht="12.75" x14ac:dyDescent="0.2"/>
    <row r="14262" ht="12.75" x14ac:dyDescent="0.2"/>
    <row r="14263" ht="12.75" x14ac:dyDescent="0.2"/>
    <row r="14264" ht="12.75" x14ac:dyDescent="0.2"/>
    <row r="14265" ht="12.75" x14ac:dyDescent="0.2"/>
    <row r="14266" ht="12.75" x14ac:dyDescent="0.2"/>
    <row r="14267" ht="12.75" x14ac:dyDescent="0.2"/>
    <row r="14268" ht="12.75" x14ac:dyDescent="0.2"/>
    <row r="14269" ht="12.75" x14ac:dyDescent="0.2"/>
    <row r="14270" ht="12.75" x14ac:dyDescent="0.2"/>
    <row r="14271" ht="12.75" x14ac:dyDescent="0.2"/>
    <row r="14272" ht="12.75" x14ac:dyDescent="0.2"/>
    <row r="14273" ht="12.75" x14ac:dyDescent="0.2"/>
    <row r="14274" ht="12.75" x14ac:dyDescent="0.2"/>
    <row r="14275" ht="12.75" x14ac:dyDescent="0.2"/>
    <row r="14276" ht="12.75" x14ac:dyDescent="0.2"/>
    <row r="14277" ht="12.75" x14ac:dyDescent="0.2"/>
    <row r="14278" ht="12.75" x14ac:dyDescent="0.2"/>
    <row r="14279" ht="12.75" x14ac:dyDescent="0.2"/>
    <row r="14280" ht="12.75" x14ac:dyDescent="0.2"/>
    <row r="14281" ht="12.75" x14ac:dyDescent="0.2"/>
    <row r="14282" ht="12.75" x14ac:dyDescent="0.2"/>
    <row r="14283" ht="12.75" x14ac:dyDescent="0.2"/>
    <row r="14284" ht="12.75" x14ac:dyDescent="0.2"/>
    <row r="14285" ht="12.75" x14ac:dyDescent="0.2"/>
    <row r="14286" ht="12.75" x14ac:dyDescent="0.2"/>
    <row r="14287" ht="12.75" x14ac:dyDescent="0.2"/>
    <row r="14288" ht="12.75" x14ac:dyDescent="0.2"/>
    <row r="14289" ht="12.75" x14ac:dyDescent="0.2"/>
    <row r="14290" ht="12.75" x14ac:dyDescent="0.2"/>
    <row r="14291" ht="12.75" x14ac:dyDescent="0.2"/>
    <row r="14292" ht="12.75" x14ac:dyDescent="0.2"/>
    <row r="14293" ht="12.75" x14ac:dyDescent="0.2"/>
    <row r="14294" ht="12.75" x14ac:dyDescent="0.2"/>
    <row r="14295" ht="12.75" x14ac:dyDescent="0.2"/>
    <row r="14296" ht="12.75" x14ac:dyDescent="0.2"/>
    <row r="14297" ht="12.75" x14ac:dyDescent="0.2"/>
    <row r="14298" ht="12.75" x14ac:dyDescent="0.2"/>
    <row r="14299" ht="12.75" x14ac:dyDescent="0.2"/>
    <row r="14300" ht="12.75" x14ac:dyDescent="0.2"/>
    <row r="14301" ht="12.75" x14ac:dyDescent="0.2"/>
    <row r="14302" ht="12.75" x14ac:dyDescent="0.2"/>
    <row r="14303" ht="12.75" x14ac:dyDescent="0.2"/>
    <row r="14304" ht="12.75" x14ac:dyDescent="0.2"/>
    <row r="14305" ht="12.75" x14ac:dyDescent="0.2"/>
    <row r="14306" ht="12.75" x14ac:dyDescent="0.2"/>
    <row r="14307" ht="12.75" x14ac:dyDescent="0.2"/>
    <row r="14308" ht="12.75" x14ac:dyDescent="0.2"/>
    <row r="14309" ht="12.75" x14ac:dyDescent="0.2"/>
    <row r="14310" ht="12.75" x14ac:dyDescent="0.2"/>
    <row r="14311" ht="12.75" x14ac:dyDescent="0.2"/>
    <row r="14312" ht="12.75" x14ac:dyDescent="0.2"/>
    <row r="14313" ht="12.75" x14ac:dyDescent="0.2"/>
    <row r="14314" ht="12.75" x14ac:dyDescent="0.2"/>
    <row r="14315" ht="12.75" x14ac:dyDescent="0.2"/>
    <row r="14316" ht="12.75" x14ac:dyDescent="0.2"/>
    <row r="14317" ht="12.75" x14ac:dyDescent="0.2"/>
    <row r="14318" ht="12.75" x14ac:dyDescent="0.2"/>
    <row r="14319" ht="12.75" x14ac:dyDescent="0.2"/>
    <row r="14320" ht="12.75" x14ac:dyDescent="0.2"/>
    <row r="14321" ht="12.75" x14ac:dyDescent="0.2"/>
    <row r="14322" ht="12.75" x14ac:dyDescent="0.2"/>
    <row r="14323" ht="12.75" x14ac:dyDescent="0.2"/>
    <row r="14324" ht="12.75" x14ac:dyDescent="0.2"/>
    <row r="14325" ht="12.75" x14ac:dyDescent="0.2"/>
    <row r="14326" ht="12.75" x14ac:dyDescent="0.2"/>
    <row r="14327" ht="12.75" x14ac:dyDescent="0.2"/>
    <row r="14328" ht="12.75" x14ac:dyDescent="0.2"/>
    <row r="14329" ht="12.75" x14ac:dyDescent="0.2"/>
    <row r="14330" ht="12.75" x14ac:dyDescent="0.2"/>
    <row r="14331" ht="12.75" x14ac:dyDescent="0.2"/>
    <row r="14332" ht="12.75" x14ac:dyDescent="0.2"/>
    <row r="14333" ht="12.75" x14ac:dyDescent="0.2"/>
    <row r="14334" ht="12.75" x14ac:dyDescent="0.2"/>
    <row r="14335" ht="12.75" x14ac:dyDescent="0.2"/>
    <row r="14336" ht="12.75" x14ac:dyDescent="0.2"/>
    <row r="14337" ht="12.75" x14ac:dyDescent="0.2"/>
    <row r="14338" ht="12.75" x14ac:dyDescent="0.2"/>
    <row r="14339" ht="12.75" x14ac:dyDescent="0.2"/>
    <row r="14340" ht="12.75" x14ac:dyDescent="0.2"/>
    <row r="14341" ht="12.75" x14ac:dyDescent="0.2"/>
    <row r="14342" ht="12.75" x14ac:dyDescent="0.2"/>
    <row r="14343" ht="12.75" x14ac:dyDescent="0.2"/>
    <row r="14344" ht="12.75" x14ac:dyDescent="0.2"/>
    <row r="14345" ht="12.75" x14ac:dyDescent="0.2"/>
    <row r="14346" ht="12.75" x14ac:dyDescent="0.2"/>
    <row r="14347" ht="12.75" x14ac:dyDescent="0.2"/>
    <row r="14348" ht="12.75" x14ac:dyDescent="0.2"/>
    <row r="14349" ht="12.75" x14ac:dyDescent="0.2"/>
    <row r="14350" ht="12.75" x14ac:dyDescent="0.2"/>
    <row r="14351" ht="12.75" x14ac:dyDescent="0.2"/>
    <row r="14352" ht="12.75" x14ac:dyDescent="0.2"/>
    <row r="14353" ht="12.75" x14ac:dyDescent="0.2"/>
    <row r="14354" ht="12.75" x14ac:dyDescent="0.2"/>
    <row r="14355" ht="12.75" x14ac:dyDescent="0.2"/>
    <row r="14356" ht="12.75" x14ac:dyDescent="0.2"/>
    <row r="14357" ht="12.75" x14ac:dyDescent="0.2"/>
    <row r="14358" ht="12.75" x14ac:dyDescent="0.2"/>
    <row r="14359" ht="12.75" x14ac:dyDescent="0.2"/>
    <row r="14360" ht="12.75" x14ac:dyDescent="0.2"/>
    <row r="14361" ht="12.75" x14ac:dyDescent="0.2"/>
    <row r="14362" ht="12.75" x14ac:dyDescent="0.2"/>
    <row r="14363" ht="12.75" x14ac:dyDescent="0.2"/>
    <row r="14364" ht="12.75" x14ac:dyDescent="0.2"/>
    <row r="14365" ht="12.75" x14ac:dyDescent="0.2"/>
    <row r="14366" ht="12.75" x14ac:dyDescent="0.2"/>
    <row r="14367" ht="12.75" x14ac:dyDescent="0.2"/>
    <row r="14368" ht="12.75" x14ac:dyDescent="0.2"/>
    <row r="14369" ht="12.75" x14ac:dyDescent="0.2"/>
    <row r="14370" ht="12.75" x14ac:dyDescent="0.2"/>
    <row r="14371" ht="12.75" x14ac:dyDescent="0.2"/>
    <row r="14372" ht="12.75" x14ac:dyDescent="0.2"/>
    <row r="14373" ht="12.75" x14ac:dyDescent="0.2"/>
    <row r="14374" ht="12.75" x14ac:dyDescent="0.2"/>
    <row r="14375" ht="12.75" x14ac:dyDescent="0.2"/>
    <row r="14376" ht="12.75" x14ac:dyDescent="0.2"/>
    <row r="14377" ht="12.75" x14ac:dyDescent="0.2"/>
    <row r="14378" ht="12.75" x14ac:dyDescent="0.2"/>
    <row r="14379" ht="12.75" x14ac:dyDescent="0.2"/>
    <row r="14380" ht="12.75" x14ac:dyDescent="0.2"/>
    <row r="14381" ht="12.75" x14ac:dyDescent="0.2"/>
    <row r="14382" ht="12.75" x14ac:dyDescent="0.2"/>
    <row r="14383" ht="12.75" x14ac:dyDescent="0.2"/>
    <row r="14384" ht="12.75" x14ac:dyDescent="0.2"/>
    <row r="14385" ht="12.75" x14ac:dyDescent="0.2"/>
    <row r="14386" ht="12.75" x14ac:dyDescent="0.2"/>
    <row r="14387" ht="12.75" x14ac:dyDescent="0.2"/>
    <row r="14388" ht="12.75" x14ac:dyDescent="0.2"/>
    <row r="14389" ht="12.75" x14ac:dyDescent="0.2"/>
    <row r="14390" ht="12.75" x14ac:dyDescent="0.2"/>
    <row r="14391" ht="12.75" x14ac:dyDescent="0.2"/>
    <row r="14392" ht="12.75" x14ac:dyDescent="0.2"/>
    <row r="14393" ht="12.75" x14ac:dyDescent="0.2"/>
    <row r="14394" ht="12.75" x14ac:dyDescent="0.2"/>
    <row r="14395" ht="12.75" x14ac:dyDescent="0.2"/>
    <row r="14396" ht="12.75" x14ac:dyDescent="0.2"/>
    <row r="14397" ht="12.75" x14ac:dyDescent="0.2"/>
    <row r="14398" ht="12.75" x14ac:dyDescent="0.2"/>
    <row r="14399" ht="12.75" x14ac:dyDescent="0.2"/>
    <row r="14400" ht="12.75" x14ac:dyDescent="0.2"/>
    <row r="14401" ht="12.75" x14ac:dyDescent="0.2"/>
    <row r="14402" ht="12.75" x14ac:dyDescent="0.2"/>
    <row r="14403" ht="12.75" x14ac:dyDescent="0.2"/>
    <row r="14404" ht="12.75" x14ac:dyDescent="0.2"/>
    <row r="14405" ht="12.75" x14ac:dyDescent="0.2"/>
    <row r="14406" ht="12.75" x14ac:dyDescent="0.2"/>
    <row r="14407" ht="12.75" x14ac:dyDescent="0.2"/>
    <row r="14408" ht="12.75" x14ac:dyDescent="0.2"/>
    <row r="14409" ht="12.75" x14ac:dyDescent="0.2"/>
    <row r="14410" ht="12.75" x14ac:dyDescent="0.2"/>
    <row r="14411" ht="12.75" x14ac:dyDescent="0.2"/>
    <row r="14412" ht="12.75" x14ac:dyDescent="0.2"/>
    <row r="14413" ht="12.75" x14ac:dyDescent="0.2"/>
    <row r="14414" ht="12.75" x14ac:dyDescent="0.2"/>
    <row r="14415" ht="12.75" x14ac:dyDescent="0.2"/>
    <row r="14416" ht="12.75" x14ac:dyDescent="0.2"/>
    <row r="14417" ht="12.75" x14ac:dyDescent="0.2"/>
    <row r="14418" ht="12.75" x14ac:dyDescent="0.2"/>
    <row r="14419" ht="12.75" x14ac:dyDescent="0.2"/>
    <row r="14420" ht="12.75" x14ac:dyDescent="0.2"/>
    <row r="14421" ht="12.75" x14ac:dyDescent="0.2"/>
    <row r="14422" ht="12.75" x14ac:dyDescent="0.2"/>
    <row r="14423" ht="12.75" x14ac:dyDescent="0.2"/>
    <row r="14424" ht="12.75" x14ac:dyDescent="0.2"/>
    <row r="14425" ht="12.75" x14ac:dyDescent="0.2"/>
    <row r="14426" ht="12.75" x14ac:dyDescent="0.2"/>
    <row r="14427" ht="12.75" x14ac:dyDescent="0.2"/>
    <row r="14428" ht="12.75" x14ac:dyDescent="0.2"/>
    <row r="14429" ht="12.75" x14ac:dyDescent="0.2"/>
    <row r="14430" ht="12.75" x14ac:dyDescent="0.2"/>
    <row r="14431" ht="12.75" x14ac:dyDescent="0.2"/>
    <row r="14432" ht="12.75" x14ac:dyDescent="0.2"/>
    <row r="14433" ht="12.75" x14ac:dyDescent="0.2"/>
    <row r="14434" ht="12.75" x14ac:dyDescent="0.2"/>
    <row r="14435" ht="12.75" x14ac:dyDescent="0.2"/>
    <row r="14436" ht="12.75" x14ac:dyDescent="0.2"/>
    <row r="14437" ht="12.75" x14ac:dyDescent="0.2"/>
    <row r="14438" ht="12.75" x14ac:dyDescent="0.2"/>
    <row r="14439" ht="12.75" x14ac:dyDescent="0.2"/>
    <row r="14440" ht="12.75" x14ac:dyDescent="0.2"/>
    <row r="14441" ht="12.75" x14ac:dyDescent="0.2"/>
    <row r="14442" ht="12.75" x14ac:dyDescent="0.2"/>
    <row r="14443" ht="12.75" x14ac:dyDescent="0.2"/>
    <row r="14444" ht="12.75" x14ac:dyDescent="0.2"/>
    <row r="14445" ht="12.75" x14ac:dyDescent="0.2"/>
    <row r="14446" ht="12.75" x14ac:dyDescent="0.2"/>
    <row r="14447" ht="12.75" x14ac:dyDescent="0.2"/>
    <row r="14448" ht="12.75" x14ac:dyDescent="0.2"/>
    <row r="14449" ht="12.75" x14ac:dyDescent="0.2"/>
    <row r="14450" ht="12.75" x14ac:dyDescent="0.2"/>
    <row r="14451" ht="12.75" x14ac:dyDescent="0.2"/>
    <row r="14452" ht="12.75" x14ac:dyDescent="0.2"/>
    <row r="14453" ht="12.75" x14ac:dyDescent="0.2"/>
    <row r="14454" ht="12.75" x14ac:dyDescent="0.2"/>
    <row r="14455" ht="12.75" x14ac:dyDescent="0.2"/>
    <row r="14456" ht="12.75" x14ac:dyDescent="0.2"/>
    <row r="14457" ht="12.75" x14ac:dyDescent="0.2"/>
    <row r="14458" ht="12.75" x14ac:dyDescent="0.2"/>
    <row r="14459" ht="12.75" x14ac:dyDescent="0.2"/>
    <row r="14460" ht="12.75" x14ac:dyDescent="0.2"/>
    <row r="14461" ht="12.75" x14ac:dyDescent="0.2"/>
    <row r="14462" ht="12.75" x14ac:dyDescent="0.2"/>
    <row r="14463" ht="12.75" x14ac:dyDescent="0.2"/>
    <row r="14464" ht="12.75" x14ac:dyDescent="0.2"/>
    <row r="14465" ht="12.75" x14ac:dyDescent="0.2"/>
    <row r="14466" ht="12.75" x14ac:dyDescent="0.2"/>
    <row r="14467" ht="12.75" x14ac:dyDescent="0.2"/>
    <row r="14468" ht="12.75" x14ac:dyDescent="0.2"/>
    <row r="14469" ht="12.75" x14ac:dyDescent="0.2"/>
    <row r="14470" ht="12.75" x14ac:dyDescent="0.2"/>
    <row r="14471" ht="12.75" x14ac:dyDescent="0.2"/>
    <row r="14472" ht="12.75" x14ac:dyDescent="0.2"/>
    <row r="14473" ht="12.75" x14ac:dyDescent="0.2"/>
    <row r="14474" ht="12.75" x14ac:dyDescent="0.2"/>
    <row r="14475" ht="12.75" x14ac:dyDescent="0.2"/>
    <row r="14476" ht="12.75" x14ac:dyDescent="0.2"/>
    <row r="14477" ht="12.75" x14ac:dyDescent="0.2"/>
    <row r="14478" ht="12.75" x14ac:dyDescent="0.2"/>
    <row r="14479" ht="12.75" x14ac:dyDescent="0.2"/>
    <row r="14480" ht="12.75" x14ac:dyDescent="0.2"/>
    <row r="14481" ht="12.75" x14ac:dyDescent="0.2"/>
    <row r="14482" ht="12.75" x14ac:dyDescent="0.2"/>
    <row r="14483" ht="12.75" x14ac:dyDescent="0.2"/>
    <row r="14484" ht="12.75" x14ac:dyDescent="0.2"/>
    <row r="14485" ht="12.75" x14ac:dyDescent="0.2"/>
    <row r="14486" ht="12.75" x14ac:dyDescent="0.2"/>
    <row r="14487" ht="12.75" x14ac:dyDescent="0.2"/>
    <row r="14488" ht="12.75" x14ac:dyDescent="0.2"/>
    <row r="14489" ht="12.75" x14ac:dyDescent="0.2"/>
    <row r="14490" ht="12.75" x14ac:dyDescent="0.2"/>
    <row r="14491" ht="12.75" x14ac:dyDescent="0.2"/>
    <row r="14492" ht="12.75" x14ac:dyDescent="0.2"/>
    <row r="14493" ht="12.75" x14ac:dyDescent="0.2"/>
    <row r="14494" ht="12.75" x14ac:dyDescent="0.2"/>
    <row r="14495" ht="12.75" x14ac:dyDescent="0.2"/>
    <row r="14496" ht="12.75" x14ac:dyDescent="0.2"/>
    <row r="14497" ht="12.75" x14ac:dyDescent="0.2"/>
    <row r="14498" ht="12.75" x14ac:dyDescent="0.2"/>
    <row r="14499" ht="12.75" x14ac:dyDescent="0.2"/>
    <row r="14500" ht="12.75" x14ac:dyDescent="0.2"/>
    <row r="14501" ht="12.75" x14ac:dyDescent="0.2"/>
    <row r="14502" ht="12.75" x14ac:dyDescent="0.2"/>
    <row r="14503" ht="12.75" x14ac:dyDescent="0.2"/>
    <row r="14504" ht="12.75" x14ac:dyDescent="0.2"/>
    <row r="14505" ht="12.75" x14ac:dyDescent="0.2"/>
    <row r="14506" ht="12.75" x14ac:dyDescent="0.2"/>
    <row r="14507" ht="12.75" x14ac:dyDescent="0.2"/>
    <row r="14508" ht="12.75" x14ac:dyDescent="0.2"/>
    <row r="14509" ht="12.75" x14ac:dyDescent="0.2"/>
    <row r="14510" ht="12.75" x14ac:dyDescent="0.2"/>
    <row r="14511" ht="12.75" x14ac:dyDescent="0.2"/>
    <row r="14512" ht="12.75" x14ac:dyDescent="0.2"/>
    <row r="14513" ht="12.75" x14ac:dyDescent="0.2"/>
    <row r="14514" ht="12.75" x14ac:dyDescent="0.2"/>
    <row r="14515" ht="12.75" x14ac:dyDescent="0.2"/>
    <row r="14516" ht="12.75" x14ac:dyDescent="0.2"/>
    <row r="14517" ht="12.75" x14ac:dyDescent="0.2"/>
    <row r="14518" ht="12.75" x14ac:dyDescent="0.2"/>
    <row r="14519" ht="12.75" x14ac:dyDescent="0.2"/>
    <row r="14520" ht="12.75" x14ac:dyDescent="0.2"/>
    <row r="14521" ht="12.75" x14ac:dyDescent="0.2"/>
    <row r="14522" ht="12.75" x14ac:dyDescent="0.2"/>
    <row r="14523" ht="12.75" x14ac:dyDescent="0.2"/>
    <row r="14524" ht="12.75" x14ac:dyDescent="0.2"/>
    <row r="14525" ht="12.75" x14ac:dyDescent="0.2"/>
    <row r="14526" ht="12.75" x14ac:dyDescent="0.2"/>
    <row r="14527" ht="12.75" x14ac:dyDescent="0.2"/>
    <row r="14528" ht="12.75" x14ac:dyDescent="0.2"/>
    <row r="14529" ht="12.75" x14ac:dyDescent="0.2"/>
    <row r="14530" ht="12.75" x14ac:dyDescent="0.2"/>
    <row r="14531" ht="12.75" x14ac:dyDescent="0.2"/>
    <row r="14532" ht="12.75" x14ac:dyDescent="0.2"/>
    <row r="14533" ht="12.75" x14ac:dyDescent="0.2"/>
    <row r="14534" ht="12.75" x14ac:dyDescent="0.2"/>
    <row r="14535" ht="12.75" x14ac:dyDescent="0.2"/>
    <row r="14536" ht="12.75" x14ac:dyDescent="0.2"/>
    <row r="14537" ht="12.75" x14ac:dyDescent="0.2"/>
    <row r="14538" ht="12.75" x14ac:dyDescent="0.2"/>
    <row r="14539" ht="12.75" x14ac:dyDescent="0.2"/>
    <row r="14540" ht="12.75" x14ac:dyDescent="0.2"/>
    <row r="14541" ht="12.75" x14ac:dyDescent="0.2"/>
    <row r="14542" ht="12.75" x14ac:dyDescent="0.2"/>
    <row r="14543" ht="12.75" x14ac:dyDescent="0.2"/>
    <row r="14544" ht="12.75" x14ac:dyDescent="0.2"/>
    <row r="14545" ht="12.75" x14ac:dyDescent="0.2"/>
    <row r="14546" ht="12.75" x14ac:dyDescent="0.2"/>
    <row r="14547" ht="12.75" x14ac:dyDescent="0.2"/>
    <row r="14548" ht="12.75" x14ac:dyDescent="0.2"/>
    <row r="14549" ht="12.75" x14ac:dyDescent="0.2"/>
    <row r="14550" ht="12.75" x14ac:dyDescent="0.2"/>
    <row r="14551" ht="12.75" x14ac:dyDescent="0.2"/>
    <row r="14552" ht="12.75" x14ac:dyDescent="0.2"/>
    <row r="14553" ht="12.75" x14ac:dyDescent="0.2"/>
    <row r="14554" ht="12.75" x14ac:dyDescent="0.2"/>
    <row r="14555" ht="12.75" x14ac:dyDescent="0.2"/>
    <row r="14556" ht="12.75" x14ac:dyDescent="0.2"/>
    <row r="14557" ht="12.75" x14ac:dyDescent="0.2"/>
    <row r="14558" ht="12.75" x14ac:dyDescent="0.2"/>
    <row r="14559" ht="12.75" x14ac:dyDescent="0.2"/>
    <row r="14560" ht="12.75" x14ac:dyDescent="0.2"/>
    <row r="14561" ht="12.75" x14ac:dyDescent="0.2"/>
    <row r="14562" ht="12.75" x14ac:dyDescent="0.2"/>
    <row r="14563" ht="12.75" x14ac:dyDescent="0.2"/>
    <row r="14564" ht="12.75" x14ac:dyDescent="0.2"/>
    <row r="14565" ht="12.75" x14ac:dyDescent="0.2"/>
    <row r="14566" ht="12.75" x14ac:dyDescent="0.2"/>
    <row r="14567" ht="12.75" x14ac:dyDescent="0.2"/>
    <row r="14568" ht="12.75" x14ac:dyDescent="0.2"/>
    <row r="14569" ht="12.75" x14ac:dyDescent="0.2"/>
    <row r="14570" ht="12.75" x14ac:dyDescent="0.2"/>
    <row r="14571" ht="12.75" x14ac:dyDescent="0.2"/>
    <row r="14572" ht="12.75" x14ac:dyDescent="0.2"/>
    <row r="14573" ht="12.75" x14ac:dyDescent="0.2"/>
    <row r="14574" ht="12.75" x14ac:dyDescent="0.2"/>
    <row r="14575" ht="12.75" x14ac:dyDescent="0.2"/>
    <row r="14576" ht="12.75" x14ac:dyDescent="0.2"/>
    <row r="14577" ht="12.75" x14ac:dyDescent="0.2"/>
    <row r="14578" ht="12.75" x14ac:dyDescent="0.2"/>
    <row r="14579" ht="12.75" x14ac:dyDescent="0.2"/>
    <row r="14580" ht="12.75" x14ac:dyDescent="0.2"/>
    <row r="14581" ht="12.75" x14ac:dyDescent="0.2"/>
    <row r="14582" ht="12.75" x14ac:dyDescent="0.2"/>
    <row r="14583" ht="12.75" x14ac:dyDescent="0.2"/>
    <row r="14584" ht="12.75" x14ac:dyDescent="0.2"/>
    <row r="14585" ht="12.75" x14ac:dyDescent="0.2"/>
    <row r="14586" ht="12.75" x14ac:dyDescent="0.2"/>
    <row r="14587" ht="12.75" x14ac:dyDescent="0.2"/>
    <row r="14588" ht="12.75" x14ac:dyDescent="0.2"/>
    <row r="14589" ht="12.75" x14ac:dyDescent="0.2"/>
    <row r="14590" ht="12.75" x14ac:dyDescent="0.2"/>
    <row r="14591" ht="12.75" x14ac:dyDescent="0.2"/>
    <row r="14592" ht="12.75" x14ac:dyDescent="0.2"/>
    <row r="14593" ht="12.75" x14ac:dyDescent="0.2"/>
    <row r="14594" ht="12.75" x14ac:dyDescent="0.2"/>
    <row r="14595" ht="12.75" x14ac:dyDescent="0.2"/>
    <row r="14596" ht="12.75" x14ac:dyDescent="0.2"/>
    <row r="14597" ht="12.75" x14ac:dyDescent="0.2"/>
    <row r="14598" ht="12.75" x14ac:dyDescent="0.2"/>
    <row r="14599" ht="12.75" x14ac:dyDescent="0.2"/>
    <row r="14600" ht="12.75" x14ac:dyDescent="0.2"/>
    <row r="14601" ht="12.75" x14ac:dyDescent="0.2"/>
    <row r="14602" ht="12.75" x14ac:dyDescent="0.2"/>
    <row r="14603" ht="12.75" x14ac:dyDescent="0.2"/>
    <row r="14604" ht="12.75" x14ac:dyDescent="0.2"/>
    <row r="14605" ht="12.75" x14ac:dyDescent="0.2"/>
    <row r="14606" ht="12.75" x14ac:dyDescent="0.2"/>
    <row r="14607" ht="12.75" x14ac:dyDescent="0.2"/>
    <row r="14608" ht="12.75" x14ac:dyDescent="0.2"/>
    <row r="14609" ht="12.75" x14ac:dyDescent="0.2"/>
    <row r="14610" ht="12.75" x14ac:dyDescent="0.2"/>
    <row r="14611" ht="12.75" x14ac:dyDescent="0.2"/>
    <row r="14612" ht="12.75" x14ac:dyDescent="0.2"/>
    <row r="14613" ht="12.75" x14ac:dyDescent="0.2"/>
    <row r="14614" ht="12.75" x14ac:dyDescent="0.2"/>
    <row r="14615" ht="12.75" x14ac:dyDescent="0.2"/>
    <row r="14616" ht="12.75" x14ac:dyDescent="0.2"/>
    <row r="14617" ht="12.75" x14ac:dyDescent="0.2"/>
    <row r="14618" ht="12.75" x14ac:dyDescent="0.2"/>
    <row r="14619" ht="12.75" x14ac:dyDescent="0.2"/>
    <row r="14620" ht="12.75" x14ac:dyDescent="0.2"/>
    <row r="14621" ht="12.75" x14ac:dyDescent="0.2"/>
    <row r="14622" ht="12.75" x14ac:dyDescent="0.2"/>
    <row r="14623" ht="12.75" x14ac:dyDescent="0.2"/>
    <row r="14624" ht="12.75" x14ac:dyDescent="0.2"/>
    <row r="14625" ht="12.75" x14ac:dyDescent="0.2"/>
    <row r="14626" ht="12.75" x14ac:dyDescent="0.2"/>
    <row r="14627" ht="12.75" x14ac:dyDescent="0.2"/>
    <row r="14628" ht="12.75" x14ac:dyDescent="0.2"/>
    <row r="14629" ht="12.75" x14ac:dyDescent="0.2"/>
    <row r="14630" ht="12.75" x14ac:dyDescent="0.2"/>
    <row r="14631" ht="12.75" x14ac:dyDescent="0.2"/>
    <row r="14632" ht="12.75" x14ac:dyDescent="0.2"/>
    <row r="14633" ht="12.75" x14ac:dyDescent="0.2"/>
    <row r="14634" ht="12.75" x14ac:dyDescent="0.2"/>
    <row r="14635" ht="12.75" x14ac:dyDescent="0.2"/>
    <row r="14636" ht="12.75" x14ac:dyDescent="0.2"/>
    <row r="14637" ht="12.75" x14ac:dyDescent="0.2"/>
    <row r="14638" ht="12.75" x14ac:dyDescent="0.2"/>
    <row r="14639" ht="12.75" x14ac:dyDescent="0.2"/>
    <row r="14640" ht="12.75" x14ac:dyDescent="0.2"/>
    <row r="14641" ht="12.75" x14ac:dyDescent="0.2"/>
    <row r="14642" ht="12.75" x14ac:dyDescent="0.2"/>
    <row r="14643" ht="12.75" x14ac:dyDescent="0.2"/>
    <row r="14644" ht="12.75" x14ac:dyDescent="0.2"/>
    <row r="14645" ht="12.75" x14ac:dyDescent="0.2"/>
    <row r="14646" ht="12.75" x14ac:dyDescent="0.2"/>
    <row r="14647" ht="12.75" x14ac:dyDescent="0.2"/>
    <row r="14648" ht="12.75" x14ac:dyDescent="0.2"/>
    <row r="14649" ht="12.75" x14ac:dyDescent="0.2"/>
    <row r="14650" ht="12.75" x14ac:dyDescent="0.2"/>
    <row r="14651" ht="12.75" x14ac:dyDescent="0.2"/>
    <row r="14652" ht="12.75" x14ac:dyDescent="0.2"/>
    <row r="14653" ht="12.75" x14ac:dyDescent="0.2"/>
    <row r="14654" ht="12.75" x14ac:dyDescent="0.2"/>
    <row r="14655" ht="12.75" x14ac:dyDescent="0.2"/>
    <row r="14656" ht="12.75" x14ac:dyDescent="0.2"/>
    <row r="14657" ht="12.75" x14ac:dyDescent="0.2"/>
    <row r="14658" ht="12.75" x14ac:dyDescent="0.2"/>
    <row r="14659" ht="12.75" x14ac:dyDescent="0.2"/>
    <row r="14660" ht="12.75" x14ac:dyDescent="0.2"/>
    <row r="14661" ht="12.75" x14ac:dyDescent="0.2"/>
    <row r="14662" ht="12.75" x14ac:dyDescent="0.2"/>
    <row r="14663" ht="12.75" x14ac:dyDescent="0.2"/>
    <row r="14664" ht="12.75" x14ac:dyDescent="0.2"/>
    <row r="14665" ht="12.75" x14ac:dyDescent="0.2"/>
    <row r="14666" ht="12.75" x14ac:dyDescent="0.2"/>
    <row r="14667" ht="12.75" x14ac:dyDescent="0.2"/>
    <row r="14668" ht="12.75" x14ac:dyDescent="0.2"/>
    <row r="14669" ht="12.75" x14ac:dyDescent="0.2"/>
    <row r="14670" ht="12.75" x14ac:dyDescent="0.2"/>
    <row r="14671" ht="12.75" x14ac:dyDescent="0.2"/>
    <row r="14672" ht="12.75" x14ac:dyDescent="0.2"/>
    <row r="14673" ht="12.75" x14ac:dyDescent="0.2"/>
    <row r="14674" ht="12.75" x14ac:dyDescent="0.2"/>
    <row r="14675" ht="12.75" x14ac:dyDescent="0.2"/>
    <row r="14676" ht="12.75" x14ac:dyDescent="0.2"/>
    <row r="14677" ht="12.75" x14ac:dyDescent="0.2"/>
    <row r="14678" ht="12.75" x14ac:dyDescent="0.2"/>
    <row r="14679" ht="12.75" x14ac:dyDescent="0.2"/>
    <row r="14680" ht="12.75" x14ac:dyDescent="0.2"/>
    <row r="14681" ht="12.75" x14ac:dyDescent="0.2"/>
    <row r="14682" ht="12.75" x14ac:dyDescent="0.2"/>
    <row r="14683" ht="12.75" x14ac:dyDescent="0.2"/>
    <row r="14684" ht="12.75" x14ac:dyDescent="0.2"/>
    <row r="14685" ht="12.75" x14ac:dyDescent="0.2"/>
    <row r="14686" ht="12.75" x14ac:dyDescent="0.2"/>
    <row r="14687" ht="12.75" x14ac:dyDescent="0.2"/>
    <row r="14688" ht="12.75" x14ac:dyDescent="0.2"/>
    <row r="14689" ht="12.75" x14ac:dyDescent="0.2"/>
    <row r="14690" ht="12.75" x14ac:dyDescent="0.2"/>
    <row r="14691" ht="12.75" x14ac:dyDescent="0.2"/>
    <row r="14692" ht="12.75" x14ac:dyDescent="0.2"/>
    <row r="14693" ht="12.75" x14ac:dyDescent="0.2"/>
    <row r="14694" ht="12.75" x14ac:dyDescent="0.2"/>
    <row r="14695" ht="12.75" x14ac:dyDescent="0.2"/>
    <row r="14696" ht="12.75" x14ac:dyDescent="0.2"/>
    <row r="14697" ht="12.75" x14ac:dyDescent="0.2"/>
    <row r="14698" ht="12.75" x14ac:dyDescent="0.2"/>
    <row r="14699" ht="12.75" x14ac:dyDescent="0.2"/>
    <row r="14700" ht="12.75" x14ac:dyDescent="0.2"/>
    <row r="14701" ht="12.75" x14ac:dyDescent="0.2"/>
    <row r="14702" ht="12.75" x14ac:dyDescent="0.2"/>
    <row r="14703" ht="12.75" x14ac:dyDescent="0.2"/>
    <row r="14704" ht="12.75" x14ac:dyDescent="0.2"/>
    <row r="14705" ht="12.75" x14ac:dyDescent="0.2"/>
    <row r="14706" ht="12.75" x14ac:dyDescent="0.2"/>
    <row r="14707" ht="12.75" x14ac:dyDescent="0.2"/>
    <row r="14708" ht="12.75" x14ac:dyDescent="0.2"/>
    <row r="14709" ht="12.75" x14ac:dyDescent="0.2"/>
    <row r="14710" ht="12.75" x14ac:dyDescent="0.2"/>
    <row r="14711" ht="12.75" x14ac:dyDescent="0.2"/>
    <row r="14712" ht="12.75" x14ac:dyDescent="0.2"/>
    <row r="14713" ht="12.75" x14ac:dyDescent="0.2"/>
    <row r="14714" ht="12.75" x14ac:dyDescent="0.2"/>
    <row r="14715" ht="12.75" x14ac:dyDescent="0.2"/>
    <row r="14716" ht="12.75" x14ac:dyDescent="0.2"/>
    <row r="14717" ht="12.75" x14ac:dyDescent="0.2"/>
    <row r="14718" ht="12.75" x14ac:dyDescent="0.2"/>
    <row r="14719" ht="12.75" x14ac:dyDescent="0.2"/>
    <row r="14720" ht="12.75" x14ac:dyDescent="0.2"/>
    <row r="14721" ht="12.75" x14ac:dyDescent="0.2"/>
    <row r="14722" ht="12.75" x14ac:dyDescent="0.2"/>
    <row r="14723" ht="12.75" x14ac:dyDescent="0.2"/>
    <row r="14724" ht="12.75" x14ac:dyDescent="0.2"/>
    <row r="14725" ht="12.75" x14ac:dyDescent="0.2"/>
    <row r="14726" ht="12.75" x14ac:dyDescent="0.2"/>
    <row r="14727" ht="12.75" x14ac:dyDescent="0.2"/>
    <row r="14728" ht="12.75" x14ac:dyDescent="0.2"/>
    <row r="14729" ht="12.75" x14ac:dyDescent="0.2"/>
    <row r="14730" ht="12.75" x14ac:dyDescent="0.2"/>
    <row r="14731" ht="12.75" x14ac:dyDescent="0.2"/>
    <row r="14732" ht="12.75" x14ac:dyDescent="0.2"/>
    <row r="14733" ht="12.75" x14ac:dyDescent="0.2"/>
    <row r="14734" ht="12.75" x14ac:dyDescent="0.2"/>
    <row r="14735" ht="12.75" x14ac:dyDescent="0.2"/>
    <row r="14736" ht="12.75" x14ac:dyDescent="0.2"/>
    <row r="14737" ht="12.75" x14ac:dyDescent="0.2"/>
    <row r="14738" ht="12.75" x14ac:dyDescent="0.2"/>
    <row r="14739" ht="12.75" x14ac:dyDescent="0.2"/>
    <row r="14740" ht="12.75" x14ac:dyDescent="0.2"/>
    <row r="14741" ht="12.75" x14ac:dyDescent="0.2"/>
    <row r="14742" ht="12.75" x14ac:dyDescent="0.2"/>
    <row r="14743" ht="12.75" x14ac:dyDescent="0.2"/>
    <row r="14744" ht="12.75" x14ac:dyDescent="0.2"/>
    <row r="14745" ht="12.75" x14ac:dyDescent="0.2"/>
    <row r="14746" ht="12.75" x14ac:dyDescent="0.2"/>
    <row r="14747" ht="12.75" x14ac:dyDescent="0.2"/>
    <row r="14748" ht="12.75" x14ac:dyDescent="0.2"/>
    <row r="14749" ht="12.75" x14ac:dyDescent="0.2"/>
    <row r="14750" ht="12.75" x14ac:dyDescent="0.2"/>
    <row r="14751" ht="12.75" x14ac:dyDescent="0.2"/>
    <row r="14752" ht="12.75" x14ac:dyDescent="0.2"/>
    <row r="14753" ht="12.75" x14ac:dyDescent="0.2"/>
    <row r="14754" ht="12.75" x14ac:dyDescent="0.2"/>
    <row r="14755" ht="12.75" x14ac:dyDescent="0.2"/>
    <row r="14756" ht="12.75" x14ac:dyDescent="0.2"/>
    <row r="14757" ht="12.75" x14ac:dyDescent="0.2"/>
    <row r="14758" ht="12.75" x14ac:dyDescent="0.2"/>
    <row r="14759" ht="12.75" x14ac:dyDescent="0.2"/>
    <row r="14760" ht="12.75" x14ac:dyDescent="0.2"/>
    <row r="14761" ht="12.75" x14ac:dyDescent="0.2"/>
    <row r="14762" ht="12.75" x14ac:dyDescent="0.2"/>
    <row r="14763" ht="12.75" x14ac:dyDescent="0.2"/>
    <row r="14764" ht="12.75" x14ac:dyDescent="0.2"/>
    <row r="14765" ht="12.75" x14ac:dyDescent="0.2"/>
    <row r="14766" ht="12.75" x14ac:dyDescent="0.2"/>
    <row r="14767" ht="12.75" x14ac:dyDescent="0.2"/>
    <row r="14768" ht="12.75" x14ac:dyDescent="0.2"/>
    <row r="14769" ht="12.75" x14ac:dyDescent="0.2"/>
    <row r="14770" ht="12.75" x14ac:dyDescent="0.2"/>
    <row r="14771" ht="12.75" x14ac:dyDescent="0.2"/>
    <row r="14772" ht="12.75" x14ac:dyDescent="0.2"/>
    <row r="14773" ht="12.75" x14ac:dyDescent="0.2"/>
    <row r="14774" ht="12.75" x14ac:dyDescent="0.2"/>
    <row r="14775" ht="12.75" x14ac:dyDescent="0.2"/>
    <row r="14776" ht="12.75" x14ac:dyDescent="0.2"/>
    <row r="14777" ht="12.75" x14ac:dyDescent="0.2"/>
    <row r="14778" ht="12.75" x14ac:dyDescent="0.2"/>
    <row r="14779" ht="12.75" x14ac:dyDescent="0.2"/>
    <row r="14780" ht="12.75" x14ac:dyDescent="0.2"/>
    <row r="14781" ht="12.75" x14ac:dyDescent="0.2"/>
    <row r="14782" ht="12.75" x14ac:dyDescent="0.2"/>
    <row r="14783" ht="12.75" x14ac:dyDescent="0.2"/>
    <row r="14784" ht="12.75" x14ac:dyDescent="0.2"/>
    <row r="14785" ht="12.75" x14ac:dyDescent="0.2"/>
    <row r="14786" ht="12.75" x14ac:dyDescent="0.2"/>
    <row r="14787" ht="12.75" x14ac:dyDescent="0.2"/>
    <row r="14788" ht="12.75" x14ac:dyDescent="0.2"/>
    <row r="14789" ht="12.75" x14ac:dyDescent="0.2"/>
    <row r="14790" ht="12.75" x14ac:dyDescent="0.2"/>
    <row r="14791" ht="12.75" x14ac:dyDescent="0.2"/>
    <row r="14792" ht="12.75" x14ac:dyDescent="0.2"/>
    <row r="14793" ht="12.75" x14ac:dyDescent="0.2"/>
    <row r="14794" ht="12.75" x14ac:dyDescent="0.2"/>
    <row r="14795" ht="12.75" x14ac:dyDescent="0.2"/>
    <row r="14796" ht="12.75" x14ac:dyDescent="0.2"/>
    <row r="14797" ht="12.75" x14ac:dyDescent="0.2"/>
    <row r="14798" ht="12.75" x14ac:dyDescent="0.2"/>
    <row r="14799" ht="12.75" x14ac:dyDescent="0.2"/>
    <row r="14800" ht="12.75" x14ac:dyDescent="0.2"/>
    <row r="14801" ht="12.75" x14ac:dyDescent="0.2"/>
    <row r="14802" ht="12.75" x14ac:dyDescent="0.2"/>
    <row r="14803" ht="12.75" x14ac:dyDescent="0.2"/>
    <row r="14804" ht="12.75" x14ac:dyDescent="0.2"/>
    <row r="14805" ht="12.75" x14ac:dyDescent="0.2"/>
    <row r="14806" ht="12.75" x14ac:dyDescent="0.2"/>
    <row r="14807" ht="12.75" x14ac:dyDescent="0.2"/>
    <row r="14808" ht="12.75" x14ac:dyDescent="0.2"/>
    <row r="14809" ht="12.75" x14ac:dyDescent="0.2"/>
    <row r="14810" ht="12.75" x14ac:dyDescent="0.2"/>
    <row r="14811" ht="12.75" x14ac:dyDescent="0.2"/>
    <row r="14812" ht="12.75" x14ac:dyDescent="0.2"/>
    <row r="14813" ht="12.75" x14ac:dyDescent="0.2"/>
    <row r="14814" ht="12.75" x14ac:dyDescent="0.2"/>
    <row r="14815" ht="12.75" x14ac:dyDescent="0.2"/>
    <row r="14816" ht="12.75" x14ac:dyDescent="0.2"/>
    <row r="14817" ht="12.75" x14ac:dyDescent="0.2"/>
    <row r="14818" ht="12.75" x14ac:dyDescent="0.2"/>
    <row r="14819" ht="12.75" x14ac:dyDescent="0.2"/>
    <row r="14820" ht="12.75" x14ac:dyDescent="0.2"/>
    <row r="14821" ht="12.75" x14ac:dyDescent="0.2"/>
    <row r="14822" ht="12.75" x14ac:dyDescent="0.2"/>
    <row r="14823" ht="12.75" x14ac:dyDescent="0.2"/>
    <row r="14824" ht="12.75" x14ac:dyDescent="0.2"/>
    <row r="14825" ht="12.75" x14ac:dyDescent="0.2"/>
    <row r="14826" ht="12.75" x14ac:dyDescent="0.2"/>
    <row r="14827" ht="12.75" x14ac:dyDescent="0.2"/>
    <row r="14828" ht="12.75" x14ac:dyDescent="0.2"/>
    <row r="14829" ht="12.75" x14ac:dyDescent="0.2"/>
    <row r="14830" ht="12.75" x14ac:dyDescent="0.2"/>
    <row r="14831" ht="12.75" x14ac:dyDescent="0.2"/>
    <row r="14832" ht="12.75" x14ac:dyDescent="0.2"/>
    <row r="14833" ht="12.75" x14ac:dyDescent="0.2"/>
    <row r="14834" ht="12.75" x14ac:dyDescent="0.2"/>
    <row r="14835" ht="12.75" x14ac:dyDescent="0.2"/>
    <row r="14836" ht="12.75" x14ac:dyDescent="0.2"/>
    <row r="14837" ht="12.75" x14ac:dyDescent="0.2"/>
    <row r="14838" ht="12.75" x14ac:dyDescent="0.2"/>
    <row r="14839" ht="12.75" x14ac:dyDescent="0.2"/>
    <row r="14840" ht="12.75" x14ac:dyDescent="0.2"/>
    <row r="14841" ht="12.75" x14ac:dyDescent="0.2"/>
    <row r="14842" ht="12.75" x14ac:dyDescent="0.2"/>
    <row r="14843" ht="12.75" x14ac:dyDescent="0.2"/>
    <row r="14844" ht="12.75" x14ac:dyDescent="0.2"/>
    <row r="14845" ht="12.75" x14ac:dyDescent="0.2"/>
    <row r="14846" ht="12.75" x14ac:dyDescent="0.2"/>
    <row r="14847" ht="12.75" x14ac:dyDescent="0.2"/>
    <row r="14848" ht="12.75" x14ac:dyDescent="0.2"/>
    <row r="14849" ht="12.75" x14ac:dyDescent="0.2"/>
    <row r="14850" ht="12.75" x14ac:dyDescent="0.2"/>
    <row r="14851" ht="12.75" x14ac:dyDescent="0.2"/>
    <row r="14852" ht="12.75" x14ac:dyDescent="0.2"/>
    <row r="14853" ht="12.75" x14ac:dyDescent="0.2"/>
    <row r="14854" ht="12.75" x14ac:dyDescent="0.2"/>
    <row r="14855" ht="12.75" x14ac:dyDescent="0.2"/>
    <row r="14856" ht="12.75" x14ac:dyDescent="0.2"/>
    <row r="14857" ht="12.75" x14ac:dyDescent="0.2"/>
    <row r="14858" ht="12.75" x14ac:dyDescent="0.2"/>
    <row r="14859" ht="12.75" x14ac:dyDescent="0.2"/>
    <row r="14860" ht="12.75" x14ac:dyDescent="0.2"/>
    <row r="14861" ht="12.75" x14ac:dyDescent="0.2"/>
    <row r="14862" ht="12.75" x14ac:dyDescent="0.2"/>
    <row r="14863" ht="12.75" x14ac:dyDescent="0.2"/>
    <row r="14864" ht="12.75" x14ac:dyDescent="0.2"/>
    <row r="14865" ht="12.75" x14ac:dyDescent="0.2"/>
    <row r="14866" ht="12.75" x14ac:dyDescent="0.2"/>
    <row r="14867" ht="12.75" x14ac:dyDescent="0.2"/>
    <row r="14868" ht="12.75" x14ac:dyDescent="0.2"/>
    <row r="14869" ht="12.75" x14ac:dyDescent="0.2"/>
    <row r="14870" ht="12.75" x14ac:dyDescent="0.2"/>
    <row r="14871" ht="12.75" x14ac:dyDescent="0.2"/>
    <row r="14872" ht="12.75" x14ac:dyDescent="0.2"/>
    <row r="14873" ht="12.75" x14ac:dyDescent="0.2"/>
    <row r="14874" ht="12.75" x14ac:dyDescent="0.2"/>
    <row r="14875" ht="12.75" x14ac:dyDescent="0.2"/>
    <row r="14876" ht="12.75" x14ac:dyDescent="0.2"/>
    <row r="14877" ht="12.75" x14ac:dyDescent="0.2"/>
    <row r="14878" ht="12.75" x14ac:dyDescent="0.2"/>
    <row r="14879" ht="12.75" x14ac:dyDescent="0.2"/>
    <row r="14880" ht="12.75" x14ac:dyDescent="0.2"/>
    <row r="14881" ht="12.75" x14ac:dyDescent="0.2"/>
    <row r="14882" ht="12.75" x14ac:dyDescent="0.2"/>
    <row r="14883" ht="12.75" x14ac:dyDescent="0.2"/>
    <row r="14884" ht="12.75" x14ac:dyDescent="0.2"/>
    <row r="14885" ht="12.75" x14ac:dyDescent="0.2"/>
    <row r="14886" ht="12.75" x14ac:dyDescent="0.2"/>
    <row r="14887" ht="12.75" x14ac:dyDescent="0.2"/>
    <row r="14888" ht="12.75" x14ac:dyDescent="0.2"/>
    <row r="14889" ht="12.75" x14ac:dyDescent="0.2"/>
    <row r="14890" ht="12.75" x14ac:dyDescent="0.2"/>
    <row r="14891" ht="12.75" x14ac:dyDescent="0.2"/>
    <row r="14892" ht="12.75" x14ac:dyDescent="0.2"/>
    <row r="14893" ht="12.75" x14ac:dyDescent="0.2"/>
    <row r="14894" ht="12.75" x14ac:dyDescent="0.2"/>
    <row r="14895" ht="12.75" x14ac:dyDescent="0.2"/>
    <row r="14896" ht="12.75" x14ac:dyDescent="0.2"/>
    <row r="14897" ht="12.75" x14ac:dyDescent="0.2"/>
    <row r="14898" ht="12.75" x14ac:dyDescent="0.2"/>
    <row r="14899" ht="12.75" x14ac:dyDescent="0.2"/>
    <row r="14900" ht="12.75" x14ac:dyDescent="0.2"/>
    <row r="14901" ht="12.75" x14ac:dyDescent="0.2"/>
    <row r="14902" ht="12.75" x14ac:dyDescent="0.2"/>
    <row r="14903" ht="12.75" x14ac:dyDescent="0.2"/>
    <row r="14904" ht="12.75" x14ac:dyDescent="0.2"/>
    <row r="14905" ht="12.75" x14ac:dyDescent="0.2"/>
    <row r="14906" ht="12.75" x14ac:dyDescent="0.2"/>
    <row r="14907" ht="12.75" x14ac:dyDescent="0.2"/>
    <row r="14908" ht="12.75" x14ac:dyDescent="0.2"/>
    <row r="14909" ht="12.75" x14ac:dyDescent="0.2"/>
    <row r="14910" ht="12.75" x14ac:dyDescent="0.2"/>
    <row r="14911" ht="12.75" x14ac:dyDescent="0.2"/>
    <row r="14912" ht="12.75" x14ac:dyDescent="0.2"/>
    <row r="14913" ht="12.75" x14ac:dyDescent="0.2"/>
    <row r="14914" ht="12.75" x14ac:dyDescent="0.2"/>
    <row r="14915" ht="12.75" x14ac:dyDescent="0.2"/>
    <row r="14916" ht="12.75" x14ac:dyDescent="0.2"/>
    <row r="14917" ht="12.75" x14ac:dyDescent="0.2"/>
    <row r="14918" ht="12.75" x14ac:dyDescent="0.2"/>
    <row r="14919" ht="12.75" x14ac:dyDescent="0.2"/>
    <row r="14920" ht="12.75" x14ac:dyDescent="0.2"/>
    <row r="14921" ht="12.75" x14ac:dyDescent="0.2"/>
    <row r="14922" ht="12.75" x14ac:dyDescent="0.2"/>
    <row r="14923" ht="12.75" x14ac:dyDescent="0.2"/>
    <row r="14924" ht="12.75" x14ac:dyDescent="0.2"/>
    <row r="14925" ht="12.75" x14ac:dyDescent="0.2"/>
    <row r="14926" ht="12.75" x14ac:dyDescent="0.2"/>
    <row r="14927" ht="12.75" x14ac:dyDescent="0.2"/>
    <row r="14928" ht="12.75" x14ac:dyDescent="0.2"/>
    <row r="14929" ht="12.75" x14ac:dyDescent="0.2"/>
    <row r="14930" ht="12.75" x14ac:dyDescent="0.2"/>
    <row r="14931" ht="12.75" x14ac:dyDescent="0.2"/>
    <row r="14932" ht="12.75" x14ac:dyDescent="0.2"/>
    <row r="14933" ht="12.75" x14ac:dyDescent="0.2"/>
    <row r="14934" ht="12.75" x14ac:dyDescent="0.2"/>
    <row r="14935" ht="12.75" x14ac:dyDescent="0.2"/>
    <row r="14936" ht="12.75" x14ac:dyDescent="0.2"/>
    <row r="14937" ht="12.75" x14ac:dyDescent="0.2"/>
    <row r="14938" ht="12.75" x14ac:dyDescent="0.2"/>
    <row r="14939" ht="12.75" x14ac:dyDescent="0.2"/>
    <row r="14940" ht="12.75" x14ac:dyDescent="0.2"/>
    <row r="14941" ht="12.75" x14ac:dyDescent="0.2"/>
    <row r="14942" ht="12.75" x14ac:dyDescent="0.2"/>
    <row r="14943" ht="12.75" x14ac:dyDescent="0.2"/>
    <row r="14944" ht="12.75" x14ac:dyDescent="0.2"/>
    <row r="14945" ht="12.75" x14ac:dyDescent="0.2"/>
    <row r="14946" ht="12.75" x14ac:dyDescent="0.2"/>
    <row r="14947" ht="12.75" x14ac:dyDescent="0.2"/>
    <row r="14948" ht="12.75" x14ac:dyDescent="0.2"/>
    <row r="14949" ht="12.75" x14ac:dyDescent="0.2"/>
    <row r="14950" ht="12.75" x14ac:dyDescent="0.2"/>
    <row r="14951" ht="12.75" x14ac:dyDescent="0.2"/>
    <row r="14952" ht="12.75" x14ac:dyDescent="0.2"/>
    <row r="14953" ht="12.75" x14ac:dyDescent="0.2"/>
    <row r="14954" ht="12.75" x14ac:dyDescent="0.2"/>
    <row r="14955" ht="12.75" x14ac:dyDescent="0.2"/>
    <row r="14956" ht="12.75" x14ac:dyDescent="0.2"/>
    <row r="14957" ht="12.75" x14ac:dyDescent="0.2"/>
    <row r="14958" ht="12.75" x14ac:dyDescent="0.2"/>
    <row r="14959" ht="12.75" x14ac:dyDescent="0.2"/>
    <row r="14960" ht="12.75" x14ac:dyDescent="0.2"/>
    <row r="14961" ht="12.75" x14ac:dyDescent="0.2"/>
    <row r="14962" ht="12.75" x14ac:dyDescent="0.2"/>
    <row r="14963" ht="12.75" x14ac:dyDescent="0.2"/>
    <row r="14964" ht="12.75" x14ac:dyDescent="0.2"/>
    <row r="14965" ht="12.75" x14ac:dyDescent="0.2"/>
    <row r="14966" ht="12.75" x14ac:dyDescent="0.2"/>
    <row r="14967" ht="12.75" x14ac:dyDescent="0.2"/>
    <row r="14968" ht="12.75" x14ac:dyDescent="0.2"/>
    <row r="14969" ht="12.75" x14ac:dyDescent="0.2"/>
    <row r="14970" ht="12.75" x14ac:dyDescent="0.2"/>
    <row r="14971" ht="12.75" x14ac:dyDescent="0.2"/>
    <row r="14972" ht="12.75" x14ac:dyDescent="0.2"/>
    <row r="14973" ht="12.75" x14ac:dyDescent="0.2"/>
    <row r="14974" ht="12.75" x14ac:dyDescent="0.2"/>
    <row r="14975" ht="12.75" x14ac:dyDescent="0.2"/>
    <row r="14976" ht="12.75" x14ac:dyDescent="0.2"/>
    <row r="14977" ht="12.75" x14ac:dyDescent="0.2"/>
    <row r="14978" ht="12.75" x14ac:dyDescent="0.2"/>
    <row r="14979" ht="12.75" x14ac:dyDescent="0.2"/>
    <row r="14980" ht="12.75" x14ac:dyDescent="0.2"/>
    <row r="14981" ht="12.75" x14ac:dyDescent="0.2"/>
    <row r="14982" ht="12.75" x14ac:dyDescent="0.2"/>
    <row r="14983" ht="12.75" x14ac:dyDescent="0.2"/>
    <row r="14984" ht="12.75" x14ac:dyDescent="0.2"/>
    <row r="14985" ht="12.75" x14ac:dyDescent="0.2"/>
    <row r="14986" ht="12.75" x14ac:dyDescent="0.2"/>
    <row r="14987" ht="12.75" x14ac:dyDescent="0.2"/>
    <row r="14988" ht="12.75" x14ac:dyDescent="0.2"/>
    <row r="14989" ht="12.75" x14ac:dyDescent="0.2"/>
    <row r="14990" ht="12.75" x14ac:dyDescent="0.2"/>
    <row r="14991" ht="12.75" x14ac:dyDescent="0.2"/>
    <row r="14992" ht="12.75" x14ac:dyDescent="0.2"/>
    <row r="14993" ht="12.75" x14ac:dyDescent="0.2"/>
    <row r="14994" ht="12.75" x14ac:dyDescent="0.2"/>
    <row r="14995" ht="12.75" x14ac:dyDescent="0.2"/>
    <row r="14996" ht="12.75" x14ac:dyDescent="0.2"/>
    <row r="14997" ht="12.75" x14ac:dyDescent="0.2"/>
    <row r="14998" ht="12.75" x14ac:dyDescent="0.2"/>
    <row r="14999" ht="12.75" x14ac:dyDescent="0.2"/>
    <row r="15000" ht="12.75" x14ac:dyDescent="0.2"/>
    <row r="15001" ht="12.75" x14ac:dyDescent="0.2"/>
    <row r="15002" ht="12.75" x14ac:dyDescent="0.2"/>
    <row r="15003" ht="12.75" x14ac:dyDescent="0.2"/>
    <row r="15004" ht="12.75" x14ac:dyDescent="0.2"/>
    <row r="15005" ht="12.75" x14ac:dyDescent="0.2"/>
    <row r="15006" ht="12.75" x14ac:dyDescent="0.2"/>
    <row r="15007" ht="12.75" x14ac:dyDescent="0.2"/>
    <row r="15008" ht="12.75" x14ac:dyDescent="0.2"/>
    <row r="15009" ht="12.75" x14ac:dyDescent="0.2"/>
    <row r="15010" ht="12.75" x14ac:dyDescent="0.2"/>
    <row r="15011" ht="12.75" x14ac:dyDescent="0.2"/>
    <row r="15012" ht="12.75" x14ac:dyDescent="0.2"/>
    <row r="15013" ht="12.75" x14ac:dyDescent="0.2"/>
    <row r="15014" ht="12.75" x14ac:dyDescent="0.2"/>
    <row r="15015" ht="12.75" x14ac:dyDescent="0.2"/>
    <row r="15016" ht="12.75" x14ac:dyDescent="0.2"/>
    <row r="15017" ht="12.75" x14ac:dyDescent="0.2"/>
    <row r="15018" ht="12.75" x14ac:dyDescent="0.2"/>
    <row r="15019" ht="12.75" x14ac:dyDescent="0.2"/>
    <row r="15020" ht="12.75" x14ac:dyDescent="0.2"/>
    <row r="15021" ht="12.75" x14ac:dyDescent="0.2"/>
    <row r="15022" ht="12.75" x14ac:dyDescent="0.2"/>
    <row r="15023" ht="12.75" x14ac:dyDescent="0.2"/>
    <row r="15024" ht="12.75" x14ac:dyDescent="0.2"/>
    <row r="15025" ht="12.75" x14ac:dyDescent="0.2"/>
    <row r="15026" ht="12.75" x14ac:dyDescent="0.2"/>
    <row r="15027" ht="12.75" x14ac:dyDescent="0.2"/>
    <row r="15028" ht="12.75" x14ac:dyDescent="0.2"/>
    <row r="15029" ht="12.75" x14ac:dyDescent="0.2"/>
    <row r="15030" ht="12.75" x14ac:dyDescent="0.2"/>
    <row r="15031" ht="12.75" x14ac:dyDescent="0.2"/>
    <row r="15032" ht="12.75" x14ac:dyDescent="0.2"/>
    <row r="15033" ht="12.75" x14ac:dyDescent="0.2"/>
    <row r="15034" ht="12.75" x14ac:dyDescent="0.2"/>
    <row r="15035" ht="12.75" x14ac:dyDescent="0.2"/>
    <row r="15036" ht="12.75" x14ac:dyDescent="0.2"/>
    <row r="15037" ht="12.75" x14ac:dyDescent="0.2"/>
    <row r="15038" ht="12.75" x14ac:dyDescent="0.2"/>
    <row r="15039" ht="12.75" x14ac:dyDescent="0.2"/>
    <row r="15040" ht="12.75" x14ac:dyDescent="0.2"/>
    <row r="15041" ht="12.75" x14ac:dyDescent="0.2"/>
    <row r="15042" ht="12.75" x14ac:dyDescent="0.2"/>
    <row r="15043" ht="12.75" x14ac:dyDescent="0.2"/>
    <row r="15044" ht="12.75" x14ac:dyDescent="0.2"/>
    <row r="15045" ht="12.75" x14ac:dyDescent="0.2"/>
    <row r="15046" ht="12.75" x14ac:dyDescent="0.2"/>
    <row r="15047" ht="12.75" x14ac:dyDescent="0.2"/>
    <row r="15048" ht="12.75" x14ac:dyDescent="0.2"/>
    <row r="15049" ht="12.75" x14ac:dyDescent="0.2"/>
    <row r="15050" ht="12.75" x14ac:dyDescent="0.2"/>
    <row r="15051" ht="12.75" x14ac:dyDescent="0.2"/>
    <row r="15052" ht="12.75" x14ac:dyDescent="0.2"/>
    <row r="15053" ht="12.75" x14ac:dyDescent="0.2"/>
    <row r="15054" ht="12.75" x14ac:dyDescent="0.2"/>
    <row r="15055" ht="12.75" x14ac:dyDescent="0.2"/>
    <row r="15056" ht="12.75" x14ac:dyDescent="0.2"/>
    <row r="15057" ht="12.75" x14ac:dyDescent="0.2"/>
    <row r="15058" ht="12.75" x14ac:dyDescent="0.2"/>
    <row r="15059" ht="12.75" x14ac:dyDescent="0.2"/>
    <row r="15060" ht="12.75" x14ac:dyDescent="0.2"/>
    <row r="15061" ht="12.75" x14ac:dyDescent="0.2"/>
    <row r="15062" ht="12.75" x14ac:dyDescent="0.2"/>
    <row r="15063" ht="12.75" x14ac:dyDescent="0.2"/>
    <row r="15064" ht="12.75" x14ac:dyDescent="0.2"/>
    <row r="15065" ht="12.75" x14ac:dyDescent="0.2"/>
    <row r="15066" ht="12.75" x14ac:dyDescent="0.2"/>
    <row r="15067" ht="12.75" x14ac:dyDescent="0.2"/>
    <row r="15068" ht="12.75" x14ac:dyDescent="0.2"/>
    <row r="15069" ht="12.75" x14ac:dyDescent="0.2"/>
    <row r="15070" ht="12.75" x14ac:dyDescent="0.2"/>
    <row r="15071" ht="12.75" x14ac:dyDescent="0.2"/>
    <row r="15072" ht="12.75" x14ac:dyDescent="0.2"/>
    <row r="15073" ht="12.75" x14ac:dyDescent="0.2"/>
    <row r="15074" ht="12.75" x14ac:dyDescent="0.2"/>
    <row r="15075" ht="12.75" x14ac:dyDescent="0.2"/>
    <row r="15076" ht="12.75" x14ac:dyDescent="0.2"/>
    <row r="15077" ht="12.75" x14ac:dyDescent="0.2"/>
    <row r="15078" ht="12.75" x14ac:dyDescent="0.2"/>
    <row r="15079" ht="12.75" x14ac:dyDescent="0.2"/>
    <row r="15080" ht="12.75" x14ac:dyDescent="0.2"/>
    <row r="15081" ht="12.75" x14ac:dyDescent="0.2"/>
    <row r="15082" ht="12.75" x14ac:dyDescent="0.2"/>
    <row r="15083" ht="12.75" x14ac:dyDescent="0.2"/>
    <row r="15084" ht="12.75" x14ac:dyDescent="0.2"/>
    <row r="15085" ht="12.75" x14ac:dyDescent="0.2"/>
    <row r="15086" ht="12.75" x14ac:dyDescent="0.2"/>
    <row r="15087" ht="12.75" x14ac:dyDescent="0.2"/>
    <row r="15088" ht="12.75" x14ac:dyDescent="0.2"/>
    <row r="15089" ht="12.75" x14ac:dyDescent="0.2"/>
    <row r="15090" ht="12.75" x14ac:dyDescent="0.2"/>
    <row r="15091" ht="12.75" x14ac:dyDescent="0.2"/>
    <row r="15092" ht="12.75" x14ac:dyDescent="0.2"/>
    <row r="15093" ht="12.75" x14ac:dyDescent="0.2"/>
    <row r="15094" ht="12.75" x14ac:dyDescent="0.2"/>
    <row r="15095" ht="12.75" x14ac:dyDescent="0.2"/>
    <row r="15096" ht="12.75" x14ac:dyDescent="0.2"/>
    <row r="15097" ht="12.75" x14ac:dyDescent="0.2"/>
    <row r="15098" ht="12.75" x14ac:dyDescent="0.2"/>
    <row r="15099" ht="12.75" x14ac:dyDescent="0.2"/>
    <row r="15100" ht="12.75" x14ac:dyDescent="0.2"/>
    <row r="15101" ht="12.75" x14ac:dyDescent="0.2"/>
    <row r="15102" ht="12.75" x14ac:dyDescent="0.2"/>
    <row r="15103" ht="12.75" x14ac:dyDescent="0.2"/>
    <row r="15104" ht="12.75" x14ac:dyDescent="0.2"/>
    <row r="15105" ht="12.75" x14ac:dyDescent="0.2"/>
    <row r="15106" ht="12.75" x14ac:dyDescent="0.2"/>
    <row r="15107" ht="12.75" x14ac:dyDescent="0.2"/>
    <row r="15108" ht="12.75" x14ac:dyDescent="0.2"/>
    <row r="15109" ht="12.75" x14ac:dyDescent="0.2"/>
    <row r="15110" ht="12.75" x14ac:dyDescent="0.2"/>
    <row r="15111" ht="12.75" x14ac:dyDescent="0.2"/>
    <row r="15112" ht="12.75" x14ac:dyDescent="0.2"/>
    <row r="15113" ht="12.75" x14ac:dyDescent="0.2"/>
    <row r="15114" ht="12.75" x14ac:dyDescent="0.2"/>
    <row r="15115" ht="12.75" x14ac:dyDescent="0.2"/>
    <row r="15116" ht="12.75" x14ac:dyDescent="0.2"/>
    <row r="15117" ht="12.75" x14ac:dyDescent="0.2"/>
    <row r="15118" ht="12.75" x14ac:dyDescent="0.2"/>
    <row r="15119" ht="12.75" x14ac:dyDescent="0.2"/>
    <row r="15120" ht="12.75" x14ac:dyDescent="0.2"/>
    <row r="15121" ht="12.75" x14ac:dyDescent="0.2"/>
    <row r="15122" ht="12.75" x14ac:dyDescent="0.2"/>
    <row r="15123" ht="12.75" x14ac:dyDescent="0.2"/>
    <row r="15124" ht="12.75" x14ac:dyDescent="0.2"/>
    <row r="15125" ht="12.75" x14ac:dyDescent="0.2"/>
    <row r="15126" ht="12.75" x14ac:dyDescent="0.2"/>
    <row r="15127" ht="12.75" x14ac:dyDescent="0.2"/>
    <row r="15128" ht="12.75" x14ac:dyDescent="0.2"/>
    <row r="15129" ht="12.75" x14ac:dyDescent="0.2"/>
    <row r="15130" ht="12.75" x14ac:dyDescent="0.2"/>
    <row r="15131" ht="12.75" x14ac:dyDescent="0.2"/>
    <row r="15132" ht="12.75" x14ac:dyDescent="0.2"/>
    <row r="15133" ht="12.75" x14ac:dyDescent="0.2"/>
    <row r="15134" ht="12.75" x14ac:dyDescent="0.2"/>
    <row r="15135" ht="12.75" x14ac:dyDescent="0.2"/>
    <row r="15136" ht="12.75" x14ac:dyDescent="0.2"/>
    <row r="15137" ht="12.75" x14ac:dyDescent="0.2"/>
    <row r="15138" ht="12.75" x14ac:dyDescent="0.2"/>
    <row r="15139" ht="12.75" x14ac:dyDescent="0.2"/>
    <row r="15140" ht="12.75" x14ac:dyDescent="0.2"/>
    <row r="15141" ht="12.75" x14ac:dyDescent="0.2"/>
    <row r="15142" ht="12.75" x14ac:dyDescent="0.2"/>
    <row r="15143" ht="12.75" x14ac:dyDescent="0.2"/>
    <row r="15144" ht="12.75" x14ac:dyDescent="0.2"/>
    <row r="15145" ht="12.75" x14ac:dyDescent="0.2"/>
    <row r="15146" ht="12.75" x14ac:dyDescent="0.2"/>
    <row r="15147" ht="12.75" x14ac:dyDescent="0.2"/>
    <row r="15148" ht="12.75" x14ac:dyDescent="0.2"/>
    <row r="15149" ht="12.75" x14ac:dyDescent="0.2"/>
    <row r="15150" ht="12.75" x14ac:dyDescent="0.2"/>
    <row r="15151" ht="12.75" x14ac:dyDescent="0.2"/>
    <row r="15152" ht="12.75" x14ac:dyDescent="0.2"/>
    <row r="15153" ht="12.75" x14ac:dyDescent="0.2"/>
    <row r="15154" ht="12.75" x14ac:dyDescent="0.2"/>
    <row r="15155" ht="12.75" x14ac:dyDescent="0.2"/>
    <row r="15156" ht="12.75" x14ac:dyDescent="0.2"/>
    <row r="15157" ht="12.75" x14ac:dyDescent="0.2"/>
    <row r="15158" ht="12.75" x14ac:dyDescent="0.2"/>
    <row r="15159" ht="12.75" x14ac:dyDescent="0.2"/>
    <row r="15160" ht="12.75" x14ac:dyDescent="0.2"/>
    <row r="15161" ht="12.75" x14ac:dyDescent="0.2"/>
    <row r="15162" ht="12.75" x14ac:dyDescent="0.2"/>
    <row r="15163" ht="12.75" x14ac:dyDescent="0.2"/>
    <row r="15164" ht="12.75" x14ac:dyDescent="0.2"/>
    <row r="15165" ht="12.75" x14ac:dyDescent="0.2"/>
    <row r="15166" ht="12.75" x14ac:dyDescent="0.2"/>
    <row r="15167" ht="12.75" x14ac:dyDescent="0.2"/>
    <row r="15168" ht="12.75" x14ac:dyDescent="0.2"/>
    <row r="15169" ht="12.75" x14ac:dyDescent="0.2"/>
    <row r="15170" ht="12.75" x14ac:dyDescent="0.2"/>
    <row r="15171" ht="12.75" x14ac:dyDescent="0.2"/>
    <row r="15172" ht="12.75" x14ac:dyDescent="0.2"/>
    <row r="15173" ht="12.75" x14ac:dyDescent="0.2"/>
    <row r="15174" ht="12.75" x14ac:dyDescent="0.2"/>
    <row r="15175" ht="12.75" x14ac:dyDescent="0.2"/>
    <row r="15176" ht="12.75" x14ac:dyDescent="0.2"/>
    <row r="15177" ht="12.75" x14ac:dyDescent="0.2"/>
    <row r="15178" ht="12.75" x14ac:dyDescent="0.2"/>
    <row r="15179" ht="12.75" x14ac:dyDescent="0.2"/>
    <row r="15180" ht="12.75" x14ac:dyDescent="0.2"/>
    <row r="15181" ht="12.75" x14ac:dyDescent="0.2"/>
    <row r="15182" ht="12.75" x14ac:dyDescent="0.2"/>
    <row r="15183" ht="12.75" x14ac:dyDescent="0.2"/>
    <row r="15184" ht="12.75" x14ac:dyDescent="0.2"/>
    <row r="15185" ht="12.75" x14ac:dyDescent="0.2"/>
    <row r="15186" ht="12.75" x14ac:dyDescent="0.2"/>
    <row r="15187" ht="12.75" x14ac:dyDescent="0.2"/>
    <row r="15188" ht="12.75" x14ac:dyDescent="0.2"/>
    <row r="15189" ht="12.75" x14ac:dyDescent="0.2"/>
    <row r="15190" ht="12.75" x14ac:dyDescent="0.2"/>
    <row r="15191" ht="12.75" x14ac:dyDescent="0.2"/>
    <row r="15192" ht="12.75" x14ac:dyDescent="0.2"/>
    <row r="15193" ht="12.75" x14ac:dyDescent="0.2"/>
    <row r="15194" ht="12.75" x14ac:dyDescent="0.2"/>
    <row r="15195" ht="12.75" x14ac:dyDescent="0.2"/>
    <row r="15196" ht="12.75" x14ac:dyDescent="0.2"/>
    <row r="15197" ht="12.75" x14ac:dyDescent="0.2"/>
    <row r="15198" ht="12.75" x14ac:dyDescent="0.2"/>
    <row r="15199" ht="12.75" x14ac:dyDescent="0.2"/>
    <row r="15200" ht="12.75" x14ac:dyDescent="0.2"/>
    <row r="15201" ht="12.75" x14ac:dyDescent="0.2"/>
    <row r="15202" ht="12.75" x14ac:dyDescent="0.2"/>
    <row r="15203" ht="12.75" x14ac:dyDescent="0.2"/>
    <row r="15204" ht="12.75" x14ac:dyDescent="0.2"/>
    <row r="15205" ht="12.75" x14ac:dyDescent="0.2"/>
    <row r="15206" ht="12.75" x14ac:dyDescent="0.2"/>
    <row r="15207" ht="12.75" x14ac:dyDescent="0.2"/>
    <row r="15208" ht="12.75" x14ac:dyDescent="0.2"/>
    <row r="15209" ht="12.75" x14ac:dyDescent="0.2"/>
    <row r="15210" ht="12.75" x14ac:dyDescent="0.2"/>
    <row r="15211" ht="12.75" x14ac:dyDescent="0.2"/>
    <row r="15212" ht="12.75" x14ac:dyDescent="0.2"/>
    <row r="15213" ht="12.75" x14ac:dyDescent="0.2"/>
    <row r="15214" ht="12.75" x14ac:dyDescent="0.2"/>
    <row r="15215" ht="12.75" x14ac:dyDescent="0.2"/>
    <row r="15216" ht="12.75" x14ac:dyDescent="0.2"/>
    <row r="15217" ht="12.75" x14ac:dyDescent="0.2"/>
    <row r="15218" ht="12.75" x14ac:dyDescent="0.2"/>
    <row r="15219" ht="12.75" x14ac:dyDescent="0.2"/>
    <row r="15220" ht="12.75" x14ac:dyDescent="0.2"/>
    <row r="15221" ht="12.75" x14ac:dyDescent="0.2"/>
    <row r="15222" ht="12.75" x14ac:dyDescent="0.2"/>
    <row r="15223" ht="12.75" x14ac:dyDescent="0.2"/>
    <row r="15224" ht="12.75" x14ac:dyDescent="0.2"/>
    <row r="15225" ht="12.75" x14ac:dyDescent="0.2"/>
    <row r="15226" ht="12.75" x14ac:dyDescent="0.2"/>
    <row r="15227" ht="12.75" x14ac:dyDescent="0.2"/>
    <row r="15228" ht="12.75" x14ac:dyDescent="0.2"/>
    <row r="15229" ht="12.75" x14ac:dyDescent="0.2"/>
    <row r="15230" ht="12.75" x14ac:dyDescent="0.2"/>
    <row r="15231" ht="12.75" x14ac:dyDescent="0.2"/>
    <row r="15232" ht="12.75" x14ac:dyDescent="0.2"/>
    <row r="15233" ht="12.75" x14ac:dyDescent="0.2"/>
    <row r="15234" ht="12.75" x14ac:dyDescent="0.2"/>
    <row r="15235" ht="12.75" x14ac:dyDescent="0.2"/>
    <row r="15236" ht="12.75" x14ac:dyDescent="0.2"/>
    <row r="15237" ht="12.75" x14ac:dyDescent="0.2"/>
    <row r="15238" ht="12.75" x14ac:dyDescent="0.2"/>
    <row r="15239" ht="12.75" x14ac:dyDescent="0.2"/>
    <row r="15240" ht="12.75" x14ac:dyDescent="0.2"/>
    <row r="15241" ht="12.75" x14ac:dyDescent="0.2"/>
    <row r="15242" ht="12.75" x14ac:dyDescent="0.2"/>
    <row r="15243" ht="12.75" x14ac:dyDescent="0.2"/>
    <row r="15244" ht="12.75" x14ac:dyDescent="0.2"/>
    <row r="15245" ht="12.75" x14ac:dyDescent="0.2"/>
    <row r="15246" ht="12.75" x14ac:dyDescent="0.2"/>
    <row r="15247" ht="12.75" x14ac:dyDescent="0.2"/>
    <row r="15248" ht="12.75" x14ac:dyDescent="0.2"/>
    <row r="15249" ht="12.75" x14ac:dyDescent="0.2"/>
    <row r="15250" ht="12.75" x14ac:dyDescent="0.2"/>
    <row r="15251" ht="12.75" x14ac:dyDescent="0.2"/>
    <row r="15252" ht="12.75" x14ac:dyDescent="0.2"/>
    <row r="15253" ht="12.75" x14ac:dyDescent="0.2"/>
    <row r="15254" ht="12.75" x14ac:dyDescent="0.2"/>
    <row r="15255" ht="12.75" x14ac:dyDescent="0.2"/>
    <row r="15256" ht="12.75" x14ac:dyDescent="0.2"/>
    <row r="15257" ht="12.75" x14ac:dyDescent="0.2"/>
    <row r="15258" ht="12.75" x14ac:dyDescent="0.2"/>
    <row r="15259" ht="12.75" x14ac:dyDescent="0.2"/>
    <row r="15260" ht="12.75" x14ac:dyDescent="0.2"/>
    <row r="15261" ht="12.75" x14ac:dyDescent="0.2"/>
    <row r="15262" ht="12.75" x14ac:dyDescent="0.2"/>
    <row r="15263" ht="12.75" x14ac:dyDescent="0.2"/>
    <row r="15264" ht="12.75" x14ac:dyDescent="0.2"/>
    <row r="15265" ht="12.75" x14ac:dyDescent="0.2"/>
    <row r="15266" ht="12.75" x14ac:dyDescent="0.2"/>
    <row r="15267" ht="12.75" x14ac:dyDescent="0.2"/>
    <row r="15268" ht="12.75" x14ac:dyDescent="0.2"/>
    <row r="15269" ht="12.75" x14ac:dyDescent="0.2"/>
    <row r="15270" ht="12.75" x14ac:dyDescent="0.2"/>
    <row r="15271" ht="12.75" x14ac:dyDescent="0.2"/>
    <row r="15272" ht="12.75" x14ac:dyDescent="0.2"/>
    <row r="15273" ht="12.75" x14ac:dyDescent="0.2"/>
    <row r="15274" ht="12.75" x14ac:dyDescent="0.2"/>
    <row r="15275" ht="12.75" x14ac:dyDescent="0.2"/>
    <row r="15276" ht="12.75" x14ac:dyDescent="0.2"/>
    <row r="15277" ht="12.75" x14ac:dyDescent="0.2"/>
    <row r="15278" ht="12.75" x14ac:dyDescent="0.2"/>
    <row r="15279" ht="12.75" x14ac:dyDescent="0.2"/>
    <row r="15280" ht="12.75" x14ac:dyDescent="0.2"/>
    <row r="15281" ht="12.75" x14ac:dyDescent="0.2"/>
    <row r="15282" ht="12.75" x14ac:dyDescent="0.2"/>
    <row r="15283" ht="12.75" x14ac:dyDescent="0.2"/>
    <row r="15284" ht="12.75" x14ac:dyDescent="0.2"/>
    <row r="15285" ht="12.75" x14ac:dyDescent="0.2"/>
    <row r="15286" ht="12.75" x14ac:dyDescent="0.2"/>
    <row r="15287" ht="12.75" x14ac:dyDescent="0.2"/>
    <row r="15288" ht="12.75" x14ac:dyDescent="0.2"/>
    <row r="15289" ht="12.75" x14ac:dyDescent="0.2"/>
    <row r="15290" ht="12.75" x14ac:dyDescent="0.2"/>
    <row r="15291" ht="12.75" x14ac:dyDescent="0.2"/>
    <row r="15292" ht="12.75" x14ac:dyDescent="0.2"/>
    <row r="15293" ht="12.75" x14ac:dyDescent="0.2"/>
    <row r="15294" ht="12.75" x14ac:dyDescent="0.2"/>
    <row r="15295" ht="12.75" x14ac:dyDescent="0.2"/>
    <row r="15296" ht="12.75" x14ac:dyDescent="0.2"/>
    <row r="15297" ht="12.75" x14ac:dyDescent="0.2"/>
    <row r="15298" ht="12.75" x14ac:dyDescent="0.2"/>
    <row r="15299" ht="12.75" x14ac:dyDescent="0.2"/>
    <row r="15300" ht="12.75" x14ac:dyDescent="0.2"/>
    <row r="15301" ht="12.75" x14ac:dyDescent="0.2"/>
    <row r="15302" ht="12.75" x14ac:dyDescent="0.2"/>
    <row r="15303" ht="12.75" x14ac:dyDescent="0.2"/>
    <row r="15304" ht="12.75" x14ac:dyDescent="0.2"/>
    <row r="15305" ht="12.75" x14ac:dyDescent="0.2"/>
    <row r="15306" ht="12.75" x14ac:dyDescent="0.2"/>
    <row r="15307" ht="12.75" x14ac:dyDescent="0.2"/>
    <row r="15308" ht="12.75" x14ac:dyDescent="0.2"/>
    <row r="15309" ht="12.75" x14ac:dyDescent="0.2"/>
    <row r="15310" ht="12.75" x14ac:dyDescent="0.2"/>
    <row r="15311" ht="12.75" x14ac:dyDescent="0.2"/>
    <row r="15312" ht="12.75" x14ac:dyDescent="0.2"/>
    <row r="15313" ht="12.75" x14ac:dyDescent="0.2"/>
    <row r="15314" ht="12.75" x14ac:dyDescent="0.2"/>
    <row r="15315" ht="12.75" x14ac:dyDescent="0.2"/>
    <row r="15316" ht="12.75" x14ac:dyDescent="0.2"/>
    <row r="15317" ht="12.75" x14ac:dyDescent="0.2"/>
    <row r="15318" ht="12.75" x14ac:dyDescent="0.2"/>
    <row r="15319" ht="12.75" x14ac:dyDescent="0.2"/>
    <row r="15320" ht="12.75" x14ac:dyDescent="0.2"/>
    <row r="15321" ht="12.75" x14ac:dyDescent="0.2"/>
    <row r="15322" ht="12.75" x14ac:dyDescent="0.2"/>
    <row r="15323" ht="12.75" x14ac:dyDescent="0.2"/>
    <row r="15324" ht="12.75" x14ac:dyDescent="0.2"/>
    <row r="15325" ht="12.75" x14ac:dyDescent="0.2"/>
    <row r="15326" ht="12.75" x14ac:dyDescent="0.2"/>
    <row r="15327" ht="12.75" x14ac:dyDescent="0.2"/>
    <row r="15328" ht="12.75" x14ac:dyDescent="0.2"/>
    <row r="15329" ht="12.75" x14ac:dyDescent="0.2"/>
    <row r="15330" ht="12.75" x14ac:dyDescent="0.2"/>
    <row r="15331" ht="12.75" x14ac:dyDescent="0.2"/>
    <row r="15332" ht="12.75" x14ac:dyDescent="0.2"/>
    <row r="15333" ht="12.75" x14ac:dyDescent="0.2"/>
    <row r="15334" ht="12.75" x14ac:dyDescent="0.2"/>
    <row r="15335" ht="12.75" x14ac:dyDescent="0.2"/>
    <row r="15336" ht="12.75" x14ac:dyDescent="0.2"/>
    <row r="15337" ht="12.75" x14ac:dyDescent="0.2"/>
    <row r="15338" ht="12.75" x14ac:dyDescent="0.2"/>
    <row r="15339" ht="12.75" x14ac:dyDescent="0.2"/>
    <row r="15340" ht="12.75" x14ac:dyDescent="0.2"/>
    <row r="15341" ht="12.75" x14ac:dyDescent="0.2"/>
    <row r="15342" ht="12.75" x14ac:dyDescent="0.2"/>
    <row r="15343" ht="12.75" x14ac:dyDescent="0.2"/>
    <row r="15344" ht="12.75" x14ac:dyDescent="0.2"/>
    <row r="15345" ht="12.75" x14ac:dyDescent="0.2"/>
    <row r="15346" ht="12.75" x14ac:dyDescent="0.2"/>
    <row r="15347" ht="12.75" x14ac:dyDescent="0.2"/>
    <row r="15348" ht="12.75" x14ac:dyDescent="0.2"/>
    <row r="15349" ht="12.75" x14ac:dyDescent="0.2"/>
    <row r="15350" ht="12.75" x14ac:dyDescent="0.2"/>
    <row r="15351" ht="12.75" x14ac:dyDescent="0.2"/>
    <row r="15352" ht="12.75" x14ac:dyDescent="0.2"/>
    <row r="15353" ht="12.75" x14ac:dyDescent="0.2"/>
    <row r="15354" ht="12.75" x14ac:dyDescent="0.2"/>
    <row r="15355" ht="12.75" x14ac:dyDescent="0.2"/>
    <row r="15356" ht="12.75" x14ac:dyDescent="0.2"/>
    <row r="15357" ht="12.75" x14ac:dyDescent="0.2"/>
    <row r="15358" ht="12.75" x14ac:dyDescent="0.2"/>
    <row r="15359" ht="12.75" x14ac:dyDescent="0.2"/>
    <row r="15360" ht="12.75" x14ac:dyDescent="0.2"/>
    <row r="15361" ht="12.75" x14ac:dyDescent="0.2"/>
    <row r="15362" ht="12.75" x14ac:dyDescent="0.2"/>
    <row r="15363" ht="12.75" x14ac:dyDescent="0.2"/>
    <row r="15364" ht="12.75" x14ac:dyDescent="0.2"/>
    <row r="15365" ht="12.75" x14ac:dyDescent="0.2"/>
    <row r="15366" ht="12.75" x14ac:dyDescent="0.2"/>
    <row r="15367" ht="12.75" x14ac:dyDescent="0.2"/>
    <row r="15368" ht="12.75" x14ac:dyDescent="0.2"/>
    <row r="15369" ht="12.75" x14ac:dyDescent="0.2"/>
    <row r="15370" ht="12.75" x14ac:dyDescent="0.2"/>
    <row r="15371" ht="12.75" x14ac:dyDescent="0.2"/>
    <row r="15372" ht="12.75" x14ac:dyDescent="0.2"/>
    <row r="15373" ht="12.75" x14ac:dyDescent="0.2"/>
    <row r="15374" ht="12.75" x14ac:dyDescent="0.2"/>
    <row r="15375" ht="12.75" x14ac:dyDescent="0.2"/>
    <row r="15376" ht="12.75" x14ac:dyDescent="0.2"/>
    <row r="15377" ht="12.75" x14ac:dyDescent="0.2"/>
    <row r="15378" ht="12.75" x14ac:dyDescent="0.2"/>
    <row r="15379" ht="12.75" x14ac:dyDescent="0.2"/>
    <row r="15380" ht="12.75" x14ac:dyDescent="0.2"/>
    <row r="15381" ht="12.75" x14ac:dyDescent="0.2"/>
    <row r="15382" ht="12.75" x14ac:dyDescent="0.2"/>
    <row r="15383" ht="12.75" x14ac:dyDescent="0.2"/>
    <row r="15384" ht="12.75" x14ac:dyDescent="0.2"/>
    <row r="15385" ht="12.75" x14ac:dyDescent="0.2"/>
    <row r="15386" ht="12.75" x14ac:dyDescent="0.2"/>
    <row r="15387" ht="12.75" x14ac:dyDescent="0.2"/>
    <row r="15388" ht="12.75" x14ac:dyDescent="0.2"/>
    <row r="15389" ht="12.75" x14ac:dyDescent="0.2"/>
    <row r="15390" ht="12.75" x14ac:dyDescent="0.2"/>
    <row r="15391" ht="12.75" x14ac:dyDescent="0.2"/>
    <row r="15392" ht="12.75" x14ac:dyDescent="0.2"/>
    <row r="15393" ht="12.75" x14ac:dyDescent="0.2"/>
    <row r="15394" ht="12.75" x14ac:dyDescent="0.2"/>
    <row r="15395" ht="12.75" x14ac:dyDescent="0.2"/>
    <row r="15396" ht="12.75" x14ac:dyDescent="0.2"/>
    <row r="15397" ht="12.75" x14ac:dyDescent="0.2"/>
    <row r="15398" ht="12.75" x14ac:dyDescent="0.2"/>
    <row r="15399" ht="12.75" x14ac:dyDescent="0.2"/>
    <row r="15400" ht="12.75" x14ac:dyDescent="0.2"/>
    <row r="15401" ht="12.75" x14ac:dyDescent="0.2"/>
    <row r="15402" ht="12.75" x14ac:dyDescent="0.2"/>
    <row r="15403" ht="12.75" x14ac:dyDescent="0.2"/>
    <row r="15404" ht="12.75" x14ac:dyDescent="0.2"/>
    <row r="15405" ht="12.75" x14ac:dyDescent="0.2"/>
    <row r="15406" ht="12.75" x14ac:dyDescent="0.2"/>
    <row r="15407" ht="12.75" x14ac:dyDescent="0.2"/>
    <row r="15408" ht="12.75" x14ac:dyDescent="0.2"/>
    <row r="15409" ht="12.75" x14ac:dyDescent="0.2"/>
    <row r="15410" ht="12.75" x14ac:dyDescent="0.2"/>
    <row r="15411" ht="12.75" x14ac:dyDescent="0.2"/>
    <row r="15412" ht="12.75" x14ac:dyDescent="0.2"/>
    <row r="15413" ht="12.75" x14ac:dyDescent="0.2"/>
    <row r="15414" ht="12.75" x14ac:dyDescent="0.2"/>
    <row r="15415" ht="12.75" x14ac:dyDescent="0.2"/>
    <row r="15416" ht="12.75" x14ac:dyDescent="0.2"/>
    <row r="15417" ht="12.75" x14ac:dyDescent="0.2"/>
    <row r="15418" ht="12.75" x14ac:dyDescent="0.2"/>
    <row r="15419" ht="12.75" x14ac:dyDescent="0.2"/>
    <row r="15420" ht="12.75" x14ac:dyDescent="0.2"/>
    <row r="15421" ht="12.75" x14ac:dyDescent="0.2"/>
    <row r="15422" ht="12.75" x14ac:dyDescent="0.2"/>
    <row r="15423" ht="12.75" x14ac:dyDescent="0.2"/>
    <row r="15424" ht="12.75" x14ac:dyDescent="0.2"/>
    <row r="15425" ht="12.75" x14ac:dyDescent="0.2"/>
    <row r="15426" ht="12.75" x14ac:dyDescent="0.2"/>
    <row r="15427" ht="12.75" x14ac:dyDescent="0.2"/>
    <row r="15428" ht="12.75" x14ac:dyDescent="0.2"/>
    <row r="15429" ht="12.75" x14ac:dyDescent="0.2"/>
    <row r="15430" ht="12.75" x14ac:dyDescent="0.2"/>
    <row r="15431" ht="12.75" x14ac:dyDescent="0.2"/>
    <row r="15432" ht="12.75" x14ac:dyDescent="0.2"/>
    <row r="15433" ht="12.75" x14ac:dyDescent="0.2"/>
    <row r="15434" ht="12.75" x14ac:dyDescent="0.2"/>
    <row r="15435" ht="12.75" x14ac:dyDescent="0.2"/>
    <row r="15436" ht="12.75" x14ac:dyDescent="0.2"/>
    <row r="15437" ht="12.75" x14ac:dyDescent="0.2"/>
    <row r="15438" ht="12.75" x14ac:dyDescent="0.2"/>
    <row r="15439" ht="12.75" x14ac:dyDescent="0.2"/>
    <row r="15440" ht="12.75" x14ac:dyDescent="0.2"/>
    <row r="15441" ht="12.75" x14ac:dyDescent="0.2"/>
    <row r="15442" ht="12.75" x14ac:dyDescent="0.2"/>
    <row r="15443" ht="12.75" x14ac:dyDescent="0.2"/>
    <row r="15444" ht="12.75" x14ac:dyDescent="0.2"/>
    <row r="15445" ht="12.75" x14ac:dyDescent="0.2"/>
    <row r="15446" ht="12.75" x14ac:dyDescent="0.2"/>
    <row r="15447" ht="12.75" x14ac:dyDescent="0.2"/>
    <row r="15448" ht="12.75" x14ac:dyDescent="0.2"/>
    <row r="15449" ht="12.75" x14ac:dyDescent="0.2"/>
    <row r="15450" ht="12.75" x14ac:dyDescent="0.2"/>
    <row r="15451" ht="12.75" x14ac:dyDescent="0.2"/>
    <row r="15452" ht="12.75" x14ac:dyDescent="0.2"/>
    <row r="15453" ht="12.75" x14ac:dyDescent="0.2"/>
    <row r="15454" ht="12.75" x14ac:dyDescent="0.2"/>
    <row r="15455" ht="12.75" x14ac:dyDescent="0.2"/>
    <row r="15456" ht="12.75" x14ac:dyDescent="0.2"/>
    <row r="15457" ht="12.75" x14ac:dyDescent="0.2"/>
    <row r="15458" ht="12.75" x14ac:dyDescent="0.2"/>
    <row r="15459" ht="12.75" x14ac:dyDescent="0.2"/>
    <row r="15460" ht="12.75" x14ac:dyDescent="0.2"/>
    <row r="15461" ht="12.75" x14ac:dyDescent="0.2"/>
    <row r="15462" ht="12.75" x14ac:dyDescent="0.2"/>
    <row r="15463" ht="12.75" x14ac:dyDescent="0.2"/>
    <row r="15464" ht="12.75" x14ac:dyDescent="0.2"/>
    <row r="15465" ht="12.75" x14ac:dyDescent="0.2"/>
    <row r="15466" ht="12.75" x14ac:dyDescent="0.2"/>
    <row r="15467" ht="12.75" x14ac:dyDescent="0.2"/>
    <row r="15468" ht="12.75" x14ac:dyDescent="0.2"/>
    <row r="15469" ht="12.75" x14ac:dyDescent="0.2"/>
    <row r="15470" ht="12.75" x14ac:dyDescent="0.2"/>
    <row r="15471" ht="12.75" x14ac:dyDescent="0.2"/>
    <row r="15472" ht="12.75" x14ac:dyDescent="0.2"/>
    <row r="15473" ht="12.75" x14ac:dyDescent="0.2"/>
    <row r="15474" ht="12.75" x14ac:dyDescent="0.2"/>
    <row r="15475" ht="12.75" x14ac:dyDescent="0.2"/>
    <row r="15476" ht="12.75" x14ac:dyDescent="0.2"/>
    <row r="15477" ht="12.75" x14ac:dyDescent="0.2"/>
    <row r="15478" ht="12.75" x14ac:dyDescent="0.2"/>
    <row r="15479" ht="12.75" x14ac:dyDescent="0.2"/>
    <row r="15480" ht="12.75" x14ac:dyDescent="0.2"/>
    <row r="15481" ht="12.75" x14ac:dyDescent="0.2"/>
    <row r="15482" ht="12.75" x14ac:dyDescent="0.2"/>
    <row r="15483" ht="12.75" x14ac:dyDescent="0.2"/>
    <row r="15484" ht="12.75" x14ac:dyDescent="0.2"/>
    <row r="15485" ht="12.75" x14ac:dyDescent="0.2"/>
    <row r="15486" ht="12.75" x14ac:dyDescent="0.2"/>
    <row r="15487" ht="12.75" x14ac:dyDescent="0.2"/>
    <row r="15488" ht="12.75" x14ac:dyDescent="0.2"/>
    <row r="15489" ht="12.75" x14ac:dyDescent="0.2"/>
    <row r="15490" ht="12.75" x14ac:dyDescent="0.2"/>
    <row r="15491" ht="12.75" x14ac:dyDescent="0.2"/>
    <row r="15492" ht="12.75" x14ac:dyDescent="0.2"/>
    <row r="15493" ht="12.75" x14ac:dyDescent="0.2"/>
    <row r="15494" ht="12.75" x14ac:dyDescent="0.2"/>
    <row r="15495" ht="12.75" x14ac:dyDescent="0.2"/>
    <row r="15496" ht="12.75" x14ac:dyDescent="0.2"/>
    <row r="15497" ht="12.75" x14ac:dyDescent="0.2"/>
    <row r="15498" ht="12.75" x14ac:dyDescent="0.2"/>
    <row r="15499" ht="12.75" x14ac:dyDescent="0.2"/>
    <row r="15500" ht="12.75" x14ac:dyDescent="0.2"/>
    <row r="15501" ht="12.75" x14ac:dyDescent="0.2"/>
    <row r="15502" ht="12.75" x14ac:dyDescent="0.2"/>
    <row r="15503" ht="12.75" x14ac:dyDescent="0.2"/>
    <row r="15504" ht="12.75" x14ac:dyDescent="0.2"/>
    <row r="15505" ht="12.75" x14ac:dyDescent="0.2"/>
    <row r="15506" ht="12.75" x14ac:dyDescent="0.2"/>
    <row r="15507" ht="12.75" x14ac:dyDescent="0.2"/>
    <row r="15508" ht="12.75" x14ac:dyDescent="0.2"/>
    <row r="15509" ht="12.75" x14ac:dyDescent="0.2"/>
    <row r="15510" ht="12.75" x14ac:dyDescent="0.2"/>
    <row r="15511" ht="12.75" x14ac:dyDescent="0.2"/>
    <row r="15512" ht="12.75" x14ac:dyDescent="0.2"/>
    <row r="15513" ht="12.75" x14ac:dyDescent="0.2"/>
    <row r="15514" ht="12.75" x14ac:dyDescent="0.2"/>
    <row r="15515" ht="12.75" x14ac:dyDescent="0.2"/>
    <row r="15516" ht="12.75" x14ac:dyDescent="0.2"/>
    <row r="15517" ht="12.75" x14ac:dyDescent="0.2"/>
    <row r="15518" ht="12.75" x14ac:dyDescent="0.2"/>
    <row r="15519" ht="12.75" x14ac:dyDescent="0.2"/>
    <row r="15520" ht="12.75" x14ac:dyDescent="0.2"/>
    <row r="15521" ht="12.75" x14ac:dyDescent="0.2"/>
    <row r="15522" ht="12.75" x14ac:dyDescent="0.2"/>
    <row r="15523" ht="12.75" x14ac:dyDescent="0.2"/>
    <row r="15524" ht="12.75" x14ac:dyDescent="0.2"/>
    <row r="15525" ht="12.75" x14ac:dyDescent="0.2"/>
    <row r="15526" ht="12.75" x14ac:dyDescent="0.2"/>
    <row r="15527" ht="12.75" x14ac:dyDescent="0.2"/>
    <row r="15528" ht="12.75" x14ac:dyDescent="0.2"/>
    <row r="15529" ht="12.75" x14ac:dyDescent="0.2"/>
    <row r="15530" ht="12.75" x14ac:dyDescent="0.2"/>
    <row r="15531" ht="12.75" x14ac:dyDescent="0.2"/>
    <row r="15532" ht="12.75" x14ac:dyDescent="0.2"/>
    <row r="15533" ht="12.75" x14ac:dyDescent="0.2"/>
    <row r="15534" ht="12.75" x14ac:dyDescent="0.2"/>
    <row r="15535" ht="12.75" x14ac:dyDescent="0.2"/>
    <row r="15536" ht="12.75" x14ac:dyDescent="0.2"/>
    <row r="15537" ht="12.75" x14ac:dyDescent="0.2"/>
    <row r="15538" ht="12.75" x14ac:dyDescent="0.2"/>
    <row r="15539" ht="12.75" x14ac:dyDescent="0.2"/>
    <row r="15540" ht="12.75" x14ac:dyDescent="0.2"/>
    <row r="15541" ht="12.75" x14ac:dyDescent="0.2"/>
    <row r="15542" ht="12.75" x14ac:dyDescent="0.2"/>
    <row r="15543" ht="12.75" x14ac:dyDescent="0.2"/>
    <row r="15544" ht="12.75" x14ac:dyDescent="0.2"/>
    <row r="15545" ht="12.75" x14ac:dyDescent="0.2"/>
    <row r="15546" ht="12.75" x14ac:dyDescent="0.2"/>
    <row r="15547" ht="12.75" x14ac:dyDescent="0.2"/>
    <row r="15548" ht="12.75" x14ac:dyDescent="0.2"/>
    <row r="15549" ht="12.75" x14ac:dyDescent="0.2"/>
    <row r="15550" ht="12.75" x14ac:dyDescent="0.2"/>
    <row r="15551" ht="12.75" x14ac:dyDescent="0.2"/>
    <row r="15552" ht="12.75" x14ac:dyDescent="0.2"/>
    <row r="15553" ht="12.75" x14ac:dyDescent="0.2"/>
    <row r="15554" ht="12.75" x14ac:dyDescent="0.2"/>
    <row r="15555" ht="12.75" x14ac:dyDescent="0.2"/>
    <row r="15556" ht="12.75" x14ac:dyDescent="0.2"/>
    <row r="15557" ht="12.75" x14ac:dyDescent="0.2"/>
    <row r="15558" ht="12.75" x14ac:dyDescent="0.2"/>
    <row r="15559" ht="12.75" x14ac:dyDescent="0.2"/>
    <row r="15560" ht="12.75" x14ac:dyDescent="0.2"/>
    <row r="15561" ht="12.75" x14ac:dyDescent="0.2"/>
    <row r="15562" ht="12.75" x14ac:dyDescent="0.2"/>
    <row r="15563" ht="12.75" x14ac:dyDescent="0.2"/>
    <row r="15564" ht="12.75" x14ac:dyDescent="0.2"/>
    <row r="15565" ht="12.75" x14ac:dyDescent="0.2"/>
    <row r="15566" ht="12.75" x14ac:dyDescent="0.2"/>
    <row r="15567" ht="12.75" x14ac:dyDescent="0.2"/>
    <row r="15568" ht="12.75" x14ac:dyDescent="0.2"/>
    <row r="15569" ht="12.75" x14ac:dyDescent="0.2"/>
    <row r="15570" ht="12.75" x14ac:dyDescent="0.2"/>
    <row r="15571" ht="12.75" x14ac:dyDescent="0.2"/>
    <row r="15572" ht="12.75" x14ac:dyDescent="0.2"/>
    <row r="15573" ht="12.75" x14ac:dyDescent="0.2"/>
    <row r="15574" ht="12.75" x14ac:dyDescent="0.2"/>
    <row r="15575" ht="12.75" x14ac:dyDescent="0.2"/>
    <row r="15576" ht="12.75" x14ac:dyDescent="0.2"/>
    <row r="15577" ht="12.75" x14ac:dyDescent="0.2"/>
    <row r="15578" ht="12.75" x14ac:dyDescent="0.2"/>
    <row r="15579" ht="12.75" x14ac:dyDescent="0.2"/>
    <row r="15580" ht="12.75" x14ac:dyDescent="0.2"/>
    <row r="15581" ht="12.75" x14ac:dyDescent="0.2"/>
    <row r="15582" ht="12.75" x14ac:dyDescent="0.2"/>
    <row r="15583" ht="12.75" x14ac:dyDescent="0.2"/>
    <row r="15584" ht="12.75" x14ac:dyDescent="0.2"/>
    <row r="15585" ht="12.75" x14ac:dyDescent="0.2"/>
    <row r="15586" ht="12.75" x14ac:dyDescent="0.2"/>
    <row r="15587" ht="12.75" x14ac:dyDescent="0.2"/>
    <row r="15588" ht="12.75" x14ac:dyDescent="0.2"/>
    <row r="15589" ht="12.75" x14ac:dyDescent="0.2"/>
    <row r="15590" ht="12.75" x14ac:dyDescent="0.2"/>
    <row r="15591" ht="12.75" x14ac:dyDescent="0.2"/>
    <row r="15592" ht="12.75" x14ac:dyDescent="0.2"/>
    <row r="15593" ht="12.75" x14ac:dyDescent="0.2"/>
    <row r="15594" ht="12.75" x14ac:dyDescent="0.2"/>
    <row r="15595" ht="12.75" x14ac:dyDescent="0.2"/>
    <row r="15596" ht="12.75" x14ac:dyDescent="0.2"/>
    <row r="15597" ht="12.75" x14ac:dyDescent="0.2"/>
    <row r="15598" ht="12.75" x14ac:dyDescent="0.2"/>
    <row r="15599" ht="12.75" x14ac:dyDescent="0.2"/>
    <row r="15600" ht="12.75" x14ac:dyDescent="0.2"/>
    <row r="15601" ht="12.75" x14ac:dyDescent="0.2"/>
    <row r="15602" ht="12.75" x14ac:dyDescent="0.2"/>
    <row r="15603" ht="12.75" x14ac:dyDescent="0.2"/>
    <row r="15604" ht="12.75" x14ac:dyDescent="0.2"/>
    <row r="15605" ht="12.75" x14ac:dyDescent="0.2"/>
    <row r="15606" ht="12.75" x14ac:dyDescent="0.2"/>
    <row r="15607" ht="12.75" x14ac:dyDescent="0.2"/>
    <row r="15608" ht="12.75" x14ac:dyDescent="0.2"/>
    <row r="15609" ht="12.75" x14ac:dyDescent="0.2"/>
    <row r="15610" ht="12.75" x14ac:dyDescent="0.2"/>
    <row r="15611" ht="12.75" x14ac:dyDescent="0.2"/>
    <row r="15612" ht="12.75" x14ac:dyDescent="0.2"/>
    <row r="15613" ht="12.75" x14ac:dyDescent="0.2"/>
    <row r="15614" ht="12.75" x14ac:dyDescent="0.2"/>
    <row r="15615" ht="12.75" x14ac:dyDescent="0.2"/>
    <row r="15616" ht="12.75" x14ac:dyDescent="0.2"/>
    <row r="15617" ht="12.75" x14ac:dyDescent="0.2"/>
    <row r="15618" ht="12.75" x14ac:dyDescent="0.2"/>
    <row r="15619" ht="12.75" x14ac:dyDescent="0.2"/>
    <row r="15620" ht="12.75" x14ac:dyDescent="0.2"/>
    <row r="15621" ht="12.75" x14ac:dyDescent="0.2"/>
    <row r="15622" ht="12.75" x14ac:dyDescent="0.2"/>
    <row r="15623" ht="12.75" x14ac:dyDescent="0.2"/>
    <row r="15624" ht="12.75" x14ac:dyDescent="0.2"/>
    <row r="15625" ht="12.75" x14ac:dyDescent="0.2"/>
    <row r="15626" ht="12.75" x14ac:dyDescent="0.2"/>
    <row r="15627" ht="12.75" x14ac:dyDescent="0.2"/>
    <row r="15628" ht="12.75" x14ac:dyDescent="0.2"/>
    <row r="15629" ht="12.75" x14ac:dyDescent="0.2"/>
    <row r="15630" ht="12.75" x14ac:dyDescent="0.2"/>
    <row r="15631" ht="12.75" x14ac:dyDescent="0.2"/>
    <row r="15632" ht="12.75" x14ac:dyDescent="0.2"/>
    <row r="15633" ht="12.75" x14ac:dyDescent="0.2"/>
    <row r="15634" ht="12.75" x14ac:dyDescent="0.2"/>
    <row r="15635" ht="12.75" x14ac:dyDescent="0.2"/>
    <row r="15636" ht="12.75" x14ac:dyDescent="0.2"/>
    <row r="15637" ht="12.75" x14ac:dyDescent="0.2"/>
    <row r="15638" ht="12.75" x14ac:dyDescent="0.2"/>
    <row r="15639" ht="12.75" x14ac:dyDescent="0.2"/>
    <row r="15640" ht="12.75" x14ac:dyDescent="0.2"/>
    <row r="15641" ht="12.75" x14ac:dyDescent="0.2"/>
    <row r="15642" ht="12.75" x14ac:dyDescent="0.2"/>
    <row r="15643" ht="12.75" x14ac:dyDescent="0.2"/>
    <row r="15644" ht="12.75" x14ac:dyDescent="0.2"/>
    <row r="15645" ht="12.75" x14ac:dyDescent="0.2"/>
    <row r="15646" ht="12.75" x14ac:dyDescent="0.2"/>
    <row r="15647" ht="12.75" x14ac:dyDescent="0.2"/>
    <row r="15648" ht="12.75" x14ac:dyDescent="0.2"/>
    <row r="15649" ht="12.75" x14ac:dyDescent="0.2"/>
    <row r="15650" ht="12.75" x14ac:dyDescent="0.2"/>
    <row r="15651" ht="12.75" x14ac:dyDescent="0.2"/>
    <row r="15652" ht="12.75" x14ac:dyDescent="0.2"/>
    <row r="15653" ht="12.75" x14ac:dyDescent="0.2"/>
    <row r="15654" ht="12.75" x14ac:dyDescent="0.2"/>
    <row r="15655" ht="12.75" x14ac:dyDescent="0.2"/>
    <row r="15656" ht="12.75" x14ac:dyDescent="0.2"/>
    <row r="15657" ht="12.75" x14ac:dyDescent="0.2"/>
    <row r="15658" ht="12.75" x14ac:dyDescent="0.2"/>
    <row r="15659" ht="12.75" x14ac:dyDescent="0.2"/>
    <row r="15660" ht="12.75" x14ac:dyDescent="0.2"/>
    <row r="15661" ht="12.75" x14ac:dyDescent="0.2"/>
    <row r="15662" ht="12.75" x14ac:dyDescent="0.2"/>
    <row r="15663" ht="12.75" x14ac:dyDescent="0.2"/>
    <row r="15664" ht="12.75" x14ac:dyDescent="0.2"/>
    <row r="15665" ht="12.75" x14ac:dyDescent="0.2"/>
    <row r="15666" ht="12.75" x14ac:dyDescent="0.2"/>
    <row r="15667" ht="12.75" x14ac:dyDescent="0.2"/>
    <row r="15668" ht="12.75" x14ac:dyDescent="0.2"/>
    <row r="15669" ht="12.75" x14ac:dyDescent="0.2"/>
    <row r="15670" ht="12.75" x14ac:dyDescent="0.2"/>
    <row r="15671" ht="12.75" x14ac:dyDescent="0.2"/>
    <row r="15672" ht="12.75" x14ac:dyDescent="0.2"/>
    <row r="15673" ht="12.75" x14ac:dyDescent="0.2"/>
    <row r="15674" ht="12.75" x14ac:dyDescent="0.2"/>
    <row r="15675" ht="12.75" x14ac:dyDescent="0.2"/>
    <row r="15676" ht="12.75" x14ac:dyDescent="0.2"/>
    <row r="15677" ht="12.75" x14ac:dyDescent="0.2"/>
    <row r="15678" ht="12.75" x14ac:dyDescent="0.2"/>
    <row r="15679" ht="12.75" x14ac:dyDescent="0.2"/>
    <row r="15680" ht="12.75" x14ac:dyDescent="0.2"/>
    <row r="15681" ht="12.75" x14ac:dyDescent="0.2"/>
    <row r="15682" ht="12.75" x14ac:dyDescent="0.2"/>
    <row r="15683" ht="12.75" x14ac:dyDescent="0.2"/>
    <row r="15684" ht="12.75" x14ac:dyDescent="0.2"/>
    <row r="15685" ht="12.75" x14ac:dyDescent="0.2"/>
    <row r="15686" ht="12.75" x14ac:dyDescent="0.2"/>
    <row r="15687" ht="12.75" x14ac:dyDescent="0.2"/>
    <row r="15688" ht="12.75" x14ac:dyDescent="0.2"/>
    <row r="15689" ht="12.75" x14ac:dyDescent="0.2"/>
    <row r="15690" ht="12.75" x14ac:dyDescent="0.2"/>
    <row r="15691" ht="12.75" x14ac:dyDescent="0.2"/>
    <row r="15692" ht="12.75" x14ac:dyDescent="0.2"/>
    <row r="15693" ht="12.75" x14ac:dyDescent="0.2"/>
    <row r="15694" ht="12.75" x14ac:dyDescent="0.2"/>
    <row r="15695" ht="12.75" x14ac:dyDescent="0.2"/>
    <row r="15696" ht="12.75" x14ac:dyDescent="0.2"/>
    <row r="15697" ht="12.75" x14ac:dyDescent="0.2"/>
    <row r="15698" ht="12.75" x14ac:dyDescent="0.2"/>
    <row r="15699" ht="12.75" x14ac:dyDescent="0.2"/>
    <row r="15700" ht="12.75" x14ac:dyDescent="0.2"/>
    <row r="15701" ht="12.75" x14ac:dyDescent="0.2"/>
    <row r="15702" ht="12.75" x14ac:dyDescent="0.2"/>
    <row r="15703" ht="12.75" x14ac:dyDescent="0.2"/>
    <row r="15704" ht="12.75" x14ac:dyDescent="0.2"/>
    <row r="15705" ht="12.75" x14ac:dyDescent="0.2"/>
    <row r="15706" ht="12.75" x14ac:dyDescent="0.2"/>
    <row r="15707" ht="12.75" x14ac:dyDescent="0.2"/>
    <row r="15708" ht="12.75" x14ac:dyDescent="0.2"/>
    <row r="15709" ht="12.75" x14ac:dyDescent="0.2"/>
    <row r="15710" ht="12.75" x14ac:dyDescent="0.2"/>
    <row r="15711" ht="12.75" x14ac:dyDescent="0.2"/>
    <row r="15712" ht="12.75" x14ac:dyDescent="0.2"/>
    <row r="15713" ht="12.75" x14ac:dyDescent="0.2"/>
    <row r="15714" ht="12.75" x14ac:dyDescent="0.2"/>
    <row r="15715" ht="12.75" x14ac:dyDescent="0.2"/>
    <row r="15716" ht="12.75" x14ac:dyDescent="0.2"/>
    <row r="15717" ht="12.75" x14ac:dyDescent="0.2"/>
    <row r="15718" ht="12.75" x14ac:dyDescent="0.2"/>
    <row r="15719" ht="12.75" x14ac:dyDescent="0.2"/>
    <row r="15720" ht="12.75" x14ac:dyDescent="0.2"/>
    <row r="15721" ht="12.75" x14ac:dyDescent="0.2"/>
    <row r="15722" ht="12.75" x14ac:dyDescent="0.2"/>
    <row r="15723" ht="12.75" x14ac:dyDescent="0.2"/>
    <row r="15724" ht="12.75" x14ac:dyDescent="0.2"/>
    <row r="15725" ht="12.75" x14ac:dyDescent="0.2"/>
    <row r="15726" ht="12.75" x14ac:dyDescent="0.2"/>
    <row r="15727" ht="12.75" x14ac:dyDescent="0.2"/>
    <row r="15728" ht="12.75" x14ac:dyDescent="0.2"/>
    <row r="15729" ht="12.75" x14ac:dyDescent="0.2"/>
    <row r="15730" ht="12.75" x14ac:dyDescent="0.2"/>
    <row r="15731" ht="12.75" x14ac:dyDescent="0.2"/>
    <row r="15732" ht="12.75" x14ac:dyDescent="0.2"/>
    <row r="15733" ht="12.75" x14ac:dyDescent="0.2"/>
    <row r="15734" ht="12.75" x14ac:dyDescent="0.2"/>
    <row r="15735" ht="12.75" x14ac:dyDescent="0.2"/>
    <row r="15736" ht="12.75" x14ac:dyDescent="0.2"/>
    <row r="15737" ht="12.75" x14ac:dyDescent="0.2"/>
    <row r="15738" ht="12.75" x14ac:dyDescent="0.2"/>
    <row r="15739" ht="12.75" x14ac:dyDescent="0.2"/>
    <row r="15740" ht="12.75" x14ac:dyDescent="0.2"/>
    <row r="15741" ht="12.75" x14ac:dyDescent="0.2"/>
    <row r="15742" ht="12.75" x14ac:dyDescent="0.2"/>
    <row r="15743" ht="12.75" x14ac:dyDescent="0.2"/>
    <row r="15744" ht="12.75" x14ac:dyDescent="0.2"/>
    <row r="15745" ht="12.75" x14ac:dyDescent="0.2"/>
    <row r="15746" ht="12.75" x14ac:dyDescent="0.2"/>
    <row r="15747" ht="12.75" x14ac:dyDescent="0.2"/>
    <row r="15748" ht="12.75" x14ac:dyDescent="0.2"/>
    <row r="15749" ht="12.75" x14ac:dyDescent="0.2"/>
    <row r="15750" ht="12.75" x14ac:dyDescent="0.2"/>
    <row r="15751" ht="12.75" x14ac:dyDescent="0.2"/>
    <row r="15752" ht="12.75" x14ac:dyDescent="0.2"/>
    <row r="15753" ht="12.75" x14ac:dyDescent="0.2"/>
    <row r="15754" ht="12.75" x14ac:dyDescent="0.2"/>
    <row r="15755" ht="12.75" x14ac:dyDescent="0.2"/>
    <row r="15756" ht="12.75" x14ac:dyDescent="0.2"/>
    <row r="15757" ht="12.75" x14ac:dyDescent="0.2"/>
    <row r="15758" ht="12.75" x14ac:dyDescent="0.2"/>
    <row r="15759" ht="12.75" x14ac:dyDescent="0.2"/>
    <row r="15760" ht="12.75" x14ac:dyDescent="0.2"/>
    <row r="15761" ht="12.75" x14ac:dyDescent="0.2"/>
    <row r="15762" ht="12.75" x14ac:dyDescent="0.2"/>
    <row r="15763" ht="12.75" x14ac:dyDescent="0.2"/>
    <row r="15764" ht="12.75" x14ac:dyDescent="0.2"/>
    <row r="15765" ht="12.75" x14ac:dyDescent="0.2"/>
    <row r="15766" ht="12.75" x14ac:dyDescent="0.2"/>
    <row r="15767" ht="12.75" x14ac:dyDescent="0.2"/>
    <row r="15768" ht="12.75" x14ac:dyDescent="0.2"/>
    <row r="15769" ht="12.75" x14ac:dyDescent="0.2"/>
    <row r="15770" ht="12.75" x14ac:dyDescent="0.2"/>
    <row r="15771" ht="12.75" x14ac:dyDescent="0.2"/>
    <row r="15772" ht="12.75" x14ac:dyDescent="0.2"/>
    <row r="15773" ht="12.75" x14ac:dyDescent="0.2"/>
    <row r="15774" ht="12.75" x14ac:dyDescent="0.2"/>
    <row r="15775" ht="12.75" x14ac:dyDescent="0.2"/>
    <row r="15776" ht="12.75" x14ac:dyDescent="0.2"/>
    <row r="15777" ht="12.75" x14ac:dyDescent="0.2"/>
    <row r="15778" ht="12.75" x14ac:dyDescent="0.2"/>
    <row r="15779" ht="12.75" x14ac:dyDescent="0.2"/>
    <row r="15780" ht="12.75" x14ac:dyDescent="0.2"/>
    <row r="15781" ht="12.75" x14ac:dyDescent="0.2"/>
    <row r="15782" ht="12.75" x14ac:dyDescent="0.2"/>
    <row r="15783" ht="12.75" x14ac:dyDescent="0.2"/>
    <row r="15784" ht="12.75" x14ac:dyDescent="0.2"/>
    <row r="15785" ht="12.75" x14ac:dyDescent="0.2"/>
    <row r="15786" ht="12.75" x14ac:dyDescent="0.2"/>
    <row r="15787" ht="12.75" x14ac:dyDescent="0.2"/>
    <row r="15788" ht="12.75" x14ac:dyDescent="0.2"/>
    <row r="15789" ht="12.75" x14ac:dyDescent="0.2"/>
    <row r="15790" ht="12.75" x14ac:dyDescent="0.2"/>
    <row r="15791" ht="12.75" x14ac:dyDescent="0.2"/>
    <row r="15792" ht="12.75" x14ac:dyDescent="0.2"/>
    <row r="15793" ht="12.75" x14ac:dyDescent="0.2"/>
    <row r="15794" ht="12.75" x14ac:dyDescent="0.2"/>
    <row r="15795" ht="12.75" x14ac:dyDescent="0.2"/>
    <row r="15796" ht="12.75" x14ac:dyDescent="0.2"/>
    <row r="15797" ht="12.75" x14ac:dyDescent="0.2"/>
    <row r="15798" ht="12.75" x14ac:dyDescent="0.2"/>
    <row r="15799" ht="12.75" x14ac:dyDescent="0.2"/>
    <row r="15800" ht="12.75" x14ac:dyDescent="0.2"/>
    <row r="15801" ht="12.75" x14ac:dyDescent="0.2"/>
    <row r="15802" ht="12.75" x14ac:dyDescent="0.2"/>
    <row r="15803" ht="12.75" x14ac:dyDescent="0.2"/>
    <row r="15804" ht="12.75" x14ac:dyDescent="0.2"/>
    <row r="15805" ht="12.75" x14ac:dyDescent="0.2"/>
    <row r="15806" ht="12.75" x14ac:dyDescent="0.2"/>
    <row r="15807" ht="12.75" x14ac:dyDescent="0.2"/>
    <row r="15808" ht="12.75" x14ac:dyDescent="0.2"/>
    <row r="15809" ht="12.75" x14ac:dyDescent="0.2"/>
    <row r="15810" ht="12.75" x14ac:dyDescent="0.2"/>
    <row r="15811" ht="12.75" x14ac:dyDescent="0.2"/>
    <row r="15812" ht="12.75" x14ac:dyDescent="0.2"/>
    <row r="15813" ht="12.75" x14ac:dyDescent="0.2"/>
    <row r="15814" ht="12.75" x14ac:dyDescent="0.2"/>
    <row r="15815" ht="12.75" x14ac:dyDescent="0.2"/>
    <row r="15816" ht="12.75" x14ac:dyDescent="0.2"/>
    <row r="15817" ht="12.75" x14ac:dyDescent="0.2"/>
    <row r="15818" ht="12.75" x14ac:dyDescent="0.2"/>
    <row r="15819" ht="12.75" x14ac:dyDescent="0.2"/>
    <row r="15820" ht="12.75" x14ac:dyDescent="0.2"/>
    <row r="15821" ht="12.75" x14ac:dyDescent="0.2"/>
    <row r="15822" ht="12.75" x14ac:dyDescent="0.2"/>
    <row r="15823" ht="12.75" x14ac:dyDescent="0.2"/>
    <row r="15824" ht="12.75" x14ac:dyDescent="0.2"/>
    <row r="15825" ht="12.75" x14ac:dyDescent="0.2"/>
    <row r="15826" ht="12.75" x14ac:dyDescent="0.2"/>
    <row r="15827" ht="12.75" x14ac:dyDescent="0.2"/>
    <row r="15828" ht="12.75" x14ac:dyDescent="0.2"/>
    <row r="15829" ht="12.75" x14ac:dyDescent="0.2"/>
    <row r="15830" ht="12.75" x14ac:dyDescent="0.2"/>
    <row r="15831" ht="12.75" x14ac:dyDescent="0.2"/>
    <row r="15832" ht="12.75" x14ac:dyDescent="0.2"/>
    <row r="15833" ht="12.75" x14ac:dyDescent="0.2"/>
    <row r="15834" ht="12.75" x14ac:dyDescent="0.2"/>
    <row r="15835" ht="12.75" x14ac:dyDescent="0.2"/>
    <row r="15836" ht="12.75" x14ac:dyDescent="0.2"/>
    <row r="15837" ht="12.75" x14ac:dyDescent="0.2"/>
    <row r="15838" ht="12.75" x14ac:dyDescent="0.2"/>
    <row r="15839" ht="12.75" x14ac:dyDescent="0.2"/>
    <row r="15840" ht="12.75" x14ac:dyDescent="0.2"/>
    <row r="15841" ht="12.75" x14ac:dyDescent="0.2"/>
    <row r="15842" ht="12.75" x14ac:dyDescent="0.2"/>
    <row r="15843" ht="12.75" x14ac:dyDescent="0.2"/>
    <row r="15844" ht="12.75" x14ac:dyDescent="0.2"/>
    <row r="15845" ht="12.75" x14ac:dyDescent="0.2"/>
    <row r="15846" ht="12.75" x14ac:dyDescent="0.2"/>
    <row r="15847" ht="12.75" x14ac:dyDescent="0.2"/>
    <row r="15848" ht="12.75" x14ac:dyDescent="0.2"/>
    <row r="15849" ht="12.75" x14ac:dyDescent="0.2"/>
    <row r="15850" ht="12.75" x14ac:dyDescent="0.2"/>
    <row r="15851" ht="12.75" x14ac:dyDescent="0.2"/>
    <row r="15852" ht="12.75" x14ac:dyDescent="0.2"/>
    <row r="15853" ht="12.75" x14ac:dyDescent="0.2"/>
    <row r="15854" ht="12.75" x14ac:dyDescent="0.2"/>
    <row r="15855" ht="12.75" x14ac:dyDescent="0.2"/>
    <row r="15856" ht="12.75" x14ac:dyDescent="0.2"/>
    <row r="15857" ht="12.75" x14ac:dyDescent="0.2"/>
    <row r="15858" ht="12.75" x14ac:dyDescent="0.2"/>
    <row r="15859" ht="12.75" x14ac:dyDescent="0.2"/>
    <row r="15860" ht="12.75" x14ac:dyDescent="0.2"/>
    <row r="15861" ht="12.75" x14ac:dyDescent="0.2"/>
    <row r="15862" ht="12.75" x14ac:dyDescent="0.2"/>
    <row r="15863" ht="12.75" x14ac:dyDescent="0.2"/>
    <row r="15864" ht="12.75" x14ac:dyDescent="0.2"/>
    <row r="15865" ht="12.75" x14ac:dyDescent="0.2"/>
    <row r="15866" ht="12.75" x14ac:dyDescent="0.2"/>
    <row r="15867" ht="12.75" x14ac:dyDescent="0.2"/>
    <row r="15868" ht="12.75" x14ac:dyDescent="0.2"/>
    <row r="15869" ht="12.75" x14ac:dyDescent="0.2"/>
    <row r="15870" ht="12.75" x14ac:dyDescent="0.2"/>
    <row r="15871" ht="12.75" x14ac:dyDescent="0.2"/>
    <row r="15872" ht="12.75" x14ac:dyDescent="0.2"/>
    <row r="15873" ht="12.75" x14ac:dyDescent="0.2"/>
    <row r="15874" ht="12.75" x14ac:dyDescent="0.2"/>
    <row r="15875" ht="12.75" x14ac:dyDescent="0.2"/>
    <row r="15876" ht="12.75" x14ac:dyDescent="0.2"/>
    <row r="15877" ht="12.75" x14ac:dyDescent="0.2"/>
    <row r="15878" ht="12.75" x14ac:dyDescent="0.2"/>
    <row r="15879" ht="12.75" x14ac:dyDescent="0.2"/>
    <row r="15880" ht="12.75" x14ac:dyDescent="0.2"/>
    <row r="15881" ht="12.75" x14ac:dyDescent="0.2"/>
    <row r="15882" ht="12.75" x14ac:dyDescent="0.2"/>
    <row r="15883" ht="12.75" x14ac:dyDescent="0.2"/>
    <row r="15884" ht="12.75" x14ac:dyDescent="0.2"/>
    <row r="15885" ht="12.75" x14ac:dyDescent="0.2"/>
    <row r="15886" ht="12.75" x14ac:dyDescent="0.2"/>
    <row r="15887" ht="12.75" x14ac:dyDescent="0.2"/>
    <row r="15888" ht="12.75" x14ac:dyDescent="0.2"/>
    <row r="15889" ht="12.75" x14ac:dyDescent="0.2"/>
    <row r="15890" ht="12.75" x14ac:dyDescent="0.2"/>
    <row r="15891" ht="12.75" x14ac:dyDescent="0.2"/>
    <row r="15892" ht="12.75" x14ac:dyDescent="0.2"/>
    <row r="15893" ht="12.75" x14ac:dyDescent="0.2"/>
    <row r="15894" ht="12.75" x14ac:dyDescent="0.2"/>
    <row r="15895" ht="12.75" x14ac:dyDescent="0.2"/>
    <row r="15896" ht="12.75" x14ac:dyDescent="0.2"/>
    <row r="15897" ht="12.75" x14ac:dyDescent="0.2"/>
    <row r="15898" ht="12.75" x14ac:dyDescent="0.2"/>
    <row r="15899" ht="12.75" x14ac:dyDescent="0.2"/>
    <row r="15900" ht="12.75" x14ac:dyDescent="0.2"/>
    <row r="15901" ht="12.75" x14ac:dyDescent="0.2"/>
    <row r="15902" ht="12.75" x14ac:dyDescent="0.2"/>
    <row r="15903" ht="12.75" x14ac:dyDescent="0.2"/>
    <row r="15904" ht="12.75" x14ac:dyDescent="0.2"/>
    <row r="15905" ht="12.75" x14ac:dyDescent="0.2"/>
    <row r="15906" ht="12.75" x14ac:dyDescent="0.2"/>
    <row r="15907" ht="12.75" x14ac:dyDescent="0.2"/>
    <row r="15908" ht="12.75" x14ac:dyDescent="0.2"/>
    <row r="15909" ht="12.75" x14ac:dyDescent="0.2"/>
    <row r="15910" ht="12.75" x14ac:dyDescent="0.2"/>
    <row r="15911" ht="12.75" x14ac:dyDescent="0.2"/>
    <row r="15912" ht="12.75" x14ac:dyDescent="0.2"/>
    <row r="15913" ht="12.75" x14ac:dyDescent="0.2"/>
    <row r="15914" ht="12.75" x14ac:dyDescent="0.2"/>
    <row r="15915" ht="12.75" x14ac:dyDescent="0.2"/>
    <row r="15916" ht="12.75" x14ac:dyDescent="0.2"/>
    <row r="15917" ht="12.75" x14ac:dyDescent="0.2"/>
    <row r="15918" ht="12.75" x14ac:dyDescent="0.2"/>
    <row r="15919" ht="12.75" x14ac:dyDescent="0.2"/>
    <row r="15920" ht="12.75" x14ac:dyDescent="0.2"/>
    <row r="15921" ht="12.75" x14ac:dyDescent="0.2"/>
    <row r="15922" ht="12.75" x14ac:dyDescent="0.2"/>
    <row r="15923" ht="12.75" x14ac:dyDescent="0.2"/>
    <row r="15924" ht="12.75" x14ac:dyDescent="0.2"/>
    <row r="15925" ht="12.75" x14ac:dyDescent="0.2"/>
    <row r="15926" ht="12.75" x14ac:dyDescent="0.2"/>
    <row r="15927" ht="12.75" x14ac:dyDescent="0.2"/>
    <row r="15928" ht="12.75" x14ac:dyDescent="0.2"/>
    <row r="15929" ht="12.75" x14ac:dyDescent="0.2"/>
    <row r="15930" ht="12.75" x14ac:dyDescent="0.2"/>
    <row r="15931" ht="12.75" x14ac:dyDescent="0.2"/>
    <row r="15932" ht="12.75" x14ac:dyDescent="0.2"/>
    <row r="15933" ht="12.75" x14ac:dyDescent="0.2"/>
    <row r="15934" ht="12.75" x14ac:dyDescent="0.2"/>
    <row r="15935" ht="12.75" x14ac:dyDescent="0.2"/>
    <row r="15936" ht="12.75" x14ac:dyDescent="0.2"/>
    <row r="15937" ht="12.75" x14ac:dyDescent="0.2"/>
    <row r="15938" ht="12.75" x14ac:dyDescent="0.2"/>
    <row r="15939" ht="12.75" x14ac:dyDescent="0.2"/>
    <row r="15940" ht="12.75" x14ac:dyDescent="0.2"/>
    <row r="15941" ht="12.75" x14ac:dyDescent="0.2"/>
    <row r="15942" ht="12.75" x14ac:dyDescent="0.2"/>
    <row r="15943" ht="12.75" x14ac:dyDescent="0.2"/>
    <row r="15944" ht="12.75" x14ac:dyDescent="0.2"/>
    <row r="15945" ht="12.75" x14ac:dyDescent="0.2"/>
    <row r="15946" ht="12.75" x14ac:dyDescent="0.2"/>
    <row r="15947" ht="12.75" x14ac:dyDescent="0.2"/>
    <row r="15948" ht="12.75" x14ac:dyDescent="0.2"/>
    <row r="15949" ht="12.75" x14ac:dyDescent="0.2"/>
    <row r="15950" ht="12.75" x14ac:dyDescent="0.2"/>
    <row r="15951" ht="12.75" x14ac:dyDescent="0.2"/>
    <row r="15952" ht="12.75" x14ac:dyDescent="0.2"/>
    <row r="15953" ht="12.75" x14ac:dyDescent="0.2"/>
    <row r="15954" ht="12.75" x14ac:dyDescent="0.2"/>
    <row r="15955" ht="12.75" x14ac:dyDescent="0.2"/>
    <row r="15956" ht="12.75" x14ac:dyDescent="0.2"/>
    <row r="15957" ht="12.75" x14ac:dyDescent="0.2"/>
    <row r="15958" ht="12.75" x14ac:dyDescent="0.2"/>
    <row r="15959" ht="12.75" x14ac:dyDescent="0.2"/>
    <row r="15960" ht="12.75" x14ac:dyDescent="0.2"/>
    <row r="15961" ht="12.75" x14ac:dyDescent="0.2"/>
    <row r="15962" ht="12.75" x14ac:dyDescent="0.2"/>
    <row r="15963" ht="12.75" x14ac:dyDescent="0.2"/>
    <row r="15964" ht="12.75" x14ac:dyDescent="0.2"/>
    <row r="15965" ht="12.75" x14ac:dyDescent="0.2"/>
    <row r="15966" ht="12.75" x14ac:dyDescent="0.2"/>
    <row r="15967" ht="12.75" x14ac:dyDescent="0.2"/>
    <row r="15968" ht="12.75" x14ac:dyDescent="0.2"/>
    <row r="15969" ht="12.75" x14ac:dyDescent="0.2"/>
    <row r="15970" ht="12.75" x14ac:dyDescent="0.2"/>
    <row r="15971" ht="12.75" x14ac:dyDescent="0.2"/>
    <row r="15972" ht="12.75" x14ac:dyDescent="0.2"/>
    <row r="15973" ht="12.75" x14ac:dyDescent="0.2"/>
    <row r="15974" ht="12.75" x14ac:dyDescent="0.2"/>
    <row r="15975" ht="12.75" x14ac:dyDescent="0.2"/>
    <row r="15976" ht="12.75" x14ac:dyDescent="0.2"/>
    <row r="15977" ht="12.75" x14ac:dyDescent="0.2"/>
    <row r="15978" ht="12.75" x14ac:dyDescent="0.2"/>
    <row r="15979" ht="12.75" x14ac:dyDescent="0.2"/>
    <row r="15980" ht="12.75" x14ac:dyDescent="0.2"/>
    <row r="15981" ht="12.75" x14ac:dyDescent="0.2"/>
    <row r="15982" ht="12.75" x14ac:dyDescent="0.2"/>
    <row r="15983" ht="12.75" x14ac:dyDescent="0.2"/>
    <row r="15984" ht="12.75" x14ac:dyDescent="0.2"/>
    <row r="15985" ht="12.75" x14ac:dyDescent="0.2"/>
    <row r="15986" ht="12.75" x14ac:dyDescent="0.2"/>
    <row r="15987" ht="12.75" x14ac:dyDescent="0.2"/>
    <row r="15988" ht="12.75" x14ac:dyDescent="0.2"/>
    <row r="15989" ht="12.75" x14ac:dyDescent="0.2"/>
    <row r="15990" ht="12.75" x14ac:dyDescent="0.2"/>
    <row r="15991" ht="12.75" x14ac:dyDescent="0.2"/>
    <row r="15992" ht="12.75" x14ac:dyDescent="0.2"/>
    <row r="15993" ht="12.75" x14ac:dyDescent="0.2"/>
    <row r="15994" ht="12.75" x14ac:dyDescent="0.2"/>
    <row r="15995" ht="12.75" x14ac:dyDescent="0.2"/>
    <row r="15996" ht="12.75" x14ac:dyDescent="0.2"/>
    <row r="15997" ht="12.75" x14ac:dyDescent="0.2"/>
    <row r="15998" ht="12.75" x14ac:dyDescent="0.2"/>
    <row r="15999" ht="12.75" x14ac:dyDescent="0.2"/>
    <row r="16000" ht="12.75" x14ac:dyDescent="0.2"/>
    <row r="16001" ht="12.75" x14ac:dyDescent="0.2"/>
    <row r="16002" ht="12.75" x14ac:dyDescent="0.2"/>
    <row r="16003" ht="12.75" x14ac:dyDescent="0.2"/>
    <row r="16004" ht="12.75" x14ac:dyDescent="0.2"/>
    <row r="16005" ht="12.75" x14ac:dyDescent="0.2"/>
    <row r="16006" ht="12.75" x14ac:dyDescent="0.2"/>
    <row r="16007" ht="12.75" x14ac:dyDescent="0.2"/>
    <row r="16008" ht="12.75" x14ac:dyDescent="0.2"/>
    <row r="16009" ht="12.75" x14ac:dyDescent="0.2"/>
    <row r="16010" ht="12.75" x14ac:dyDescent="0.2"/>
    <row r="16011" ht="12.75" x14ac:dyDescent="0.2"/>
    <row r="16012" ht="12.75" x14ac:dyDescent="0.2"/>
    <row r="16013" ht="12.75" x14ac:dyDescent="0.2"/>
    <row r="16014" ht="12.75" x14ac:dyDescent="0.2"/>
    <row r="16015" ht="12.75" x14ac:dyDescent="0.2"/>
    <row r="16016" ht="12.75" x14ac:dyDescent="0.2"/>
    <row r="16017" ht="12.75" x14ac:dyDescent="0.2"/>
    <row r="16018" ht="12.75" x14ac:dyDescent="0.2"/>
    <row r="16019" ht="12.75" x14ac:dyDescent="0.2"/>
    <row r="16020" ht="12.75" x14ac:dyDescent="0.2"/>
    <row r="16021" ht="12.75" x14ac:dyDescent="0.2"/>
    <row r="16022" ht="12.75" x14ac:dyDescent="0.2"/>
    <row r="16023" ht="12.75" x14ac:dyDescent="0.2"/>
    <row r="16024" ht="12.75" x14ac:dyDescent="0.2"/>
    <row r="16025" ht="12.75" x14ac:dyDescent="0.2"/>
    <row r="16026" ht="12.75" x14ac:dyDescent="0.2"/>
    <row r="16027" ht="12.75" x14ac:dyDescent="0.2"/>
    <row r="16028" ht="12.75" x14ac:dyDescent="0.2"/>
    <row r="16029" ht="12.75" x14ac:dyDescent="0.2"/>
    <row r="16030" ht="12.75" x14ac:dyDescent="0.2"/>
    <row r="16031" ht="12.75" x14ac:dyDescent="0.2"/>
    <row r="16032" ht="12.75" x14ac:dyDescent="0.2"/>
    <row r="16033" ht="12.75" x14ac:dyDescent="0.2"/>
    <row r="16034" ht="12.75" x14ac:dyDescent="0.2"/>
    <row r="16035" ht="12.75" x14ac:dyDescent="0.2"/>
    <row r="16036" ht="12.75" x14ac:dyDescent="0.2"/>
    <row r="16037" ht="12.75" x14ac:dyDescent="0.2"/>
    <row r="16038" ht="12.75" x14ac:dyDescent="0.2"/>
    <row r="16039" ht="12.75" x14ac:dyDescent="0.2"/>
    <row r="16040" ht="12.75" x14ac:dyDescent="0.2"/>
    <row r="16041" ht="12.75" x14ac:dyDescent="0.2"/>
    <row r="16042" ht="12.75" x14ac:dyDescent="0.2"/>
    <row r="16043" ht="12.75" x14ac:dyDescent="0.2"/>
    <row r="16044" ht="12.75" x14ac:dyDescent="0.2"/>
    <row r="16045" ht="12.75" x14ac:dyDescent="0.2"/>
    <row r="16046" ht="12.75" x14ac:dyDescent="0.2"/>
    <row r="16047" ht="12.75" x14ac:dyDescent="0.2"/>
    <row r="16048" ht="12.75" x14ac:dyDescent="0.2"/>
    <row r="16049" ht="12.75" x14ac:dyDescent="0.2"/>
    <row r="16050" ht="12.75" x14ac:dyDescent="0.2"/>
    <row r="16051" ht="12.75" x14ac:dyDescent="0.2"/>
    <row r="16052" ht="12.75" x14ac:dyDescent="0.2"/>
    <row r="16053" ht="12.75" x14ac:dyDescent="0.2"/>
    <row r="16054" ht="12.75" x14ac:dyDescent="0.2"/>
    <row r="16055" ht="12.75" x14ac:dyDescent="0.2"/>
    <row r="16056" ht="12.75" x14ac:dyDescent="0.2"/>
    <row r="16057" ht="12.75" x14ac:dyDescent="0.2"/>
    <row r="16058" ht="12.75" x14ac:dyDescent="0.2"/>
    <row r="16059" ht="12.75" x14ac:dyDescent="0.2"/>
    <row r="16060" ht="12.75" x14ac:dyDescent="0.2"/>
    <row r="16061" ht="12.75" x14ac:dyDescent="0.2"/>
    <row r="16062" ht="12.75" x14ac:dyDescent="0.2"/>
    <row r="16063" ht="12.75" x14ac:dyDescent="0.2"/>
    <row r="16064" ht="12.75" x14ac:dyDescent="0.2"/>
    <row r="16065" ht="12.75" x14ac:dyDescent="0.2"/>
    <row r="16066" ht="12.75" x14ac:dyDescent="0.2"/>
    <row r="16067" ht="12.75" x14ac:dyDescent="0.2"/>
    <row r="16068" ht="12.75" x14ac:dyDescent="0.2"/>
    <row r="16069" ht="12.75" x14ac:dyDescent="0.2"/>
    <row r="16070" ht="12.75" x14ac:dyDescent="0.2"/>
    <row r="16071" ht="12.75" x14ac:dyDescent="0.2"/>
    <row r="16072" ht="12.75" x14ac:dyDescent="0.2"/>
    <row r="16073" ht="12.75" x14ac:dyDescent="0.2"/>
    <row r="16074" ht="12.75" x14ac:dyDescent="0.2"/>
    <row r="16075" ht="12.75" x14ac:dyDescent="0.2"/>
    <row r="16076" ht="12.75" x14ac:dyDescent="0.2"/>
    <row r="16077" ht="12.75" x14ac:dyDescent="0.2"/>
    <row r="16078" ht="12.75" x14ac:dyDescent="0.2"/>
    <row r="16079" ht="12.75" x14ac:dyDescent="0.2"/>
    <row r="16080" ht="12.75" x14ac:dyDescent="0.2"/>
    <row r="16081" ht="12.75" x14ac:dyDescent="0.2"/>
    <row r="16082" ht="12.75" x14ac:dyDescent="0.2"/>
    <row r="16083" ht="12.75" x14ac:dyDescent="0.2"/>
    <row r="16084" ht="12.75" x14ac:dyDescent="0.2"/>
    <row r="16085" ht="12.75" x14ac:dyDescent="0.2"/>
    <row r="16086" ht="12.75" x14ac:dyDescent="0.2"/>
    <row r="16087" ht="12.75" x14ac:dyDescent="0.2"/>
    <row r="16088" ht="12.75" x14ac:dyDescent="0.2"/>
    <row r="16089" ht="12.75" x14ac:dyDescent="0.2"/>
    <row r="16090" ht="12.75" x14ac:dyDescent="0.2"/>
    <row r="16091" ht="12.75" x14ac:dyDescent="0.2"/>
    <row r="16092" ht="12.75" x14ac:dyDescent="0.2"/>
    <row r="16093" ht="12.75" x14ac:dyDescent="0.2"/>
    <row r="16094" ht="12.75" x14ac:dyDescent="0.2"/>
    <row r="16095" ht="12.75" x14ac:dyDescent="0.2"/>
    <row r="16096" ht="12.75" x14ac:dyDescent="0.2"/>
    <row r="16097" ht="12.75" x14ac:dyDescent="0.2"/>
    <row r="16098" ht="12.75" x14ac:dyDescent="0.2"/>
    <row r="16099" ht="12.75" x14ac:dyDescent="0.2"/>
    <row r="16100" ht="12.75" x14ac:dyDescent="0.2"/>
    <row r="16101" ht="12.75" x14ac:dyDescent="0.2"/>
    <row r="16102" ht="12.75" x14ac:dyDescent="0.2"/>
    <row r="16103" ht="12.75" x14ac:dyDescent="0.2"/>
    <row r="16104" ht="12.75" x14ac:dyDescent="0.2"/>
    <row r="16105" ht="12.75" x14ac:dyDescent="0.2"/>
    <row r="16106" ht="12.75" x14ac:dyDescent="0.2"/>
    <row r="16107" ht="12.75" x14ac:dyDescent="0.2"/>
    <row r="16108" ht="12.75" x14ac:dyDescent="0.2"/>
    <row r="16109" ht="12.75" x14ac:dyDescent="0.2"/>
    <row r="16110" ht="12.75" x14ac:dyDescent="0.2"/>
    <row r="16111" ht="12.75" x14ac:dyDescent="0.2"/>
    <row r="16112" ht="12.75" x14ac:dyDescent="0.2"/>
    <row r="16113" ht="12.75" x14ac:dyDescent="0.2"/>
    <row r="16114" ht="12.75" x14ac:dyDescent="0.2"/>
    <row r="16115" ht="12.75" x14ac:dyDescent="0.2"/>
    <row r="16116" ht="12.75" x14ac:dyDescent="0.2"/>
    <row r="16117" ht="12.75" x14ac:dyDescent="0.2"/>
    <row r="16118" ht="12.75" x14ac:dyDescent="0.2"/>
    <row r="16119" ht="12.75" x14ac:dyDescent="0.2"/>
    <row r="16120" ht="12.75" x14ac:dyDescent="0.2"/>
    <row r="16121" ht="12.75" x14ac:dyDescent="0.2"/>
    <row r="16122" ht="12.75" x14ac:dyDescent="0.2"/>
    <row r="16123" ht="12.75" x14ac:dyDescent="0.2"/>
    <row r="16124" ht="12.75" x14ac:dyDescent="0.2"/>
    <row r="16125" ht="12.75" x14ac:dyDescent="0.2"/>
    <row r="16126" ht="12.75" x14ac:dyDescent="0.2"/>
    <row r="16127" ht="12.75" x14ac:dyDescent="0.2"/>
    <row r="16128" ht="12.75" x14ac:dyDescent="0.2"/>
    <row r="16129" ht="12.75" x14ac:dyDescent="0.2"/>
    <row r="16130" ht="12.75" x14ac:dyDescent="0.2"/>
    <row r="16131" ht="12.75" x14ac:dyDescent="0.2"/>
    <row r="16132" ht="12.75" x14ac:dyDescent="0.2"/>
    <row r="16133" ht="12.75" x14ac:dyDescent="0.2"/>
    <row r="16134" ht="12.75" x14ac:dyDescent="0.2"/>
    <row r="16135" ht="12.75" x14ac:dyDescent="0.2"/>
    <row r="16136" ht="12.75" x14ac:dyDescent="0.2"/>
    <row r="16137" ht="12.75" x14ac:dyDescent="0.2"/>
    <row r="16138" ht="12.75" x14ac:dyDescent="0.2"/>
    <row r="16139" ht="12.75" x14ac:dyDescent="0.2"/>
    <row r="16140" ht="12.75" x14ac:dyDescent="0.2"/>
    <row r="16141" ht="12.75" x14ac:dyDescent="0.2"/>
    <row r="16142" ht="12.75" x14ac:dyDescent="0.2"/>
    <row r="16143" ht="12.75" x14ac:dyDescent="0.2"/>
    <row r="16144" ht="12.75" x14ac:dyDescent="0.2"/>
    <row r="16145" ht="12.75" x14ac:dyDescent="0.2"/>
    <row r="16146" ht="12.75" x14ac:dyDescent="0.2"/>
    <row r="16147" ht="12.75" x14ac:dyDescent="0.2"/>
    <row r="16148" ht="12.75" x14ac:dyDescent="0.2"/>
    <row r="16149" ht="12.75" x14ac:dyDescent="0.2"/>
    <row r="16150" ht="12.75" x14ac:dyDescent="0.2"/>
    <row r="16151" ht="12.75" x14ac:dyDescent="0.2"/>
    <row r="16152" ht="12.75" x14ac:dyDescent="0.2"/>
    <row r="16153" ht="12.75" x14ac:dyDescent="0.2"/>
    <row r="16154" ht="12.75" x14ac:dyDescent="0.2"/>
    <row r="16155" ht="12.75" x14ac:dyDescent="0.2"/>
    <row r="16156" ht="12.75" x14ac:dyDescent="0.2"/>
    <row r="16157" ht="12.75" x14ac:dyDescent="0.2"/>
    <row r="16158" ht="12.75" x14ac:dyDescent="0.2"/>
    <row r="16159" ht="12.75" x14ac:dyDescent="0.2"/>
    <row r="16160" ht="12.75" x14ac:dyDescent="0.2"/>
    <row r="16161" ht="12.75" x14ac:dyDescent="0.2"/>
    <row r="16162" ht="12.75" x14ac:dyDescent="0.2"/>
    <row r="16163" ht="12.75" x14ac:dyDescent="0.2"/>
    <row r="16164" ht="12.75" x14ac:dyDescent="0.2"/>
    <row r="16165" ht="12.75" x14ac:dyDescent="0.2"/>
    <row r="16166" ht="12.75" x14ac:dyDescent="0.2"/>
    <row r="16167" ht="12.75" x14ac:dyDescent="0.2"/>
    <row r="16168" ht="12.75" x14ac:dyDescent="0.2"/>
    <row r="16169" ht="12.75" x14ac:dyDescent="0.2"/>
    <row r="16170" ht="12.75" x14ac:dyDescent="0.2"/>
    <row r="16171" ht="12.75" x14ac:dyDescent="0.2"/>
    <row r="16172" ht="12.75" x14ac:dyDescent="0.2"/>
    <row r="16173" ht="12.75" x14ac:dyDescent="0.2"/>
    <row r="16174" ht="12.75" x14ac:dyDescent="0.2"/>
    <row r="16175" ht="12.75" x14ac:dyDescent="0.2"/>
    <row r="16176" ht="12.75" x14ac:dyDescent="0.2"/>
    <row r="16177" ht="12.75" x14ac:dyDescent="0.2"/>
    <row r="16178" ht="12.75" x14ac:dyDescent="0.2"/>
    <row r="16179" ht="12.75" x14ac:dyDescent="0.2"/>
    <row r="16180" ht="12.75" x14ac:dyDescent="0.2"/>
    <row r="16181" ht="12.75" x14ac:dyDescent="0.2"/>
    <row r="16182" ht="12.75" x14ac:dyDescent="0.2"/>
    <row r="16183" ht="12.75" x14ac:dyDescent="0.2"/>
    <row r="16184" ht="12.75" x14ac:dyDescent="0.2"/>
    <row r="16185" ht="12.75" x14ac:dyDescent="0.2"/>
    <row r="16186" ht="12.75" x14ac:dyDescent="0.2"/>
    <row r="16187" ht="12.75" x14ac:dyDescent="0.2"/>
    <row r="16188" ht="12.75" x14ac:dyDescent="0.2"/>
    <row r="16189" ht="12.75" x14ac:dyDescent="0.2"/>
    <row r="16190" ht="12.75" x14ac:dyDescent="0.2"/>
    <row r="16191" ht="12.75" x14ac:dyDescent="0.2"/>
    <row r="16192" ht="12.75" x14ac:dyDescent="0.2"/>
    <row r="16193" ht="12.75" x14ac:dyDescent="0.2"/>
    <row r="16194" ht="12.75" x14ac:dyDescent="0.2"/>
    <row r="16195" ht="12.75" x14ac:dyDescent="0.2"/>
    <row r="16196" ht="12.75" x14ac:dyDescent="0.2"/>
    <row r="16197" ht="12.75" x14ac:dyDescent="0.2"/>
    <row r="16198" ht="12.75" x14ac:dyDescent="0.2"/>
    <row r="16199" ht="12.75" x14ac:dyDescent="0.2"/>
    <row r="16200" ht="12.75" x14ac:dyDescent="0.2"/>
    <row r="16201" ht="12.75" x14ac:dyDescent="0.2"/>
    <row r="16202" ht="12.75" x14ac:dyDescent="0.2"/>
    <row r="16203" ht="12.75" x14ac:dyDescent="0.2"/>
    <row r="16204" ht="12.75" x14ac:dyDescent="0.2"/>
    <row r="16205" ht="12.75" x14ac:dyDescent="0.2"/>
    <row r="16206" ht="12.75" x14ac:dyDescent="0.2"/>
    <row r="16207" ht="12.75" x14ac:dyDescent="0.2"/>
    <row r="16208" ht="12.75" x14ac:dyDescent="0.2"/>
    <row r="16209" ht="12.75" x14ac:dyDescent="0.2"/>
    <row r="16210" ht="12.75" x14ac:dyDescent="0.2"/>
    <row r="16211" ht="12.75" x14ac:dyDescent="0.2"/>
    <row r="16212" ht="12.75" x14ac:dyDescent="0.2"/>
    <row r="16213" ht="12.75" x14ac:dyDescent="0.2"/>
    <row r="16214" ht="12.75" x14ac:dyDescent="0.2"/>
    <row r="16215" ht="12.75" x14ac:dyDescent="0.2"/>
    <row r="16216" ht="12.75" x14ac:dyDescent="0.2"/>
    <row r="16217" ht="12.75" x14ac:dyDescent="0.2"/>
    <row r="16218" ht="12.75" x14ac:dyDescent="0.2"/>
    <row r="16219" ht="12.75" x14ac:dyDescent="0.2"/>
    <row r="16220" ht="12.75" x14ac:dyDescent="0.2"/>
    <row r="16221" ht="12.75" x14ac:dyDescent="0.2"/>
    <row r="16222" ht="12.75" x14ac:dyDescent="0.2"/>
    <row r="16223" ht="12.75" x14ac:dyDescent="0.2"/>
    <row r="16224" ht="12.75" x14ac:dyDescent="0.2"/>
    <row r="16225" ht="12.75" x14ac:dyDescent="0.2"/>
    <row r="16226" ht="12.75" x14ac:dyDescent="0.2"/>
    <row r="16227" ht="12.75" x14ac:dyDescent="0.2"/>
    <row r="16228" ht="12.75" x14ac:dyDescent="0.2"/>
    <row r="16229" ht="12.75" x14ac:dyDescent="0.2"/>
    <row r="16230" ht="12.75" x14ac:dyDescent="0.2"/>
    <row r="16231" ht="12.75" x14ac:dyDescent="0.2"/>
    <row r="16232" ht="12.75" x14ac:dyDescent="0.2"/>
    <row r="16233" ht="12.75" x14ac:dyDescent="0.2"/>
    <row r="16234" ht="12.75" x14ac:dyDescent="0.2"/>
    <row r="16235" ht="12.75" x14ac:dyDescent="0.2"/>
    <row r="16236" ht="12.75" x14ac:dyDescent="0.2"/>
    <row r="16237" ht="12.75" x14ac:dyDescent="0.2"/>
    <row r="16238" ht="12.75" x14ac:dyDescent="0.2"/>
    <row r="16239" ht="12.75" x14ac:dyDescent="0.2"/>
    <row r="16240" ht="12.75" x14ac:dyDescent="0.2"/>
    <row r="16241" ht="12.75" x14ac:dyDescent="0.2"/>
    <row r="16242" ht="12.75" x14ac:dyDescent="0.2"/>
    <row r="16243" ht="12.75" x14ac:dyDescent="0.2"/>
    <row r="16244" ht="12.75" x14ac:dyDescent="0.2"/>
    <row r="16245" ht="12.75" x14ac:dyDescent="0.2"/>
    <row r="16246" ht="12.75" x14ac:dyDescent="0.2"/>
    <row r="16247" ht="12.75" x14ac:dyDescent="0.2"/>
    <row r="16248" ht="12.75" x14ac:dyDescent="0.2"/>
    <row r="16249" ht="12.75" x14ac:dyDescent="0.2"/>
    <row r="16250" ht="12.75" x14ac:dyDescent="0.2"/>
    <row r="16251" ht="12.75" x14ac:dyDescent="0.2"/>
    <row r="16252" ht="12.75" x14ac:dyDescent="0.2"/>
    <row r="16253" ht="12.75" x14ac:dyDescent="0.2"/>
    <row r="16254" ht="12.75" x14ac:dyDescent="0.2"/>
    <row r="16255" ht="12.75" x14ac:dyDescent="0.2"/>
    <row r="16256" ht="12.75" x14ac:dyDescent="0.2"/>
    <row r="16257" ht="12.75" x14ac:dyDescent="0.2"/>
    <row r="16258" ht="12.75" x14ac:dyDescent="0.2"/>
    <row r="16259" ht="12.75" x14ac:dyDescent="0.2"/>
    <row r="16260" ht="12.75" x14ac:dyDescent="0.2"/>
    <row r="16261" ht="12.75" x14ac:dyDescent="0.2"/>
    <row r="16262" ht="12.75" x14ac:dyDescent="0.2"/>
    <row r="16263" ht="12.75" x14ac:dyDescent="0.2"/>
    <row r="16264" ht="12.75" x14ac:dyDescent="0.2"/>
    <row r="16265" ht="12.75" x14ac:dyDescent="0.2"/>
    <row r="16266" ht="12.75" x14ac:dyDescent="0.2"/>
    <row r="16267" ht="12.75" x14ac:dyDescent="0.2"/>
    <row r="16268" ht="12.75" x14ac:dyDescent="0.2"/>
    <row r="16269" ht="12.75" x14ac:dyDescent="0.2"/>
    <row r="16270" ht="12.75" x14ac:dyDescent="0.2"/>
    <row r="16271" ht="12.75" x14ac:dyDescent="0.2"/>
    <row r="16272" ht="12.75" x14ac:dyDescent="0.2"/>
    <row r="16273" ht="12.75" x14ac:dyDescent="0.2"/>
    <row r="16274" ht="12.75" x14ac:dyDescent="0.2"/>
    <row r="16275" ht="12.75" x14ac:dyDescent="0.2"/>
    <row r="16276" ht="12.75" x14ac:dyDescent="0.2"/>
    <row r="16277" ht="12.75" x14ac:dyDescent="0.2"/>
    <row r="16278" ht="12.75" x14ac:dyDescent="0.2"/>
    <row r="16279" ht="12.75" x14ac:dyDescent="0.2"/>
    <row r="16280" ht="12.75" x14ac:dyDescent="0.2"/>
    <row r="16281" ht="12.75" x14ac:dyDescent="0.2"/>
    <row r="16282" ht="12.75" x14ac:dyDescent="0.2"/>
    <row r="16283" ht="12.75" x14ac:dyDescent="0.2"/>
    <row r="16284" ht="12.75" x14ac:dyDescent="0.2"/>
    <row r="16285" ht="12.75" x14ac:dyDescent="0.2"/>
    <row r="16286" ht="12.75" x14ac:dyDescent="0.2"/>
    <row r="16287" ht="12.75" x14ac:dyDescent="0.2"/>
    <row r="16288" ht="12.75" x14ac:dyDescent="0.2"/>
    <row r="16289" ht="12.75" x14ac:dyDescent="0.2"/>
    <row r="16290" ht="12.75" x14ac:dyDescent="0.2"/>
    <row r="16291" ht="12.75" x14ac:dyDescent="0.2"/>
    <row r="16292" ht="12.75" x14ac:dyDescent="0.2"/>
    <row r="16293" ht="12.75" x14ac:dyDescent="0.2"/>
    <row r="16294" ht="12.75" x14ac:dyDescent="0.2"/>
    <row r="16295" ht="12.75" x14ac:dyDescent="0.2"/>
    <row r="16296" ht="12.75" x14ac:dyDescent="0.2"/>
    <row r="16297" ht="12.75" x14ac:dyDescent="0.2"/>
    <row r="16298" ht="12.75" x14ac:dyDescent="0.2"/>
    <row r="16299" ht="12.75" x14ac:dyDescent="0.2"/>
    <row r="16300" ht="12.75" x14ac:dyDescent="0.2"/>
    <row r="16301" ht="12.75" x14ac:dyDescent="0.2"/>
    <row r="16302" ht="12.75" x14ac:dyDescent="0.2"/>
    <row r="16303" ht="12.75" x14ac:dyDescent="0.2"/>
    <row r="16304" ht="12.75" x14ac:dyDescent="0.2"/>
    <row r="16305" ht="12.75" x14ac:dyDescent="0.2"/>
    <row r="16306" ht="12.75" x14ac:dyDescent="0.2"/>
    <row r="16307" ht="12.75" x14ac:dyDescent="0.2"/>
    <row r="16308" ht="12.75" x14ac:dyDescent="0.2"/>
    <row r="16309" ht="12.75" x14ac:dyDescent="0.2"/>
    <row r="16310" ht="12.75" x14ac:dyDescent="0.2"/>
    <row r="16311" ht="12.75" x14ac:dyDescent="0.2"/>
    <row r="16312" ht="12.75" x14ac:dyDescent="0.2"/>
    <row r="16313" ht="12.75" x14ac:dyDescent="0.2"/>
    <row r="16314" ht="12.75" x14ac:dyDescent="0.2"/>
    <row r="16315" ht="12.75" x14ac:dyDescent="0.2"/>
    <row r="16316" ht="12.75" x14ac:dyDescent="0.2"/>
    <row r="16317" ht="12.75" x14ac:dyDescent="0.2"/>
    <row r="16318" ht="12.75" x14ac:dyDescent="0.2"/>
    <row r="16319" ht="12.75" x14ac:dyDescent="0.2"/>
    <row r="16320" ht="12.75" x14ac:dyDescent="0.2"/>
    <row r="16321" ht="12.75" x14ac:dyDescent="0.2"/>
    <row r="16322" ht="12.75" x14ac:dyDescent="0.2"/>
    <row r="16323" ht="12.75" x14ac:dyDescent="0.2"/>
    <row r="16324" ht="12.75" x14ac:dyDescent="0.2"/>
    <row r="16325" ht="12.75" x14ac:dyDescent="0.2"/>
    <row r="16326" ht="12.75" x14ac:dyDescent="0.2"/>
    <row r="16327" ht="12.75" x14ac:dyDescent="0.2"/>
    <row r="16328" ht="12.75" x14ac:dyDescent="0.2"/>
    <row r="16329" ht="12.75" x14ac:dyDescent="0.2"/>
    <row r="16330" ht="12.75" x14ac:dyDescent="0.2"/>
    <row r="16331" ht="12.75" x14ac:dyDescent="0.2"/>
    <row r="16332" ht="12.75" x14ac:dyDescent="0.2"/>
    <row r="16333" ht="12.75" x14ac:dyDescent="0.2"/>
    <row r="16334" ht="12.75" x14ac:dyDescent="0.2"/>
    <row r="16335" ht="12.75" x14ac:dyDescent="0.2"/>
    <row r="16336" ht="12.75" x14ac:dyDescent="0.2"/>
    <row r="16337" ht="12.75" x14ac:dyDescent="0.2"/>
    <row r="16338" ht="12.75" x14ac:dyDescent="0.2"/>
    <row r="16339" ht="12.75" x14ac:dyDescent="0.2"/>
    <row r="16340" ht="12.75" x14ac:dyDescent="0.2"/>
    <row r="16341" ht="12.75" x14ac:dyDescent="0.2"/>
    <row r="16342" ht="12.75" x14ac:dyDescent="0.2"/>
    <row r="16343" ht="12.75" x14ac:dyDescent="0.2"/>
    <row r="16344" ht="12.75" x14ac:dyDescent="0.2"/>
    <row r="16345" ht="12.75" x14ac:dyDescent="0.2"/>
    <row r="16346" ht="12.75" x14ac:dyDescent="0.2"/>
    <row r="16347" ht="12.75" x14ac:dyDescent="0.2"/>
    <row r="16348" ht="12.75" x14ac:dyDescent="0.2"/>
    <row r="16349" ht="12.75" x14ac:dyDescent="0.2"/>
    <row r="16350" ht="12.75" x14ac:dyDescent="0.2"/>
    <row r="16351" ht="12.75" x14ac:dyDescent="0.2"/>
    <row r="16352" ht="12.75" x14ac:dyDescent="0.2"/>
    <row r="16353" ht="12.75" x14ac:dyDescent="0.2"/>
    <row r="16354" ht="12.75" x14ac:dyDescent="0.2"/>
    <row r="16355" ht="12.75" x14ac:dyDescent="0.2"/>
    <row r="16356" ht="12.75" x14ac:dyDescent="0.2"/>
    <row r="16357" ht="12.75" x14ac:dyDescent="0.2"/>
    <row r="16358" ht="12.75" x14ac:dyDescent="0.2"/>
    <row r="16359" ht="12.75" x14ac:dyDescent="0.2"/>
    <row r="16360" ht="12.75" x14ac:dyDescent="0.2"/>
    <row r="16361" ht="12.75" x14ac:dyDescent="0.2"/>
    <row r="16362" ht="12.75" x14ac:dyDescent="0.2"/>
    <row r="16363" ht="12.75" x14ac:dyDescent="0.2"/>
    <row r="16364" ht="12.75" x14ac:dyDescent="0.2"/>
    <row r="16365" ht="12.75" x14ac:dyDescent="0.2"/>
    <row r="16366" ht="12.75" x14ac:dyDescent="0.2"/>
    <row r="16367" ht="12.75" x14ac:dyDescent="0.2"/>
    <row r="16368" ht="12.75" x14ac:dyDescent="0.2"/>
    <row r="16369" ht="12.75" x14ac:dyDescent="0.2"/>
    <row r="16370" ht="12.75" x14ac:dyDescent="0.2"/>
    <row r="16371" ht="12.75" x14ac:dyDescent="0.2"/>
    <row r="16372" ht="12.75" x14ac:dyDescent="0.2"/>
    <row r="16373" ht="12.75" x14ac:dyDescent="0.2"/>
    <row r="16374" ht="12.75" x14ac:dyDescent="0.2"/>
    <row r="16375" ht="12.75" x14ac:dyDescent="0.2"/>
    <row r="16376" ht="12.75" x14ac:dyDescent="0.2"/>
    <row r="16377" ht="12.75" x14ac:dyDescent="0.2"/>
    <row r="16378" ht="12.75" x14ac:dyDescent="0.2"/>
    <row r="16379" ht="12.75" x14ac:dyDescent="0.2"/>
    <row r="16380" ht="12.75" x14ac:dyDescent="0.2"/>
    <row r="16381" ht="12.75" x14ac:dyDescent="0.2"/>
    <row r="16382" ht="12.75" x14ac:dyDescent="0.2"/>
    <row r="16383" ht="12.75" x14ac:dyDescent="0.2"/>
    <row r="16384" ht="12.75" x14ac:dyDescent="0.2"/>
    <row r="16385" ht="12.75" x14ac:dyDescent="0.2"/>
    <row r="16386" ht="12.75" x14ac:dyDescent="0.2"/>
    <row r="16387" ht="12.75" x14ac:dyDescent="0.2"/>
    <row r="16388" ht="12.75" x14ac:dyDescent="0.2"/>
    <row r="16389" ht="12.75" x14ac:dyDescent="0.2"/>
    <row r="16390" ht="12.75" x14ac:dyDescent="0.2"/>
    <row r="16391" ht="12.75" x14ac:dyDescent="0.2"/>
    <row r="16392" ht="12.75" x14ac:dyDescent="0.2"/>
    <row r="16393" ht="12.75" x14ac:dyDescent="0.2"/>
    <row r="16394" ht="12.75" x14ac:dyDescent="0.2"/>
    <row r="16395" ht="12.75" x14ac:dyDescent="0.2"/>
    <row r="16396" ht="12.75" x14ac:dyDescent="0.2"/>
    <row r="16397" ht="12.75" x14ac:dyDescent="0.2"/>
    <row r="16398" ht="12.75" x14ac:dyDescent="0.2"/>
    <row r="16399" ht="12.75" x14ac:dyDescent="0.2"/>
    <row r="16400" ht="12.75" x14ac:dyDescent="0.2"/>
    <row r="16401" ht="12.75" x14ac:dyDescent="0.2"/>
    <row r="16402" ht="12.75" x14ac:dyDescent="0.2"/>
    <row r="16403" ht="12.75" x14ac:dyDescent="0.2"/>
    <row r="16404" ht="12.75" x14ac:dyDescent="0.2"/>
    <row r="16405" ht="12.75" x14ac:dyDescent="0.2"/>
    <row r="16406" ht="12.75" x14ac:dyDescent="0.2"/>
    <row r="16407" ht="12.75" x14ac:dyDescent="0.2"/>
    <row r="16408" ht="12.75" x14ac:dyDescent="0.2"/>
    <row r="16409" ht="12.75" x14ac:dyDescent="0.2"/>
    <row r="16410" ht="12.75" x14ac:dyDescent="0.2"/>
    <row r="16411" ht="12.75" x14ac:dyDescent="0.2"/>
    <row r="16412" ht="12.75" x14ac:dyDescent="0.2"/>
    <row r="16413" ht="12.75" x14ac:dyDescent="0.2"/>
    <row r="16414" ht="12.75" x14ac:dyDescent="0.2"/>
    <row r="16415" ht="12.75" x14ac:dyDescent="0.2"/>
    <row r="16416" ht="12.75" x14ac:dyDescent="0.2"/>
    <row r="16417" ht="12.75" x14ac:dyDescent="0.2"/>
    <row r="16418" ht="12.75" x14ac:dyDescent="0.2"/>
    <row r="16419" ht="12.75" x14ac:dyDescent="0.2"/>
    <row r="16420" ht="12.75" x14ac:dyDescent="0.2"/>
    <row r="16421" ht="12.75" x14ac:dyDescent="0.2"/>
    <row r="16422" ht="12.75" x14ac:dyDescent="0.2"/>
    <row r="16423" ht="12.75" x14ac:dyDescent="0.2"/>
    <row r="16424" ht="12.75" x14ac:dyDescent="0.2"/>
    <row r="16425" ht="12.75" x14ac:dyDescent="0.2"/>
    <row r="16426" ht="12.75" x14ac:dyDescent="0.2"/>
    <row r="16427" ht="12.75" x14ac:dyDescent="0.2"/>
    <row r="16428" ht="12.75" x14ac:dyDescent="0.2"/>
    <row r="16429" ht="12.75" x14ac:dyDescent="0.2"/>
    <row r="16430" ht="12.75" x14ac:dyDescent="0.2"/>
    <row r="16431" ht="12.75" x14ac:dyDescent="0.2"/>
    <row r="16432" ht="12.75" x14ac:dyDescent="0.2"/>
    <row r="16433" ht="12.75" x14ac:dyDescent="0.2"/>
    <row r="16434" ht="12.75" x14ac:dyDescent="0.2"/>
    <row r="16435" ht="12.75" x14ac:dyDescent="0.2"/>
    <row r="16436" ht="12.75" x14ac:dyDescent="0.2"/>
    <row r="16437" ht="12.75" x14ac:dyDescent="0.2"/>
    <row r="16438" ht="12.75" x14ac:dyDescent="0.2"/>
    <row r="16439" ht="12.75" x14ac:dyDescent="0.2"/>
    <row r="16440" ht="12.75" x14ac:dyDescent="0.2"/>
    <row r="16441" ht="12.75" x14ac:dyDescent="0.2"/>
    <row r="16442" ht="12.75" x14ac:dyDescent="0.2"/>
    <row r="16443" ht="12.75" x14ac:dyDescent="0.2"/>
    <row r="16444" ht="12.75" x14ac:dyDescent="0.2"/>
    <row r="16445" ht="12.75" x14ac:dyDescent="0.2"/>
    <row r="16446" ht="12.75" x14ac:dyDescent="0.2"/>
    <row r="16447" ht="12.75" x14ac:dyDescent="0.2"/>
    <row r="16448" ht="12.75" x14ac:dyDescent="0.2"/>
    <row r="16449" ht="12.75" x14ac:dyDescent="0.2"/>
    <row r="16450" ht="12.75" x14ac:dyDescent="0.2"/>
    <row r="16451" ht="12.75" x14ac:dyDescent="0.2"/>
    <row r="16452" ht="12.75" x14ac:dyDescent="0.2"/>
    <row r="16453" ht="12.75" x14ac:dyDescent="0.2"/>
    <row r="16454" ht="12.75" x14ac:dyDescent="0.2"/>
    <row r="16455" ht="12.75" x14ac:dyDescent="0.2"/>
    <row r="16456" ht="12.75" x14ac:dyDescent="0.2"/>
    <row r="16457" ht="12.75" x14ac:dyDescent="0.2"/>
    <row r="16458" ht="12.75" x14ac:dyDescent="0.2"/>
    <row r="16459" ht="12.75" x14ac:dyDescent="0.2"/>
    <row r="16460" ht="12.75" x14ac:dyDescent="0.2"/>
    <row r="16461" ht="12.75" x14ac:dyDescent="0.2"/>
    <row r="16462" ht="12.75" x14ac:dyDescent="0.2"/>
    <row r="16463" ht="12.75" x14ac:dyDescent="0.2"/>
    <row r="16464" ht="12.75" x14ac:dyDescent="0.2"/>
    <row r="16465" ht="12.75" x14ac:dyDescent="0.2"/>
    <row r="16466" ht="12.75" x14ac:dyDescent="0.2"/>
    <row r="16467" ht="12.75" x14ac:dyDescent="0.2"/>
    <row r="16468" ht="12.75" x14ac:dyDescent="0.2"/>
    <row r="16469" ht="12.75" x14ac:dyDescent="0.2"/>
    <row r="16470" ht="12.75" x14ac:dyDescent="0.2"/>
    <row r="16471" ht="12.75" x14ac:dyDescent="0.2"/>
    <row r="16472" ht="12.75" x14ac:dyDescent="0.2"/>
    <row r="16473" ht="12.75" x14ac:dyDescent="0.2"/>
    <row r="16474" ht="12.75" x14ac:dyDescent="0.2"/>
    <row r="16475" ht="12.75" x14ac:dyDescent="0.2"/>
    <row r="16476" ht="12.75" x14ac:dyDescent="0.2"/>
    <row r="16477" ht="12.75" x14ac:dyDescent="0.2"/>
    <row r="16478" ht="12.75" x14ac:dyDescent="0.2"/>
    <row r="16479" ht="12.75" x14ac:dyDescent="0.2"/>
    <row r="16480" ht="12.75" x14ac:dyDescent="0.2"/>
    <row r="16481" ht="12.75" x14ac:dyDescent="0.2"/>
    <row r="16482" ht="12.75" x14ac:dyDescent="0.2"/>
    <row r="16483" ht="12.75" x14ac:dyDescent="0.2"/>
    <row r="16484" ht="12.75" x14ac:dyDescent="0.2"/>
    <row r="16485" ht="12.75" x14ac:dyDescent="0.2"/>
    <row r="16486" ht="12.75" x14ac:dyDescent="0.2"/>
    <row r="16487" ht="12.75" x14ac:dyDescent="0.2"/>
    <row r="16488" ht="12.75" x14ac:dyDescent="0.2"/>
    <row r="16489" ht="12.75" x14ac:dyDescent="0.2"/>
    <row r="16490" ht="12.75" x14ac:dyDescent="0.2"/>
    <row r="16491" ht="12.75" x14ac:dyDescent="0.2"/>
    <row r="16492" ht="12.75" x14ac:dyDescent="0.2"/>
    <row r="16493" ht="12.75" x14ac:dyDescent="0.2"/>
    <row r="16494" ht="12.75" x14ac:dyDescent="0.2"/>
    <row r="16495" ht="12.75" x14ac:dyDescent="0.2"/>
    <row r="16496" ht="12.75" x14ac:dyDescent="0.2"/>
    <row r="16497" ht="12.75" x14ac:dyDescent="0.2"/>
    <row r="16498" ht="12.75" x14ac:dyDescent="0.2"/>
    <row r="16499" ht="12.75" x14ac:dyDescent="0.2"/>
    <row r="16500" ht="12.75" x14ac:dyDescent="0.2"/>
    <row r="16501" ht="12.75" x14ac:dyDescent="0.2"/>
    <row r="16502" ht="12.75" x14ac:dyDescent="0.2"/>
    <row r="16503" ht="12.75" x14ac:dyDescent="0.2"/>
    <row r="16504" ht="12.75" x14ac:dyDescent="0.2"/>
    <row r="16505" ht="12.75" x14ac:dyDescent="0.2"/>
    <row r="16506" ht="12.75" x14ac:dyDescent="0.2"/>
    <row r="16507" ht="12.75" x14ac:dyDescent="0.2"/>
    <row r="16508" ht="12.75" x14ac:dyDescent="0.2"/>
    <row r="16509" ht="12.75" x14ac:dyDescent="0.2"/>
    <row r="16510" ht="12.75" x14ac:dyDescent="0.2"/>
    <row r="16511" ht="12.75" x14ac:dyDescent="0.2"/>
    <row r="16512" ht="12.75" x14ac:dyDescent="0.2"/>
    <row r="16513" ht="12.75" x14ac:dyDescent="0.2"/>
    <row r="16514" ht="12.75" x14ac:dyDescent="0.2"/>
    <row r="16515" ht="12.75" x14ac:dyDescent="0.2"/>
    <row r="16516" ht="12.75" x14ac:dyDescent="0.2"/>
    <row r="16517" ht="12.75" x14ac:dyDescent="0.2"/>
    <row r="16518" ht="12.75" x14ac:dyDescent="0.2"/>
    <row r="16519" ht="12.75" x14ac:dyDescent="0.2"/>
    <row r="16520" ht="12.75" x14ac:dyDescent="0.2"/>
    <row r="16521" ht="12.75" x14ac:dyDescent="0.2"/>
    <row r="16522" ht="12.75" x14ac:dyDescent="0.2"/>
    <row r="16523" ht="12.75" x14ac:dyDescent="0.2"/>
    <row r="16524" ht="12.75" x14ac:dyDescent="0.2"/>
    <row r="16525" ht="12.75" x14ac:dyDescent="0.2"/>
    <row r="16526" ht="12.75" x14ac:dyDescent="0.2"/>
    <row r="16527" ht="12.75" x14ac:dyDescent="0.2"/>
    <row r="16528" ht="12.75" x14ac:dyDescent="0.2"/>
    <row r="16529" ht="12.75" x14ac:dyDescent="0.2"/>
    <row r="16530" ht="12.75" x14ac:dyDescent="0.2"/>
    <row r="16531" ht="12.75" x14ac:dyDescent="0.2"/>
    <row r="16532" ht="12.75" x14ac:dyDescent="0.2"/>
    <row r="16533" ht="12.75" x14ac:dyDescent="0.2"/>
    <row r="16534" ht="12.75" x14ac:dyDescent="0.2"/>
    <row r="16535" ht="12.75" x14ac:dyDescent="0.2"/>
    <row r="16536" ht="12.75" x14ac:dyDescent="0.2"/>
    <row r="16537" ht="12.75" x14ac:dyDescent="0.2"/>
    <row r="16538" ht="12.75" x14ac:dyDescent="0.2"/>
    <row r="16539" ht="12.75" x14ac:dyDescent="0.2"/>
    <row r="16540" ht="12.75" x14ac:dyDescent="0.2"/>
    <row r="16541" ht="12.75" x14ac:dyDescent="0.2"/>
    <row r="16542" ht="12.75" x14ac:dyDescent="0.2"/>
    <row r="16543" ht="12.75" x14ac:dyDescent="0.2"/>
    <row r="16544" ht="12.75" x14ac:dyDescent="0.2"/>
    <row r="16545" ht="12.75" x14ac:dyDescent="0.2"/>
    <row r="16546" ht="12.75" x14ac:dyDescent="0.2"/>
    <row r="16547" ht="12.75" x14ac:dyDescent="0.2"/>
    <row r="16548" ht="12.75" x14ac:dyDescent="0.2"/>
    <row r="16549" ht="12.75" x14ac:dyDescent="0.2"/>
    <row r="16550" ht="12.75" x14ac:dyDescent="0.2"/>
    <row r="16551" ht="12.75" x14ac:dyDescent="0.2"/>
    <row r="16552" ht="12.75" x14ac:dyDescent="0.2"/>
    <row r="16553" ht="12.75" x14ac:dyDescent="0.2"/>
    <row r="16554" ht="12.75" x14ac:dyDescent="0.2"/>
    <row r="16555" ht="12.75" x14ac:dyDescent="0.2"/>
    <row r="16556" ht="12.75" x14ac:dyDescent="0.2"/>
    <row r="16557" ht="12.75" x14ac:dyDescent="0.2"/>
    <row r="16558" ht="12.75" x14ac:dyDescent="0.2"/>
    <row r="16559" ht="12.75" x14ac:dyDescent="0.2"/>
    <row r="16560" ht="12.75" x14ac:dyDescent="0.2"/>
    <row r="16561" ht="12.75" x14ac:dyDescent="0.2"/>
    <row r="16562" ht="12.75" x14ac:dyDescent="0.2"/>
    <row r="16563" ht="12.75" x14ac:dyDescent="0.2"/>
    <row r="16564" ht="12.75" x14ac:dyDescent="0.2"/>
    <row r="16565" ht="12.75" x14ac:dyDescent="0.2"/>
    <row r="16566" ht="12.75" x14ac:dyDescent="0.2"/>
    <row r="16567" ht="12.75" x14ac:dyDescent="0.2"/>
    <row r="16568" ht="12.75" x14ac:dyDescent="0.2"/>
    <row r="16569" ht="12.75" x14ac:dyDescent="0.2"/>
    <row r="16570" ht="12.75" x14ac:dyDescent="0.2"/>
    <row r="16571" ht="12.75" x14ac:dyDescent="0.2"/>
    <row r="16572" ht="12.75" x14ac:dyDescent="0.2"/>
    <row r="16573" ht="12.75" x14ac:dyDescent="0.2"/>
    <row r="16574" ht="12.75" x14ac:dyDescent="0.2"/>
    <row r="16575" ht="12.75" x14ac:dyDescent="0.2"/>
    <row r="16576" ht="12.75" x14ac:dyDescent="0.2"/>
    <row r="16577" ht="12.75" x14ac:dyDescent="0.2"/>
    <row r="16578" ht="12.75" x14ac:dyDescent="0.2"/>
    <row r="16579" ht="12.75" x14ac:dyDescent="0.2"/>
    <row r="16580" ht="12.75" x14ac:dyDescent="0.2"/>
    <row r="16581" ht="12.75" x14ac:dyDescent="0.2"/>
    <row r="16582" ht="12.75" x14ac:dyDescent="0.2"/>
    <row r="16583" ht="12.75" x14ac:dyDescent="0.2"/>
    <row r="16584" ht="12.75" x14ac:dyDescent="0.2"/>
    <row r="16585" ht="12.75" x14ac:dyDescent="0.2"/>
    <row r="16586" ht="12.75" x14ac:dyDescent="0.2"/>
    <row r="16587" ht="12.75" x14ac:dyDescent="0.2"/>
    <row r="16588" ht="12.75" x14ac:dyDescent="0.2"/>
    <row r="16589" ht="12.75" x14ac:dyDescent="0.2"/>
    <row r="16590" ht="12.75" x14ac:dyDescent="0.2"/>
    <row r="16591" ht="12.75" x14ac:dyDescent="0.2"/>
    <row r="16592" ht="12.75" x14ac:dyDescent="0.2"/>
    <row r="16593" ht="12.75" x14ac:dyDescent="0.2"/>
    <row r="16594" ht="12.75" x14ac:dyDescent="0.2"/>
    <row r="16595" ht="12.75" x14ac:dyDescent="0.2"/>
    <row r="16596" ht="12.75" x14ac:dyDescent="0.2"/>
    <row r="16597" ht="12.75" x14ac:dyDescent="0.2"/>
    <row r="16598" ht="12.75" x14ac:dyDescent="0.2"/>
    <row r="16599" ht="12.75" x14ac:dyDescent="0.2"/>
    <row r="16600" ht="12.75" x14ac:dyDescent="0.2"/>
    <row r="16601" ht="12.75" x14ac:dyDescent="0.2"/>
    <row r="16602" ht="12.75" x14ac:dyDescent="0.2"/>
    <row r="16603" ht="12.75" x14ac:dyDescent="0.2"/>
    <row r="16604" ht="12.75" x14ac:dyDescent="0.2"/>
    <row r="16605" ht="12.75" x14ac:dyDescent="0.2"/>
    <row r="16606" ht="12.75" x14ac:dyDescent="0.2"/>
    <row r="16607" ht="12.75" x14ac:dyDescent="0.2"/>
    <row r="16608" ht="12.75" x14ac:dyDescent="0.2"/>
    <row r="16609" ht="12.75" x14ac:dyDescent="0.2"/>
    <row r="16610" ht="12.75" x14ac:dyDescent="0.2"/>
    <row r="16611" ht="12.75" x14ac:dyDescent="0.2"/>
    <row r="16612" ht="12.75" x14ac:dyDescent="0.2"/>
    <row r="16613" ht="12.75" x14ac:dyDescent="0.2"/>
    <row r="16614" ht="12.75" x14ac:dyDescent="0.2"/>
    <row r="16615" ht="12.75" x14ac:dyDescent="0.2"/>
    <row r="16616" ht="12.75" x14ac:dyDescent="0.2"/>
    <row r="16617" ht="12.75" x14ac:dyDescent="0.2"/>
    <row r="16618" ht="12.75" x14ac:dyDescent="0.2"/>
    <row r="16619" ht="12.75" x14ac:dyDescent="0.2"/>
    <row r="16620" ht="12.75" x14ac:dyDescent="0.2"/>
    <row r="16621" ht="12.75" x14ac:dyDescent="0.2"/>
    <row r="16622" ht="12.75" x14ac:dyDescent="0.2"/>
    <row r="16623" ht="12.75" x14ac:dyDescent="0.2"/>
    <row r="16624" ht="12.75" x14ac:dyDescent="0.2"/>
    <row r="16625" ht="12.75" x14ac:dyDescent="0.2"/>
    <row r="16626" ht="12.75" x14ac:dyDescent="0.2"/>
    <row r="16627" ht="12.75" x14ac:dyDescent="0.2"/>
    <row r="16628" ht="12.75" x14ac:dyDescent="0.2"/>
    <row r="16629" ht="12.75" x14ac:dyDescent="0.2"/>
    <row r="16630" ht="12.75" x14ac:dyDescent="0.2"/>
    <row r="16631" ht="12.75" x14ac:dyDescent="0.2"/>
    <row r="16632" ht="12.75" x14ac:dyDescent="0.2"/>
    <row r="16633" ht="12.75" x14ac:dyDescent="0.2"/>
    <row r="16634" ht="12.75" x14ac:dyDescent="0.2"/>
    <row r="16635" ht="12.75" x14ac:dyDescent="0.2"/>
    <row r="16636" ht="12.75" x14ac:dyDescent="0.2"/>
    <row r="16637" ht="12.75" x14ac:dyDescent="0.2"/>
    <row r="16638" ht="12.75" x14ac:dyDescent="0.2"/>
    <row r="16639" ht="12.75" x14ac:dyDescent="0.2"/>
    <row r="16640" ht="12.75" x14ac:dyDescent="0.2"/>
    <row r="16641" ht="12.75" x14ac:dyDescent="0.2"/>
    <row r="16642" ht="12.75" x14ac:dyDescent="0.2"/>
    <row r="16643" ht="12.75" x14ac:dyDescent="0.2"/>
    <row r="16644" ht="12.75" x14ac:dyDescent="0.2"/>
    <row r="16645" ht="12.75" x14ac:dyDescent="0.2"/>
    <row r="16646" ht="12.75" x14ac:dyDescent="0.2"/>
    <row r="16647" ht="12.75" x14ac:dyDescent="0.2"/>
    <row r="16648" ht="12.75" x14ac:dyDescent="0.2"/>
    <row r="16649" ht="12.75" x14ac:dyDescent="0.2"/>
    <row r="16650" ht="12.75" x14ac:dyDescent="0.2"/>
    <row r="16651" ht="12.75" x14ac:dyDescent="0.2"/>
    <row r="16652" ht="12.75" x14ac:dyDescent="0.2"/>
    <row r="16653" ht="12.75" x14ac:dyDescent="0.2"/>
    <row r="16654" ht="12.75" x14ac:dyDescent="0.2"/>
    <row r="16655" ht="12.75" x14ac:dyDescent="0.2"/>
    <row r="16656" ht="12.75" x14ac:dyDescent="0.2"/>
    <row r="16657" ht="12.75" x14ac:dyDescent="0.2"/>
    <row r="16658" ht="12.75" x14ac:dyDescent="0.2"/>
    <row r="16659" ht="12.75" x14ac:dyDescent="0.2"/>
    <row r="16660" ht="12.75" x14ac:dyDescent="0.2"/>
    <row r="16661" ht="12.75" x14ac:dyDescent="0.2"/>
    <row r="16662" ht="12.75" x14ac:dyDescent="0.2"/>
    <row r="16663" ht="12.75" x14ac:dyDescent="0.2"/>
    <row r="16664" ht="12.75" x14ac:dyDescent="0.2"/>
    <row r="16665" ht="12.75" x14ac:dyDescent="0.2"/>
    <row r="16666" ht="12.75" x14ac:dyDescent="0.2"/>
    <row r="16667" ht="12.75" x14ac:dyDescent="0.2"/>
    <row r="16668" ht="12.75" x14ac:dyDescent="0.2"/>
    <row r="16669" ht="12.75" x14ac:dyDescent="0.2"/>
    <row r="16670" ht="12.75" x14ac:dyDescent="0.2"/>
    <row r="16671" ht="12.75" x14ac:dyDescent="0.2"/>
    <row r="16672" ht="12.75" x14ac:dyDescent="0.2"/>
    <row r="16673" ht="12.75" x14ac:dyDescent="0.2"/>
    <row r="16674" ht="12.75" x14ac:dyDescent="0.2"/>
    <row r="16675" ht="12.75" x14ac:dyDescent="0.2"/>
    <row r="16676" ht="12.75" x14ac:dyDescent="0.2"/>
    <row r="16677" ht="12.75" x14ac:dyDescent="0.2"/>
    <row r="16678" ht="12.75" x14ac:dyDescent="0.2"/>
    <row r="16679" ht="12.75" x14ac:dyDescent="0.2"/>
    <row r="16680" ht="12.75" x14ac:dyDescent="0.2"/>
    <row r="16681" ht="12.75" x14ac:dyDescent="0.2"/>
    <row r="16682" ht="12.75" x14ac:dyDescent="0.2"/>
    <row r="16683" ht="12.75" x14ac:dyDescent="0.2"/>
    <row r="16684" ht="12.75" x14ac:dyDescent="0.2"/>
    <row r="16685" ht="12.75" x14ac:dyDescent="0.2"/>
    <row r="16686" ht="12.75" x14ac:dyDescent="0.2"/>
    <row r="16687" ht="12.75" x14ac:dyDescent="0.2"/>
    <row r="16688" ht="12.75" x14ac:dyDescent="0.2"/>
    <row r="16689" ht="12.75" x14ac:dyDescent="0.2"/>
    <row r="16690" ht="12.75" x14ac:dyDescent="0.2"/>
    <row r="16691" ht="12.75" x14ac:dyDescent="0.2"/>
    <row r="16692" ht="12.75" x14ac:dyDescent="0.2"/>
    <row r="16693" ht="12.75" x14ac:dyDescent="0.2"/>
    <row r="16694" ht="12.75" x14ac:dyDescent="0.2"/>
    <row r="16695" ht="12.75" x14ac:dyDescent="0.2"/>
    <row r="16696" ht="12.75" x14ac:dyDescent="0.2"/>
    <row r="16697" ht="12.75" x14ac:dyDescent="0.2"/>
    <row r="16698" ht="12.75" x14ac:dyDescent="0.2"/>
    <row r="16699" ht="12.75" x14ac:dyDescent="0.2"/>
    <row r="16700" ht="12.75" x14ac:dyDescent="0.2"/>
    <row r="16701" ht="12.75" x14ac:dyDescent="0.2"/>
    <row r="16702" ht="12.75" x14ac:dyDescent="0.2"/>
    <row r="16703" ht="12.75" x14ac:dyDescent="0.2"/>
    <row r="16704" ht="12.75" x14ac:dyDescent="0.2"/>
    <row r="16705" ht="12.75" x14ac:dyDescent="0.2"/>
    <row r="16706" ht="12.75" x14ac:dyDescent="0.2"/>
    <row r="16707" ht="12.75" x14ac:dyDescent="0.2"/>
    <row r="16708" ht="12.75" x14ac:dyDescent="0.2"/>
    <row r="16709" ht="12.75" x14ac:dyDescent="0.2"/>
    <row r="16710" ht="12.75" x14ac:dyDescent="0.2"/>
    <row r="16711" ht="12.75" x14ac:dyDescent="0.2"/>
    <row r="16712" ht="12.75" x14ac:dyDescent="0.2"/>
    <row r="16713" ht="12.75" x14ac:dyDescent="0.2"/>
    <row r="16714" ht="12.75" x14ac:dyDescent="0.2"/>
    <row r="16715" ht="12.75" x14ac:dyDescent="0.2"/>
    <row r="16716" ht="12.75" x14ac:dyDescent="0.2"/>
    <row r="16717" ht="12.75" x14ac:dyDescent="0.2"/>
    <row r="16718" ht="12.75" x14ac:dyDescent="0.2"/>
    <row r="16719" ht="12.75" x14ac:dyDescent="0.2"/>
    <row r="16720" ht="12.75" x14ac:dyDescent="0.2"/>
    <row r="16721" ht="12.75" x14ac:dyDescent="0.2"/>
    <row r="16722" ht="12.75" x14ac:dyDescent="0.2"/>
    <row r="16723" ht="12.75" x14ac:dyDescent="0.2"/>
    <row r="16724" ht="12.75" x14ac:dyDescent="0.2"/>
    <row r="16725" ht="12.75" x14ac:dyDescent="0.2"/>
    <row r="16726" ht="12.75" x14ac:dyDescent="0.2"/>
    <row r="16727" ht="12.75" x14ac:dyDescent="0.2"/>
    <row r="16728" ht="12.75" x14ac:dyDescent="0.2"/>
    <row r="16729" ht="12.75" x14ac:dyDescent="0.2"/>
    <row r="16730" ht="12.75" x14ac:dyDescent="0.2"/>
    <row r="16731" ht="12.75" x14ac:dyDescent="0.2"/>
    <row r="16732" ht="12.75" x14ac:dyDescent="0.2"/>
    <row r="16733" ht="12.75" x14ac:dyDescent="0.2"/>
    <row r="16734" ht="12.75" x14ac:dyDescent="0.2"/>
    <row r="16735" ht="12.75" x14ac:dyDescent="0.2"/>
    <row r="16736" ht="12.75" x14ac:dyDescent="0.2"/>
    <row r="16737" ht="12.75" x14ac:dyDescent="0.2"/>
    <row r="16738" ht="12.75" x14ac:dyDescent="0.2"/>
    <row r="16739" ht="12.75" x14ac:dyDescent="0.2"/>
    <row r="16740" ht="12.75" x14ac:dyDescent="0.2"/>
    <row r="16741" ht="12.75" x14ac:dyDescent="0.2"/>
    <row r="16742" ht="12.75" x14ac:dyDescent="0.2"/>
    <row r="16743" ht="12.75" x14ac:dyDescent="0.2"/>
    <row r="16744" ht="12.75" x14ac:dyDescent="0.2"/>
    <row r="16745" ht="12.75" x14ac:dyDescent="0.2"/>
    <row r="16746" ht="12.75" x14ac:dyDescent="0.2"/>
    <row r="16747" ht="12.75" x14ac:dyDescent="0.2"/>
    <row r="16748" ht="12.75" x14ac:dyDescent="0.2"/>
    <row r="16749" ht="12.75" x14ac:dyDescent="0.2"/>
    <row r="16750" ht="12.75" x14ac:dyDescent="0.2"/>
    <row r="16751" ht="12.75" x14ac:dyDescent="0.2"/>
    <row r="16752" ht="12.75" x14ac:dyDescent="0.2"/>
    <row r="16753" ht="12.75" x14ac:dyDescent="0.2"/>
    <row r="16754" ht="12.75" x14ac:dyDescent="0.2"/>
    <row r="16755" ht="12.75" x14ac:dyDescent="0.2"/>
    <row r="16756" ht="12.75" x14ac:dyDescent="0.2"/>
    <row r="16757" ht="12.75" x14ac:dyDescent="0.2"/>
    <row r="16758" ht="12.75" x14ac:dyDescent="0.2"/>
    <row r="16759" ht="12.75" x14ac:dyDescent="0.2"/>
    <row r="16760" ht="12.75" x14ac:dyDescent="0.2"/>
    <row r="16761" ht="12.75" x14ac:dyDescent="0.2"/>
    <row r="16762" ht="12.75" x14ac:dyDescent="0.2"/>
    <row r="16763" ht="12.75" x14ac:dyDescent="0.2"/>
    <row r="16764" ht="12.75" x14ac:dyDescent="0.2"/>
    <row r="16765" ht="12.75" x14ac:dyDescent="0.2"/>
    <row r="16766" ht="12.75" x14ac:dyDescent="0.2"/>
    <row r="16767" ht="12.75" x14ac:dyDescent="0.2"/>
    <row r="16768" ht="12.75" x14ac:dyDescent="0.2"/>
    <row r="16769" ht="12.75" x14ac:dyDescent="0.2"/>
    <row r="16770" ht="12.75" x14ac:dyDescent="0.2"/>
    <row r="16771" ht="12.75" x14ac:dyDescent="0.2"/>
    <row r="16772" ht="12.75" x14ac:dyDescent="0.2"/>
    <row r="16773" ht="12.75" x14ac:dyDescent="0.2"/>
    <row r="16774" ht="12.75" x14ac:dyDescent="0.2"/>
    <row r="16775" ht="12.75" x14ac:dyDescent="0.2"/>
    <row r="16776" ht="12.75" x14ac:dyDescent="0.2"/>
    <row r="16777" ht="12.75" x14ac:dyDescent="0.2"/>
    <row r="16778" ht="12.75" x14ac:dyDescent="0.2"/>
    <row r="16779" ht="12.75" x14ac:dyDescent="0.2"/>
    <row r="16780" ht="12.75" x14ac:dyDescent="0.2"/>
    <row r="16781" ht="12.75" x14ac:dyDescent="0.2"/>
    <row r="16782" ht="12.75" x14ac:dyDescent="0.2"/>
    <row r="16783" ht="12.75" x14ac:dyDescent="0.2"/>
    <row r="16784" ht="12.75" x14ac:dyDescent="0.2"/>
    <row r="16785" ht="12.75" x14ac:dyDescent="0.2"/>
    <row r="16786" ht="12.75" x14ac:dyDescent="0.2"/>
    <row r="16787" ht="12.75" x14ac:dyDescent="0.2"/>
    <row r="16788" ht="12.75" x14ac:dyDescent="0.2"/>
    <row r="16789" ht="12.75" x14ac:dyDescent="0.2"/>
    <row r="16790" ht="12.75" x14ac:dyDescent="0.2"/>
    <row r="16791" ht="12.75" x14ac:dyDescent="0.2"/>
    <row r="16792" ht="12.75" x14ac:dyDescent="0.2"/>
    <row r="16793" ht="12.75" x14ac:dyDescent="0.2"/>
    <row r="16794" ht="12.75" x14ac:dyDescent="0.2"/>
    <row r="16795" ht="12.75" x14ac:dyDescent="0.2"/>
    <row r="16796" ht="12.75" x14ac:dyDescent="0.2"/>
    <row r="16797" ht="12.75" x14ac:dyDescent="0.2"/>
    <row r="16798" ht="12.75" x14ac:dyDescent="0.2"/>
    <row r="16799" ht="12.75" x14ac:dyDescent="0.2"/>
    <row r="16800" ht="12.75" x14ac:dyDescent="0.2"/>
    <row r="16801" ht="12.75" x14ac:dyDescent="0.2"/>
    <row r="16802" ht="12.75" x14ac:dyDescent="0.2"/>
    <row r="16803" ht="12.75" x14ac:dyDescent="0.2"/>
    <row r="16804" ht="12.75" x14ac:dyDescent="0.2"/>
    <row r="16805" ht="12.75" x14ac:dyDescent="0.2"/>
    <row r="16806" ht="12.75" x14ac:dyDescent="0.2"/>
    <row r="16807" ht="12.75" x14ac:dyDescent="0.2"/>
    <row r="16808" ht="12.75" x14ac:dyDescent="0.2"/>
    <row r="16809" ht="12.75" x14ac:dyDescent="0.2"/>
    <row r="16810" ht="12.75" x14ac:dyDescent="0.2"/>
    <row r="16811" ht="12.75" x14ac:dyDescent="0.2"/>
    <row r="16812" ht="12.75" x14ac:dyDescent="0.2"/>
    <row r="16813" ht="12.75" x14ac:dyDescent="0.2"/>
    <row r="16814" ht="12.75" x14ac:dyDescent="0.2"/>
    <row r="16815" ht="12.75" x14ac:dyDescent="0.2"/>
    <row r="16816" ht="12.75" x14ac:dyDescent="0.2"/>
    <row r="16817" ht="12.75" x14ac:dyDescent="0.2"/>
    <row r="16818" ht="12.75" x14ac:dyDescent="0.2"/>
    <row r="16819" ht="12.75" x14ac:dyDescent="0.2"/>
    <row r="16820" ht="12.75" x14ac:dyDescent="0.2"/>
    <row r="16821" ht="12.75" x14ac:dyDescent="0.2"/>
    <row r="16822" ht="12.75" x14ac:dyDescent="0.2"/>
    <row r="16823" ht="12.75" x14ac:dyDescent="0.2"/>
    <row r="16824" ht="12.75" x14ac:dyDescent="0.2"/>
    <row r="16825" ht="12.75" x14ac:dyDescent="0.2"/>
    <row r="16826" ht="12.75" x14ac:dyDescent="0.2"/>
    <row r="16827" ht="12.75" x14ac:dyDescent="0.2"/>
    <row r="16828" ht="12.75" x14ac:dyDescent="0.2"/>
    <row r="16829" ht="12.75" x14ac:dyDescent="0.2"/>
    <row r="16830" ht="12.75" x14ac:dyDescent="0.2"/>
    <row r="16831" ht="12.75" x14ac:dyDescent="0.2"/>
    <row r="16832" ht="12.75" x14ac:dyDescent="0.2"/>
    <row r="16833" ht="12.75" x14ac:dyDescent="0.2"/>
    <row r="16834" ht="12.75" x14ac:dyDescent="0.2"/>
    <row r="16835" ht="12.75" x14ac:dyDescent="0.2"/>
    <row r="16836" ht="12.75" x14ac:dyDescent="0.2"/>
    <row r="16837" ht="12.75" x14ac:dyDescent="0.2"/>
    <row r="16838" ht="12.75" x14ac:dyDescent="0.2"/>
    <row r="16839" ht="12.75" x14ac:dyDescent="0.2"/>
    <row r="16840" ht="12.75" x14ac:dyDescent="0.2"/>
    <row r="16841" ht="12.75" x14ac:dyDescent="0.2"/>
    <row r="16842" ht="12.75" x14ac:dyDescent="0.2"/>
    <row r="16843" ht="12.75" x14ac:dyDescent="0.2"/>
    <row r="16844" ht="12.75" x14ac:dyDescent="0.2"/>
    <row r="16845" ht="12.75" x14ac:dyDescent="0.2"/>
    <row r="16846" ht="12.75" x14ac:dyDescent="0.2"/>
    <row r="16847" ht="12.75" x14ac:dyDescent="0.2"/>
    <row r="16848" ht="12.75" x14ac:dyDescent="0.2"/>
    <row r="16849" ht="12.75" x14ac:dyDescent="0.2"/>
    <row r="16850" ht="12.75" x14ac:dyDescent="0.2"/>
    <row r="16851" ht="12.75" x14ac:dyDescent="0.2"/>
    <row r="16852" ht="12.75" x14ac:dyDescent="0.2"/>
    <row r="16853" ht="12.75" x14ac:dyDescent="0.2"/>
    <row r="16854" ht="12.75" x14ac:dyDescent="0.2"/>
    <row r="16855" ht="12.75" x14ac:dyDescent="0.2"/>
    <row r="16856" ht="12.75" x14ac:dyDescent="0.2"/>
    <row r="16857" ht="12.75" x14ac:dyDescent="0.2"/>
    <row r="16858" ht="12.75" x14ac:dyDescent="0.2"/>
    <row r="16859" ht="12.75" x14ac:dyDescent="0.2"/>
    <row r="16860" ht="12.75" x14ac:dyDescent="0.2"/>
    <row r="16861" ht="12.75" x14ac:dyDescent="0.2"/>
    <row r="16862" ht="12.75" x14ac:dyDescent="0.2"/>
    <row r="16863" ht="12.75" x14ac:dyDescent="0.2"/>
    <row r="16864" ht="12.75" x14ac:dyDescent="0.2"/>
    <row r="16865" ht="12.75" x14ac:dyDescent="0.2"/>
    <row r="16866" ht="12.75" x14ac:dyDescent="0.2"/>
    <row r="16867" ht="12.75" x14ac:dyDescent="0.2"/>
    <row r="16868" ht="12.75" x14ac:dyDescent="0.2"/>
    <row r="16869" ht="12.75" x14ac:dyDescent="0.2"/>
    <row r="16870" ht="12.75" x14ac:dyDescent="0.2"/>
    <row r="16871" ht="12.75" x14ac:dyDescent="0.2"/>
    <row r="16872" ht="12.75" x14ac:dyDescent="0.2"/>
    <row r="16873" ht="12.75" x14ac:dyDescent="0.2"/>
    <row r="16874" ht="12.75" x14ac:dyDescent="0.2"/>
    <row r="16875" ht="12.75" x14ac:dyDescent="0.2"/>
    <row r="16876" ht="12.75" x14ac:dyDescent="0.2"/>
    <row r="16877" ht="12.75" x14ac:dyDescent="0.2"/>
    <row r="16878" ht="12.75" x14ac:dyDescent="0.2"/>
    <row r="16879" ht="12.75" x14ac:dyDescent="0.2"/>
    <row r="16880" ht="12.75" x14ac:dyDescent="0.2"/>
    <row r="16881" ht="12.75" x14ac:dyDescent="0.2"/>
    <row r="16882" ht="12.75" x14ac:dyDescent="0.2"/>
    <row r="16883" ht="12.75" x14ac:dyDescent="0.2"/>
    <row r="16884" ht="12.75" x14ac:dyDescent="0.2"/>
    <row r="16885" ht="12.75" x14ac:dyDescent="0.2"/>
    <row r="16886" ht="12.75" x14ac:dyDescent="0.2"/>
    <row r="16887" ht="12.75" x14ac:dyDescent="0.2"/>
    <row r="16888" ht="12.75" x14ac:dyDescent="0.2"/>
    <row r="16889" ht="12.75" x14ac:dyDescent="0.2"/>
    <row r="16890" ht="12.75" x14ac:dyDescent="0.2"/>
    <row r="16891" ht="12.75" x14ac:dyDescent="0.2"/>
    <row r="16892" ht="12.75" x14ac:dyDescent="0.2"/>
    <row r="16893" ht="12.75" x14ac:dyDescent="0.2"/>
    <row r="16894" ht="12.75" x14ac:dyDescent="0.2"/>
    <row r="16895" ht="12.75" x14ac:dyDescent="0.2"/>
    <row r="16896" ht="12.75" x14ac:dyDescent="0.2"/>
    <row r="16897" ht="12.75" x14ac:dyDescent="0.2"/>
    <row r="16898" ht="12.75" x14ac:dyDescent="0.2"/>
    <row r="16899" ht="12.75" x14ac:dyDescent="0.2"/>
    <row r="16900" ht="12.75" x14ac:dyDescent="0.2"/>
    <row r="16901" ht="12.75" x14ac:dyDescent="0.2"/>
    <row r="16902" ht="12.75" x14ac:dyDescent="0.2"/>
    <row r="16903" ht="12.75" x14ac:dyDescent="0.2"/>
    <row r="16904" ht="12.75" x14ac:dyDescent="0.2"/>
    <row r="16905" ht="12.75" x14ac:dyDescent="0.2"/>
    <row r="16906" ht="12.75" x14ac:dyDescent="0.2"/>
    <row r="16907" ht="12.75" x14ac:dyDescent="0.2"/>
    <row r="16908" ht="12.75" x14ac:dyDescent="0.2"/>
    <row r="16909" ht="12.75" x14ac:dyDescent="0.2"/>
    <row r="16910" ht="12.75" x14ac:dyDescent="0.2"/>
    <row r="16911" ht="12.75" x14ac:dyDescent="0.2"/>
    <row r="16912" ht="12.75" x14ac:dyDescent="0.2"/>
    <row r="16913" ht="12.75" x14ac:dyDescent="0.2"/>
    <row r="16914" ht="12.75" x14ac:dyDescent="0.2"/>
    <row r="16915" ht="12.75" x14ac:dyDescent="0.2"/>
    <row r="16916" ht="12.75" x14ac:dyDescent="0.2"/>
    <row r="16917" ht="12.75" x14ac:dyDescent="0.2"/>
    <row r="16918" ht="12.75" x14ac:dyDescent="0.2"/>
    <row r="16919" ht="12.75" x14ac:dyDescent="0.2"/>
    <row r="16920" ht="12.75" x14ac:dyDescent="0.2"/>
    <row r="16921" ht="12.75" x14ac:dyDescent="0.2"/>
    <row r="16922" ht="12.75" x14ac:dyDescent="0.2"/>
    <row r="16923" ht="12.75" x14ac:dyDescent="0.2"/>
    <row r="16924" ht="12.75" x14ac:dyDescent="0.2"/>
    <row r="16925" ht="12.75" x14ac:dyDescent="0.2"/>
    <row r="16926" ht="12.75" x14ac:dyDescent="0.2"/>
    <row r="16927" ht="12.75" x14ac:dyDescent="0.2"/>
    <row r="16928" ht="12.75" x14ac:dyDescent="0.2"/>
    <row r="16929" ht="12.75" x14ac:dyDescent="0.2"/>
    <row r="16930" ht="12.75" x14ac:dyDescent="0.2"/>
    <row r="16931" ht="12.75" x14ac:dyDescent="0.2"/>
    <row r="16932" ht="12.75" x14ac:dyDescent="0.2"/>
    <row r="16933" ht="12.75" x14ac:dyDescent="0.2"/>
    <row r="16934" ht="12.75" x14ac:dyDescent="0.2"/>
    <row r="16935" ht="12.75" x14ac:dyDescent="0.2"/>
    <row r="16936" ht="12.75" x14ac:dyDescent="0.2"/>
    <row r="16937" ht="12.75" x14ac:dyDescent="0.2"/>
    <row r="16938" ht="12.75" x14ac:dyDescent="0.2"/>
    <row r="16939" ht="12.75" x14ac:dyDescent="0.2"/>
    <row r="16940" ht="12.75" x14ac:dyDescent="0.2"/>
    <row r="16941" ht="12.75" x14ac:dyDescent="0.2"/>
    <row r="16942" ht="12.75" x14ac:dyDescent="0.2"/>
    <row r="16943" ht="12.75" x14ac:dyDescent="0.2"/>
    <row r="16944" ht="12.75" x14ac:dyDescent="0.2"/>
    <row r="16945" ht="12.75" x14ac:dyDescent="0.2"/>
    <row r="16946" ht="12.75" x14ac:dyDescent="0.2"/>
    <row r="16947" ht="12.75" x14ac:dyDescent="0.2"/>
    <row r="16948" ht="12.75" x14ac:dyDescent="0.2"/>
    <row r="16949" ht="12.75" x14ac:dyDescent="0.2"/>
    <row r="16950" ht="12.75" x14ac:dyDescent="0.2"/>
    <row r="16951" ht="12.75" x14ac:dyDescent="0.2"/>
    <row r="16952" ht="12.75" x14ac:dyDescent="0.2"/>
    <row r="16953" ht="12.75" x14ac:dyDescent="0.2"/>
    <row r="16954" ht="12.75" x14ac:dyDescent="0.2"/>
    <row r="16955" ht="12.75" x14ac:dyDescent="0.2"/>
    <row r="16956" ht="12.75" x14ac:dyDescent="0.2"/>
    <row r="16957" ht="12.75" x14ac:dyDescent="0.2"/>
    <row r="16958" ht="12.75" x14ac:dyDescent="0.2"/>
    <row r="16959" ht="12.75" x14ac:dyDescent="0.2"/>
    <row r="16960" ht="12.75" x14ac:dyDescent="0.2"/>
    <row r="16961" ht="12.75" x14ac:dyDescent="0.2"/>
    <row r="16962" ht="12.75" x14ac:dyDescent="0.2"/>
    <row r="16963" ht="12.75" x14ac:dyDescent="0.2"/>
    <row r="16964" ht="12.75" x14ac:dyDescent="0.2"/>
    <row r="16965" ht="12.75" x14ac:dyDescent="0.2"/>
    <row r="16966" ht="12.75" x14ac:dyDescent="0.2"/>
    <row r="16967" ht="12.75" x14ac:dyDescent="0.2"/>
    <row r="16968" ht="12.75" x14ac:dyDescent="0.2"/>
    <row r="16969" ht="12.75" x14ac:dyDescent="0.2"/>
    <row r="16970" ht="12.75" x14ac:dyDescent="0.2"/>
    <row r="16971" ht="12.75" x14ac:dyDescent="0.2"/>
    <row r="16972" ht="12.75" x14ac:dyDescent="0.2"/>
    <row r="16973" ht="12.75" x14ac:dyDescent="0.2"/>
    <row r="16974" ht="12.75" x14ac:dyDescent="0.2"/>
    <row r="16975" ht="12.75" x14ac:dyDescent="0.2"/>
    <row r="16976" ht="12.75" x14ac:dyDescent="0.2"/>
    <row r="16977" ht="12.75" x14ac:dyDescent="0.2"/>
    <row r="16978" ht="12.75" x14ac:dyDescent="0.2"/>
    <row r="16979" ht="12.75" x14ac:dyDescent="0.2"/>
    <row r="16980" ht="12.75" x14ac:dyDescent="0.2"/>
    <row r="16981" ht="12.75" x14ac:dyDescent="0.2"/>
    <row r="16982" ht="12.75" x14ac:dyDescent="0.2"/>
    <row r="16983" ht="12.75" x14ac:dyDescent="0.2"/>
    <row r="16984" ht="12.75" x14ac:dyDescent="0.2"/>
    <row r="16985" ht="12.75" x14ac:dyDescent="0.2"/>
    <row r="16986" ht="12.75" x14ac:dyDescent="0.2"/>
    <row r="16987" ht="12.75" x14ac:dyDescent="0.2"/>
    <row r="16988" ht="12.75" x14ac:dyDescent="0.2"/>
    <row r="16989" ht="12.75" x14ac:dyDescent="0.2"/>
    <row r="16990" ht="12.75" x14ac:dyDescent="0.2"/>
    <row r="16991" ht="12.75" x14ac:dyDescent="0.2"/>
    <row r="16992" ht="12.75" x14ac:dyDescent="0.2"/>
    <row r="16993" ht="12.75" x14ac:dyDescent="0.2"/>
    <row r="16994" ht="12.75" x14ac:dyDescent="0.2"/>
    <row r="16995" ht="12.75" x14ac:dyDescent="0.2"/>
    <row r="16996" ht="12.75" x14ac:dyDescent="0.2"/>
    <row r="16997" ht="12.75" x14ac:dyDescent="0.2"/>
    <row r="16998" ht="12.75" x14ac:dyDescent="0.2"/>
    <row r="16999" ht="12.75" x14ac:dyDescent="0.2"/>
    <row r="17000" ht="12.75" x14ac:dyDescent="0.2"/>
    <row r="17001" ht="12.75" x14ac:dyDescent="0.2"/>
    <row r="17002" ht="12.75" x14ac:dyDescent="0.2"/>
    <row r="17003" ht="12.75" x14ac:dyDescent="0.2"/>
    <row r="17004" ht="12.75" x14ac:dyDescent="0.2"/>
    <row r="17005" ht="12.75" x14ac:dyDescent="0.2"/>
    <row r="17006" ht="12.75" x14ac:dyDescent="0.2"/>
    <row r="17007" ht="12.75" x14ac:dyDescent="0.2"/>
    <row r="17008" ht="12.75" x14ac:dyDescent="0.2"/>
    <row r="17009" ht="12.75" x14ac:dyDescent="0.2"/>
    <row r="17010" ht="12.75" x14ac:dyDescent="0.2"/>
    <row r="17011" ht="12.75" x14ac:dyDescent="0.2"/>
    <row r="17012" ht="12.75" x14ac:dyDescent="0.2"/>
    <row r="17013" ht="12.75" x14ac:dyDescent="0.2"/>
    <row r="17014" ht="12.75" x14ac:dyDescent="0.2"/>
    <row r="17015" ht="12.75" x14ac:dyDescent="0.2"/>
    <row r="17016" ht="12.75" x14ac:dyDescent="0.2"/>
    <row r="17017" ht="12.75" x14ac:dyDescent="0.2"/>
    <row r="17018" ht="12.75" x14ac:dyDescent="0.2"/>
    <row r="17019" ht="12.75" x14ac:dyDescent="0.2"/>
    <row r="17020" ht="12.75" x14ac:dyDescent="0.2"/>
    <row r="17021" ht="12.75" x14ac:dyDescent="0.2"/>
    <row r="17022" ht="12.75" x14ac:dyDescent="0.2"/>
    <row r="17023" ht="12.75" x14ac:dyDescent="0.2"/>
    <row r="17024" ht="12.75" x14ac:dyDescent="0.2"/>
    <row r="17025" ht="12.75" x14ac:dyDescent="0.2"/>
    <row r="17026" ht="12.75" x14ac:dyDescent="0.2"/>
    <row r="17027" ht="12.75" x14ac:dyDescent="0.2"/>
    <row r="17028" ht="12.75" x14ac:dyDescent="0.2"/>
    <row r="17029" ht="12.75" x14ac:dyDescent="0.2"/>
    <row r="17030" ht="12.75" x14ac:dyDescent="0.2"/>
    <row r="17031" ht="12.75" x14ac:dyDescent="0.2"/>
    <row r="17032" ht="12.75" x14ac:dyDescent="0.2"/>
    <row r="17033" ht="12.75" x14ac:dyDescent="0.2"/>
    <row r="17034" ht="12.75" x14ac:dyDescent="0.2"/>
    <row r="17035" ht="12.75" x14ac:dyDescent="0.2"/>
    <row r="17036" ht="12.75" x14ac:dyDescent="0.2"/>
    <row r="17037" ht="12.75" x14ac:dyDescent="0.2"/>
    <row r="17038" ht="12.75" x14ac:dyDescent="0.2"/>
    <row r="17039" ht="12.75" x14ac:dyDescent="0.2"/>
    <row r="17040" ht="12.75" x14ac:dyDescent="0.2"/>
    <row r="17041" ht="12.75" x14ac:dyDescent="0.2"/>
    <row r="17042" ht="12.75" x14ac:dyDescent="0.2"/>
    <row r="17043" ht="12.75" x14ac:dyDescent="0.2"/>
    <row r="17044" ht="12.75" x14ac:dyDescent="0.2"/>
    <row r="17045" ht="12.75" x14ac:dyDescent="0.2"/>
    <row r="17046" ht="12.75" x14ac:dyDescent="0.2"/>
    <row r="17047" ht="12.75" x14ac:dyDescent="0.2"/>
    <row r="17048" ht="12.75" x14ac:dyDescent="0.2"/>
    <row r="17049" ht="12.75" x14ac:dyDescent="0.2"/>
    <row r="17050" ht="12.75" x14ac:dyDescent="0.2"/>
    <row r="17051" ht="12.75" x14ac:dyDescent="0.2"/>
    <row r="17052" ht="12.75" x14ac:dyDescent="0.2"/>
    <row r="17053" ht="12.75" x14ac:dyDescent="0.2"/>
    <row r="17054" ht="12.75" x14ac:dyDescent="0.2"/>
    <row r="17055" ht="12.75" x14ac:dyDescent="0.2"/>
    <row r="17056" ht="12.75" x14ac:dyDescent="0.2"/>
    <row r="17057" ht="12.75" x14ac:dyDescent="0.2"/>
    <row r="17058" ht="12.75" x14ac:dyDescent="0.2"/>
    <row r="17059" ht="12.75" x14ac:dyDescent="0.2"/>
    <row r="17060" ht="12.75" x14ac:dyDescent="0.2"/>
    <row r="17061" ht="12.75" x14ac:dyDescent="0.2"/>
    <row r="17062" ht="12.75" x14ac:dyDescent="0.2"/>
    <row r="17063" ht="12.75" x14ac:dyDescent="0.2"/>
    <row r="17064" ht="12.75" x14ac:dyDescent="0.2"/>
    <row r="17065" ht="12.75" x14ac:dyDescent="0.2"/>
    <row r="17066" ht="12.75" x14ac:dyDescent="0.2"/>
    <row r="17067" ht="12.75" x14ac:dyDescent="0.2"/>
    <row r="17068" ht="12.75" x14ac:dyDescent="0.2"/>
    <row r="17069" ht="12.75" x14ac:dyDescent="0.2"/>
    <row r="17070" ht="12.75" x14ac:dyDescent="0.2"/>
    <row r="17071" ht="12.75" x14ac:dyDescent="0.2"/>
    <row r="17072" ht="12.75" x14ac:dyDescent="0.2"/>
    <row r="17073" ht="12.75" x14ac:dyDescent="0.2"/>
    <row r="17074" ht="12.75" x14ac:dyDescent="0.2"/>
    <row r="17075" ht="12.75" x14ac:dyDescent="0.2"/>
    <row r="17076" ht="12.75" x14ac:dyDescent="0.2"/>
    <row r="17077" ht="12.75" x14ac:dyDescent="0.2"/>
    <row r="17078" ht="12.75" x14ac:dyDescent="0.2"/>
    <row r="17079" ht="12.75" x14ac:dyDescent="0.2"/>
    <row r="17080" ht="12.75" x14ac:dyDescent="0.2"/>
    <row r="17081" ht="12.75" x14ac:dyDescent="0.2"/>
    <row r="17082" ht="12.75" x14ac:dyDescent="0.2"/>
    <row r="17083" ht="12.75" x14ac:dyDescent="0.2"/>
    <row r="17084" ht="12.75" x14ac:dyDescent="0.2"/>
    <row r="17085" ht="12.75" x14ac:dyDescent="0.2"/>
    <row r="17086" ht="12.75" x14ac:dyDescent="0.2"/>
    <row r="17087" ht="12.75" x14ac:dyDescent="0.2"/>
    <row r="17088" ht="12.75" x14ac:dyDescent="0.2"/>
    <row r="17089" ht="12.75" x14ac:dyDescent="0.2"/>
    <row r="17090" ht="12.75" x14ac:dyDescent="0.2"/>
    <row r="17091" ht="12.75" x14ac:dyDescent="0.2"/>
    <row r="17092" ht="12.75" x14ac:dyDescent="0.2"/>
    <row r="17093" ht="12.75" x14ac:dyDescent="0.2"/>
    <row r="17094" ht="12.75" x14ac:dyDescent="0.2"/>
    <row r="17095" ht="12.75" x14ac:dyDescent="0.2"/>
    <row r="17096" ht="12.75" x14ac:dyDescent="0.2"/>
    <row r="17097" ht="12.75" x14ac:dyDescent="0.2"/>
    <row r="17098" ht="12.75" x14ac:dyDescent="0.2"/>
    <row r="17099" ht="12.75" x14ac:dyDescent="0.2"/>
    <row r="17100" ht="12.75" x14ac:dyDescent="0.2"/>
    <row r="17101" ht="12.75" x14ac:dyDescent="0.2"/>
    <row r="17102" ht="12.75" x14ac:dyDescent="0.2"/>
    <row r="17103" ht="12.75" x14ac:dyDescent="0.2"/>
    <row r="17104" ht="12.75" x14ac:dyDescent="0.2"/>
    <row r="17105" ht="12.75" x14ac:dyDescent="0.2"/>
    <row r="17106" ht="12.75" x14ac:dyDescent="0.2"/>
    <row r="17107" ht="12.75" x14ac:dyDescent="0.2"/>
    <row r="17108" ht="12.75" x14ac:dyDescent="0.2"/>
    <row r="17109" ht="12.75" x14ac:dyDescent="0.2"/>
    <row r="17110" ht="12.75" x14ac:dyDescent="0.2"/>
    <row r="17111" ht="12.75" x14ac:dyDescent="0.2"/>
    <row r="17112" ht="12.75" x14ac:dyDescent="0.2"/>
    <row r="17113" ht="12.75" x14ac:dyDescent="0.2"/>
    <row r="17114" ht="12.75" x14ac:dyDescent="0.2"/>
    <row r="17115" ht="12.75" x14ac:dyDescent="0.2"/>
    <row r="17116" ht="12.75" x14ac:dyDescent="0.2"/>
    <row r="17117" ht="12.75" x14ac:dyDescent="0.2"/>
    <row r="17118" ht="12.75" x14ac:dyDescent="0.2"/>
    <row r="17119" ht="12.75" x14ac:dyDescent="0.2"/>
    <row r="17120" ht="12.75" x14ac:dyDescent="0.2"/>
    <row r="17121" ht="12.75" x14ac:dyDescent="0.2"/>
    <row r="17122" ht="12.75" x14ac:dyDescent="0.2"/>
    <row r="17123" ht="12.75" x14ac:dyDescent="0.2"/>
    <row r="17124" ht="12.75" x14ac:dyDescent="0.2"/>
    <row r="17125" ht="12.75" x14ac:dyDescent="0.2"/>
    <row r="17126" ht="12.75" x14ac:dyDescent="0.2"/>
    <row r="17127" ht="12.75" x14ac:dyDescent="0.2"/>
    <row r="17128" ht="12.75" x14ac:dyDescent="0.2"/>
    <row r="17129" ht="12.75" x14ac:dyDescent="0.2"/>
    <row r="17130" ht="12.75" x14ac:dyDescent="0.2"/>
    <row r="17131" ht="12.75" x14ac:dyDescent="0.2"/>
    <row r="17132" ht="12.75" x14ac:dyDescent="0.2"/>
    <row r="17133" ht="12.75" x14ac:dyDescent="0.2"/>
    <row r="17134" ht="12.75" x14ac:dyDescent="0.2"/>
    <row r="17135" ht="12.75" x14ac:dyDescent="0.2"/>
    <row r="17136" ht="12.75" x14ac:dyDescent="0.2"/>
    <row r="17137" ht="12.75" x14ac:dyDescent="0.2"/>
    <row r="17138" ht="12.75" x14ac:dyDescent="0.2"/>
    <row r="17139" ht="12.75" x14ac:dyDescent="0.2"/>
    <row r="17140" ht="12.75" x14ac:dyDescent="0.2"/>
    <row r="17141" ht="12.75" x14ac:dyDescent="0.2"/>
    <row r="17142" ht="12.75" x14ac:dyDescent="0.2"/>
    <row r="17143" ht="12.75" x14ac:dyDescent="0.2"/>
    <row r="17144" ht="12.75" x14ac:dyDescent="0.2"/>
    <row r="17145" ht="12.75" x14ac:dyDescent="0.2"/>
    <row r="17146" ht="12.75" x14ac:dyDescent="0.2"/>
    <row r="17147" ht="12.75" x14ac:dyDescent="0.2"/>
    <row r="17148" ht="12.75" x14ac:dyDescent="0.2"/>
    <row r="17149" ht="12.75" x14ac:dyDescent="0.2"/>
    <row r="17150" ht="12.75" x14ac:dyDescent="0.2"/>
    <row r="17151" ht="12.75" x14ac:dyDescent="0.2"/>
    <row r="17152" ht="12.75" x14ac:dyDescent="0.2"/>
    <row r="17153" ht="12.75" x14ac:dyDescent="0.2"/>
    <row r="17154" ht="12.75" x14ac:dyDescent="0.2"/>
    <row r="17155" ht="12.75" x14ac:dyDescent="0.2"/>
    <row r="17156" ht="12.75" x14ac:dyDescent="0.2"/>
    <row r="17157" ht="12.75" x14ac:dyDescent="0.2"/>
    <row r="17158" ht="12.75" x14ac:dyDescent="0.2"/>
    <row r="17159" ht="12.75" x14ac:dyDescent="0.2"/>
    <row r="17160" ht="12.75" x14ac:dyDescent="0.2"/>
    <row r="17161" ht="12.75" x14ac:dyDescent="0.2"/>
    <row r="17162" ht="12.75" x14ac:dyDescent="0.2"/>
    <row r="17163" ht="12.75" x14ac:dyDescent="0.2"/>
    <row r="17164" ht="12.75" x14ac:dyDescent="0.2"/>
    <row r="17165" ht="12.75" x14ac:dyDescent="0.2"/>
    <row r="17166" ht="12.75" x14ac:dyDescent="0.2"/>
    <row r="17167" ht="12.75" x14ac:dyDescent="0.2"/>
    <row r="17168" ht="12.75" x14ac:dyDescent="0.2"/>
    <row r="17169" ht="12.75" x14ac:dyDescent="0.2"/>
    <row r="17170" ht="12.75" x14ac:dyDescent="0.2"/>
    <row r="17171" ht="12.75" x14ac:dyDescent="0.2"/>
    <row r="17172" ht="12.75" x14ac:dyDescent="0.2"/>
    <row r="17173" ht="12.75" x14ac:dyDescent="0.2"/>
    <row r="17174" ht="12.75" x14ac:dyDescent="0.2"/>
    <row r="17175" ht="12.75" x14ac:dyDescent="0.2"/>
    <row r="17176" ht="12.75" x14ac:dyDescent="0.2"/>
    <row r="17177" ht="12.75" x14ac:dyDescent="0.2"/>
    <row r="17178" ht="12.75" x14ac:dyDescent="0.2"/>
    <row r="17179" ht="12.75" x14ac:dyDescent="0.2"/>
    <row r="17180" ht="12.75" x14ac:dyDescent="0.2"/>
    <row r="17181" ht="12.75" x14ac:dyDescent="0.2"/>
    <row r="17182" ht="12.75" x14ac:dyDescent="0.2"/>
    <row r="17183" ht="12.75" x14ac:dyDescent="0.2"/>
    <row r="17184" ht="12.75" x14ac:dyDescent="0.2"/>
    <row r="17185" ht="12.75" x14ac:dyDescent="0.2"/>
    <row r="17186" ht="12.75" x14ac:dyDescent="0.2"/>
    <row r="17187" ht="12.75" x14ac:dyDescent="0.2"/>
    <row r="17188" ht="12.75" x14ac:dyDescent="0.2"/>
    <row r="17189" ht="12.75" x14ac:dyDescent="0.2"/>
    <row r="17190" ht="12.75" x14ac:dyDescent="0.2"/>
    <row r="17191" ht="12.75" x14ac:dyDescent="0.2"/>
    <row r="17192" ht="12.75" x14ac:dyDescent="0.2"/>
    <row r="17193" ht="12.75" x14ac:dyDescent="0.2"/>
    <row r="17194" ht="12.75" x14ac:dyDescent="0.2"/>
    <row r="17195" ht="12.75" x14ac:dyDescent="0.2"/>
    <row r="17196" ht="12.75" x14ac:dyDescent="0.2"/>
    <row r="17197" ht="12.75" x14ac:dyDescent="0.2"/>
    <row r="17198" ht="12.75" x14ac:dyDescent="0.2"/>
    <row r="17199" ht="12.75" x14ac:dyDescent="0.2"/>
    <row r="17200" ht="12.75" x14ac:dyDescent="0.2"/>
    <row r="17201" ht="12.75" x14ac:dyDescent="0.2"/>
    <row r="17202" ht="12.75" x14ac:dyDescent="0.2"/>
    <row r="17203" ht="12.75" x14ac:dyDescent="0.2"/>
    <row r="17204" ht="12.75" x14ac:dyDescent="0.2"/>
    <row r="17205" ht="12.75" x14ac:dyDescent="0.2"/>
    <row r="17206" ht="12.75" x14ac:dyDescent="0.2"/>
    <row r="17207" ht="12.75" x14ac:dyDescent="0.2"/>
    <row r="17208" ht="12.75" x14ac:dyDescent="0.2"/>
    <row r="17209" ht="12.75" x14ac:dyDescent="0.2"/>
    <row r="17210" ht="12.75" x14ac:dyDescent="0.2"/>
    <row r="17211" ht="12.75" x14ac:dyDescent="0.2"/>
    <row r="17212" ht="12.75" x14ac:dyDescent="0.2"/>
    <row r="17213" ht="12.75" x14ac:dyDescent="0.2"/>
    <row r="17214" ht="12.75" x14ac:dyDescent="0.2"/>
    <row r="17215" ht="12.75" x14ac:dyDescent="0.2"/>
    <row r="17216" ht="12.75" x14ac:dyDescent="0.2"/>
    <row r="17217" ht="12.75" x14ac:dyDescent="0.2"/>
    <row r="17218" ht="12.75" x14ac:dyDescent="0.2"/>
    <row r="17219" ht="12.75" x14ac:dyDescent="0.2"/>
    <row r="17220" ht="12.75" x14ac:dyDescent="0.2"/>
    <row r="17221" ht="12.75" x14ac:dyDescent="0.2"/>
    <row r="17222" ht="12.75" x14ac:dyDescent="0.2"/>
    <row r="17223" ht="12.75" x14ac:dyDescent="0.2"/>
    <row r="17224" ht="12.75" x14ac:dyDescent="0.2"/>
    <row r="17225" ht="12.75" x14ac:dyDescent="0.2"/>
    <row r="17226" ht="12.75" x14ac:dyDescent="0.2"/>
    <row r="17227" ht="12.75" x14ac:dyDescent="0.2"/>
    <row r="17228" ht="12.75" x14ac:dyDescent="0.2"/>
    <row r="17229" ht="12.75" x14ac:dyDescent="0.2"/>
    <row r="17230" ht="12.75" x14ac:dyDescent="0.2"/>
    <row r="17231" ht="12.75" x14ac:dyDescent="0.2"/>
    <row r="17232" ht="12.75" x14ac:dyDescent="0.2"/>
    <row r="17233" ht="12.75" x14ac:dyDescent="0.2"/>
    <row r="17234" ht="12.75" x14ac:dyDescent="0.2"/>
    <row r="17235" ht="12.75" x14ac:dyDescent="0.2"/>
    <row r="17236" ht="12.75" x14ac:dyDescent="0.2"/>
    <row r="17237" ht="12.75" x14ac:dyDescent="0.2"/>
    <row r="17238" ht="12.75" x14ac:dyDescent="0.2"/>
    <row r="17239" ht="12.75" x14ac:dyDescent="0.2"/>
    <row r="17240" ht="12.75" x14ac:dyDescent="0.2"/>
    <row r="17241" ht="12.75" x14ac:dyDescent="0.2"/>
    <row r="17242" ht="12.75" x14ac:dyDescent="0.2"/>
    <row r="17243" ht="12.75" x14ac:dyDescent="0.2"/>
    <row r="17244" ht="12.75" x14ac:dyDescent="0.2"/>
    <row r="17245" ht="12.75" x14ac:dyDescent="0.2"/>
    <row r="17246" ht="12.75" x14ac:dyDescent="0.2"/>
    <row r="17247" ht="12.75" x14ac:dyDescent="0.2"/>
    <row r="17248" ht="12.75" x14ac:dyDescent="0.2"/>
    <row r="17249" ht="12.75" x14ac:dyDescent="0.2"/>
    <row r="17250" ht="12.75" x14ac:dyDescent="0.2"/>
    <row r="17251" ht="12.75" x14ac:dyDescent="0.2"/>
    <row r="17252" ht="12.75" x14ac:dyDescent="0.2"/>
    <row r="17253" ht="12.75" x14ac:dyDescent="0.2"/>
    <row r="17254" ht="12.75" x14ac:dyDescent="0.2"/>
    <row r="17255" ht="12.75" x14ac:dyDescent="0.2"/>
    <row r="17256" ht="12.75" x14ac:dyDescent="0.2"/>
    <row r="17257" ht="12.75" x14ac:dyDescent="0.2"/>
    <row r="17258" ht="12.75" x14ac:dyDescent="0.2"/>
    <row r="17259" ht="12.75" x14ac:dyDescent="0.2"/>
    <row r="17260" ht="12.75" x14ac:dyDescent="0.2"/>
    <row r="17261" ht="12.75" x14ac:dyDescent="0.2"/>
    <row r="17262" ht="12.75" x14ac:dyDescent="0.2"/>
    <row r="17263" ht="12.75" x14ac:dyDescent="0.2"/>
    <row r="17264" ht="12.75" x14ac:dyDescent="0.2"/>
    <row r="17265" ht="12.75" x14ac:dyDescent="0.2"/>
    <row r="17266" ht="12.75" x14ac:dyDescent="0.2"/>
    <row r="17267" ht="12.75" x14ac:dyDescent="0.2"/>
    <row r="17268" ht="12.75" x14ac:dyDescent="0.2"/>
    <row r="17269" ht="12.75" x14ac:dyDescent="0.2"/>
    <row r="17270" ht="12.75" x14ac:dyDescent="0.2"/>
    <row r="17271" ht="12.75" x14ac:dyDescent="0.2"/>
    <row r="17272" ht="12.75" x14ac:dyDescent="0.2"/>
    <row r="17273" ht="12.75" x14ac:dyDescent="0.2"/>
    <row r="17274" ht="12.75" x14ac:dyDescent="0.2"/>
    <row r="17275" ht="12.75" x14ac:dyDescent="0.2"/>
    <row r="17276" ht="12.75" x14ac:dyDescent="0.2"/>
    <row r="17277" ht="12.75" x14ac:dyDescent="0.2"/>
    <row r="17278" ht="12.75" x14ac:dyDescent="0.2"/>
    <row r="17279" ht="12.75" x14ac:dyDescent="0.2"/>
    <row r="17280" ht="12.75" x14ac:dyDescent="0.2"/>
    <row r="17281" ht="12.75" x14ac:dyDescent="0.2"/>
    <row r="17282" ht="12.75" x14ac:dyDescent="0.2"/>
    <row r="17283" ht="12.75" x14ac:dyDescent="0.2"/>
    <row r="17284" ht="12.75" x14ac:dyDescent="0.2"/>
    <row r="17285" ht="12.75" x14ac:dyDescent="0.2"/>
    <row r="17286" ht="12.75" x14ac:dyDescent="0.2"/>
    <row r="17287" ht="12.75" x14ac:dyDescent="0.2"/>
    <row r="17288" ht="12.75" x14ac:dyDescent="0.2"/>
    <row r="17289" ht="12.75" x14ac:dyDescent="0.2"/>
    <row r="17290" ht="12.75" x14ac:dyDescent="0.2"/>
    <row r="17291" ht="12.75" x14ac:dyDescent="0.2"/>
    <row r="17292" ht="12.75" x14ac:dyDescent="0.2"/>
    <row r="17293" ht="12.75" x14ac:dyDescent="0.2"/>
    <row r="17294" ht="12.75" x14ac:dyDescent="0.2"/>
    <row r="17295" ht="12.75" x14ac:dyDescent="0.2"/>
    <row r="17296" ht="12.75" x14ac:dyDescent="0.2"/>
    <row r="17297" ht="12.75" x14ac:dyDescent="0.2"/>
    <row r="17298" ht="12.75" x14ac:dyDescent="0.2"/>
    <row r="17299" ht="12.75" x14ac:dyDescent="0.2"/>
    <row r="17300" ht="12.75" x14ac:dyDescent="0.2"/>
    <row r="17301" ht="12.75" x14ac:dyDescent="0.2"/>
    <row r="17302" ht="12.75" x14ac:dyDescent="0.2"/>
    <row r="17303" ht="12.75" x14ac:dyDescent="0.2"/>
    <row r="17304" ht="12.75" x14ac:dyDescent="0.2"/>
    <row r="17305" ht="12.75" x14ac:dyDescent="0.2"/>
    <row r="17306" ht="12.75" x14ac:dyDescent="0.2"/>
    <row r="17307" ht="12.75" x14ac:dyDescent="0.2"/>
    <row r="17308" ht="12.75" x14ac:dyDescent="0.2"/>
    <row r="17309" ht="12.75" x14ac:dyDescent="0.2"/>
    <row r="17310" ht="12.75" x14ac:dyDescent="0.2"/>
    <row r="17311" ht="12.75" x14ac:dyDescent="0.2"/>
    <row r="17312" ht="12.75" x14ac:dyDescent="0.2"/>
    <row r="17313" ht="12.75" x14ac:dyDescent="0.2"/>
    <row r="17314" ht="12.75" x14ac:dyDescent="0.2"/>
    <row r="17315" ht="12.75" x14ac:dyDescent="0.2"/>
    <row r="17316" ht="12.75" x14ac:dyDescent="0.2"/>
    <row r="17317" ht="12.75" x14ac:dyDescent="0.2"/>
    <row r="17318" ht="12.75" x14ac:dyDescent="0.2"/>
    <row r="17319" ht="12.75" x14ac:dyDescent="0.2"/>
    <row r="17320" ht="12.75" x14ac:dyDescent="0.2"/>
    <row r="17321" ht="12.75" x14ac:dyDescent="0.2"/>
    <row r="17322" ht="12.75" x14ac:dyDescent="0.2"/>
    <row r="17323" ht="12.75" x14ac:dyDescent="0.2"/>
    <row r="17324" ht="12.75" x14ac:dyDescent="0.2"/>
    <row r="17325" ht="12.75" x14ac:dyDescent="0.2"/>
    <row r="17326" ht="12.75" x14ac:dyDescent="0.2"/>
    <row r="17327" ht="12.75" x14ac:dyDescent="0.2"/>
    <row r="17328" ht="12.75" x14ac:dyDescent="0.2"/>
    <row r="17329" ht="12.75" x14ac:dyDescent="0.2"/>
    <row r="17330" ht="12.75" x14ac:dyDescent="0.2"/>
    <row r="17331" ht="12.75" x14ac:dyDescent="0.2"/>
    <row r="17332" ht="12.75" x14ac:dyDescent="0.2"/>
    <row r="17333" ht="12.75" x14ac:dyDescent="0.2"/>
    <row r="17334" ht="12.75" x14ac:dyDescent="0.2"/>
    <row r="17335" ht="12.75" x14ac:dyDescent="0.2"/>
    <row r="17336" ht="12.75" x14ac:dyDescent="0.2"/>
    <row r="17337" ht="12.75" x14ac:dyDescent="0.2"/>
    <row r="17338" ht="12.75" x14ac:dyDescent="0.2"/>
    <row r="17339" ht="12.75" x14ac:dyDescent="0.2"/>
    <row r="17340" ht="12.75" x14ac:dyDescent="0.2"/>
    <row r="17341" ht="12.75" x14ac:dyDescent="0.2"/>
    <row r="17342" ht="12.75" x14ac:dyDescent="0.2"/>
    <row r="17343" ht="12.75" x14ac:dyDescent="0.2"/>
    <row r="17344" ht="12.75" x14ac:dyDescent="0.2"/>
    <row r="17345" ht="12.75" x14ac:dyDescent="0.2"/>
    <row r="17346" ht="12.75" x14ac:dyDescent="0.2"/>
    <row r="17347" ht="12.75" x14ac:dyDescent="0.2"/>
    <row r="17348" ht="12.75" x14ac:dyDescent="0.2"/>
    <row r="17349" ht="12.75" x14ac:dyDescent="0.2"/>
    <row r="17350" ht="12.75" x14ac:dyDescent="0.2"/>
    <row r="17351" ht="12.75" x14ac:dyDescent="0.2"/>
    <row r="17352" ht="12.75" x14ac:dyDescent="0.2"/>
    <row r="17353" ht="12.75" x14ac:dyDescent="0.2"/>
    <row r="17354" ht="12.75" x14ac:dyDescent="0.2"/>
    <row r="17355" ht="12.75" x14ac:dyDescent="0.2"/>
    <row r="17356" ht="12.75" x14ac:dyDescent="0.2"/>
    <row r="17357" ht="12.75" x14ac:dyDescent="0.2"/>
    <row r="17358" ht="12.75" x14ac:dyDescent="0.2"/>
    <row r="17359" ht="12.75" x14ac:dyDescent="0.2"/>
    <row r="17360" ht="12.75" x14ac:dyDescent="0.2"/>
    <row r="17361" ht="12.75" x14ac:dyDescent="0.2"/>
    <row r="17362" ht="12.75" x14ac:dyDescent="0.2"/>
    <row r="17363" ht="12.75" x14ac:dyDescent="0.2"/>
    <row r="17364" ht="12.75" x14ac:dyDescent="0.2"/>
    <row r="17365" ht="12.75" x14ac:dyDescent="0.2"/>
    <row r="17366" ht="12.75" x14ac:dyDescent="0.2"/>
    <row r="17367" ht="12.75" x14ac:dyDescent="0.2"/>
    <row r="17368" ht="12.75" x14ac:dyDescent="0.2"/>
    <row r="17369" ht="12.75" x14ac:dyDescent="0.2"/>
    <row r="17370" ht="12.75" x14ac:dyDescent="0.2"/>
    <row r="17371" ht="12.75" x14ac:dyDescent="0.2"/>
    <row r="17372" ht="12.75" x14ac:dyDescent="0.2"/>
    <row r="17373" ht="12.75" x14ac:dyDescent="0.2"/>
    <row r="17374" ht="12.75" x14ac:dyDescent="0.2"/>
    <row r="17375" ht="12.75" x14ac:dyDescent="0.2"/>
    <row r="17376" ht="12.75" x14ac:dyDescent="0.2"/>
    <row r="17377" ht="12.75" x14ac:dyDescent="0.2"/>
    <row r="17378" ht="12.75" x14ac:dyDescent="0.2"/>
    <row r="17379" ht="12.75" x14ac:dyDescent="0.2"/>
    <row r="17380" ht="12.75" x14ac:dyDescent="0.2"/>
    <row r="17381" ht="12.75" x14ac:dyDescent="0.2"/>
    <row r="17382" ht="12.75" x14ac:dyDescent="0.2"/>
    <row r="17383" ht="12.75" x14ac:dyDescent="0.2"/>
    <row r="17384" ht="12.75" x14ac:dyDescent="0.2"/>
    <row r="17385" ht="12.75" x14ac:dyDescent="0.2"/>
    <row r="17386" ht="12.75" x14ac:dyDescent="0.2"/>
    <row r="17387" ht="12.75" x14ac:dyDescent="0.2"/>
    <row r="17388" ht="12.75" x14ac:dyDescent="0.2"/>
    <row r="17389" ht="12.75" x14ac:dyDescent="0.2"/>
    <row r="17390" ht="12.75" x14ac:dyDescent="0.2"/>
    <row r="17391" ht="12.75" x14ac:dyDescent="0.2"/>
    <row r="17392" ht="12.75" x14ac:dyDescent="0.2"/>
    <row r="17393" ht="12.75" x14ac:dyDescent="0.2"/>
    <row r="17394" ht="12.75" x14ac:dyDescent="0.2"/>
    <row r="17395" ht="12.75" x14ac:dyDescent="0.2"/>
    <row r="17396" ht="12.75" x14ac:dyDescent="0.2"/>
    <row r="17397" ht="12.75" x14ac:dyDescent="0.2"/>
    <row r="17398" ht="12.75" x14ac:dyDescent="0.2"/>
    <row r="17399" ht="12.75" x14ac:dyDescent="0.2"/>
    <row r="17400" ht="12.75" x14ac:dyDescent="0.2"/>
    <row r="17401" ht="12.75" x14ac:dyDescent="0.2"/>
    <row r="17402" ht="12.75" x14ac:dyDescent="0.2"/>
    <row r="17403" ht="12.75" x14ac:dyDescent="0.2"/>
    <row r="17404" ht="12.75" x14ac:dyDescent="0.2"/>
    <row r="17405" ht="12.75" x14ac:dyDescent="0.2"/>
    <row r="17406" ht="12.75" x14ac:dyDescent="0.2"/>
    <row r="17407" ht="12.75" x14ac:dyDescent="0.2"/>
    <row r="17408" ht="12.75" x14ac:dyDescent="0.2"/>
    <row r="17409" ht="12.75" x14ac:dyDescent="0.2"/>
    <row r="17410" ht="12.75" x14ac:dyDescent="0.2"/>
    <row r="17411" ht="12.75" x14ac:dyDescent="0.2"/>
    <row r="17412" ht="12.75" x14ac:dyDescent="0.2"/>
    <row r="17413" ht="12.75" x14ac:dyDescent="0.2"/>
    <row r="17414" ht="12.75" x14ac:dyDescent="0.2"/>
    <row r="17415" ht="12.75" x14ac:dyDescent="0.2"/>
    <row r="17416" ht="12.75" x14ac:dyDescent="0.2"/>
    <row r="17417" ht="12.75" x14ac:dyDescent="0.2"/>
    <row r="17418" ht="12.75" x14ac:dyDescent="0.2"/>
    <row r="17419" ht="12.75" x14ac:dyDescent="0.2"/>
    <row r="17420" ht="12.75" x14ac:dyDescent="0.2"/>
    <row r="17421" ht="12.75" x14ac:dyDescent="0.2"/>
    <row r="17422" ht="12.75" x14ac:dyDescent="0.2"/>
    <row r="17423" ht="12.75" x14ac:dyDescent="0.2"/>
    <row r="17424" ht="12.75" x14ac:dyDescent="0.2"/>
    <row r="17425" ht="12.75" x14ac:dyDescent="0.2"/>
    <row r="17426" ht="12.75" x14ac:dyDescent="0.2"/>
    <row r="17427" ht="12.75" x14ac:dyDescent="0.2"/>
    <row r="17428" ht="12.75" x14ac:dyDescent="0.2"/>
    <row r="17429" ht="12.75" x14ac:dyDescent="0.2"/>
    <row r="17430" ht="12.75" x14ac:dyDescent="0.2"/>
    <row r="17431" ht="12.75" x14ac:dyDescent="0.2"/>
    <row r="17432" ht="12.75" x14ac:dyDescent="0.2"/>
    <row r="17433" ht="12.75" x14ac:dyDescent="0.2"/>
    <row r="17434" ht="12.75" x14ac:dyDescent="0.2"/>
    <row r="17435" ht="12.75" x14ac:dyDescent="0.2"/>
    <row r="17436" ht="12.75" x14ac:dyDescent="0.2"/>
    <row r="17437" ht="12.75" x14ac:dyDescent="0.2"/>
    <row r="17438" ht="12.75" x14ac:dyDescent="0.2"/>
    <row r="17439" ht="12.75" x14ac:dyDescent="0.2"/>
    <row r="17440" ht="12.75" x14ac:dyDescent="0.2"/>
    <row r="17441" ht="12.75" x14ac:dyDescent="0.2"/>
    <row r="17442" ht="12.75" x14ac:dyDescent="0.2"/>
    <row r="17443" ht="12.75" x14ac:dyDescent="0.2"/>
    <row r="17444" ht="12.75" x14ac:dyDescent="0.2"/>
    <row r="17445" ht="12.75" x14ac:dyDescent="0.2"/>
    <row r="17446" ht="12.75" x14ac:dyDescent="0.2"/>
    <row r="17447" ht="12.75" x14ac:dyDescent="0.2"/>
    <row r="17448" ht="12.75" x14ac:dyDescent="0.2"/>
    <row r="17449" ht="12.75" x14ac:dyDescent="0.2"/>
    <row r="17450" ht="12.75" x14ac:dyDescent="0.2"/>
    <row r="17451" ht="12.75" x14ac:dyDescent="0.2"/>
    <row r="17452" ht="12.75" x14ac:dyDescent="0.2"/>
    <row r="17453" ht="12.75" x14ac:dyDescent="0.2"/>
    <row r="17454" ht="12.75" x14ac:dyDescent="0.2"/>
    <row r="17455" ht="12.75" x14ac:dyDescent="0.2"/>
    <row r="17456" ht="12.75" x14ac:dyDescent="0.2"/>
    <row r="17457" ht="12.75" x14ac:dyDescent="0.2"/>
    <row r="17458" ht="12.75" x14ac:dyDescent="0.2"/>
    <row r="17459" ht="12.75" x14ac:dyDescent="0.2"/>
    <row r="17460" ht="12.75" x14ac:dyDescent="0.2"/>
    <row r="17461" ht="12.75" x14ac:dyDescent="0.2"/>
    <row r="17462" ht="12.75" x14ac:dyDescent="0.2"/>
    <row r="17463" ht="12.75" x14ac:dyDescent="0.2"/>
    <row r="17464" ht="12.75" x14ac:dyDescent="0.2"/>
    <row r="17465" ht="12.75" x14ac:dyDescent="0.2"/>
    <row r="17466" ht="12.75" x14ac:dyDescent="0.2"/>
    <row r="17467" ht="12.75" x14ac:dyDescent="0.2"/>
    <row r="17468" ht="12.75" x14ac:dyDescent="0.2"/>
    <row r="17469" ht="12.75" x14ac:dyDescent="0.2"/>
    <row r="17470" ht="12.75" x14ac:dyDescent="0.2"/>
    <row r="17471" ht="12.75" x14ac:dyDescent="0.2"/>
    <row r="17472" ht="12.75" x14ac:dyDescent="0.2"/>
    <row r="17473" ht="12.75" x14ac:dyDescent="0.2"/>
    <row r="17474" ht="12.75" x14ac:dyDescent="0.2"/>
    <row r="17475" ht="12.75" x14ac:dyDescent="0.2"/>
    <row r="17476" ht="12.75" x14ac:dyDescent="0.2"/>
    <row r="17477" ht="12.75" x14ac:dyDescent="0.2"/>
    <row r="17478" ht="12.75" x14ac:dyDescent="0.2"/>
    <row r="17479" ht="12.75" x14ac:dyDescent="0.2"/>
    <row r="17480" ht="12.75" x14ac:dyDescent="0.2"/>
    <row r="17481" ht="12.75" x14ac:dyDescent="0.2"/>
    <row r="17482" ht="12.75" x14ac:dyDescent="0.2"/>
    <row r="17483" ht="12.75" x14ac:dyDescent="0.2"/>
    <row r="17484" ht="12.75" x14ac:dyDescent="0.2"/>
    <row r="17485" ht="12.75" x14ac:dyDescent="0.2"/>
    <row r="17486" ht="12.75" x14ac:dyDescent="0.2"/>
    <row r="17487" ht="12.75" x14ac:dyDescent="0.2"/>
    <row r="17488" ht="12.75" x14ac:dyDescent="0.2"/>
    <row r="17489" ht="12.75" x14ac:dyDescent="0.2"/>
    <row r="17490" ht="12.75" x14ac:dyDescent="0.2"/>
    <row r="17491" ht="12.75" x14ac:dyDescent="0.2"/>
    <row r="17492" ht="12.75" x14ac:dyDescent="0.2"/>
    <row r="17493" ht="12.75" x14ac:dyDescent="0.2"/>
    <row r="17494" ht="12.75" x14ac:dyDescent="0.2"/>
    <row r="17495" ht="12.75" x14ac:dyDescent="0.2"/>
    <row r="17496" ht="12.75" x14ac:dyDescent="0.2"/>
    <row r="17497" ht="12.75" x14ac:dyDescent="0.2"/>
    <row r="17498" ht="12.75" x14ac:dyDescent="0.2"/>
    <row r="17499" ht="12.75" x14ac:dyDescent="0.2"/>
    <row r="17500" ht="12.75" x14ac:dyDescent="0.2"/>
    <row r="17501" ht="12.75" x14ac:dyDescent="0.2"/>
    <row r="17502" ht="12.75" x14ac:dyDescent="0.2"/>
    <row r="17503" ht="12.75" x14ac:dyDescent="0.2"/>
    <row r="17504" ht="12.75" x14ac:dyDescent="0.2"/>
    <row r="17505" ht="12.75" x14ac:dyDescent="0.2"/>
    <row r="17506" ht="12.75" x14ac:dyDescent="0.2"/>
    <row r="17507" ht="12.75" x14ac:dyDescent="0.2"/>
    <row r="17508" ht="12.75" x14ac:dyDescent="0.2"/>
    <row r="17509" ht="12.75" x14ac:dyDescent="0.2"/>
    <row r="17510" ht="12.75" x14ac:dyDescent="0.2"/>
    <row r="17511" ht="12.75" x14ac:dyDescent="0.2"/>
    <row r="17512" ht="12.75" x14ac:dyDescent="0.2"/>
    <row r="17513" ht="12.75" x14ac:dyDescent="0.2"/>
    <row r="17514" ht="12.75" x14ac:dyDescent="0.2"/>
    <row r="17515" ht="12.75" x14ac:dyDescent="0.2"/>
    <row r="17516" ht="12.75" x14ac:dyDescent="0.2"/>
    <row r="17517" ht="12.75" x14ac:dyDescent="0.2"/>
    <row r="17518" ht="12.75" x14ac:dyDescent="0.2"/>
    <row r="17519" ht="12.75" x14ac:dyDescent="0.2"/>
    <row r="17520" ht="12.75" x14ac:dyDescent="0.2"/>
    <row r="17521" ht="12.75" x14ac:dyDescent="0.2"/>
    <row r="17522" ht="12.75" x14ac:dyDescent="0.2"/>
    <row r="17523" ht="12.75" x14ac:dyDescent="0.2"/>
    <row r="17524" ht="12.75" x14ac:dyDescent="0.2"/>
    <row r="17525" ht="12.75" x14ac:dyDescent="0.2"/>
    <row r="17526" ht="12.75" x14ac:dyDescent="0.2"/>
    <row r="17527" ht="12.75" x14ac:dyDescent="0.2"/>
    <row r="17528" ht="12.75" x14ac:dyDescent="0.2"/>
    <row r="17529" ht="12.75" x14ac:dyDescent="0.2"/>
    <row r="17530" ht="12.75" x14ac:dyDescent="0.2"/>
    <row r="17531" ht="12.75" x14ac:dyDescent="0.2"/>
    <row r="17532" ht="12.75" x14ac:dyDescent="0.2"/>
    <row r="17533" ht="12.75" x14ac:dyDescent="0.2"/>
    <row r="17534" ht="12.75" x14ac:dyDescent="0.2"/>
    <row r="17535" ht="12.75" x14ac:dyDescent="0.2"/>
    <row r="17536" ht="12.75" x14ac:dyDescent="0.2"/>
    <row r="17537" ht="12.75" x14ac:dyDescent="0.2"/>
    <row r="17538" ht="12.75" x14ac:dyDescent="0.2"/>
    <row r="17539" ht="12.75" x14ac:dyDescent="0.2"/>
    <row r="17540" ht="12.75" x14ac:dyDescent="0.2"/>
    <row r="17541" ht="12.75" x14ac:dyDescent="0.2"/>
    <row r="17542" ht="12.75" x14ac:dyDescent="0.2"/>
    <row r="17543" ht="12.75" x14ac:dyDescent="0.2"/>
    <row r="17544" ht="12.75" x14ac:dyDescent="0.2"/>
    <row r="17545" ht="12.75" x14ac:dyDescent="0.2"/>
    <row r="17546" ht="12.75" x14ac:dyDescent="0.2"/>
    <row r="17547" ht="12.75" x14ac:dyDescent="0.2"/>
    <row r="17548" ht="12.75" x14ac:dyDescent="0.2"/>
    <row r="17549" ht="12.75" x14ac:dyDescent="0.2"/>
    <row r="17550" ht="12.75" x14ac:dyDescent="0.2"/>
    <row r="17551" ht="12.75" x14ac:dyDescent="0.2"/>
    <row r="17552" ht="12.75" x14ac:dyDescent="0.2"/>
    <row r="17553" ht="12.75" x14ac:dyDescent="0.2"/>
    <row r="17554" ht="12.75" x14ac:dyDescent="0.2"/>
    <row r="17555" ht="12.75" x14ac:dyDescent="0.2"/>
    <row r="17556" ht="12.75" x14ac:dyDescent="0.2"/>
    <row r="17557" ht="12.75" x14ac:dyDescent="0.2"/>
    <row r="17558" ht="12.75" x14ac:dyDescent="0.2"/>
    <row r="17559" ht="12.75" x14ac:dyDescent="0.2"/>
    <row r="17560" ht="12.75" x14ac:dyDescent="0.2"/>
    <row r="17561" ht="12.75" x14ac:dyDescent="0.2"/>
    <row r="17562" ht="12.75" x14ac:dyDescent="0.2"/>
    <row r="17563" ht="12.75" x14ac:dyDescent="0.2"/>
    <row r="17564" ht="12.75" x14ac:dyDescent="0.2"/>
    <row r="17565" ht="12.75" x14ac:dyDescent="0.2"/>
    <row r="17566" ht="12.75" x14ac:dyDescent="0.2"/>
    <row r="17567" ht="12.75" x14ac:dyDescent="0.2"/>
    <row r="17568" ht="12.75" x14ac:dyDescent="0.2"/>
    <row r="17569" ht="12.75" x14ac:dyDescent="0.2"/>
    <row r="17570" ht="12.75" x14ac:dyDescent="0.2"/>
    <row r="17571" ht="12.75" x14ac:dyDescent="0.2"/>
    <row r="17572" ht="12.75" x14ac:dyDescent="0.2"/>
    <row r="17573" ht="12.75" x14ac:dyDescent="0.2"/>
    <row r="17574" ht="12.75" x14ac:dyDescent="0.2"/>
    <row r="17575" ht="12.75" x14ac:dyDescent="0.2"/>
    <row r="17576" ht="12.75" x14ac:dyDescent="0.2"/>
    <row r="17577" ht="12.75" x14ac:dyDescent="0.2"/>
    <row r="17578" ht="12.75" x14ac:dyDescent="0.2"/>
    <row r="17579" ht="12.75" x14ac:dyDescent="0.2"/>
    <row r="17580" ht="12.75" x14ac:dyDescent="0.2"/>
    <row r="17581" ht="12.75" x14ac:dyDescent="0.2"/>
    <row r="17582" ht="12.75" x14ac:dyDescent="0.2"/>
    <row r="17583" ht="12.75" x14ac:dyDescent="0.2"/>
    <row r="17584" ht="12.75" x14ac:dyDescent="0.2"/>
    <row r="17585" ht="12.75" x14ac:dyDescent="0.2"/>
    <row r="17586" ht="12.75" x14ac:dyDescent="0.2"/>
    <row r="17587" ht="12.75" x14ac:dyDescent="0.2"/>
    <row r="17588" ht="12.75" x14ac:dyDescent="0.2"/>
    <row r="17589" ht="12.75" x14ac:dyDescent="0.2"/>
    <row r="17590" ht="12.75" x14ac:dyDescent="0.2"/>
    <row r="17591" ht="12.75" x14ac:dyDescent="0.2"/>
    <row r="17592" ht="12.75" x14ac:dyDescent="0.2"/>
    <row r="17593" ht="12.75" x14ac:dyDescent="0.2"/>
    <row r="17594" ht="12.75" x14ac:dyDescent="0.2"/>
    <row r="17595" ht="12.75" x14ac:dyDescent="0.2"/>
    <row r="17596" ht="12.75" x14ac:dyDescent="0.2"/>
    <row r="17597" ht="12.75" x14ac:dyDescent="0.2"/>
    <row r="17598" ht="12.75" x14ac:dyDescent="0.2"/>
    <row r="17599" ht="12.75" x14ac:dyDescent="0.2"/>
    <row r="17600" ht="12.75" x14ac:dyDescent="0.2"/>
    <row r="17601" ht="12.75" x14ac:dyDescent="0.2"/>
    <row r="17602" ht="12.75" x14ac:dyDescent="0.2"/>
    <row r="17603" ht="12.75" x14ac:dyDescent="0.2"/>
    <row r="17604" ht="12.75" x14ac:dyDescent="0.2"/>
    <row r="17605" ht="12.75" x14ac:dyDescent="0.2"/>
    <row r="17606" ht="12.75" x14ac:dyDescent="0.2"/>
    <row r="17607" ht="12.75" x14ac:dyDescent="0.2"/>
    <row r="17608" ht="12.75" x14ac:dyDescent="0.2"/>
    <row r="17609" ht="12.75" x14ac:dyDescent="0.2"/>
    <row r="17610" ht="12.75" x14ac:dyDescent="0.2"/>
    <row r="17611" ht="12.75" x14ac:dyDescent="0.2"/>
    <row r="17612" ht="12.75" x14ac:dyDescent="0.2"/>
    <row r="17613" ht="12.75" x14ac:dyDescent="0.2"/>
    <row r="17614" ht="12.75" x14ac:dyDescent="0.2"/>
    <row r="17615" ht="12.75" x14ac:dyDescent="0.2"/>
    <row r="17616" ht="12.75" x14ac:dyDescent="0.2"/>
    <row r="17617" ht="12.75" x14ac:dyDescent="0.2"/>
    <row r="17618" ht="12.75" x14ac:dyDescent="0.2"/>
    <row r="17619" ht="12.75" x14ac:dyDescent="0.2"/>
    <row r="17620" ht="12.75" x14ac:dyDescent="0.2"/>
    <row r="17621" ht="12.75" x14ac:dyDescent="0.2"/>
    <row r="17622" ht="12.75" x14ac:dyDescent="0.2"/>
    <row r="17623" ht="12.75" x14ac:dyDescent="0.2"/>
    <row r="17624" ht="12.75" x14ac:dyDescent="0.2"/>
    <row r="17625" ht="12.75" x14ac:dyDescent="0.2"/>
    <row r="17626" ht="12.75" x14ac:dyDescent="0.2"/>
    <row r="17627" ht="12.75" x14ac:dyDescent="0.2"/>
    <row r="17628" ht="12.75" x14ac:dyDescent="0.2"/>
    <row r="17629" ht="12.75" x14ac:dyDescent="0.2"/>
    <row r="17630" ht="12.75" x14ac:dyDescent="0.2"/>
    <row r="17631" ht="12.75" x14ac:dyDescent="0.2"/>
    <row r="17632" ht="12.75" x14ac:dyDescent="0.2"/>
    <row r="17633" ht="12.75" x14ac:dyDescent="0.2"/>
    <row r="17634" ht="12.75" x14ac:dyDescent="0.2"/>
    <row r="17635" ht="12.75" x14ac:dyDescent="0.2"/>
    <row r="17636" ht="12.75" x14ac:dyDescent="0.2"/>
    <row r="17637" ht="12.75" x14ac:dyDescent="0.2"/>
    <row r="17638" ht="12.75" x14ac:dyDescent="0.2"/>
    <row r="17639" ht="12.75" x14ac:dyDescent="0.2"/>
    <row r="17640" ht="12.75" x14ac:dyDescent="0.2"/>
    <row r="17641" ht="12.75" x14ac:dyDescent="0.2"/>
    <row r="17642" ht="12.75" x14ac:dyDescent="0.2"/>
    <row r="17643" ht="12.75" x14ac:dyDescent="0.2"/>
    <row r="17644" ht="12.75" x14ac:dyDescent="0.2"/>
    <row r="17645" ht="12.75" x14ac:dyDescent="0.2"/>
    <row r="17646" ht="12.75" x14ac:dyDescent="0.2"/>
    <row r="17647" ht="12.75" x14ac:dyDescent="0.2"/>
    <row r="17648" ht="12.75" x14ac:dyDescent="0.2"/>
    <row r="17649" ht="12.75" x14ac:dyDescent="0.2"/>
    <row r="17650" ht="12.75" x14ac:dyDescent="0.2"/>
    <row r="17651" ht="12.75" x14ac:dyDescent="0.2"/>
    <row r="17652" ht="12.75" x14ac:dyDescent="0.2"/>
    <row r="17653" ht="12.75" x14ac:dyDescent="0.2"/>
    <row r="17654" ht="12.75" x14ac:dyDescent="0.2"/>
    <row r="17655" ht="12.75" x14ac:dyDescent="0.2"/>
    <row r="17656" ht="12.75" x14ac:dyDescent="0.2"/>
    <row r="17657" ht="12.75" x14ac:dyDescent="0.2"/>
    <row r="17658" ht="12.75" x14ac:dyDescent="0.2"/>
    <row r="17659" ht="12.75" x14ac:dyDescent="0.2"/>
    <row r="17660" ht="12.75" x14ac:dyDescent="0.2"/>
    <row r="17661" ht="12.75" x14ac:dyDescent="0.2"/>
    <row r="17662" ht="12.75" x14ac:dyDescent="0.2"/>
    <row r="17663" ht="12.75" x14ac:dyDescent="0.2"/>
    <row r="17664" ht="12.75" x14ac:dyDescent="0.2"/>
    <row r="17665" ht="12.75" x14ac:dyDescent="0.2"/>
    <row r="17666" ht="12.75" x14ac:dyDescent="0.2"/>
    <row r="17667" ht="12.75" x14ac:dyDescent="0.2"/>
    <row r="17668" ht="12.75" x14ac:dyDescent="0.2"/>
    <row r="17669" ht="12.75" x14ac:dyDescent="0.2"/>
    <row r="17670" ht="12.75" x14ac:dyDescent="0.2"/>
    <row r="17671" ht="12.75" x14ac:dyDescent="0.2"/>
    <row r="17672" ht="12.75" x14ac:dyDescent="0.2"/>
    <row r="17673" ht="12.75" x14ac:dyDescent="0.2"/>
    <row r="17674" ht="12.75" x14ac:dyDescent="0.2"/>
    <row r="17675" ht="12.75" x14ac:dyDescent="0.2"/>
    <row r="17676" ht="12.75" x14ac:dyDescent="0.2"/>
    <row r="17677" ht="12.75" x14ac:dyDescent="0.2"/>
    <row r="17678" ht="12.75" x14ac:dyDescent="0.2"/>
    <row r="17679" ht="12.75" x14ac:dyDescent="0.2"/>
    <row r="17680" ht="12.75" x14ac:dyDescent="0.2"/>
    <row r="17681" ht="12.75" x14ac:dyDescent="0.2"/>
    <row r="17682" ht="12.75" x14ac:dyDescent="0.2"/>
    <row r="17683" ht="12.75" x14ac:dyDescent="0.2"/>
    <row r="17684" ht="12.75" x14ac:dyDescent="0.2"/>
    <row r="17685" ht="12.75" x14ac:dyDescent="0.2"/>
    <row r="17686" ht="12.75" x14ac:dyDescent="0.2"/>
    <row r="17687" ht="12.75" x14ac:dyDescent="0.2"/>
    <row r="17688" ht="12.75" x14ac:dyDescent="0.2"/>
    <row r="17689" ht="12.75" x14ac:dyDescent="0.2"/>
    <row r="17690" ht="12.75" x14ac:dyDescent="0.2"/>
    <row r="17691" ht="12.75" x14ac:dyDescent="0.2"/>
    <row r="17692" ht="12.75" x14ac:dyDescent="0.2"/>
    <row r="17693" ht="12.75" x14ac:dyDescent="0.2"/>
    <row r="17694" ht="12.75" x14ac:dyDescent="0.2"/>
    <row r="17695" ht="12.75" x14ac:dyDescent="0.2"/>
    <row r="17696" ht="12.75" x14ac:dyDescent="0.2"/>
    <row r="17697" ht="12.75" x14ac:dyDescent="0.2"/>
    <row r="17698" ht="12.75" x14ac:dyDescent="0.2"/>
    <row r="17699" ht="12.75" x14ac:dyDescent="0.2"/>
    <row r="17700" ht="12.75" x14ac:dyDescent="0.2"/>
    <row r="17701" ht="12.75" x14ac:dyDescent="0.2"/>
    <row r="17702" ht="12.75" x14ac:dyDescent="0.2"/>
    <row r="17703" ht="12.75" x14ac:dyDescent="0.2"/>
    <row r="17704" ht="12.75" x14ac:dyDescent="0.2"/>
    <row r="17705" ht="12.75" x14ac:dyDescent="0.2"/>
    <row r="17706" ht="12.75" x14ac:dyDescent="0.2"/>
    <row r="17707" ht="12.75" x14ac:dyDescent="0.2"/>
    <row r="17708" ht="12.75" x14ac:dyDescent="0.2"/>
    <row r="17709" ht="12.75" x14ac:dyDescent="0.2"/>
    <row r="17710" ht="12.75" x14ac:dyDescent="0.2"/>
    <row r="17711" ht="12.75" x14ac:dyDescent="0.2"/>
    <row r="17712" ht="12.75" x14ac:dyDescent="0.2"/>
    <row r="17713" ht="12.75" x14ac:dyDescent="0.2"/>
    <row r="17714" ht="12.75" x14ac:dyDescent="0.2"/>
    <row r="17715" ht="12.75" x14ac:dyDescent="0.2"/>
    <row r="17716" ht="12.75" x14ac:dyDescent="0.2"/>
    <row r="17717" ht="12.75" x14ac:dyDescent="0.2"/>
    <row r="17718" ht="12.75" x14ac:dyDescent="0.2"/>
    <row r="17719" ht="12.75" x14ac:dyDescent="0.2"/>
    <row r="17720" ht="12.75" x14ac:dyDescent="0.2"/>
    <row r="17721" ht="12.75" x14ac:dyDescent="0.2"/>
    <row r="17722" ht="12.75" x14ac:dyDescent="0.2"/>
    <row r="17723" ht="12.75" x14ac:dyDescent="0.2"/>
    <row r="17724" ht="12.75" x14ac:dyDescent="0.2"/>
    <row r="17725" ht="12.75" x14ac:dyDescent="0.2"/>
    <row r="17726" ht="12.75" x14ac:dyDescent="0.2"/>
    <row r="17727" ht="12.75" x14ac:dyDescent="0.2"/>
    <row r="17728" ht="12.75" x14ac:dyDescent="0.2"/>
    <row r="17729" ht="12.75" x14ac:dyDescent="0.2"/>
    <row r="17730" ht="12.75" x14ac:dyDescent="0.2"/>
    <row r="17731" ht="12.75" x14ac:dyDescent="0.2"/>
    <row r="17732" ht="12.75" x14ac:dyDescent="0.2"/>
    <row r="17733" ht="12.75" x14ac:dyDescent="0.2"/>
    <row r="17734" ht="12.75" x14ac:dyDescent="0.2"/>
    <row r="17735" ht="12.75" x14ac:dyDescent="0.2"/>
    <row r="17736" ht="12.75" x14ac:dyDescent="0.2"/>
    <row r="17737" ht="12.75" x14ac:dyDescent="0.2"/>
    <row r="17738" ht="12.75" x14ac:dyDescent="0.2"/>
    <row r="17739" ht="12.75" x14ac:dyDescent="0.2"/>
    <row r="17740" ht="12.75" x14ac:dyDescent="0.2"/>
    <row r="17741" ht="12.75" x14ac:dyDescent="0.2"/>
    <row r="17742" ht="12.75" x14ac:dyDescent="0.2"/>
    <row r="17743" ht="12.75" x14ac:dyDescent="0.2"/>
    <row r="17744" ht="12.75" x14ac:dyDescent="0.2"/>
    <row r="17745" ht="12.75" x14ac:dyDescent="0.2"/>
    <row r="17746" ht="12.75" x14ac:dyDescent="0.2"/>
    <row r="17747" ht="12.75" x14ac:dyDescent="0.2"/>
    <row r="17748" ht="12.75" x14ac:dyDescent="0.2"/>
    <row r="17749" ht="12.75" x14ac:dyDescent="0.2"/>
    <row r="17750" ht="12.75" x14ac:dyDescent="0.2"/>
    <row r="17751" ht="12.75" x14ac:dyDescent="0.2"/>
    <row r="17752" ht="12.75" x14ac:dyDescent="0.2"/>
    <row r="17753" ht="12.75" x14ac:dyDescent="0.2"/>
    <row r="17754" ht="12.75" x14ac:dyDescent="0.2"/>
    <row r="17755" ht="12.75" x14ac:dyDescent="0.2"/>
    <row r="17756" ht="12.75" x14ac:dyDescent="0.2"/>
    <row r="17757" ht="12.75" x14ac:dyDescent="0.2"/>
    <row r="17758" ht="12.75" x14ac:dyDescent="0.2"/>
    <row r="17759" ht="12.75" x14ac:dyDescent="0.2"/>
    <row r="17760" ht="12.75" x14ac:dyDescent="0.2"/>
    <row r="17761" ht="12.75" x14ac:dyDescent="0.2"/>
    <row r="17762" ht="12.75" x14ac:dyDescent="0.2"/>
    <row r="17763" ht="12.75" x14ac:dyDescent="0.2"/>
    <row r="17764" ht="12.75" x14ac:dyDescent="0.2"/>
    <row r="17765" ht="12.75" x14ac:dyDescent="0.2"/>
    <row r="17766" ht="12.75" x14ac:dyDescent="0.2"/>
    <row r="17767" ht="12.75" x14ac:dyDescent="0.2"/>
    <row r="17768" ht="12.75" x14ac:dyDescent="0.2"/>
    <row r="17769" ht="12.75" x14ac:dyDescent="0.2"/>
    <row r="17770" ht="12.75" x14ac:dyDescent="0.2"/>
    <row r="17771" ht="12.75" x14ac:dyDescent="0.2"/>
    <row r="17772" ht="12.75" x14ac:dyDescent="0.2"/>
    <row r="17773" ht="12.75" x14ac:dyDescent="0.2"/>
    <row r="17774" ht="12.75" x14ac:dyDescent="0.2"/>
    <row r="17775" ht="12.75" x14ac:dyDescent="0.2"/>
    <row r="17776" ht="12.75" x14ac:dyDescent="0.2"/>
    <row r="17777" ht="12.75" x14ac:dyDescent="0.2"/>
    <row r="17778" ht="12.75" x14ac:dyDescent="0.2"/>
    <row r="17779" ht="12.75" x14ac:dyDescent="0.2"/>
    <row r="17780" ht="12.75" x14ac:dyDescent="0.2"/>
    <row r="17781" ht="12.75" x14ac:dyDescent="0.2"/>
    <row r="17782" ht="12.75" x14ac:dyDescent="0.2"/>
    <row r="17783" ht="12.75" x14ac:dyDescent="0.2"/>
    <row r="17784" ht="12.75" x14ac:dyDescent="0.2"/>
    <row r="17785" ht="12.75" x14ac:dyDescent="0.2"/>
    <row r="17786" ht="12.75" x14ac:dyDescent="0.2"/>
    <row r="17787" ht="12.75" x14ac:dyDescent="0.2"/>
    <row r="17788" ht="12.75" x14ac:dyDescent="0.2"/>
    <row r="17789" ht="12.75" x14ac:dyDescent="0.2"/>
    <row r="17790" ht="12.75" x14ac:dyDescent="0.2"/>
    <row r="17791" ht="12.75" x14ac:dyDescent="0.2"/>
    <row r="17792" ht="12.75" x14ac:dyDescent="0.2"/>
    <row r="17793" ht="12.75" x14ac:dyDescent="0.2"/>
    <row r="17794" ht="12.75" x14ac:dyDescent="0.2"/>
    <row r="17795" ht="12.75" x14ac:dyDescent="0.2"/>
    <row r="17796" ht="12.75" x14ac:dyDescent="0.2"/>
    <row r="17797" ht="12.75" x14ac:dyDescent="0.2"/>
    <row r="17798" ht="12.75" x14ac:dyDescent="0.2"/>
    <row r="17799" ht="12.75" x14ac:dyDescent="0.2"/>
    <row r="17800" ht="12.75" x14ac:dyDescent="0.2"/>
    <row r="17801" ht="12.75" x14ac:dyDescent="0.2"/>
    <row r="17802" ht="12.75" x14ac:dyDescent="0.2"/>
    <row r="17803" ht="12.75" x14ac:dyDescent="0.2"/>
    <row r="17804" ht="12.75" x14ac:dyDescent="0.2"/>
    <row r="17805" ht="12.75" x14ac:dyDescent="0.2"/>
    <row r="17806" ht="12.75" x14ac:dyDescent="0.2"/>
    <row r="17807" ht="12.75" x14ac:dyDescent="0.2"/>
    <row r="17808" ht="12.75" x14ac:dyDescent="0.2"/>
    <row r="17809" ht="12.75" x14ac:dyDescent="0.2"/>
    <row r="17810" ht="12.75" x14ac:dyDescent="0.2"/>
    <row r="17811" ht="12.75" x14ac:dyDescent="0.2"/>
    <row r="17812" ht="12.75" x14ac:dyDescent="0.2"/>
    <row r="17813" ht="12.75" x14ac:dyDescent="0.2"/>
    <row r="17814" ht="12.75" x14ac:dyDescent="0.2"/>
    <row r="17815" ht="12.75" x14ac:dyDescent="0.2"/>
    <row r="17816" ht="12.75" x14ac:dyDescent="0.2"/>
    <row r="17817" ht="12.75" x14ac:dyDescent="0.2"/>
    <row r="17818" ht="12.75" x14ac:dyDescent="0.2"/>
    <row r="17819" ht="12.75" x14ac:dyDescent="0.2"/>
    <row r="17820" ht="12.75" x14ac:dyDescent="0.2"/>
    <row r="17821" ht="12.75" x14ac:dyDescent="0.2"/>
    <row r="17822" ht="12.75" x14ac:dyDescent="0.2"/>
    <row r="17823" ht="12.75" x14ac:dyDescent="0.2"/>
    <row r="17824" ht="12.75" x14ac:dyDescent="0.2"/>
    <row r="17825" ht="12.75" x14ac:dyDescent="0.2"/>
    <row r="17826" ht="12.75" x14ac:dyDescent="0.2"/>
    <row r="17827" ht="12.75" x14ac:dyDescent="0.2"/>
    <row r="17828" ht="12.75" x14ac:dyDescent="0.2"/>
    <row r="17829" ht="12.75" x14ac:dyDescent="0.2"/>
    <row r="17830" ht="12.75" x14ac:dyDescent="0.2"/>
    <row r="17831" ht="12.75" x14ac:dyDescent="0.2"/>
    <row r="17832" ht="12.75" x14ac:dyDescent="0.2"/>
    <row r="17833" ht="12.75" x14ac:dyDescent="0.2"/>
    <row r="17834" ht="12.75" x14ac:dyDescent="0.2"/>
    <row r="17835" ht="12.75" x14ac:dyDescent="0.2"/>
    <row r="17836" ht="12.75" x14ac:dyDescent="0.2"/>
    <row r="17837" ht="12.75" x14ac:dyDescent="0.2"/>
    <row r="17838" ht="12.75" x14ac:dyDescent="0.2"/>
    <row r="17839" ht="12.75" x14ac:dyDescent="0.2"/>
    <row r="17840" ht="12.75" x14ac:dyDescent="0.2"/>
    <row r="17841" ht="12.75" x14ac:dyDescent="0.2"/>
    <row r="17842" ht="12.75" x14ac:dyDescent="0.2"/>
    <row r="17843" ht="12.75" x14ac:dyDescent="0.2"/>
    <row r="17844" ht="12.75" x14ac:dyDescent="0.2"/>
    <row r="17845" ht="12.75" x14ac:dyDescent="0.2"/>
    <row r="17846" ht="12.75" x14ac:dyDescent="0.2"/>
    <row r="17847" ht="12.75" x14ac:dyDescent="0.2"/>
    <row r="17848" ht="12.75" x14ac:dyDescent="0.2"/>
    <row r="17849" ht="12.75" x14ac:dyDescent="0.2"/>
    <row r="17850" ht="12.75" x14ac:dyDescent="0.2"/>
    <row r="17851" ht="12.75" x14ac:dyDescent="0.2"/>
    <row r="17852" ht="12.75" x14ac:dyDescent="0.2"/>
    <row r="17853" ht="12.75" x14ac:dyDescent="0.2"/>
    <row r="17854" ht="12.75" x14ac:dyDescent="0.2"/>
    <row r="17855" ht="12.75" x14ac:dyDescent="0.2"/>
    <row r="17856" ht="12.75" x14ac:dyDescent="0.2"/>
    <row r="17857" ht="12.75" x14ac:dyDescent="0.2"/>
    <row r="17858" ht="12.75" x14ac:dyDescent="0.2"/>
    <row r="17859" ht="12.75" x14ac:dyDescent="0.2"/>
    <row r="17860" ht="12.75" x14ac:dyDescent="0.2"/>
    <row r="17861" ht="12.75" x14ac:dyDescent="0.2"/>
    <row r="17862" ht="12.75" x14ac:dyDescent="0.2"/>
    <row r="17863" ht="12.75" x14ac:dyDescent="0.2"/>
    <row r="17864" ht="12.75" x14ac:dyDescent="0.2"/>
    <row r="17865" ht="12.75" x14ac:dyDescent="0.2"/>
    <row r="17866" ht="12.75" x14ac:dyDescent="0.2"/>
    <row r="17867" ht="12.75" x14ac:dyDescent="0.2"/>
    <row r="17868" ht="12.75" x14ac:dyDescent="0.2"/>
    <row r="17869" ht="12.75" x14ac:dyDescent="0.2"/>
    <row r="17870" ht="12.75" x14ac:dyDescent="0.2"/>
    <row r="17871" ht="12.75" x14ac:dyDescent="0.2"/>
    <row r="17872" ht="12.75" x14ac:dyDescent="0.2"/>
    <row r="17873" ht="12.75" x14ac:dyDescent="0.2"/>
    <row r="17874" ht="12.75" x14ac:dyDescent="0.2"/>
    <row r="17875" ht="12.75" x14ac:dyDescent="0.2"/>
    <row r="17876" ht="12.75" x14ac:dyDescent="0.2"/>
    <row r="17877" ht="12.75" x14ac:dyDescent="0.2"/>
    <row r="17878" ht="12.75" x14ac:dyDescent="0.2"/>
    <row r="17879" ht="12.75" x14ac:dyDescent="0.2"/>
    <row r="17880" ht="12.75" x14ac:dyDescent="0.2"/>
    <row r="17881" ht="12.75" x14ac:dyDescent="0.2"/>
    <row r="17882" ht="12.75" x14ac:dyDescent="0.2"/>
    <row r="17883" ht="12.75" x14ac:dyDescent="0.2"/>
    <row r="17884" ht="12.75" x14ac:dyDescent="0.2"/>
    <row r="17885" ht="12.75" x14ac:dyDescent="0.2"/>
    <row r="17886" ht="12.75" x14ac:dyDescent="0.2"/>
    <row r="17887" ht="12.75" x14ac:dyDescent="0.2"/>
    <row r="17888" ht="12.75" x14ac:dyDescent="0.2"/>
    <row r="17889" ht="12.75" x14ac:dyDescent="0.2"/>
    <row r="17890" ht="12.75" x14ac:dyDescent="0.2"/>
    <row r="17891" ht="12.75" x14ac:dyDescent="0.2"/>
    <row r="17892" ht="12.75" x14ac:dyDescent="0.2"/>
    <row r="17893" ht="12.75" x14ac:dyDescent="0.2"/>
    <row r="17894" ht="12.75" x14ac:dyDescent="0.2"/>
    <row r="17895" ht="12.75" x14ac:dyDescent="0.2"/>
    <row r="17896" ht="12.75" x14ac:dyDescent="0.2"/>
    <row r="17897" ht="12.75" x14ac:dyDescent="0.2"/>
    <row r="17898" ht="12.75" x14ac:dyDescent="0.2"/>
    <row r="17899" ht="12.75" x14ac:dyDescent="0.2"/>
    <row r="17900" ht="12.75" x14ac:dyDescent="0.2"/>
    <row r="17901" ht="12.75" x14ac:dyDescent="0.2"/>
    <row r="17902" ht="12.75" x14ac:dyDescent="0.2"/>
    <row r="17903" ht="12.75" x14ac:dyDescent="0.2"/>
    <row r="17904" ht="12.75" x14ac:dyDescent="0.2"/>
    <row r="17905" ht="12.75" x14ac:dyDescent="0.2"/>
    <row r="17906" ht="12.75" x14ac:dyDescent="0.2"/>
    <row r="17907" ht="12.75" x14ac:dyDescent="0.2"/>
    <row r="17908" ht="12.75" x14ac:dyDescent="0.2"/>
    <row r="17909" ht="12.75" x14ac:dyDescent="0.2"/>
    <row r="17910" ht="12.75" x14ac:dyDescent="0.2"/>
    <row r="17911" ht="12.75" x14ac:dyDescent="0.2"/>
    <row r="17912" ht="12.75" x14ac:dyDescent="0.2"/>
    <row r="17913" ht="12.75" x14ac:dyDescent="0.2"/>
    <row r="17914" ht="12.75" x14ac:dyDescent="0.2"/>
    <row r="17915" ht="12.75" x14ac:dyDescent="0.2"/>
    <row r="17916" ht="12.75" x14ac:dyDescent="0.2"/>
    <row r="17917" ht="12.75" x14ac:dyDescent="0.2"/>
    <row r="17918" ht="12.75" x14ac:dyDescent="0.2"/>
    <row r="17919" ht="12.75" x14ac:dyDescent="0.2"/>
    <row r="17920" ht="12.75" x14ac:dyDescent="0.2"/>
    <row r="17921" ht="12.75" x14ac:dyDescent="0.2"/>
    <row r="17922" ht="12.75" x14ac:dyDescent="0.2"/>
    <row r="17923" ht="12.75" x14ac:dyDescent="0.2"/>
    <row r="17924" ht="12.75" x14ac:dyDescent="0.2"/>
    <row r="17925" ht="12.75" x14ac:dyDescent="0.2"/>
    <row r="17926" ht="12.75" x14ac:dyDescent="0.2"/>
    <row r="17927" ht="12.75" x14ac:dyDescent="0.2"/>
    <row r="17928" ht="12.75" x14ac:dyDescent="0.2"/>
    <row r="17929" ht="12.75" x14ac:dyDescent="0.2"/>
    <row r="17930" ht="12.75" x14ac:dyDescent="0.2"/>
    <row r="17931" ht="12.75" x14ac:dyDescent="0.2"/>
    <row r="17932" ht="12.75" x14ac:dyDescent="0.2"/>
    <row r="17933" ht="12.75" x14ac:dyDescent="0.2"/>
    <row r="17934" ht="12.75" x14ac:dyDescent="0.2"/>
    <row r="17935" ht="12.75" x14ac:dyDescent="0.2"/>
    <row r="17936" ht="12.75" x14ac:dyDescent="0.2"/>
    <row r="17937" ht="12.75" x14ac:dyDescent="0.2"/>
    <row r="17938" ht="12.75" x14ac:dyDescent="0.2"/>
    <row r="17939" ht="12.75" x14ac:dyDescent="0.2"/>
    <row r="17940" ht="12.75" x14ac:dyDescent="0.2"/>
    <row r="17941" ht="12.75" x14ac:dyDescent="0.2"/>
    <row r="17942" ht="12.75" x14ac:dyDescent="0.2"/>
    <row r="17943" ht="12.75" x14ac:dyDescent="0.2"/>
    <row r="17944" ht="12.75" x14ac:dyDescent="0.2"/>
    <row r="17945" ht="12.75" x14ac:dyDescent="0.2"/>
    <row r="17946" ht="12.75" x14ac:dyDescent="0.2"/>
    <row r="17947" ht="12.75" x14ac:dyDescent="0.2"/>
    <row r="17948" ht="12.75" x14ac:dyDescent="0.2"/>
    <row r="17949" ht="12.75" x14ac:dyDescent="0.2"/>
    <row r="17950" ht="12.75" x14ac:dyDescent="0.2"/>
    <row r="17951" ht="12.75" x14ac:dyDescent="0.2"/>
    <row r="17952" ht="12.75" x14ac:dyDescent="0.2"/>
    <row r="17953" ht="12.75" x14ac:dyDescent="0.2"/>
    <row r="17954" ht="12.75" x14ac:dyDescent="0.2"/>
    <row r="17955" ht="12.75" x14ac:dyDescent="0.2"/>
    <row r="17956" ht="12.75" x14ac:dyDescent="0.2"/>
    <row r="17957" ht="12.75" x14ac:dyDescent="0.2"/>
    <row r="17958" ht="12.75" x14ac:dyDescent="0.2"/>
    <row r="17959" ht="12.75" x14ac:dyDescent="0.2"/>
    <row r="17960" ht="12.75" x14ac:dyDescent="0.2"/>
    <row r="17961" ht="12.75" x14ac:dyDescent="0.2"/>
    <row r="17962" ht="12.75" x14ac:dyDescent="0.2"/>
    <row r="17963" ht="12.75" x14ac:dyDescent="0.2"/>
    <row r="17964" ht="12.75" x14ac:dyDescent="0.2"/>
    <row r="17965" ht="12.75" x14ac:dyDescent="0.2"/>
    <row r="17966" ht="12.75" x14ac:dyDescent="0.2"/>
    <row r="17967" ht="12.75" x14ac:dyDescent="0.2"/>
    <row r="17968" ht="12.75" x14ac:dyDescent="0.2"/>
    <row r="17969" ht="12.75" x14ac:dyDescent="0.2"/>
    <row r="17970" ht="12.75" x14ac:dyDescent="0.2"/>
    <row r="17971" ht="12.75" x14ac:dyDescent="0.2"/>
    <row r="17972" ht="12.75" x14ac:dyDescent="0.2"/>
    <row r="17973" ht="12.75" x14ac:dyDescent="0.2"/>
    <row r="17974" ht="12.75" x14ac:dyDescent="0.2"/>
    <row r="17975" ht="12.75" x14ac:dyDescent="0.2"/>
    <row r="17976" ht="12.75" x14ac:dyDescent="0.2"/>
    <row r="17977" ht="12.75" x14ac:dyDescent="0.2"/>
    <row r="17978" ht="12.75" x14ac:dyDescent="0.2"/>
    <row r="17979" ht="12.75" x14ac:dyDescent="0.2"/>
    <row r="17980" ht="12.75" x14ac:dyDescent="0.2"/>
    <row r="17981" ht="12.75" x14ac:dyDescent="0.2"/>
    <row r="17982" ht="12.75" x14ac:dyDescent="0.2"/>
    <row r="17983" ht="12.75" x14ac:dyDescent="0.2"/>
    <row r="17984" ht="12.75" x14ac:dyDescent="0.2"/>
    <row r="17985" ht="12.75" x14ac:dyDescent="0.2"/>
    <row r="17986" ht="12.75" x14ac:dyDescent="0.2"/>
    <row r="17987" ht="12.75" x14ac:dyDescent="0.2"/>
    <row r="17988" ht="12.75" x14ac:dyDescent="0.2"/>
    <row r="17989" ht="12.75" x14ac:dyDescent="0.2"/>
    <row r="17990" ht="12.75" x14ac:dyDescent="0.2"/>
    <row r="17991" ht="12.75" x14ac:dyDescent="0.2"/>
    <row r="17992" ht="12.75" x14ac:dyDescent="0.2"/>
    <row r="17993" ht="12.75" x14ac:dyDescent="0.2"/>
    <row r="17994" ht="12.75" x14ac:dyDescent="0.2"/>
    <row r="17995" ht="12.75" x14ac:dyDescent="0.2"/>
    <row r="17996" ht="12.75" x14ac:dyDescent="0.2"/>
    <row r="17997" ht="12.75" x14ac:dyDescent="0.2"/>
    <row r="17998" ht="12.75" x14ac:dyDescent="0.2"/>
    <row r="17999" ht="12.75" x14ac:dyDescent="0.2"/>
    <row r="18000" ht="12.75" x14ac:dyDescent="0.2"/>
    <row r="18001" ht="12.75" x14ac:dyDescent="0.2"/>
    <row r="18002" ht="12.75" x14ac:dyDescent="0.2"/>
    <row r="18003" ht="12.75" x14ac:dyDescent="0.2"/>
    <row r="18004" ht="12.75" x14ac:dyDescent="0.2"/>
    <row r="18005" ht="12.75" x14ac:dyDescent="0.2"/>
    <row r="18006" ht="12.75" x14ac:dyDescent="0.2"/>
    <row r="18007" ht="12.75" x14ac:dyDescent="0.2"/>
    <row r="18008" ht="12.75" x14ac:dyDescent="0.2"/>
    <row r="18009" ht="12.75" x14ac:dyDescent="0.2"/>
    <row r="18010" ht="12.75" x14ac:dyDescent="0.2"/>
    <row r="18011" ht="12.75" x14ac:dyDescent="0.2"/>
    <row r="18012" ht="12.75" x14ac:dyDescent="0.2"/>
    <row r="18013" ht="12.75" x14ac:dyDescent="0.2"/>
    <row r="18014" ht="12.75" x14ac:dyDescent="0.2"/>
    <row r="18015" ht="12.75" x14ac:dyDescent="0.2"/>
    <row r="18016" ht="12.75" x14ac:dyDescent="0.2"/>
    <row r="18017" ht="12.75" x14ac:dyDescent="0.2"/>
    <row r="18018" ht="12.75" x14ac:dyDescent="0.2"/>
    <row r="18019" ht="12.75" x14ac:dyDescent="0.2"/>
    <row r="18020" ht="12.75" x14ac:dyDescent="0.2"/>
    <row r="18021" ht="12.75" x14ac:dyDescent="0.2"/>
    <row r="18022" ht="12.75" x14ac:dyDescent="0.2"/>
    <row r="18023" ht="12.75" x14ac:dyDescent="0.2"/>
    <row r="18024" ht="12.75" x14ac:dyDescent="0.2"/>
    <row r="18025" ht="12.75" x14ac:dyDescent="0.2"/>
    <row r="18026" ht="12.75" x14ac:dyDescent="0.2"/>
    <row r="18027" ht="12.75" x14ac:dyDescent="0.2"/>
    <row r="18028" ht="12.75" x14ac:dyDescent="0.2"/>
    <row r="18029" ht="12.75" x14ac:dyDescent="0.2"/>
    <row r="18030" ht="12.75" x14ac:dyDescent="0.2"/>
    <row r="18031" ht="12.75" x14ac:dyDescent="0.2"/>
    <row r="18032" ht="12.75" x14ac:dyDescent="0.2"/>
    <row r="18033" ht="12.75" x14ac:dyDescent="0.2"/>
    <row r="18034" ht="12.75" x14ac:dyDescent="0.2"/>
    <row r="18035" ht="12.75" x14ac:dyDescent="0.2"/>
    <row r="18036" ht="12.75" x14ac:dyDescent="0.2"/>
    <row r="18037" ht="12.75" x14ac:dyDescent="0.2"/>
    <row r="18038" ht="12.75" x14ac:dyDescent="0.2"/>
    <row r="18039" ht="12.75" x14ac:dyDescent="0.2"/>
    <row r="18040" ht="12.75" x14ac:dyDescent="0.2"/>
    <row r="18041" ht="12.75" x14ac:dyDescent="0.2"/>
    <row r="18042" ht="12.75" x14ac:dyDescent="0.2"/>
    <row r="18043" ht="12.75" x14ac:dyDescent="0.2"/>
    <row r="18044" ht="12.75" x14ac:dyDescent="0.2"/>
    <row r="18045" ht="12.75" x14ac:dyDescent="0.2"/>
    <row r="18046" ht="12.75" x14ac:dyDescent="0.2"/>
    <row r="18047" ht="12.75" x14ac:dyDescent="0.2"/>
    <row r="18048" ht="12.75" x14ac:dyDescent="0.2"/>
    <row r="18049" ht="12.75" x14ac:dyDescent="0.2"/>
    <row r="18050" ht="12.75" x14ac:dyDescent="0.2"/>
    <row r="18051" ht="12.75" x14ac:dyDescent="0.2"/>
    <row r="18052" ht="12.75" x14ac:dyDescent="0.2"/>
    <row r="18053" ht="12.75" x14ac:dyDescent="0.2"/>
    <row r="18054" ht="12.75" x14ac:dyDescent="0.2"/>
    <row r="18055" ht="12.75" x14ac:dyDescent="0.2"/>
    <row r="18056" ht="12.75" x14ac:dyDescent="0.2"/>
    <row r="18057" ht="12.75" x14ac:dyDescent="0.2"/>
    <row r="18058" ht="12.75" x14ac:dyDescent="0.2"/>
    <row r="18059" ht="12.75" x14ac:dyDescent="0.2"/>
    <row r="18060" ht="12.75" x14ac:dyDescent="0.2"/>
    <row r="18061" ht="12.75" x14ac:dyDescent="0.2"/>
    <row r="18062" ht="12.75" x14ac:dyDescent="0.2"/>
    <row r="18063" ht="12.75" x14ac:dyDescent="0.2"/>
    <row r="18064" ht="12.75" x14ac:dyDescent="0.2"/>
    <row r="18065" ht="12.75" x14ac:dyDescent="0.2"/>
    <row r="18066" ht="12.75" x14ac:dyDescent="0.2"/>
    <row r="18067" ht="12.75" x14ac:dyDescent="0.2"/>
    <row r="18068" ht="12.75" x14ac:dyDescent="0.2"/>
    <row r="18069" ht="12.75" x14ac:dyDescent="0.2"/>
    <row r="18070" ht="12.75" x14ac:dyDescent="0.2"/>
    <row r="18071" ht="12.75" x14ac:dyDescent="0.2"/>
    <row r="18072" ht="12.75" x14ac:dyDescent="0.2"/>
    <row r="18073" ht="12.75" x14ac:dyDescent="0.2"/>
    <row r="18074" ht="12.75" x14ac:dyDescent="0.2"/>
    <row r="18075" ht="12.75" x14ac:dyDescent="0.2"/>
    <row r="18076" ht="12.75" x14ac:dyDescent="0.2"/>
    <row r="18077" ht="12.75" x14ac:dyDescent="0.2"/>
    <row r="18078" ht="12.75" x14ac:dyDescent="0.2"/>
    <row r="18079" ht="12.75" x14ac:dyDescent="0.2"/>
    <row r="18080" ht="12.75" x14ac:dyDescent="0.2"/>
    <row r="18081" ht="12.75" x14ac:dyDescent="0.2"/>
    <row r="18082" ht="12.75" x14ac:dyDescent="0.2"/>
    <row r="18083" ht="12.75" x14ac:dyDescent="0.2"/>
    <row r="18084" ht="12.75" x14ac:dyDescent="0.2"/>
    <row r="18085" ht="12.75" x14ac:dyDescent="0.2"/>
    <row r="18086" ht="12.75" x14ac:dyDescent="0.2"/>
    <row r="18087" ht="12.75" x14ac:dyDescent="0.2"/>
    <row r="18088" ht="12.75" x14ac:dyDescent="0.2"/>
    <row r="18089" ht="12.75" x14ac:dyDescent="0.2"/>
    <row r="18090" ht="12.75" x14ac:dyDescent="0.2"/>
    <row r="18091" ht="12.75" x14ac:dyDescent="0.2"/>
    <row r="18092" ht="12.75" x14ac:dyDescent="0.2"/>
    <row r="18093" ht="12.75" x14ac:dyDescent="0.2"/>
    <row r="18094" ht="12.75" x14ac:dyDescent="0.2"/>
    <row r="18095" ht="12.75" x14ac:dyDescent="0.2"/>
    <row r="18096" ht="12.75" x14ac:dyDescent="0.2"/>
    <row r="18097" ht="12.75" x14ac:dyDescent="0.2"/>
    <row r="18098" ht="12.75" x14ac:dyDescent="0.2"/>
    <row r="18099" ht="12.75" x14ac:dyDescent="0.2"/>
    <row r="18100" ht="12.75" x14ac:dyDescent="0.2"/>
    <row r="18101" ht="12.75" x14ac:dyDescent="0.2"/>
    <row r="18102" ht="12.75" x14ac:dyDescent="0.2"/>
    <row r="18103" ht="12.75" x14ac:dyDescent="0.2"/>
    <row r="18104" ht="12.75" x14ac:dyDescent="0.2"/>
    <row r="18105" ht="12.75" x14ac:dyDescent="0.2"/>
    <row r="18106" ht="12.75" x14ac:dyDescent="0.2"/>
    <row r="18107" ht="12.75" x14ac:dyDescent="0.2"/>
    <row r="18108" ht="12.75" x14ac:dyDescent="0.2"/>
    <row r="18109" ht="12.75" x14ac:dyDescent="0.2"/>
    <row r="18110" ht="12.75" x14ac:dyDescent="0.2"/>
    <row r="18111" ht="12.75" x14ac:dyDescent="0.2"/>
    <row r="18112" ht="12.75" x14ac:dyDescent="0.2"/>
    <row r="18113" ht="12.75" x14ac:dyDescent="0.2"/>
    <row r="18114" ht="12.75" x14ac:dyDescent="0.2"/>
    <row r="18115" ht="12.75" x14ac:dyDescent="0.2"/>
    <row r="18116" ht="12.75" x14ac:dyDescent="0.2"/>
    <row r="18117" ht="12.75" x14ac:dyDescent="0.2"/>
    <row r="18118" ht="12.75" x14ac:dyDescent="0.2"/>
    <row r="18119" ht="12.75" x14ac:dyDescent="0.2"/>
    <row r="18120" ht="12.75" x14ac:dyDescent="0.2"/>
    <row r="18121" ht="12.75" x14ac:dyDescent="0.2"/>
    <row r="18122" ht="12.75" x14ac:dyDescent="0.2"/>
    <row r="18123" ht="12.75" x14ac:dyDescent="0.2"/>
    <row r="18124" ht="12.75" x14ac:dyDescent="0.2"/>
    <row r="18125" ht="12.75" x14ac:dyDescent="0.2"/>
    <row r="18126" ht="12.75" x14ac:dyDescent="0.2"/>
    <row r="18127" ht="12.75" x14ac:dyDescent="0.2"/>
    <row r="18128" ht="12.75" x14ac:dyDescent="0.2"/>
    <row r="18129" ht="12.75" x14ac:dyDescent="0.2"/>
    <row r="18130" ht="12.75" x14ac:dyDescent="0.2"/>
    <row r="18131" ht="12.75" x14ac:dyDescent="0.2"/>
    <row r="18132" ht="12.75" x14ac:dyDescent="0.2"/>
    <row r="18133" ht="12.75" x14ac:dyDescent="0.2"/>
    <row r="18134" ht="12.75" x14ac:dyDescent="0.2"/>
    <row r="18135" ht="12.75" x14ac:dyDescent="0.2"/>
    <row r="18136" ht="12.75" x14ac:dyDescent="0.2"/>
    <row r="18137" ht="12.75" x14ac:dyDescent="0.2"/>
    <row r="18138" ht="12.75" x14ac:dyDescent="0.2"/>
    <row r="18139" ht="12.75" x14ac:dyDescent="0.2"/>
    <row r="18140" ht="12.75" x14ac:dyDescent="0.2"/>
    <row r="18141" ht="12.75" x14ac:dyDescent="0.2"/>
    <row r="18142" ht="12.75" x14ac:dyDescent="0.2"/>
    <row r="18143" ht="12.75" x14ac:dyDescent="0.2"/>
    <row r="18144" ht="12.75" x14ac:dyDescent="0.2"/>
    <row r="18145" ht="12.75" x14ac:dyDescent="0.2"/>
    <row r="18146" ht="12.75" x14ac:dyDescent="0.2"/>
    <row r="18147" ht="12.75" x14ac:dyDescent="0.2"/>
    <row r="18148" ht="12.75" x14ac:dyDescent="0.2"/>
    <row r="18149" ht="12.75" x14ac:dyDescent="0.2"/>
    <row r="18150" ht="12.75" x14ac:dyDescent="0.2"/>
    <row r="18151" ht="12.75" x14ac:dyDescent="0.2"/>
    <row r="18152" ht="12.75" x14ac:dyDescent="0.2"/>
    <row r="18153" ht="12.75" x14ac:dyDescent="0.2"/>
    <row r="18154" ht="12.75" x14ac:dyDescent="0.2"/>
    <row r="18155" ht="12.75" x14ac:dyDescent="0.2"/>
    <row r="18156" ht="12.75" x14ac:dyDescent="0.2"/>
    <row r="18157" ht="12.75" x14ac:dyDescent="0.2"/>
    <row r="18158" ht="12.75" x14ac:dyDescent="0.2"/>
    <row r="18159" ht="12.75" x14ac:dyDescent="0.2"/>
    <row r="18160" ht="12.75" x14ac:dyDescent="0.2"/>
    <row r="18161" ht="12.75" x14ac:dyDescent="0.2"/>
    <row r="18162" ht="12.75" x14ac:dyDescent="0.2"/>
    <row r="18163" ht="12.75" x14ac:dyDescent="0.2"/>
    <row r="18164" ht="12.75" x14ac:dyDescent="0.2"/>
    <row r="18165" ht="12.75" x14ac:dyDescent="0.2"/>
    <row r="18166" ht="12.75" x14ac:dyDescent="0.2"/>
    <row r="18167" ht="12.75" x14ac:dyDescent="0.2"/>
    <row r="18168" ht="12.75" x14ac:dyDescent="0.2"/>
    <row r="18169" ht="12.75" x14ac:dyDescent="0.2"/>
    <row r="18170" ht="12.75" x14ac:dyDescent="0.2"/>
    <row r="18171" ht="12.75" x14ac:dyDescent="0.2"/>
    <row r="18172" ht="12.75" x14ac:dyDescent="0.2"/>
    <row r="18173" ht="12.75" x14ac:dyDescent="0.2"/>
    <row r="18174" ht="12.75" x14ac:dyDescent="0.2"/>
    <row r="18175" ht="12.75" x14ac:dyDescent="0.2"/>
    <row r="18176" ht="12.75" x14ac:dyDescent="0.2"/>
    <row r="18177" ht="12.75" x14ac:dyDescent="0.2"/>
    <row r="18178" ht="12.75" x14ac:dyDescent="0.2"/>
    <row r="18179" ht="12.75" x14ac:dyDescent="0.2"/>
    <row r="18180" ht="12.75" x14ac:dyDescent="0.2"/>
    <row r="18181" ht="12.75" x14ac:dyDescent="0.2"/>
    <row r="18182" ht="12.75" x14ac:dyDescent="0.2"/>
    <row r="18183" ht="12.75" x14ac:dyDescent="0.2"/>
    <row r="18184" ht="12.75" x14ac:dyDescent="0.2"/>
    <row r="18185" ht="12.75" x14ac:dyDescent="0.2"/>
    <row r="18186" ht="12.75" x14ac:dyDescent="0.2"/>
    <row r="18187" ht="12.75" x14ac:dyDescent="0.2"/>
    <row r="18188" ht="12.75" x14ac:dyDescent="0.2"/>
    <row r="18189" ht="12.75" x14ac:dyDescent="0.2"/>
    <row r="18190" ht="12.75" x14ac:dyDescent="0.2"/>
    <row r="18191" ht="12.75" x14ac:dyDescent="0.2"/>
    <row r="18192" ht="12.75" x14ac:dyDescent="0.2"/>
    <row r="18193" ht="12.75" x14ac:dyDescent="0.2"/>
    <row r="18194" ht="12.75" x14ac:dyDescent="0.2"/>
    <row r="18195" ht="12.75" x14ac:dyDescent="0.2"/>
    <row r="18196" ht="12.75" x14ac:dyDescent="0.2"/>
    <row r="18197" ht="12.75" x14ac:dyDescent="0.2"/>
    <row r="18198" ht="12.75" x14ac:dyDescent="0.2"/>
    <row r="18199" ht="12.75" x14ac:dyDescent="0.2"/>
    <row r="18200" ht="12.75" x14ac:dyDescent="0.2"/>
    <row r="18201" ht="12.75" x14ac:dyDescent="0.2"/>
    <row r="18202" ht="12.75" x14ac:dyDescent="0.2"/>
    <row r="18203" ht="12.75" x14ac:dyDescent="0.2"/>
    <row r="18204" ht="12.75" x14ac:dyDescent="0.2"/>
    <row r="18205" ht="12.75" x14ac:dyDescent="0.2"/>
    <row r="18206" ht="12.75" x14ac:dyDescent="0.2"/>
    <row r="18207" ht="12.75" x14ac:dyDescent="0.2"/>
    <row r="18208" ht="12.75" x14ac:dyDescent="0.2"/>
    <row r="18209" ht="12.75" x14ac:dyDescent="0.2"/>
    <row r="18210" ht="12.75" x14ac:dyDescent="0.2"/>
    <row r="18211" ht="12.75" x14ac:dyDescent="0.2"/>
    <row r="18212" ht="12.75" x14ac:dyDescent="0.2"/>
    <row r="18213" ht="12.75" x14ac:dyDescent="0.2"/>
    <row r="18214" ht="12.75" x14ac:dyDescent="0.2"/>
    <row r="18215" ht="12.75" x14ac:dyDescent="0.2"/>
    <row r="18216" ht="12.75" x14ac:dyDescent="0.2"/>
    <row r="18217" ht="12.75" x14ac:dyDescent="0.2"/>
    <row r="18218" ht="12.75" x14ac:dyDescent="0.2"/>
    <row r="18219" ht="12.75" x14ac:dyDescent="0.2"/>
    <row r="18220" ht="12.75" x14ac:dyDescent="0.2"/>
    <row r="18221" ht="12.75" x14ac:dyDescent="0.2"/>
    <row r="18222" ht="12.75" x14ac:dyDescent="0.2"/>
    <row r="18223" ht="12.75" x14ac:dyDescent="0.2"/>
    <row r="18224" ht="12.75" x14ac:dyDescent="0.2"/>
    <row r="18225" ht="12.75" x14ac:dyDescent="0.2"/>
    <row r="18226" ht="12.75" x14ac:dyDescent="0.2"/>
    <row r="18227" ht="12.75" x14ac:dyDescent="0.2"/>
    <row r="18228" ht="12.75" x14ac:dyDescent="0.2"/>
    <row r="18229" ht="12.75" x14ac:dyDescent="0.2"/>
    <row r="18230" ht="12.75" x14ac:dyDescent="0.2"/>
    <row r="18231" ht="12.75" x14ac:dyDescent="0.2"/>
    <row r="18232" ht="12.75" x14ac:dyDescent="0.2"/>
    <row r="18233" ht="12.75" x14ac:dyDescent="0.2"/>
    <row r="18234" ht="12.75" x14ac:dyDescent="0.2"/>
    <row r="18235" ht="12.75" x14ac:dyDescent="0.2"/>
    <row r="18236" ht="12.75" x14ac:dyDescent="0.2"/>
    <row r="18237" ht="12.75" x14ac:dyDescent="0.2"/>
    <row r="18238" ht="12.75" x14ac:dyDescent="0.2"/>
    <row r="18239" ht="12.75" x14ac:dyDescent="0.2"/>
    <row r="18240" ht="12.75" x14ac:dyDescent="0.2"/>
    <row r="18241" ht="12.75" x14ac:dyDescent="0.2"/>
    <row r="18242" ht="12.75" x14ac:dyDescent="0.2"/>
    <row r="18243" ht="12.75" x14ac:dyDescent="0.2"/>
    <row r="18244" ht="12.75" x14ac:dyDescent="0.2"/>
    <row r="18245" ht="12.75" x14ac:dyDescent="0.2"/>
    <row r="18246" ht="12.75" x14ac:dyDescent="0.2"/>
    <row r="18247" ht="12.75" x14ac:dyDescent="0.2"/>
    <row r="18248" ht="12.75" x14ac:dyDescent="0.2"/>
    <row r="18249" ht="12.75" x14ac:dyDescent="0.2"/>
    <row r="18250" ht="12.75" x14ac:dyDescent="0.2"/>
    <row r="18251" ht="12.75" x14ac:dyDescent="0.2"/>
    <row r="18252" ht="12.75" x14ac:dyDescent="0.2"/>
    <row r="18253" ht="12.75" x14ac:dyDescent="0.2"/>
    <row r="18254" ht="12.75" x14ac:dyDescent="0.2"/>
    <row r="18255" ht="12.75" x14ac:dyDescent="0.2"/>
    <row r="18256" ht="12.75" x14ac:dyDescent="0.2"/>
    <row r="18257" ht="12.75" x14ac:dyDescent="0.2"/>
    <row r="18258" ht="12.75" x14ac:dyDescent="0.2"/>
    <row r="18259" ht="12.75" x14ac:dyDescent="0.2"/>
    <row r="18260" ht="12.75" x14ac:dyDescent="0.2"/>
    <row r="18261" ht="12.75" x14ac:dyDescent="0.2"/>
    <row r="18262" ht="12.75" x14ac:dyDescent="0.2"/>
    <row r="18263" ht="12.75" x14ac:dyDescent="0.2"/>
    <row r="18264" ht="12.75" x14ac:dyDescent="0.2"/>
    <row r="18265" ht="12.75" x14ac:dyDescent="0.2"/>
    <row r="18266" ht="12.75" x14ac:dyDescent="0.2"/>
    <row r="18267" ht="12.75" x14ac:dyDescent="0.2"/>
    <row r="18268" ht="12.75" x14ac:dyDescent="0.2"/>
    <row r="18269" ht="12.75" x14ac:dyDescent="0.2"/>
    <row r="18270" ht="12.75" x14ac:dyDescent="0.2"/>
    <row r="18271" ht="12.75" x14ac:dyDescent="0.2"/>
    <row r="18272" ht="12.75" x14ac:dyDescent="0.2"/>
    <row r="18273" ht="12.75" x14ac:dyDescent="0.2"/>
    <row r="18274" ht="12.75" x14ac:dyDescent="0.2"/>
    <row r="18275" ht="12.75" x14ac:dyDescent="0.2"/>
    <row r="18276" ht="12.75" x14ac:dyDescent="0.2"/>
    <row r="18277" ht="12.75" x14ac:dyDescent="0.2"/>
    <row r="18278" ht="12.75" x14ac:dyDescent="0.2"/>
    <row r="18279" ht="12.75" x14ac:dyDescent="0.2"/>
    <row r="18280" ht="12.75" x14ac:dyDescent="0.2"/>
    <row r="18281" ht="12.75" x14ac:dyDescent="0.2"/>
    <row r="18282" ht="12.75" x14ac:dyDescent="0.2"/>
    <row r="18283" ht="12.75" x14ac:dyDescent="0.2"/>
    <row r="18284" ht="12.75" x14ac:dyDescent="0.2"/>
    <row r="18285" ht="12.75" x14ac:dyDescent="0.2"/>
    <row r="18286" ht="12.75" x14ac:dyDescent="0.2"/>
    <row r="18287" ht="12.75" x14ac:dyDescent="0.2"/>
    <row r="18288" ht="12.75" x14ac:dyDescent="0.2"/>
    <row r="18289" ht="12.75" x14ac:dyDescent="0.2"/>
    <row r="18290" ht="12.75" x14ac:dyDescent="0.2"/>
    <row r="18291" ht="12.75" x14ac:dyDescent="0.2"/>
    <row r="18292" ht="12.75" x14ac:dyDescent="0.2"/>
    <row r="18293" ht="12.75" x14ac:dyDescent="0.2"/>
    <row r="18294" ht="12.75" x14ac:dyDescent="0.2"/>
    <row r="18295" ht="12.75" x14ac:dyDescent="0.2"/>
    <row r="18296" ht="12.75" x14ac:dyDescent="0.2"/>
    <row r="18297" ht="12.75" x14ac:dyDescent="0.2"/>
    <row r="18298" ht="12.75" x14ac:dyDescent="0.2"/>
    <row r="18299" ht="12.75" x14ac:dyDescent="0.2"/>
    <row r="18300" ht="12.75" x14ac:dyDescent="0.2"/>
    <row r="18301" ht="12.75" x14ac:dyDescent="0.2"/>
    <row r="18302" ht="12.75" x14ac:dyDescent="0.2"/>
    <row r="18303" ht="12.75" x14ac:dyDescent="0.2"/>
    <row r="18304" ht="12.75" x14ac:dyDescent="0.2"/>
    <row r="18305" ht="12.75" x14ac:dyDescent="0.2"/>
    <row r="18306" ht="12.75" x14ac:dyDescent="0.2"/>
    <row r="18307" ht="12.75" x14ac:dyDescent="0.2"/>
    <row r="18308" ht="12.75" x14ac:dyDescent="0.2"/>
    <row r="18309" ht="12.75" x14ac:dyDescent="0.2"/>
    <row r="18310" ht="12.75" x14ac:dyDescent="0.2"/>
    <row r="18311" ht="12.75" x14ac:dyDescent="0.2"/>
    <row r="18312" ht="12.75" x14ac:dyDescent="0.2"/>
    <row r="18313" ht="12.75" x14ac:dyDescent="0.2"/>
    <row r="18314" ht="12.75" x14ac:dyDescent="0.2"/>
    <row r="18315" ht="12.75" x14ac:dyDescent="0.2"/>
    <row r="18316" ht="12.75" x14ac:dyDescent="0.2"/>
    <row r="18317" ht="12.75" x14ac:dyDescent="0.2"/>
    <row r="18318" ht="12.75" x14ac:dyDescent="0.2"/>
    <row r="18319" ht="12.75" x14ac:dyDescent="0.2"/>
    <row r="18320" ht="12.75" x14ac:dyDescent="0.2"/>
    <row r="18321" ht="12.75" x14ac:dyDescent="0.2"/>
    <row r="18322" ht="12.75" x14ac:dyDescent="0.2"/>
    <row r="18323" ht="12.75" x14ac:dyDescent="0.2"/>
    <row r="18324" ht="12.75" x14ac:dyDescent="0.2"/>
    <row r="18325" ht="12.75" x14ac:dyDescent="0.2"/>
    <row r="18326" ht="12.75" x14ac:dyDescent="0.2"/>
    <row r="18327" ht="12.75" x14ac:dyDescent="0.2"/>
    <row r="18328" ht="12.75" x14ac:dyDescent="0.2"/>
    <row r="18329" ht="12.75" x14ac:dyDescent="0.2"/>
    <row r="18330" ht="12.75" x14ac:dyDescent="0.2"/>
    <row r="18331" ht="12.75" x14ac:dyDescent="0.2"/>
    <row r="18332" ht="12.75" x14ac:dyDescent="0.2"/>
    <row r="18333" ht="12.75" x14ac:dyDescent="0.2"/>
    <row r="18334" ht="12.75" x14ac:dyDescent="0.2"/>
    <row r="18335" ht="12.75" x14ac:dyDescent="0.2"/>
    <row r="18336" ht="12.75" x14ac:dyDescent="0.2"/>
    <row r="18337" ht="12.75" x14ac:dyDescent="0.2"/>
    <row r="18338" ht="12.75" x14ac:dyDescent="0.2"/>
    <row r="18339" ht="12.75" x14ac:dyDescent="0.2"/>
    <row r="18340" ht="12.75" x14ac:dyDescent="0.2"/>
    <row r="18341" ht="12.75" x14ac:dyDescent="0.2"/>
    <row r="18342" ht="12.75" x14ac:dyDescent="0.2"/>
    <row r="18343" ht="12.75" x14ac:dyDescent="0.2"/>
    <row r="18344" ht="12.75" x14ac:dyDescent="0.2"/>
    <row r="18345" ht="12.75" x14ac:dyDescent="0.2"/>
    <row r="18346" ht="12.75" x14ac:dyDescent="0.2"/>
    <row r="18347" ht="12.75" x14ac:dyDescent="0.2"/>
    <row r="18348" ht="12.75" x14ac:dyDescent="0.2"/>
    <row r="18349" ht="12.75" x14ac:dyDescent="0.2"/>
    <row r="18350" ht="12.75" x14ac:dyDescent="0.2"/>
    <row r="18351" ht="12.75" x14ac:dyDescent="0.2"/>
    <row r="18352" ht="12.75" x14ac:dyDescent="0.2"/>
    <row r="18353" ht="12.75" x14ac:dyDescent="0.2"/>
    <row r="18354" ht="12.75" x14ac:dyDescent="0.2"/>
    <row r="18355" ht="12.75" x14ac:dyDescent="0.2"/>
    <row r="18356" ht="12.75" x14ac:dyDescent="0.2"/>
    <row r="18357" ht="12.75" x14ac:dyDescent="0.2"/>
    <row r="18358" ht="12.75" x14ac:dyDescent="0.2"/>
    <row r="18359" ht="12.75" x14ac:dyDescent="0.2"/>
    <row r="18360" ht="12.75" x14ac:dyDescent="0.2"/>
    <row r="18361" ht="12.75" x14ac:dyDescent="0.2"/>
    <row r="18362" ht="12.75" x14ac:dyDescent="0.2"/>
    <row r="18363" ht="12.75" x14ac:dyDescent="0.2"/>
    <row r="18364" ht="12.75" x14ac:dyDescent="0.2"/>
    <row r="18365" ht="12.75" x14ac:dyDescent="0.2"/>
    <row r="18366" ht="12.75" x14ac:dyDescent="0.2"/>
    <row r="18367" ht="12.75" x14ac:dyDescent="0.2"/>
    <row r="18368" ht="12.75" x14ac:dyDescent="0.2"/>
    <row r="18369" ht="12.75" x14ac:dyDescent="0.2"/>
    <row r="18370" ht="12.75" x14ac:dyDescent="0.2"/>
    <row r="18371" ht="12.75" x14ac:dyDescent="0.2"/>
    <row r="18372" ht="12.75" x14ac:dyDescent="0.2"/>
    <row r="18373" ht="12.75" x14ac:dyDescent="0.2"/>
    <row r="18374" ht="12.75" x14ac:dyDescent="0.2"/>
    <row r="18375" ht="12.75" x14ac:dyDescent="0.2"/>
    <row r="18376" ht="12.75" x14ac:dyDescent="0.2"/>
    <row r="18377" ht="12.75" x14ac:dyDescent="0.2"/>
    <row r="18378" ht="12.75" x14ac:dyDescent="0.2"/>
    <row r="18379" ht="12.75" x14ac:dyDescent="0.2"/>
    <row r="18380" ht="12.75" x14ac:dyDescent="0.2"/>
    <row r="18381" ht="12.75" x14ac:dyDescent="0.2"/>
    <row r="18382" ht="12.75" x14ac:dyDescent="0.2"/>
    <row r="18383" ht="12.75" x14ac:dyDescent="0.2"/>
    <row r="18384" ht="12.75" x14ac:dyDescent="0.2"/>
    <row r="18385" ht="12.75" x14ac:dyDescent="0.2"/>
    <row r="18386" ht="12.75" x14ac:dyDescent="0.2"/>
    <row r="18387" ht="12.75" x14ac:dyDescent="0.2"/>
    <row r="18388" ht="12.75" x14ac:dyDescent="0.2"/>
    <row r="18389" ht="12.75" x14ac:dyDescent="0.2"/>
    <row r="18390" ht="12.75" x14ac:dyDescent="0.2"/>
    <row r="18391" ht="12.75" x14ac:dyDescent="0.2"/>
    <row r="18392" ht="12.75" x14ac:dyDescent="0.2"/>
    <row r="18393" ht="12.75" x14ac:dyDescent="0.2"/>
    <row r="18394" ht="12.75" x14ac:dyDescent="0.2"/>
    <row r="18395" ht="12.75" x14ac:dyDescent="0.2"/>
    <row r="18396" ht="12.75" x14ac:dyDescent="0.2"/>
    <row r="18397" ht="12.75" x14ac:dyDescent="0.2"/>
    <row r="18398" ht="12.75" x14ac:dyDescent="0.2"/>
    <row r="18399" ht="12.75" x14ac:dyDescent="0.2"/>
    <row r="18400" ht="12.75" x14ac:dyDescent="0.2"/>
    <row r="18401" ht="12.75" x14ac:dyDescent="0.2"/>
    <row r="18402" ht="12.75" x14ac:dyDescent="0.2"/>
    <row r="18403" ht="12.75" x14ac:dyDescent="0.2"/>
    <row r="18404" ht="12.75" x14ac:dyDescent="0.2"/>
    <row r="18405" ht="12.75" x14ac:dyDescent="0.2"/>
    <row r="18406" ht="12.75" x14ac:dyDescent="0.2"/>
    <row r="18407" ht="12.75" x14ac:dyDescent="0.2"/>
    <row r="18408" ht="12.75" x14ac:dyDescent="0.2"/>
    <row r="18409" ht="12.75" x14ac:dyDescent="0.2"/>
    <row r="18410" ht="12.75" x14ac:dyDescent="0.2"/>
    <row r="18411" ht="12.75" x14ac:dyDescent="0.2"/>
    <row r="18412" ht="12.75" x14ac:dyDescent="0.2"/>
    <row r="18413" ht="12.75" x14ac:dyDescent="0.2"/>
    <row r="18414" ht="12.75" x14ac:dyDescent="0.2"/>
    <row r="18415" ht="12.75" x14ac:dyDescent="0.2"/>
    <row r="18416" ht="12.75" x14ac:dyDescent="0.2"/>
    <row r="18417" ht="12.75" x14ac:dyDescent="0.2"/>
    <row r="18418" ht="12.75" x14ac:dyDescent="0.2"/>
    <row r="18419" ht="12.75" x14ac:dyDescent="0.2"/>
    <row r="18420" ht="12.75" x14ac:dyDescent="0.2"/>
    <row r="18421" ht="12.75" x14ac:dyDescent="0.2"/>
    <row r="18422" ht="12.75" x14ac:dyDescent="0.2"/>
    <row r="18423" ht="12.75" x14ac:dyDescent="0.2"/>
    <row r="18424" ht="12.75" x14ac:dyDescent="0.2"/>
    <row r="18425" ht="12.75" x14ac:dyDescent="0.2"/>
    <row r="18426" ht="12.75" x14ac:dyDescent="0.2"/>
    <row r="18427" ht="12.75" x14ac:dyDescent="0.2"/>
    <row r="18428" ht="12.75" x14ac:dyDescent="0.2"/>
    <row r="18429" ht="12.75" x14ac:dyDescent="0.2"/>
    <row r="18430" ht="12.75" x14ac:dyDescent="0.2"/>
    <row r="18431" ht="12.75" x14ac:dyDescent="0.2"/>
    <row r="18432" ht="12.75" x14ac:dyDescent="0.2"/>
    <row r="18433" ht="12.75" x14ac:dyDescent="0.2"/>
    <row r="18434" ht="12.75" x14ac:dyDescent="0.2"/>
    <row r="18435" ht="12.75" x14ac:dyDescent="0.2"/>
    <row r="18436" ht="12.75" x14ac:dyDescent="0.2"/>
    <row r="18437" ht="12.75" x14ac:dyDescent="0.2"/>
    <row r="18438" ht="12.75" x14ac:dyDescent="0.2"/>
    <row r="18439" ht="12.75" x14ac:dyDescent="0.2"/>
    <row r="18440" ht="12.75" x14ac:dyDescent="0.2"/>
    <row r="18441" ht="12.75" x14ac:dyDescent="0.2"/>
    <row r="18442" ht="12.75" x14ac:dyDescent="0.2"/>
    <row r="18443" ht="12.75" x14ac:dyDescent="0.2"/>
    <row r="18444" ht="12.75" x14ac:dyDescent="0.2"/>
    <row r="18445" ht="12.75" x14ac:dyDescent="0.2"/>
    <row r="18446" ht="12.75" x14ac:dyDescent="0.2"/>
    <row r="18447" ht="12.75" x14ac:dyDescent="0.2"/>
    <row r="18448" ht="12.75" x14ac:dyDescent="0.2"/>
    <row r="18449" ht="12.75" x14ac:dyDescent="0.2"/>
    <row r="18450" ht="12.75" x14ac:dyDescent="0.2"/>
    <row r="18451" ht="12.75" x14ac:dyDescent="0.2"/>
    <row r="18452" ht="12.75" x14ac:dyDescent="0.2"/>
    <row r="18453" ht="12.75" x14ac:dyDescent="0.2"/>
    <row r="18454" ht="12.75" x14ac:dyDescent="0.2"/>
    <row r="18455" ht="12.75" x14ac:dyDescent="0.2"/>
    <row r="18456" ht="12.75" x14ac:dyDescent="0.2"/>
    <row r="18457" ht="12.75" x14ac:dyDescent="0.2"/>
    <row r="18458" ht="12.75" x14ac:dyDescent="0.2"/>
    <row r="18459" ht="12.75" x14ac:dyDescent="0.2"/>
    <row r="18460" ht="12.75" x14ac:dyDescent="0.2"/>
    <row r="18461" ht="12.75" x14ac:dyDescent="0.2"/>
    <row r="18462" ht="12.75" x14ac:dyDescent="0.2"/>
    <row r="18463" ht="12.75" x14ac:dyDescent="0.2"/>
    <row r="18464" ht="12.75" x14ac:dyDescent="0.2"/>
    <row r="18465" ht="12.75" x14ac:dyDescent="0.2"/>
    <row r="18466" ht="12.75" x14ac:dyDescent="0.2"/>
    <row r="18467" ht="12.75" x14ac:dyDescent="0.2"/>
    <row r="18468" ht="12.75" x14ac:dyDescent="0.2"/>
    <row r="18469" ht="12.75" x14ac:dyDescent="0.2"/>
    <row r="18470" ht="12.75" x14ac:dyDescent="0.2"/>
    <row r="18471" ht="12.75" x14ac:dyDescent="0.2"/>
    <row r="18472" ht="12.75" x14ac:dyDescent="0.2"/>
    <row r="18473" ht="12.75" x14ac:dyDescent="0.2"/>
    <row r="18474" ht="12.75" x14ac:dyDescent="0.2"/>
    <row r="18475" ht="12.75" x14ac:dyDescent="0.2"/>
    <row r="18476" ht="12.75" x14ac:dyDescent="0.2"/>
    <row r="18477" ht="12.75" x14ac:dyDescent="0.2"/>
    <row r="18478" ht="12.75" x14ac:dyDescent="0.2"/>
    <row r="18479" ht="12.75" x14ac:dyDescent="0.2"/>
    <row r="18480" ht="12.75" x14ac:dyDescent="0.2"/>
    <row r="18481" ht="12.75" x14ac:dyDescent="0.2"/>
    <row r="18482" ht="12.75" x14ac:dyDescent="0.2"/>
    <row r="18483" ht="12.75" x14ac:dyDescent="0.2"/>
    <row r="18484" ht="12.75" x14ac:dyDescent="0.2"/>
    <row r="18485" ht="12.75" x14ac:dyDescent="0.2"/>
    <row r="18486" ht="12.75" x14ac:dyDescent="0.2"/>
    <row r="18487" ht="12.75" x14ac:dyDescent="0.2"/>
    <row r="18488" ht="12.75" x14ac:dyDescent="0.2"/>
    <row r="18489" ht="12.75" x14ac:dyDescent="0.2"/>
    <row r="18490" ht="12.75" x14ac:dyDescent="0.2"/>
    <row r="18491" ht="12.75" x14ac:dyDescent="0.2"/>
    <row r="18492" ht="12.75" x14ac:dyDescent="0.2"/>
    <row r="18493" ht="12.75" x14ac:dyDescent="0.2"/>
    <row r="18494" ht="12.75" x14ac:dyDescent="0.2"/>
    <row r="18495" ht="12.75" x14ac:dyDescent="0.2"/>
    <row r="18496" ht="12.75" x14ac:dyDescent="0.2"/>
    <row r="18497" ht="12.75" x14ac:dyDescent="0.2"/>
    <row r="18498" ht="12.75" x14ac:dyDescent="0.2"/>
    <row r="18499" ht="12.75" x14ac:dyDescent="0.2"/>
    <row r="18500" ht="12.75" x14ac:dyDescent="0.2"/>
    <row r="18501" ht="12.75" x14ac:dyDescent="0.2"/>
    <row r="18502" ht="12.75" x14ac:dyDescent="0.2"/>
    <row r="18503" ht="12.75" x14ac:dyDescent="0.2"/>
    <row r="18504" ht="12.75" x14ac:dyDescent="0.2"/>
    <row r="18505" ht="12.75" x14ac:dyDescent="0.2"/>
    <row r="18506" ht="12.75" x14ac:dyDescent="0.2"/>
    <row r="18507" ht="12.75" x14ac:dyDescent="0.2"/>
    <row r="18508" ht="12.75" x14ac:dyDescent="0.2"/>
    <row r="18509" ht="12.75" x14ac:dyDescent="0.2"/>
    <row r="18510" ht="12.75" x14ac:dyDescent="0.2"/>
    <row r="18511" ht="12.75" x14ac:dyDescent="0.2"/>
    <row r="18512" ht="12.75" x14ac:dyDescent="0.2"/>
    <row r="18513" ht="12.75" x14ac:dyDescent="0.2"/>
    <row r="18514" ht="12.75" x14ac:dyDescent="0.2"/>
    <row r="18515" ht="12.75" x14ac:dyDescent="0.2"/>
    <row r="18516" ht="12.75" x14ac:dyDescent="0.2"/>
    <row r="18517" ht="12.75" x14ac:dyDescent="0.2"/>
    <row r="18518" ht="12.75" x14ac:dyDescent="0.2"/>
    <row r="18519" ht="12.75" x14ac:dyDescent="0.2"/>
    <row r="18520" ht="12.75" x14ac:dyDescent="0.2"/>
    <row r="18521" ht="12.75" x14ac:dyDescent="0.2"/>
    <row r="18522" ht="12.75" x14ac:dyDescent="0.2"/>
    <row r="18523" ht="12.75" x14ac:dyDescent="0.2"/>
    <row r="18524" ht="12.75" x14ac:dyDescent="0.2"/>
    <row r="18525" ht="12.75" x14ac:dyDescent="0.2"/>
    <row r="18526" ht="12.75" x14ac:dyDescent="0.2"/>
    <row r="18527" ht="12.75" x14ac:dyDescent="0.2"/>
    <row r="18528" ht="12.75" x14ac:dyDescent="0.2"/>
    <row r="18529" ht="12.75" x14ac:dyDescent="0.2"/>
    <row r="18530" ht="12.75" x14ac:dyDescent="0.2"/>
    <row r="18531" ht="12.75" x14ac:dyDescent="0.2"/>
    <row r="18532" ht="12.75" x14ac:dyDescent="0.2"/>
    <row r="18533" ht="12.75" x14ac:dyDescent="0.2"/>
    <row r="18534" ht="12.75" x14ac:dyDescent="0.2"/>
    <row r="18535" ht="12.75" x14ac:dyDescent="0.2"/>
    <row r="18536" ht="12.75" x14ac:dyDescent="0.2"/>
    <row r="18537" ht="12.75" x14ac:dyDescent="0.2"/>
    <row r="18538" ht="12.75" x14ac:dyDescent="0.2"/>
    <row r="18539" ht="12.75" x14ac:dyDescent="0.2"/>
    <row r="18540" ht="12.75" x14ac:dyDescent="0.2"/>
    <row r="18541" ht="12.75" x14ac:dyDescent="0.2"/>
    <row r="18542" ht="12.75" x14ac:dyDescent="0.2"/>
    <row r="18543" ht="12.75" x14ac:dyDescent="0.2"/>
    <row r="18544" ht="12.75" x14ac:dyDescent="0.2"/>
    <row r="18545" ht="12.75" x14ac:dyDescent="0.2"/>
    <row r="18546" ht="12.75" x14ac:dyDescent="0.2"/>
    <row r="18547" ht="12.75" x14ac:dyDescent="0.2"/>
    <row r="18548" ht="12.75" x14ac:dyDescent="0.2"/>
    <row r="18549" ht="12.75" x14ac:dyDescent="0.2"/>
    <row r="18550" ht="12.75" x14ac:dyDescent="0.2"/>
    <row r="18551" ht="12.75" x14ac:dyDescent="0.2"/>
    <row r="18552" ht="12.75" x14ac:dyDescent="0.2"/>
    <row r="18553" ht="12.75" x14ac:dyDescent="0.2"/>
    <row r="18554" ht="12.75" x14ac:dyDescent="0.2"/>
    <row r="18555" ht="12.75" x14ac:dyDescent="0.2"/>
    <row r="18556" ht="12.75" x14ac:dyDescent="0.2"/>
    <row r="18557" ht="12.75" x14ac:dyDescent="0.2"/>
    <row r="18558" ht="12.75" x14ac:dyDescent="0.2"/>
    <row r="18559" ht="12.75" x14ac:dyDescent="0.2"/>
    <row r="18560" ht="12.75" x14ac:dyDescent="0.2"/>
    <row r="18561" ht="12.75" x14ac:dyDescent="0.2"/>
    <row r="18562" ht="12.75" x14ac:dyDescent="0.2"/>
    <row r="18563" ht="12.75" x14ac:dyDescent="0.2"/>
    <row r="18564" ht="12.75" x14ac:dyDescent="0.2"/>
    <row r="18565" ht="12.75" x14ac:dyDescent="0.2"/>
    <row r="18566" ht="12.75" x14ac:dyDescent="0.2"/>
    <row r="18567" ht="12.75" x14ac:dyDescent="0.2"/>
    <row r="18568" ht="12.75" x14ac:dyDescent="0.2"/>
    <row r="18569" ht="12.75" x14ac:dyDescent="0.2"/>
    <row r="18570" ht="12.75" x14ac:dyDescent="0.2"/>
    <row r="18571" ht="12.75" x14ac:dyDescent="0.2"/>
    <row r="18572" ht="12.75" x14ac:dyDescent="0.2"/>
    <row r="18573" ht="12.75" x14ac:dyDescent="0.2"/>
    <row r="18574" ht="12.75" x14ac:dyDescent="0.2"/>
    <row r="18575" ht="12.75" x14ac:dyDescent="0.2"/>
    <row r="18576" ht="12.75" x14ac:dyDescent="0.2"/>
    <row r="18577" ht="12.75" x14ac:dyDescent="0.2"/>
    <row r="18578" ht="12.75" x14ac:dyDescent="0.2"/>
    <row r="18579" ht="12.75" x14ac:dyDescent="0.2"/>
    <row r="18580" ht="12.75" x14ac:dyDescent="0.2"/>
    <row r="18581" ht="12.75" x14ac:dyDescent="0.2"/>
    <row r="18582" ht="12.75" x14ac:dyDescent="0.2"/>
    <row r="18583" ht="12.75" x14ac:dyDescent="0.2"/>
    <row r="18584" ht="12.75" x14ac:dyDescent="0.2"/>
    <row r="18585" ht="12.75" x14ac:dyDescent="0.2"/>
    <row r="18586" ht="12.75" x14ac:dyDescent="0.2"/>
    <row r="18587" ht="12.75" x14ac:dyDescent="0.2"/>
    <row r="18588" ht="12.75" x14ac:dyDescent="0.2"/>
    <row r="18589" ht="12.75" x14ac:dyDescent="0.2"/>
    <row r="18590" ht="12.75" x14ac:dyDescent="0.2"/>
    <row r="18591" ht="12.75" x14ac:dyDescent="0.2"/>
    <row r="18592" ht="12.75" x14ac:dyDescent="0.2"/>
    <row r="18593" ht="12.75" x14ac:dyDescent="0.2"/>
    <row r="18594" ht="12.75" x14ac:dyDescent="0.2"/>
    <row r="18595" ht="12.75" x14ac:dyDescent="0.2"/>
    <row r="18596" ht="12.75" x14ac:dyDescent="0.2"/>
    <row r="18597" ht="12.75" x14ac:dyDescent="0.2"/>
    <row r="18598" ht="12.75" x14ac:dyDescent="0.2"/>
    <row r="18599" ht="12.75" x14ac:dyDescent="0.2"/>
    <row r="18600" ht="12.75" x14ac:dyDescent="0.2"/>
    <row r="18601" ht="12.75" x14ac:dyDescent="0.2"/>
    <row r="18602" ht="12.75" x14ac:dyDescent="0.2"/>
    <row r="18603" ht="12.75" x14ac:dyDescent="0.2"/>
    <row r="18604" ht="12.75" x14ac:dyDescent="0.2"/>
    <row r="18605" ht="12.75" x14ac:dyDescent="0.2"/>
    <row r="18606" ht="12.75" x14ac:dyDescent="0.2"/>
    <row r="18607" ht="12.75" x14ac:dyDescent="0.2"/>
    <row r="18608" ht="12.75" x14ac:dyDescent="0.2"/>
    <row r="18609" ht="12.75" x14ac:dyDescent="0.2"/>
    <row r="18610" ht="12.75" x14ac:dyDescent="0.2"/>
    <row r="18611" ht="12.75" x14ac:dyDescent="0.2"/>
    <row r="18612" ht="12.75" x14ac:dyDescent="0.2"/>
    <row r="18613" ht="12.75" x14ac:dyDescent="0.2"/>
    <row r="18614" ht="12.75" x14ac:dyDescent="0.2"/>
    <row r="18615" ht="12.75" x14ac:dyDescent="0.2"/>
    <row r="18616" ht="12.75" x14ac:dyDescent="0.2"/>
    <row r="18617" ht="12.75" x14ac:dyDescent="0.2"/>
    <row r="18618" ht="12.75" x14ac:dyDescent="0.2"/>
    <row r="18619" ht="12.75" x14ac:dyDescent="0.2"/>
    <row r="18620" ht="12.75" x14ac:dyDescent="0.2"/>
    <row r="18621" ht="12.75" x14ac:dyDescent="0.2"/>
    <row r="18622" ht="12.75" x14ac:dyDescent="0.2"/>
    <row r="18623" ht="12.75" x14ac:dyDescent="0.2"/>
    <row r="18624" ht="12.75" x14ac:dyDescent="0.2"/>
    <row r="18625" ht="12.75" x14ac:dyDescent="0.2"/>
    <row r="18626" ht="12.75" x14ac:dyDescent="0.2"/>
    <row r="18627" ht="12.75" x14ac:dyDescent="0.2"/>
    <row r="18628" ht="12.75" x14ac:dyDescent="0.2"/>
    <row r="18629" ht="12.75" x14ac:dyDescent="0.2"/>
    <row r="18630" ht="12.75" x14ac:dyDescent="0.2"/>
    <row r="18631" ht="12.75" x14ac:dyDescent="0.2"/>
    <row r="18632" ht="12.75" x14ac:dyDescent="0.2"/>
    <row r="18633" ht="12.75" x14ac:dyDescent="0.2"/>
    <row r="18634" ht="12.75" x14ac:dyDescent="0.2"/>
    <row r="18635" ht="12.75" x14ac:dyDescent="0.2"/>
    <row r="18636" ht="12.75" x14ac:dyDescent="0.2"/>
    <row r="18637" ht="12.75" x14ac:dyDescent="0.2"/>
    <row r="18638" ht="12.75" x14ac:dyDescent="0.2"/>
    <row r="18639" ht="12.75" x14ac:dyDescent="0.2"/>
    <row r="18640" ht="12.75" x14ac:dyDescent="0.2"/>
    <row r="18641" ht="12.75" x14ac:dyDescent="0.2"/>
    <row r="18642" ht="12.75" x14ac:dyDescent="0.2"/>
    <row r="18643" ht="12.75" x14ac:dyDescent="0.2"/>
    <row r="18644" ht="12.75" x14ac:dyDescent="0.2"/>
    <row r="18645" ht="12.75" x14ac:dyDescent="0.2"/>
    <row r="18646" ht="12.75" x14ac:dyDescent="0.2"/>
    <row r="18647" ht="12.75" x14ac:dyDescent="0.2"/>
    <row r="18648" ht="12.75" x14ac:dyDescent="0.2"/>
    <row r="18649" ht="12.75" x14ac:dyDescent="0.2"/>
    <row r="18650" ht="12.75" x14ac:dyDescent="0.2"/>
    <row r="18651" ht="12.75" x14ac:dyDescent="0.2"/>
    <row r="18652" ht="12.75" x14ac:dyDescent="0.2"/>
    <row r="18653" ht="12.75" x14ac:dyDescent="0.2"/>
    <row r="18654" ht="12.75" x14ac:dyDescent="0.2"/>
    <row r="18655" ht="12.75" x14ac:dyDescent="0.2"/>
    <row r="18656" ht="12.75" x14ac:dyDescent="0.2"/>
    <row r="18657" ht="12.75" x14ac:dyDescent="0.2"/>
    <row r="18658" ht="12.75" x14ac:dyDescent="0.2"/>
    <row r="18659" ht="12.75" x14ac:dyDescent="0.2"/>
    <row r="18660" ht="12.75" x14ac:dyDescent="0.2"/>
    <row r="18661" ht="12.75" x14ac:dyDescent="0.2"/>
    <row r="18662" ht="12.75" x14ac:dyDescent="0.2"/>
    <row r="18663" ht="12.75" x14ac:dyDescent="0.2"/>
    <row r="18664" ht="12.75" x14ac:dyDescent="0.2"/>
    <row r="18665" ht="12.75" x14ac:dyDescent="0.2"/>
    <row r="18666" ht="12.75" x14ac:dyDescent="0.2"/>
    <row r="18667" ht="12.75" x14ac:dyDescent="0.2"/>
    <row r="18668" ht="12.75" x14ac:dyDescent="0.2"/>
    <row r="18669" ht="12.75" x14ac:dyDescent="0.2"/>
    <row r="18670" ht="12.75" x14ac:dyDescent="0.2"/>
    <row r="18671" ht="12.75" x14ac:dyDescent="0.2"/>
    <row r="18672" ht="12.75" x14ac:dyDescent="0.2"/>
    <row r="18673" ht="12.75" x14ac:dyDescent="0.2"/>
    <row r="18674" ht="12.75" x14ac:dyDescent="0.2"/>
    <row r="18675" ht="12.75" x14ac:dyDescent="0.2"/>
    <row r="18676" ht="12.75" x14ac:dyDescent="0.2"/>
    <row r="18677" ht="12.75" x14ac:dyDescent="0.2"/>
    <row r="18678" ht="12.75" x14ac:dyDescent="0.2"/>
    <row r="18679" ht="12.75" x14ac:dyDescent="0.2"/>
    <row r="18680" ht="12.75" x14ac:dyDescent="0.2"/>
    <row r="18681" ht="12.75" x14ac:dyDescent="0.2"/>
    <row r="18682" ht="12.75" x14ac:dyDescent="0.2"/>
    <row r="18683" ht="12.75" x14ac:dyDescent="0.2"/>
    <row r="18684" ht="12.75" x14ac:dyDescent="0.2"/>
    <row r="18685" ht="12.75" x14ac:dyDescent="0.2"/>
    <row r="18686" ht="12.75" x14ac:dyDescent="0.2"/>
    <row r="18687" ht="12.75" x14ac:dyDescent="0.2"/>
    <row r="18688" ht="12.75" x14ac:dyDescent="0.2"/>
    <row r="18689" ht="12.75" x14ac:dyDescent="0.2"/>
    <row r="18690" ht="12.75" x14ac:dyDescent="0.2"/>
    <row r="18691" ht="12.75" x14ac:dyDescent="0.2"/>
    <row r="18692" ht="12.75" x14ac:dyDescent="0.2"/>
    <row r="18693" ht="12.75" x14ac:dyDescent="0.2"/>
    <row r="18694" ht="12.75" x14ac:dyDescent="0.2"/>
    <row r="18695" ht="12.75" x14ac:dyDescent="0.2"/>
    <row r="18696" ht="12.75" x14ac:dyDescent="0.2"/>
    <row r="18697" ht="12.75" x14ac:dyDescent="0.2"/>
    <row r="18698" ht="12.75" x14ac:dyDescent="0.2"/>
    <row r="18699" ht="12.75" x14ac:dyDescent="0.2"/>
    <row r="18700" ht="12.75" x14ac:dyDescent="0.2"/>
    <row r="18701" ht="12.75" x14ac:dyDescent="0.2"/>
    <row r="18702" ht="12.75" x14ac:dyDescent="0.2"/>
    <row r="18703" ht="12.75" x14ac:dyDescent="0.2"/>
    <row r="18704" ht="12.75" x14ac:dyDescent="0.2"/>
    <row r="18705" ht="12.75" x14ac:dyDescent="0.2"/>
    <row r="18706" ht="12.75" x14ac:dyDescent="0.2"/>
    <row r="18707" ht="12.75" x14ac:dyDescent="0.2"/>
    <row r="18708" ht="12.75" x14ac:dyDescent="0.2"/>
    <row r="18709" ht="12.75" x14ac:dyDescent="0.2"/>
    <row r="18710" ht="12.75" x14ac:dyDescent="0.2"/>
    <row r="18711" ht="12.75" x14ac:dyDescent="0.2"/>
    <row r="18712" ht="12.75" x14ac:dyDescent="0.2"/>
    <row r="18713" ht="12.75" x14ac:dyDescent="0.2"/>
    <row r="18714" ht="12.75" x14ac:dyDescent="0.2"/>
    <row r="18715" ht="12.75" x14ac:dyDescent="0.2"/>
    <row r="18716" ht="12.75" x14ac:dyDescent="0.2"/>
    <row r="18717" ht="12.75" x14ac:dyDescent="0.2"/>
    <row r="18718" ht="12.75" x14ac:dyDescent="0.2"/>
    <row r="18719" ht="12.75" x14ac:dyDescent="0.2"/>
    <row r="18720" ht="12.75" x14ac:dyDescent="0.2"/>
    <row r="18721" ht="12.75" x14ac:dyDescent="0.2"/>
    <row r="18722" ht="12.75" x14ac:dyDescent="0.2"/>
    <row r="18723" ht="12.75" x14ac:dyDescent="0.2"/>
    <row r="18724" ht="12.75" x14ac:dyDescent="0.2"/>
    <row r="18725" ht="12.75" x14ac:dyDescent="0.2"/>
    <row r="18726" ht="12.75" x14ac:dyDescent="0.2"/>
    <row r="18727" ht="12.75" x14ac:dyDescent="0.2"/>
    <row r="18728" ht="12.75" x14ac:dyDescent="0.2"/>
    <row r="18729" ht="12.75" x14ac:dyDescent="0.2"/>
    <row r="18730" ht="12.75" x14ac:dyDescent="0.2"/>
    <row r="18731" ht="12.75" x14ac:dyDescent="0.2"/>
    <row r="18732" ht="12.75" x14ac:dyDescent="0.2"/>
    <row r="18733" ht="12.75" x14ac:dyDescent="0.2"/>
    <row r="18734" ht="12.75" x14ac:dyDescent="0.2"/>
    <row r="18735" ht="12.75" x14ac:dyDescent="0.2"/>
    <row r="18736" ht="12.75" x14ac:dyDescent="0.2"/>
    <row r="18737" ht="12.75" x14ac:dyDescent="0.2"/>
    <row r="18738" ht="12.75" x14ac:dyDescent="0.2"/>
    <row r="18739" ht="12.75" x14ac:dyDescent="0.2"/>
    <row r="18740" ht="12.75" x14ac:dyDescent="0.2"/>
    <row r="18741" ht="12.75" x14ac:dyDescent="0.2"/>
    <row r="18742" ht="12.75" x14ac:dyDescent="0.2"/>
    <row r="18743" ht="12.75" x14ac:dyDescent="0.2"/>
    <row r="18744" ht="12.75" x14ac:dyDescent="0.2"/>
    <row r="18745" ht="12.75" x14ac:dyDescent="0.2"/>
    <row r="18746" ht="12.75" x14ac:dyDescent="0.2"/>
    <row r="18747" ht="12.75" x14ac:dyDescent="0.2"/>
    <row r="18748" ht="12.75" x14ac:dyDescent="0.2"/>
    <row r="18749" ht="12.75" x14ac:dyDescent="0.2"/>
    <row r="18750" ht="12.75" x14ac:dyDescent="0.2"/>
    <row r="18751" ht="12.75" x14ac:dyDescent="0.2"/>
    <row r="18752" ht="12.75" x14ac:dyDescent="0.2"/>
    <row r="18753" ht="12.75" x14ac:dyDescent="0.2"/>
    <row r="18754" ht="12.75" x14ac:dyDescent="0.2"/>
    <row r="18755" ht="12.75" x14ac:dyDescent="0.2"/>
    <row r="18756" ht="12.75" x14ac:dyDescent="0.2"/>
    <row r="18757" ht="12.75" x14ac:dyDescent="0.2"/>
    <row r="18758" ht="12.75" x14ac:dyDescent="0.2"/>
    <row r="18759" ht="12.75" x14ac:dyDescent="0.2"/>
    <row r="18760" ht="12.75" x14ac:dyDescent="0.2"/>
    <row r="18761" ht="12.75" x14ac:dyDescent="0.2"/>
    <row r="18762" ht="12.75" x14ac:dyDescent="0.2"/>
    <row r="18763" ht="12.75" x14ac:dyDescent="0.2"/>
    <row r="18764" ht="12.75" x14ac:dyDescent="0.2"/>
    <row r="18765" ht="12.75" x14ac:dyDescent="0.2"/>
    <row r="18766" ht="12.75" x14ac:dyDescent="0.2"/>
    <row r="18767" ht="12.75" x14ac:dyDescent="0.2"/>
    <row r="18768" ht="12.75" x14ac:dyDescent="0.2"/>
    <row r="18769" ht="12.75" x14ac:dyDescent="0.2"/>
    <row r="18770" ht="12.75" x14ac:dyDescent="0.2"/>
    <row r="18771" ht="12.75" x14ac:dyDescent="0.2"/>
    <row r="18772" ht="12.75" x14ac:dyDescent="0.2"/>
    <row r="18773" ht="12.75" x14ac:dyDescent="0.2"/>
    <row r="18774" ht="12.75" x14ac:dyDescent="0.2"/>
    <row r="18775" ht="12.75" x14ac:dyDescent="0.2"/>
    <row r="18776" ht="12.75" x14ac:dyDescent="0.2"/>
    <row r="18777" ht="12.75" x14ac:dyDescent="0.2"/>
    <row r="18778" ht="12.75" x14ac:dyDescent="0.2"/>
    <row r="18779" ht="12.75" x14ac:dyDescent="0.2"/>
    <row r="18780" ht="12.75" x14ac:dyDescent="0.2"/>
    <row r="18781" ht="12.75" x14ac:dyDescent="0.2"/>
    <row r="18782" ht="12.75" x14ac:dyDescent="0.2"/>
    <row r="18783" ht="12.75" x14ac:dyDescent="0.2"/>
    <row r="18784" ht="12.75" x14ac:dyDescent="0.2"/>
    <row r="18785" ht="12.75" x14ac:dyDescent="0.2"/>
    <row r="18786" ht="12.75" x14ac:dyDescent="0.2"/>
    <row r="18787" ht="12.75" x14ac:dyDescent="0.2"/>
    <row r="18788" ht="12.75" x14ac:dyDescent="0.2"/>
    <row r="18789" ht="12.75" x14ac:dyDescent="0.2"/>
    <row r="18790" ht="12.75" x14ac:dyDescent="0.2"/>
    <row r="18791" ht="12.75" x14ac:dyDescent="0.2"/>
    <row r="18792" ht="12.75" x14ac:dyDescent="0.2"/>
    <row r="18793" ht="12.75" x14ac:dyDescent="0.2"/>
    <row r="18794" ht="12.75" x14ac:dyDescent="0.2"/>
    <row r="18795" ht="12.75" x14ac:dyDescent="0.2"/>
    <row r="18796" ht="12.75" x14ac:dyDescent="0.2"/>
    <row r="18797" ht="12.75" x14ac:dyDescent="0.2"/>
    <row r="18798" ht="12.75" x14ac:dyDescent="0.2"/>
    <row r="18799" ht="12.75" x14ac:dyDescent="0.2"/>
    <row r="18800" ht="12.75" x14ac:dyDescent="0.2"/>
    <row r="18801" ht="12.75" x14ac:dyDescent="0.2"/>
    <row r="18802" ht="12.75" x14ac:dyDescent="0.2"/>
    <row r="18803" ht="12.75" x14ac:dyDescent="0.2"/>
    <row r="18804" ht="12.75" x14ac:dyDescent="0.2"/>
    <row r="18805" ht="12.75" x14ac:dyDescent="0.2"/>
    <row r="18806" ht="12.75" x14ac:dyDescent="0.2"/>
    <row r="18807" ht="12.75" x14ac:dyDescent="0.2"/>
    <row r="18808" ht="12.75" x14ac:dyDescent="0.2"/>
    <row r="18809" ht="12.75" x14ac:dyDescent="0.2"/>
    <row r="18810" ht="12.75" x14ac:dyDescent="0.2"/>
    <row r="18811" ht="12.75" x14ac:dyDescent="0.2"/>
    <row r="18812" ht="12.75" x14ac:dyDescent="0.2"/>
    <row r="18813" ht="12.75" x14ac:dyDescent="0.2"/>
    <row r="18814" ht="12.75" x14ac:dyDescent="0.2"/>
    <row r="18815" ht="12.75" x14ac:dyDescent="0.2"/>
    <row r="18816" ht="12.75" x14ac:dyDescent="0.2"/>
    <row r="18817" ht="12.75" x14ac:dyDescent="0.2"/>
    <row r="18818" ht="12.75" x14ac:dyDescent="0.2"/>
    <row r="18819" ht="12.75" x14ac:dyDescent="0.2"/>
    <row r="18820" ht="12.75" x14ac:dyDescent="0.2"/>
    <row r="18821" ht="12.75" x14ac:dyDescent="0.2"/>
    <row r="18822" ht="12.75" x14ac:dyDescent="0.2"/>
    <row r="18823" ht="12.75" x14ac:dyDescent="0.2"/>
    <row r="18824" ht="12.75" x14ac:dyDescent="0.2"/>
    <row r="18825" ht="12.75" x14ac:dyDescent="0.2"/>
    <row r="18826" ht="12.75" x14ac:dyDescent="0.2"/>
    <row r="18827" ht="12.75" x14ac:dyDescent="0.2"/>
    <row r="18828" ht="12.75" x14ac:dyDescent="0.2"/>
    <row r="18829" ht="12.75" x14ac:dyDescent="0.2"/>
    <row r="18830" ht="12.75" x14ac:dyDescent="0.2"/>
    <row r="18831" ht="12.75" x14ac:dyDescent="0.2"/>
    <row r="18832" ht="12.75" x14ac:dyDescent="0.2"/>
    <row r="18833" ht="12.75" x14ac:dyDescent="0.2"/>
    <row r="18834" ht="12.75" x14ac:dyDescent="0.2"/>
    <row r="18835" ht="12.75" x14ac:dyDescent="0.2"/>
    <row r="18836" ht="12.75" x14ac:dyDescent="0.2"/>
    <row r="18837" ht="12.75" x14ac:dyDescent="0.2"/>
    <row r="18838" ht="12.75" x14ac:dyDescent="0.2"/>
    <row r="18839" ht="12.75" x14ac:dyDescent="0.2"/>
    <row r="18840" ht="12.75" x14ac:dyDescent="0.2"/>
    <row r="18841" ht="12.75" x14ac:dyDescent="0.2"/>
    <row r="18842" ht="12.75" x14ac:dyDescent="0.2"/>
    <row r="18843" ht="12.75" x14ac:dyDescent="0.2"/>
    <row r="18844" ht="12.75" x14ac:dyDescent="0.2"/>
    <row r="18845" ht="12.75" x14ac:dyDescent="0.2"/>
    <row r="18846" ht="12.75" x14ac:dyDescent="0.2"/>
    <row r="18847" ht="12.75" x14ac:dyDescent="0.2"/>
    <row r="18848" ht="12.75" x14ac:dyDescent="0.2"/>
    <row r="18849" ht="12.75" x14ac:dyDescent="0.2"/>
    <row r="18850" ht="12.75" x14ac:dyDescent="0.2"/>
    <row r="18851" ht="12.75" x14ac:dyDescent="0.2"/>
    <row r="18852" ht="12.75" x14ac:dyDescent="0.2"/>
    <row r="18853" ht="12.75" x14ac:dyDescent="0.2"/>
    <row r="18854" ht="12.75" x14ac:dyDescent="0.2"/>
    <row r="18855" ht="12.75" x14ac:dyDescent="0.2"/>
    <row r="18856" ht="12.75" x14ac:dyDescent="0.2"/>
    <row r="18857" ht="12.75" x14ac:dyDescent="0.2"/>
    <row r="18858" ht="12.75" x14ac:dyDescent="0.2"/>
    <row r="18859" ht="12.75" x14ac:dyDescent="0.2"/>
    <row r="18860" ht="12.75" x14ac:dyDescent="0.2"/>
    <row r="18861" ht="12.75" x14ac:dyDescent="0.2"/>
    <row r="18862" ht="12.75" x14ac:dyDescent="0.2"/>
    <row r="18863" ht="12.75" x14ac:dyDescent="0.2"/>
    <row r="18864" ht="12.75" x14ac:dyDescent="0.2"/>
    <row r="18865" ht="12.75" x14ac:dyDescent="0.2"/>
    <row r="18866" ht="12.75" x14ac:dyDescent="0.2"/>
    <row r="18867" ht="12.75" x14ac:dyDescent="0.2"/>
    <row r="18868" ht="12.75" x14ac:dyDescent="0.2"/>
    <row r="18869" ht="12.75" x14ac:dyDescent="0.2"/>
    <row r="18870" ht="12.75" x14ac:dyDescent="0.2"/>
    <row r="18871" ht="12.75" x14ac:dyDescent="0.2"/>
    <row r="18872" ht="12.75" x14ac:dyDescent="0.2"/>
    <row r="18873" ht="12.75" x14ac:dyDescent="0.2"/>
    <row r="18874" ht="12.75" x14ac:dyDescent="0.2"/>
    <row r="18875" ht="12.75" x14ac:dyDescent="0.2"/>
    <row r="18876" ht="12.75" x14ac:dyDescent="0.2"/>
    <row r="18877" ht="12.75" x14ac:dyDescent="0.2"/>
    <row r="18878" ht="12.75" x14ac:dyDescent="0.2"/>
    <row r="18879" ht="12.75" x14ac:dyDescent="0.2"/>
    <row r="18880" ht="12.75" x14ac:dyDescent="0.2"/>
    <row r="18881" ht="12.75" x14ac:dyDescent="0.2"/>
    <row r="18882" ht="12.75" x14ac:dyDescent="0.2"/>
    <row r="18883" ht="12.75" x14ac:dyDescent="0.2"/>
    <row r="18884" ht="12.75" x14ac:dyDescent="0.2"/>
    <row r="18885" ht="12.75" x14ac:dyDescent="0.2"/>
    <row r="18886" ht="12.75" x14ac:dyDescent="0.2"/>
    <row r="18887" ht="12.75" x14ac:dyDescent="0.2"/>
    <row r="18888" ht="12.75" x14ac:dyDescent="0.2"/>
    <row r="18889" ht="12.75" x14ac:dyDescent="0.2"/>
    <row r="18890" ht="12.75" x14ac:dyDescent="0.2"/>
    <row r="18891" ht="12.75" x14ac:dyDescent="0.2"/>
    <row r="18892" ht="12.75" x14ac:dyDescent="0.2"/>
    <row r="18893" ht="12.75" x14ac:dyDescent="0.2"/>
    <row r="18894" ht="12.75" x14ac:dyDescent="0.2"/>
    <row r="18895" ht="12.75" x14ac:dyDescent="0.2"/>
    <row r="18896" ht="12.75" x14ac:dyDescent="0.2"/>
    <row r="18897" ht="12.75" x14ac:dyDescent="0.2"/>
    <row r="18898" ht="12.75" x14ac:dyDescent="0.2"/>
    <row r="18899" ht="12.75" x14ac:dyDescent="0.2"/>
    <row r="18900" ht="12.75" x14ac:dyDescent="0.2"/>
    <row r="18901" ht="12.75" x14ac:dyDescent="0.2"/>
    <row r="18902" ht="12.75" x14ac:dyDescent="0.2"/>
    <row r="18903" ht="12.75" x14ac:dyDescent="0.2"/>
    <row r="18904" ht="12.75" x14ac:dyDescent="0.2"/>
    <row r="18905" ht="12.75" x14ac:dyDescent="0.2"/>
    <row r="18906" ht="12.75" x14ac:dyDescent="0.2"/>
    <row r="18907" ht="12.75" x14ac:dyDescent="0.2"/>
    <row r="18908" ht="12.75" x14ac:dyDescent="0.2"/>
    <row r="18909" ht="12.75" x14ac:dyDescent="0.2"/>
    <row r="18910" ht="12.75" x14ac:dyDescent="0.2"/>
    <row r="18911" ht="12.75" x14ac:dyDescent="0.2"/>
    <row r="18912" ht="12.75" x14ac:dyDescent="0.2"/>
    <row r="18913" ht="12.75" x14ac:dyDescent="0.2"/>
    <row r="18914" ht="12.75" x14ac:dyDescent="0.2"/>
    <row r="18915" ht="12.75" x14ac:dyDescent="0.2"/>
    <row r="18916" ht="12.75" x14ac:dyDescent="0.2"/>
    <row r="18917" ht="12.75" x14ac:dyDescent="0.2"/>
    <row r="18918" ht="12.75" x14ac:dyDescent="0.2"/>
    <row r="18919" ht="12.75" x14ac:dyDescent="0.2"/>
    <row r="18920" ht="12.75" x14ac:dyDescent="0.2"/>
    <row r="18921" ht="12.75" x14ac:dyDescent="0.2"/>
    <row r="18922" ht="12.75" x14ac:dyDescent="0.2"/>
    <row r="18923" ht="12.75" x14ac:dyDescent="0.2"/>
    <row r="18924" ht="12.75" x14ac:dyDescent="0.2"/>
    <row r="18925" ht="12.75" x14ac:dyDescent="0.2"/>
    <row r="18926" ht="12.75" x14ac:dyDescent="0.2"/>
    <row r="18927" ht="12.75" x14ac:dyDescent="0.2"/>
    <row r="18928" ht="12.75" x14ac:dyDescent="0.2"/>
    <row r="18929" ht="12.75" x14ac:dyDescent="0.2"/>
    <row r="18930" ht="12.75" x14ac:dyDescent="0.2"/>
    <row r="18931" ht="12.75" x14ac:dyDescent="0.2"/>
    <row r="18932" ht="12.75" x14ac:dyDescent="0.2"/>
    <row r="18933" ht="12.75" x14ac:dyDescent="0.2"/>
    <row r="18934" ht="12.75" x14ac:dyDescent="0.2"/>
    <row r="18935" ht="12.75" x14ac:dyDescent="0.2"/>
    <row r="18936" ht="12.75" x14ac:dyDescent="0.2"/>
    <row r="18937" ht="12.75" x14ac:dyDescent="0.2"/>
    <row r="18938" ht="12.75" x14ac:dyDescent="0.2"/>
    <row r="18939" ht="12.75" x14ac:dyDescent="0.2"/>
    <row r="18940" ht="12.75" x14ac:dyDescent="0.2"/>
    <row r="18941" ht="12.75" x14ac:dyDescent="0.2"/>
    <row r="18942" ht="12.75" x14ac:dyDescent="0.2"/>
    <row r="18943" ht="12.75" x14ac:dyDescent="0.2"/>
    <row r="18944" ht="12.75" x14ac:dyDescent="0.2"/>
    <row r="18945" ht="12.75" x14ac:dyDescent="0.2"/>
    <row r="18946" ht="12.75" x14ac:dyDescent="0.2"/>
    <row r="18947" ht="12.75" x14ac:dyDescent="0.2"/>
    <row r="18948" ht="12.75" x14ac:dyDescent="0.2"/>
    <row r="18949" ht="12.75" x14ac:dyDescent="0.2"/>
    <row r="18950" ht="12.75" x14ac:dyDescent="0.2"/>
    <row r="18951" ht="12.75" x14ac:dyDescent="0.2"/>
    <row r="18952" ht="12.75" x14ac:dyDescent="0.2"/>
    <row r="18953" ht="12.75" x14ac:dyDescent="0.2"/>
    <row r="18954" ht="12.75" x14ac:dyDescent="0.2"/>
    <row r="18955" ht="12.75" x14ac:dyDescent="0.2"/>
    <row r="18956" ht="12.75" x14ac:dyDescent="0.2"/>
    <row r="18957" ht="12.75" x14ac:dyDescent="0.2"/>
    <row r="18958" ht="12.75" x14ac:dyDescent="0.2"/>
    <row r="18959" ht="12.75" x14ac:dyDescent="0.2"/>
    <row r="18960" ht="12.75" x14ac:dyDescent="0.2"/>
    <row r="18961" ht="12.75" x14ac:dyDescent="0.2"/>
    <row r="18962" ht="12.75" x14ac:dyDescent="0.2"/>
    <row r="18963" ht="12.75" x14ac:dyDescent="0.2"/>
    <row r="18964" ht="12.75" x14ac:dyDescent="0.2"/>
    <row r="18965" ht="12.75" x14ac:dyDescent="0.2"/>
    <row r="18966" ht="12.75" x14ac:dyDescent="0.2"/>
    <row r="18967" ht="12.75" x14ac:dyDescent="0.2"/>
    <row r="18968" ht="12.75" x14ac:dyDescent="0.2"/>
    <row r="18969" ht="12.75" x14ac:dyDescent="0.2"/>
    <row r="18970" ht="12.75" x14ac:dyDescent="0.2"/>
    <row r="18971" ht="12.75" x14ac:dyDescent="0.2"/>
    <row r="18972" ht="12.75" x14ac:dyDescent="0.2"/>
    <row r="18973" ht="12.75" x14ac:dyDescent="0.2"/>
    <row r="18974" ht="12.75" x14ac:dyDescent="0.2"/>
    <row r="18975" ht="12.75" x14ac:dyDescent="0.2"/>
    <row r="18976" ht="12.75" x14ac:dyDescent="0.2"/>
    <row r="18977" ht="12.75" x14ac:dyDescent="0.2"/>
    <row r="18978" ht="12.75" x14ac:dyDescent="0.2"/>
    <row r="18979" ht="12.75" x14ac:dyDescent="0.2"/>
    <row r="18980" ht="12.75" x14ac:dyDescent="0.2"/>
    <row r="18981" ht="12.75" x14ac:dyDescent="0.2"/>
    <row r="18982" ht="12.75" x14ac:dyDescent="0.2"/>
    <row r="18983" ht="12.75" x14ac:dyDescent="0.2"/>
    <row r="18984" ht="12.75" x14ac:dyDescent="0.2"/>
    <row r="18985" ht="12.75" x14ac:dyDescent="0.2"/>
    <row r="18986" ht="12.75" x14ac:dyDescent="0.2"/>
    <row r="18987" ht="12.75" x14ac:dyDescent="0.2"/>
    <row r="18988" ht="12.75" x14ac:dyDescent="0.2"/>
    <row r="18989" ht="12.75" x14ac:dyDescent="0.2"/>
    <row r="18990" ht="12.75" x14ac:dyDescent="0.2"/>
    <row r="18991" ht="12.75" x14ac:dyDescent="0.2"/>
    <row r="18992" ht="12.75" x14ac:dyDescent="0.2"/>
    <row r="18993" ht="12.75" x14ac:dyDescent="0.2"/>
    <row r="18994" ht="12.75" x14ac:dyDescent="0.2"/>
    <row r="18995" ht="12.75" x14ac:dyDescent="0.2"/>
    <row r="18996" ht="12.75" x14ac:dyDescent="0.2"/>
    <row r="18997" ht="12.75" x14ac:dyDescent="0.2"/>
    <row r="18998" ht="12.75" x14ac:dyDescent="0.2"/>
    <row r="18999" ht="12.75" x14ac:dyDescent="0.2"/>
    <row r="19000" ht="12.75" x14ac:dyDescent="0.2"/>
    <row r="19001" ht="12.75" x14ac:dyDescent="0.2"/>
    <row r="19002" ht="12.75" x14ac:dyDescent="0.2"/>
    <row r="19003" ht="12.75" x14ac:dyDescent="0.2"/>
    <row r="19004" ht="12.75" x14ac:dyDescent="0.2"/>
    <row r="19005" ht="12.75" x14ac:dyDescent="0.2"/>
    <row r="19006" ht="12.75" x14ac:dyDescent="0.2"/>
    <row r="19007" ht="12.75" x14ac:dyDescent="0.2"/>
    <row r="19008" ht="12.75" x14ac:dyDescent="0.2"/>
    <row r="19009" ht="12.75" x14ac:dyDescent="0.2"/>
    <row r="19010" ht="12.75" x14ac:dyDescent="0.2"/>
    <row r="19011" ht="12.75" x14ac:dyDescent="0.2"/>
    <row r="19012" ht="12.75" x14ac:dyDescent="0.2"/>
    <row r="19013" ht="12.75" x14ac:dyDescent="0.2"/>
    <row r="19014" ht="12.75" x14ac:dyDescent="0.2"/>
    <row r="19015" ht="12.75" x14ac:dyDescent="0.2"/>
    <row r="19016" ht="12.75" x14ac:dyDescent="0.2"/>
    <row r="19017" ht="12.75" x14ac:dyDescent="0.2"/>
    <row r="19018" ht="12.75" x14ac:dyDescent="0.2"/>
    <row r="19019" ht="12.75" x14ac:dyDescent="0.2"/>
    <row r="19020" ht="12.75" x14ac:dyDescent="0.2"/>
    <row r="19021" ht="12.75" x14ac:dyDescent="0.2"/>
    <row r="19022" ht="12.75" x14ac:dyDescent="0.2"/>
    <row r="19023" ht="12.75" x14ac:dyDescent="0.2"/>
    <row r="19024" ht="12.75" x14ac:dyDescent="0.2"/>
    <row r="19025" ht="12.75" x14ac:dyDescent="0.2"/>
    <row r="19026" ht="12.75" x14ac:dyDescent="0.2"/>
    <row r="19027" ht="12.75" x14ac:dyDescent="0.2"/>
    <row r="19028" ht="12.75" x14ac:dyDescent="0.2"/>
    <row r="19029" ht="12.75" x14ac:dyDescent="0.2"/>
    <row r="19030" ht="12.75" x14ac:dyDescent="0.2"/>
    <row r="19031" ht="12.75" x14ac:dyDescent="0.2"/>
    <row r="19032" ht="12.75" x14ac:dyDescent="0.2"/>
    <row r="19033" ht="12.75" x14ac:dyDescent="0.2"/>
    <row r="19034" ht="12.75" x14ac:dyDescent="0.2"/>
    <row r="19035" ht="12.75" x14ac:dyDescent="0.2"/>
    <row r="19036" ht="12.75" x14ac:dyDescent="0.2"/>
    <row r="19037" ht="12.75" x14ac:dyDescent="0.2"/>
    <row r="19038" ht="12.75" x14ac:dyDescent="0.2"/>
    <row r="19039" ht="12.75" x14ac:dyDescent="0.2"/>
    <row r="19040" ht="12.75" x14ac:dyDescent="0.2"/>
    <row r="19041" ht="12.75" x14ac:dyDescent="0.2"/>
    <row r="19042" ht="12.75" x14ac:dyDescent="0.2"/>
    <row r="19043" ht="12.75" x14ac:dyDescent="0.2"/>
    <row r="19044" ht="12.75" x14ac:dyDescent="0.2"/>
    <row r="19045" ht="12.75" x14ac:dyDescent="0.2"/>
    <row r="19046" ht="12.75" x14ac:dyDescent="0.2"/>
    <row r="19047" ht="12.75" x14ac:dyDescent="0.2"/>
    <row r="19048" ht="12.75" x14ac:dyDescent="0.2"/>
    <row r="19049" ht="12.75" x14ac:dyDescent="0.2"/>
    <row r="19050" ht="12.75" x14ac:dyDescent="0.2"/>
    <row r="19051" ht="12.75" x14ac:dyDescent="0.2"/>
    <row r="19052" ht="12.75" x14ac:dyDescent="0.2"/>
    <row r="19053" ht="12.75" x14ac:dyDescent="0.2"/>
    <row r="19054" ht="12.75" x14ac:dyDescent="0.2"/>
    <row r="19055" ht="12.75" x14ac:dyDescent="0.2"/>
    <row r="19056" ht="12.75" x14ac:dyDescent="0.2"/>
    <row r="19057" ht="12.75" x14ac:dyDescent="0.2"/>
    <row r="19058" ht="12.75" x14ac:dyDescent="0.2"/>
    <row r="19059" ht="12.75" x14ac:dyDescent="0.2"/>
    <row r="19060" ht="12.75" x14ac:dyDescent="0.2"/>
    <row r="19061" ht="12.75" x14ac:dyDescent="0.2"/>
    <row r="19062" ht="12.75" x14ac:dyDescent="0.2"/>
    <row r="19063" ht="12.75" x14ac:dyDescent="0.2"/>
    <row r="19064" ht="12.75" x14ac:dyDescent="0.2"/>
    <row r="19065" ht="12.75" x14ac:dyDescent="0.2"/>
    <row r="19066" ht="12.75" x14ac:dyDescent="0.2"/>
    <row r="19067" ht="12.75" x14ac:dyDescent="0.2"/>
    <row r="19068" ht="12.75" x14ac:dyDescent="0.2"/>
    <row r="19069" ht="12.75" x14ac:dyDescent="0.2"/>
    <row r="19070" ht="12.75" x14ac:dyDescent="0.2"/>
    <row r="19071" ht="12.75" x14ac:dyDescent="0.2"/>
    <row r="19072" ht="12.75" x14ac:dyDescent="0.2"/>
    <row r="19073" ht="12.75" x14ac:dyDescent="0.2"/>
    <row r="19074" ht="12.75" x14ac:dyDescent="0.2"/>
    <row r="19075" ht="12.75" x14ac:dyDescent="0.2"/>
    <row r="19076" ht="12.75" x14ac:dyDescent="0.2"/>
    <row r="19077" ht="12.75" x14ac:dyDescent="0.2"/>
    <row r="19078" ht="12.75" x14ac:dyDescent="0.2"/>
    <row r="19079" ht="12.75" x14ac:dyDescent="0.2"/>
    <row r="19080" ht="12.75" x14ac:dyDescent="0.2"/>
    <row r="19081" ht="12.75" x14ac:dyDescent="0.2"/>
    <row r="19082" ht="12.75" x14ac:dyDescent="0.2"/>
    <row r="19083" ht="12.75" x14ac:dyDescent="0.2"/>
    <row r="19084" ht="12.75" x14ac:dyDescent="0.2"/>
    <row r="19085" ht="12.75" x14ac:dyDescent="0.2"/>
    <row r="19086" ht="12.75" x14ac:dyDescent="0.2"/>
    <row r="19087" ht="12.75" x14ac:dyDescent="0.2"/>
    <row r="19088" ht="12.75" x14ac:dyDescent="0.2"/>
    <row r="19089" ht="12.75" x14ac:dyDescent="0.2"/>
    <row r="19090" ht="12.75" x14ac:dyDescent="0.2"/>
    <row r="19091" ht="12.75" x14ac:dyDescent="0.2"/>
    <row r="19092" ht="12.75" x14ac:dyDescent="0.2"/>
    <row r="19093" ht="12.75" x14ac:dyDescent="0.2"/>
    <row r="19094" ht="12.75" x14ac:dyDescent="0.2"/>
    <row r="19095" ht="12.75" x14ac:dyDescent="0.2"/>
    <row r="19096" ht="12.75" x14ac:dyDescent="0.2"/>
    <row r="19097" ht="12.75" x14ac:dyDescent="0.2"/>
    <row r="19098" ht="12.75" x14ac:dyDescent="0.2"/>
    <row r="19099" ht="12.75" x14ac:dyDescent="0.2"/>
    <row r="19100" ht="12.75" x14ac:dyDescent="0.2"/>
    <row r="19101" ht="12.75" x14ac:dyDescent="0.2"/>
    <row r="19102" ht="12.75" x14ac:dyDescent="0.2"/>
    <row r="19103" ht="12.75" x14ac:dyDescent="0.2"/>
    <row r="19104" ht="12.75" x14ac:dyDescent="0.2"/>
    <row r="19105" ht="12.75" x14ac:dyDescent="0.2"/>
    <row r="19106" ht="12.75" x14ac:dyDescent="0.2"/>
    <row r="19107" ht="12.75" x14ac:dyDescent="0.2"/>
    <row r="19108" ht="12.75" x14ac:dyDescent="0.2"/>
    <row r="19109" ht="12.75" x14ac:dyDescent="0.2"/>
    <row r="19110" ht="12.75" x14ac:dyDescent="0.2"/>
    <row r="19111" ht="12.75" x14ac:dyDescent="0.2"/>
    <row r="19112" ht="12.75" x14ac:dyDescent="0.2"/>
    <row r="19113" ht="12.75" x14ac:dyDescent="0.2"/>
    <row r="19114" ht="12.75" x14ac:dyDescent="0.2"/>
    <row r="19115" ht="12.75" x14ac:dyDescent="0.2"/>
    <row r="19116" ht="12.75" x14ac:dyDescent="0.2"/>
    <row r="19117" ht="12.75" x14ac:dyDescent="0.2"/>
    <row r="19118" ht="12.75" x14ac:dyDescent="0.2"/>
    <row r="19119" ht="12.75" x14ac:dyDescent="0.2"/>
    <row r="19120" ht="12.75" x14ac:dyDescent="0.2"/>
    <row r="19121" ht="12.75" x14ac:dyDescent="0.2"/>
    <row r="19122" ht="12.75" x14ac:dyDescent="0.2"/>
    <row r="19123" ht="12.75" x14ac:dyDescent="0.2"/>
    <row r="19124" ht="12.75" x14ac:dyDescent="0.2"/>
    <row r="19125" ht="12.75" x14ac:dyDescent="0.2"/>
    <row r="19126" ht="12.75" x14ac:dyDescent="0.2"/>
    <row r="19127" ht="12.75" x14ac:dyDescent="0.2"/>
    <row r="19128" ht="12.75" x14ac:dyDescent="0.2"/>
    <row r="19129" ht="12.75" x14ac:dyDescent="0.2"/>
    <row r="19130" ht="12.75" x14ac:dyDescent="0.2"/>
    <row r="19131" ht="12.75" x14ac:dyDescent="0.2"/>
    <row r="19132" ht="12.75" x14ac:dyDescent="0.2"/>
    <row r="19133" ht="12.75" x14ac:dyDescent="0.2"/>
    <row r="19134" ht="12.75" x14ac:dyDescent="0.2"/>
    <row r="19135" ht="12.75" x14ac:dyDescent="0.2"/>
    <row r="19136" ht="12.75" x14ac:dyDescent="0.2"/>
    <row r="19137" ht="12.75" x14ac:dyDescent="0.2"/>
    <row r="19138" ht="12.75" x14ac:dyDescent="0.2"/>
    <row r="19139" ht="12.75" x14ac:dyDescent="0.2"/>
    <row r="19140" ht="12.75" x14ac:dyDescent="0.2"/>
    <row r="19141" ht="12.75" x14ac:dyDescent="0.2"/>
    <row r="19142" ht="12.75" x14ac:dyDescent="0.2"/>
    <row r="19143" ht="12.75" x14ac:dyDescent="0.2"/>
    <row r="19144" ht="12.75" x14ac:dyDescent="0.2"/>
    <row r="19145" ht="12.75" x14ac:dyDescent="0.2"/>
    <row r="19146" ht="12.75" x14ac:dyDescent="0.2"/>
    <row r="19147" ht="12.75" x14ac:dyDescent="0.2"/>
    <row r="19148" ht="12.75" x14ac:dyDescent="0.2"/>
    <row r="19149" ht="12.75" x14ac:dyDescent="0.2"/>
    <row r="19150" ht="12.75" x14ac:dyDescent="0.2"/>
    <row r="19151" ht="12.75" x14ac:dyDescent="0.2"/>
    <row r="19152" ht="12.75" x14ac:dyDescent="0.2"/>
    <row r="19153" ht="12.75" x14ac:dyDescent="0.2"/>
    <row r="19154" ht="12.75" x14ac:dyDescent="0.2"/>
    <row r="19155" ht="12.75" x14ac:dyDescent="0.2"/>
    <row r="19156" ht="12.75" x14ac:dyDescent="0.2"/>
    <row r="19157" ht="12.75" x14ac:dyDescent="0.2"/>
    <row r="19158" ht="12.75" x14ac:dyDescent="0.2"/>
    <row r="19159" ht="12.75" x14ac:dyDescent="0.2"/>
    <row r="19160" ht="12.75" x14ac:dyDescent="0.2"/>
    <row r="19161" ht="12.75" x14ac:dyDescent="0.2"/>
    <row r="19162" ht="12.75" x14ac:dyDescent="0.2"/>
    <row r="19163" ht="12.75" x14ac:dyDescent="0.2"/>
    <row r="19164" ht="12.75" x14ac:dyDescent="0.2"/>
    <row r="19165" ht="12.75" x14ac:dyDescent="0.2"/>
    <row r="19166" ht="12.75" x14ac:dyDescent="0.2"/>
    <row r="19167" ht="12.75" x14ac:dyDescent="0.2"/>
    <row r="19168" ht="12.75" x14ac:dyDescent="0.2"/>
    <row r="19169" ht="12.75" x14ac:dyDescent="0.2"/>
    <row r="19170" ht="12.75" x14ac:dyDescent="0.2"/>
    <row r="19171" ht="12.75" x14ac:dyDescent="0.2"/>
    <row r="19172" ht="12.75" x14ac:dyDescent="0.2"/>
    <row r="19173" ht="12.75" x14ac:dyDescent="0.2"/>
    <row r="19174" ht="12.75" x14ac:dyDescent="0.2"/>
    <row r="19175" ht="12.75" x14ac:dyDescent="0.2"/>
    <row r="19176" ht="12.75" x14ac:dyDescent="0.2"/>
    <row r="19177" ht="12.75" x14ac:dyDescent="0.2"/>
    <row r="19178" ht="12.75" x14ac:dyDescent="0.2"/>
    <row r="19179" ht="12.75" x14ac:dyDescent="0.2"/>
    <row r="19180" ht="12.75" x14ac:dyDescent="0.2"/>
    <row r="19181" ht="12.75" x14ac:dyDescent="0.2"/>
    <row r="19182" ht="12.75" x14ac:dyDescent="0.2"/>
    <row r="19183" ht="12.75" x14ac:dyDescent="0.2"/>
    <row r="19184" ht="12.75" x14ac:dyDescent="0.2"/>
    <row r="19185" ht="12.75" x14ac:dyDescent="0.2"/>
    <row r="19186" ht="12.75" x14ac:dyDescent="0.2"/>
    <row r="19187" ht="12.75" x14ac:dyDescent="0.2"/>
    <row r="19188" ht="12.75" x14ac:dyDescent="0.2"/>
    <row r="19189" ht="12.75" x14ac:dyDescent="0.2"/>
    <row r="19190" ht="12.75" x14ac:dyDescent="0.2"/>
    <row r="19191" ht="12.75" x14ac:dyDescent="0.2"/>
    <row r="19192" ht="12.75" x14ac:dyDescent="0.2"/>
    <row r="19193" ht="12.75" x14ac:dyDescent="0.2"/>
    <row r="19194" ht="12.75" x14ac:dyDescent="0.2"/>
    <row r="19195" ht="12.75" x14ac:dyDescent="0.2"/>
    <row r="19196" ht="12.75" x14ac:dyDescent="0.2"/>
    <row r="19197" ht="12.75" x14ac:dyDescent="0.2"/>
    <row r="19198" ht="12.75" x14ac:dyDescent="0.2"/>
    <row r="19199" ht="12.75" x14ac:dyDescent="0.2"/>
    <row r="19200" ht="12.75" x14ac:dyDescent="0.2"/>
    <row r="19201" ht="12.75" x14ac:dyDescent="0.2"/>
    <row r="19202" ht="12.75" x14ac:dyDescent="0.2"/>
    <row r="19203" ht="12.75" x14ac:dyDescent="0.2"/>
    <row r="19204" ht="12.75" x14ac:dyDescent="0.2"/>
    <row r="19205" ht="12.75" x14ac:dyDescent="0.2"/>
    <row r="19206" ht="12.75" x14ac:dyDescent="0.2"/>
    <row r="19207" ht="12.75" x14ac:dyDescent="0.2"/>
    <row r="19208" ht="12.75" x14ac:dyDescent="0.2"/>
    <row r="19209" ht="12.75" x14ac:dyDescent="0.2"/>
    <row r="19210" ht="12.75" x14ac:dyDescent="0.2"/>
    <row r="19211" ht="12.75" x14ac:dyDescent="0.2"/>
    <row r="19212" ht="12.75" x14ac:dyDescent="0.2"/>
    <row r="19213" ht="12.75" x14ac:dyDescent="0.2"/>
    <row r="19214" ht="12.75" x14ac:dyDescent="0.2"/>
    <row r="19215" ht="12.75" x14ac:dyDescent="0.2"/>
    <row r="19216" ht="12.75" x14ac:dyDescent="0.2"/>
    <row r="19217" ht="12.75" x14ac:dyDescent="0.2"/>
    <row r="19218" ht="12.75" x14ac:dyDescent="0.2"/>
    <row r="19219" ht="12.75" x14ac:dyDescent="0.2"/>
    <row r="19220" ht="12.75" x14ac:dyDescent="0.2"/>
    <row r="19221" ht="12.75" x14ac:dyDescent="0.2"/>
    <row r="19222" ht="12.75" x14ac:dyDescent="0.2"/>
    <row r="19223" ht="12.75" x14ac:dyDescent="0.2"/>
    <row r="19224" ht="12.75" x14ac:dyDescent="0.2"/>
    <row r="19225" ht="12.75" x14ac:dyDescent="0.2"/>
    <row r="19226" ht="12.75" x14ac:dyDescent="0.2"/>
    <row r="19227" ht="12.75" x14ac:dyDescent="0.2"/>
    <row r="19228" ht="12.75" x14ac:dyDescent="0.2"/>
    <row r="19229" ht="12.75" x14ac:dyDescent="0.2"/>
    <row r="19230" ht="12.75" x14ac:dyDescent="0.2"/>
    <row r="19231" ht="12.75" x14ac:dyDescent="0.2"/>
    <row r="19232" ht="12.75" x14ac:dyDescent="0.2"/>
    <row r="19233" ht="12.75" x14ac:dyDescent="0.2"/>
    <row r="19234" ht="12.75" x14ac:dyDescent="0.2"/>
    <row r="19235" ht="12.75" x14ac:dyDescent="0.2"/>
    <row r="19236" ht="12.75" x14ac:dyDescent="0.2"/>
    <row r="19237" ht="12.75" x14ac:dyDescent="0.2"/>
    <row r="19238" ht="12.75" x14ac:dyDescent="0.2"/>
    <row r="19239" ht="12.75" x14ac:dyDescent="0.2"/>
    <row r="19240" ht="12.75" x14ac:dyDescent="0.2"/>
    <row r="19241" ht="12.75" x14ac:dyDescent="0.2"/>
    <row r="19242" ht="12.75" x14ac:dyDescent="0.2"/>
    <row r="19243" ht="12.75" x14ac:dyDescent="0.2"/>
    <row r="19244" ht="12.75" x14ac:dyDescent="0.2"/>
    <row r="19245" ht="12.75" x14ac:dyDescent="0.2"/>
    <row r="19246" ht="12.75" x14ac:dyDescent="0.2"/>
    <row r="19247" ht="12.75" x14ac:dyDescent="0.2"/>
    <row r="19248" ht="12.75" x14ac:dyDescent="0.2"/>
    <row r="19249" ht="12.75" x14ac:dyDescent="0.2"/>
    <row r="19250" ht="12.75" x14ac:dyDescent="0.2"/>
    <row r="19251" ht="12.75" x14ac:dyDescent="0.2"/>
    <row r="19252" ht="12.75" x14ac:dyDescent="0.2"/>
    <row r="19253" ht="12.75" x14ac:dyDescent="0.2"/>
    <row r="19254" ht="12.75" x14ac:dyDescent="0.2"/>
    <row r="19255" ht="12.75" x14ac:dyDescent="0.2"/>
    <row r="19256" ht="12.75" x14ac:dyDescent="0.2"/>
    <row r="19257" ht="12.75" x14ac:dyDescent="0.2"/>
    <row r="19258" ht="12.75" x14ac:dyDescent="0.2"/>
    <row r="19259" ht="12.75" x14ac:dyDescent="0.2"/>
    <row r="19260" ht="12.75" x14ac:dyDescent="0.2"/>
    <row r="19261" ht="12.75" x14ac:dyDescent="0.2"/>
    <row r="19262" ht="12.75" x14ac:dyDescent="0.2"/>
    <row r="19263" ht="12.75" x14ac:dyDescent="0.2"/>
    <row r="19264" ht="12.75" x14ac:dyDescent="0.2"/>
    <row r="19265" ht="12.75" x14ac:dyDescent="0.2"/>
    <row r="19266" ht="12.75" x14ac:dyDescent="0.2"/>
    <row r="19267" ht="12.75" x14ac:dyDescent="0.2"/>
    <row r="19268" ht="12.75" x14ac:dyDescent="0.2"/>
    <row r="19269" ht="12.75" x14ac:dyDescent="0.2"/>
    <row r="19270" ht="12.75" x14ac:dyDescent="0.2"/>
    <row r="19271" ht="12.75" x14ac:dyDescent="0.2"/>
    <row r="19272" ht="12.75" x14ac:dyDescent="0.2"/>
    <row r="19273" ht="12.75" x14ac:dyDescent="0.2"/>
    <row r="19274" ht="12.75" x14ac:dyDescent="0.2"/>
    <row r="19275" ht="12.75" x14ac:dyDescent="0.2"/>
    <row r="19276" ht="12.75" x14ac:dyDescent="0.2"/>
    <row r="19277" ht="12.75" x14ac:dyDescent="0.2"/>
    <row r="19278" ht="12.75" x14ac:dyDescent="0.2"/>
    <row r="19279" ht="12.75" x14ac:dyDescent="0.2"/>
    <row r="19280" ht="12.75" x14ac:dyDescent="0.2"/>
    <row r="19281" ht="12.75" x14ac:dyDescent="0.2"/>
    <row r="19282" ht="12.75" x14ac:dyDescent="0.2"/>
    <row r="19283" ht="12.75" x14ac:dyDescent="0.2"/>
    <row r="19284" ht="12.75" x14ac:dyDescent="0.2"/>
    <row r="19285" ht="12.75" x14ac:dyDescent="0.2"/>
    <row r="19286" ht="12.75" x14ac:dyDescent="0.2"/>
    <row r="19287" ht="12.75" x14ac:dyDescent="0.2"/>
    <row r="19288" ht="12.75" x14ac:dyDescent="0.2"/>
    <row r="19289" ht="12.75" x14ac:dyDescent="0.2"/>
    <row r="19290" ht="12.75" x14ac:dyDescent="0.2"/>
    <row r="19291" ht="12.75" x14ac:dyDescent="0.2"/>
    <row r="19292" ht="12.75" x14ac:dyDescent="0.2"/>
    <row r="19293" ht="12.75" x14ac:dyDescent="0.2"/>
    <row r="19294" ht="12.75" x14ac:dyDescent="0.2"/>
    <row r="19295" ht="12.75" x14ac:dyDescent="0.2"/>
    <row r="19296" ht="12.75" x14ac:dyDescent="0.2"/>
    <row r="19297" ht="12.75" x14ac:dyDescent="0.2"/>
    <row r="19298" ht="12.75" x14ac:dyDescent="0.2"/>
    <row r="19299" ht="12.75" x14ac:dyDescent="0.2"/>
    <row r="19300" ht="12.75" x14ac:dyDescent="0.2"/>
    <row r="19301" ht="12.75" x14ac:dyDescent="0.2"/>
    <row r="19302" ht="12.75" x14ac:dyDescent="0.2"/>
    <row r="19303" ht="12.75" x14ac:dyDescent="0.2"/>
    <row r="19304" ht="12.75" x14ac:dyDescent="0.2"/>
    <row r="19305" ht="12.75" x14ac:dyDescent="0.2"/>
    <row r="19306" ht="12.75" x14ac:dyDescent="0.2"/>
    <row r="19307" ht="12.75" x14ac:dyDescent="0.2"/>
    <row r="19308" ht="12.75" x14ac:dyDescent="0.2"/>
    <row r="19309" ht="12.75" x14ac:dyDescent="0.2"/>
    <row r="19310" ht="12.75" x14ac:dyDescent="0.2"/>
    <row r="19311" ht="12.75" x14ac:dyDescent="0.2"/>
    <row r="19312" ht="12.75" x14ac:dyDescent="0.2"/>
    <row r="19313" ht="12.75" x14ac:dyDescent="0.2"/>
    <row r="19314" ht="12.75" x14ac:dyDescent="0.2"/>
    <row r="19315" ht="12.75" x14ac:dyDescent="0.2"/>
    <row r="19316" ht="12.75" x14ac:dyDescent="0.2"/>
    <row r="19317" ht="12.75" x14ac:dyDescent="0.2"/>
    <row r="19318" ht="12.75" x14ac:dyDescent="0.2"/>
    <row r="19319" ht="12.75" x14ac:dyDescent="0.2"/>
    <row r="19320" ht="12.75" x14ac:dyDescent="0.2"/>
    <row r="19321" ht="12.75" x14ac:dyDescent="0.2"/>
    <row r="19322" ht="12.75" x14ac:dyDescent="0.2"/>
    <row r="19323" ht="12.75" x14ac:dyDescent="0.2"/>
    <row r="19324" ht="12.75" x14ac:dyDescent="0.2"/>
    <row r="19325" ht="12.75" x14ac:dyDescent="0.2"/>
    <row r="19326" ht="12.75" x14ac:dyDescent="0.2"/>
    <row r="19327" ht="12.75" x14ac:dyDescent="0.2"/>
    <row r="19328" ht="12.75" x14ac:dyDescent="0.2"/>
    <row r="19329" ht="12.75" x14ac:dyDescent="0.2"/>
    <row r="19330" ht="12.75" x14ac:dyDescent="0.2"/>
    <row r="19331" ht="12.75" x14ac:dyDescent="0.2"/>
    <row r="19332" ht="12.75" x14ac:dyDescent="0.2"/>
    <row r="19333" ht="12.75" x14ac:dyDescent="0.2"/>
    <row r="19334" ht="12.75" x14ac:dyDescent="0.2"/>
    <row r="19335" ht="12.75" x14ac:dyDescent="0.2"/>
    <row r="19336" ht="12.75" x14ac:dyDescent="0.2"/>
    <row r="19337" ht="12.75" x14ac:dyDescent="0.2"/>
    <row r="19338" ht="12.75" x14ac:dyDescent="0.2"/>
    <row r="19339" ht="12.75" x14ac:dyDescent="0.2"/>
    <row r="19340" ht="12.75" x14ac:dyDescent="0.2"/>
    <row r="19341" ht="12.75" x14ac:dyDescent="0.2"/>
    <row r="19342" ht="12.75" x14ac:dyDescent="0.2"/>
    <row r="19343" ht="12.75" x14ac:dyDescent="0.2"/>
    <row r="19344" ht="12.75" x14ac:dyDescent="0.2"/>
    <row r="19345" ht="12.75" x14ac:dyDescent="0.2"/>
    <row r="19346" ht="12.75" x14ac:dyDescent="0.2"/>
    <row r="19347" ht="12.75" x14ac:dyDescent="0.2"/>
    <row r="19348" ht="12.75" x14ac:dyDescent="0.2"/>
    <row r="19349" ht="12.75" x14ac:dyDescent="0.2"/>
    <row r="19350" ht="12.75" x14ac:dyDescent="0.2"/>
    <row r="19351" ht="12.75" x14ac:dyDescent="0.2"/>
    <row r="19352" ht="12.75" x14ac:dyDescent="0.2"/>
    <row r="19353" ht="12.75" x14ac:dyDescent="0.2"/>
    <row r="19354" ht="12.75" x14ac:dyDescent="0.2"/>
    <row r="19355" ht="12.75" x14ac:dyDescent="0.2"/>
    <row r="19356" ht="12.75" x14ac:dyDescent="0.2"/>
    <row r="19357" ht="12.75" x14ac:dyDescent="0.2"/>
    <row r="19358" ht="12.75" x14ac:dyDescent="0.2"/>
    <row r="19359" ht="12.75" x14ac:dyDescent="0.2"/>
    <row r="19360" ht="12.75" x14ac:dyDescent="0.2"/>
    <row r="19361" ht="12.75" x14ac:dyDescent="0.2"/>
    <row r="19362" ht="12.75" x14ac:dyDescent="0.2"/>
    <row r="19363" ht="12.75" x14ac:dyDescent="0.2"/>
    <row r="19364" ht="12.75" x14ac:dyDescent="0.2"/>
    <row r="19365" ht="12.75" x14ac:dyDescent="0.2"/>
    <row r="19366" ht="12.75" x14ac:dyDescent="0.2"/>
    <row r="19367" ht="12.75" x14ac:dyDescent="0.2"/>
    <row r="19368" ht="12.75" x14ac:dyDescent="0.2"/>
    <row r="19369" ht="12.75" x14ac:dyDescent="0.2"/>
    <row r="19370" ht="12.75" x14ac:dyDescent="0.2"/>
    <row r="19371" ht="12.75" x14ac:dyDescent="0.2"/>
    <row r="19372" ht="12.75" x14ac:dyDescent="0.2"/>
    <row r="19373" ht="12.75" x14ac:dyDescent="0.2"/>
    <row r="19374" ht="12.75" x14ac:dyDescent="0.2"/>
    <row r="19375" ht="12.75" x14ac:dyDescent="0.2"/>
    <row r="19376" ht="12.75" x14ac:dyDescent="0.2"/>
    <row r="19377" ht="12.75" x14ac:dyDescent="0.2"/>
    <row r="19378" ht="12.75" x14ac:dyDescent="0.2"/>
    <row r="19379" ht="12.75" x14ac:dyDescent="0.2"/>
    <row r="19380" ht="12.75" x14ac:dyDescent="0.2"/>
    <row r="19381" ht="12.75" x14ac:dyDescent="0.2"/>
    <row r="19382" ht="12.75" x14ac:dyDescent="0.2"/>
    <row r="19383" ht="12.75" x14ac:dyDescent="0.2"/>
    <row r="19384" ht="12.75" x14ac:dyDescent="0.2"/>
    <row r="19385" ht="12.75" x14ac:dyDescent="0.2"/>
    <row r="19386" ht="12.75" x14ac:dyDescent="0.2"/>
    <row r="19387" ht="12.75" x14ac:dyDescent="0.2"/>
    <row r="19388" ht="12.75" x14ac:dyDescent="0.2"/>
    <row r="19389" ht="12.75" x14ac:dyDescent="0.2"/>
    <row r="19390" ht="12.75" x14ac:dyDescent="0.2"/>
    <row r="19391" ht="12.75" x14ac:dyDescent="0.2"/>
    <row r="19392" ht="12.75" x14ac:dyDescent="0.2"/>
    <row r="19393" ht="12.75" x14ac:dyDescent="0.2"/>
    <row r="19394" ht="12.75" x14ac:dyDescent="0.2"/>
    <row r="19395" ht="12.75" x14ac:dyDescent="0.2"/>
    <row r="19396" ht="12.75" x14ac:dyDescent="0.2"/>
    <row r="19397" ht="12.75" x14ac:dyDescent="0.2"/>
    <row r="19398" ht="12.75" x14ac:dyDescent="0.2"/>
    <row r="19399" ht="12.75" x14ac:dyDescent="0.2"/>
    <row r="19400" ht="12.75" x14ac:dyDescent="0.2"/>
    <row r="19401" ht="12.75" x14ac:dyDescent="0.2"/>
    <row r="19402" ht="12.75" x14ac:dyDescent="0.2"/>
    <row r="19403" ht="12.75" x14ac:dyDescent="0.2"/>
    <row r="19404" ht="12.75" x14ac:dyDescent="0.2"/>
    <row r="19405" ht="12.75" x14ac:dyDescent="0.2"/>
    <row r="19406" ht="12.75" x14ac:dyDescent="0.2"/>
    <row r="19407" ht="12.75" x14ac:dyDescent="0.2"/>
    <row r="19408" ht="12.75" x14ac:dyDescent="0.2"/>
    <row r="19409" ht="12.75" x14ac:dyDescent="0.2"/>
    <row r="19410" ht="12.75" x14ac:dyDescent="0.2"/>
    <row r="19411" ht="12.75" x14ac:dyDescent="0.2"/>
    <row r="19412" ht="12.75" x14ac:dyDescent="0.2"/>
    <row r="19413" ht="12.75" x14ac:dyDescent="0.2"/>
    <row r="19414" ht="12.75" x14ac:dyDescent="0.2"/>
    <row r="19415" ht="12.75" x14ac:dyDescent="0.2"/>
    <row r="19416" ht="12.75" x14ac:dyDescent="0.2"/>
    <row r="19417" ht="12.75" x14ac:dyDescent="0.2"/>
    <row r="19418" ht="12.75" x14ac:dyDescent="0.2"/>
    <row r="19419" ht="12.75" x14ac:dyDescent="0.2"/>
    <row r="19420" ht="12.75" x14ac:dyDescent="0.2"/>
    <row r="19421" ht="12.75" x14ac:dyDescent="0.2"/>
    <row r="19422" ht="12.75" x14ac:dyDescent="0.2"/>
    <row r="19423" ht="12.75" x14ac:dyDescent="0.2"/>
    <row r="19424" ht="12.75" x14ac:dyDescent="0.2"/>
    <row r="19425" ht="12.75" x14ac:dyDescent="0.2"/>
    <row r="19426" ht="12.75" x14ac:dyDescent="0.2"/>
    <row r="19427" ht="12.75" x14ac:dyDescent="0.2"/>
    <row r="19428" ht="12.75" x14ac:dyDescent="0.2"/>
    <row r="19429" ht="12.75" x14ac:dyDescent="0.2"/>
    <row r="19430" ht="12.75" x14ac:dyDescent="0.2"/>
    <row r="19431" ht="12.75" x14ac:dyDescent="0.2"/>
    <row r="19432" ht="12.75" x14ac:dyDescent="0.2"/>
    <row r="19433" ht="12.75" x14ac:dyDescent="0.2"/>
    <row r="19434" ht="12.75" x14ac:dyDescent="0.2"/>
    <row r="19435" ht="12.75" x14ac:dyDescent="0.2"/>
    <row r="19436" ht="12.75" x14ac:dyDescent="0.2"/>
    <row r="19437" ht="12.75" x14ac:dyDescent="0.2"/>
    <row r="19438" ht="12.75" x14ac:dyDescent="0.2"/>
    <row r="19439" ht="12.75" x14ac:dyDescent="0.2"/>
    <row r="19440" ht="12.75" x14ac:dyDescent="0.2"/>
    <row r="19441" ht="12.75" x14ac:dyDescent="0.2"/>
    <row r="19442" ht="12.75" x14ac:dyDescent="0.2"/>
    <row r="19443" ht="12.75" x14ac:dyDescent="0.2"/>
    <row r="19444" ht="12.75" x14ac:dyDescent="0.2"/>
    <row r="19445" ht="12.75" x14ac:dyDescent="0.2"/>
    <row r="19446" ht="12.75" x14ac:dyDescent="0.2"/>
    <row r="19447" ht="12.75" x14ac:dyDescent="0.2"/>
    <row r="19448" ht="12.75" x14ac:dyDescent="0.2"/>
    <row r="19449" ht="12.75" x14ac:dyDescent="0.2"/>
    <row r="19450" ht="12.75" x14ac:dyDescent="0.2"/>
    <row r="19451" ht="12.75" x14ac:dyDescent="0.2"/>
    <row r="19452" ht="12.75" x14ac:dyDescent="0.2"/>
    <row r="19453" ht="12.75" x14ac:dyDescent="0.2"/>
    <row r="19454" ht="12.75" x14ac:dyDescent="0.2"/>
    <row r="19455" ht="12.75" x14ac:dyDescent="0.2"/>
    <row r="19456" ht="12.75" x14ac:dyDescent="0.2"/>
    <row r="19457" ht="12.75" x14ac:dyDescent="0.2"/>
    <row r="19458" ht="12.75" x14ac:dyDescent="0.2"/>
    <row r="19459" ht="12.75" x14ac:dyDescent="0.2"/>
    <row r="19460" ht="12.75" x14ac:dyDescent="0.2"/>
    <row r="19461" ht="12.75" x14ac:dyDescent="0.2"/>
    <row r="19462" ht="12.75" x14ac:dyDescent="0.2"/>
    <row r="19463" ht="12.75" x14ac:dyDescent="0.2"/>
    <row r="19464" ht="12.75" x14ac:dyDescent="0.2"/>
    <row r="19465" ht="12.75" x14ac:dyDescent="0.2"/>
    <row r="19466" ht="12.75" x14ac:dyDescent="0.2"/>
    <row r="19467" ht="12.75" x14ac:dyDescent="0.2"/>
    <row r="19468" ht="12.75" x14ac:dyDescent="0.2"/>
    <row r="19469" ht="12.75" x14ac:dyDescent="0.2"/>
    <row r="19470" ht="12.75" x14ac:dyDescent="0.2"/>
    <row r="19471" ht="12.75" x14ac:dyDescent="0.2"/>
    <row r="19472" ht="12.75" x14ac:dyDescent="0.2"/>
    <row r="19473" ht="12.75" x14ac:dyDescent="0.2"/>
    <row r="19474" ht="12.75" x14ac:dyDescent="0.2"/>
    <row r="19475" ht="12.75" x14ac:dyDescent="0.2"/>
    <row r="19476" ht="12.75" x14ac:dyDescent="0.2"/>
    <row r="19477" ht="12.75" x14ac:dyDescent="0.2"/>
    <row r="19478" ht="12.75" x14ac:dyDescent="0.2"/>
    <row r="19479" ht="12.75" x14ac:dyDescent="0.2"/>
    <row r="19480" ht="12.75" x14ac:dyDescent="0.2"/>
    <row r="19481" ht="12.75" x14ac:dyDescent="0.2"/>
    <row r="19482" ht="12.75" x14ac:dyDescent="0.2"/>
    <row r="19483" ht="12.75" x14ac:dyDescent="0.2"/>
    <row r="19484" ht="12.75" x14ac:dyDescent="0.2"/>
    <row r="19485" ht="12.75" x14ac:dyDescent="0.2"/>
    <row r="19486" ht="12.75" x14ac:dyDescent="0.2"/>
    <row r="19487" ht="12.75" x14ac:dyDescent="0.2"/>
    <row r="19488" ht="12.75" x14ac:dyDescent="0.2"/>
    <row r="19489" ht="12.75" x14ac:dyDescent="0.2"/>
    <row r="19490" ht="12.75" x14ac:dyDescent="0.2"/>
    <row r="19491" ht="12.75" x14ac:dyDescent="0.2"/>
    <row r="19492" ht="12.75" x14ac:dyDescent="0.2"/>
    <row r="19493" ht="12.75" x14ac:dyDescent="0.2"/>
    <row r="19494" ht="12.75" x14ac:dyDescent="0.2"/>
    <row r="19495" ht="12.75" x14ac:dyDescent="0.2"/>
    <row r="19496" ht="12.75" x14ac:dyDescent="0.2"/>
    <row r="19497" ht="12.75" x14ac:dyDescent="0.2"/>
    <row r="19498" ht="12.75" x14ac:dyDescent="0.2"/>
    <row r="19499" ht="12.75" x14ac:dyDescent="0.2"/>
    <row r="19500" ht="12.75" x14ac:dyDescent="0.2"/>
    <row r="19501" ht="12.75" x14ac:dyDescent="0.2"/>
    <row r="19502" ht="12.75" x14ac:dyDescent="0.2"/>
    <row r="19503" ht="12.75" x14ac:dyDescent="0.2"/>
    <row r="19504" ht="12.75" x14ac:dyDescent="0.2"/>
    <row r="19505" ht="12.75" x14ac:dyDescent="0.2"/>
    <row r="19506" ht="12.75" x14ac:dyDescent="0.2"/>
    <row r="19507" ht="12.75" x14ac:dyDescent="0.2"/>
    <row r="19508" ht="12.75" x14ac:dyDescent="0.2"/>
    <row r="19509" ht="12.75" x14ac:dyDescent="0.2"/>
    <row r="19510" ht="12.75" x14ac:dyDescent="0.2"/>
    <row r="19511" ht="12.75" x14ac:dyDescent="0.2"/>
    <row r="19512" ht="12.75" x14ac:dyDescent="0.2"/>
    <row r="19513" ht="12.75" x14ac:dyDescent="0.2"/>
    <row r="19514" ht="12.75" x14ac:dyDescent="0.2"/>
    <row r="19515" ht="12.75" x14ac:dyDescent="0.2"/>
    <row r="19516" ht="12.75" x14ac:dyDescent="0.2"/>
    <row r="19517" ht="12.75" x14ac:dyDescent="0.2"/>
    <row r="19518" ht="12.75" x14ac:dyDescent="0.2"/>
    <row r="19519" ht="12.75" x14ac:dyDescent="0.2"/>
    <row r="19520" ht="12.75" x14ac:dyDescent="0.2"/>
    <row r="19521" ht="12.75" x14ac:dyDescent="0.2"/>
    <row r="19522" ht="12.75" x14ac:dyDescent="0.2"/>
    <row r="19523" ht="12.75" x14ac:dyDescent="0.2"/>
    <row r="19524" ht="12.75" x14ac:dyDescent="0.2"/>
    <row r="19525" ht="12.75" x14ac:dyDescent="0.2"/>
    <row r="19526" ht="12.75" x14ac:dyDescent="0.2"/>
    <row r="19527" ht="12.75" x14ac:dyDescent="0.2"/>
    <row r="19528" ht="12.75" x14ac:dyDescent="0.2"/>
    <row r="19529" ht="12.75" x14ac:dyDescent="0.2"/>
    <row r="19530" ht="12.75" x14ac:dyDescent="0.2"/>
    <row r="19531" ht="12.75" x14ac:dyDescent="0.2"/>
    <row r="19532" ht="12.75" x14ac:dyDescent="0.2"/>
    <row r="19533" ht="12.75" x14ac:dyDescent="0.2"/>
    <row r="19534" ht="12.75" x14ac:dyDescent="0.2"/>
    <row r="19535" ht="12.75" x14ac:dyDescent="0.2"/>
    <row r="19536" ht="12.75" x14ac:dyDescent="0.2"/>
    <row r="19537" ht="12.75" x14ac:dyDescent="0.2"/>
    <row r="19538" ht="12.75" x14ac:dyDescent="0.2"/>
    <row r="19539" ht="12.75" x14ac:dyDescent="0.2"/>
    <row r="19540" ht="12.75" x14ac:dyDescent="0.2"/>
    <row r="19541" ht="12.75" x14ac:dyDescent="0.2"/>
    <row r="19542" ht="12.75" x14ac:dyDescent="0.2"/>
    <row r="19543" ht="12.75" x14ac:dyDescent="0.2"/>
    <row r="19544" ht="12.75" x14ac:dyDescent="0.2"/>
    <row r="19545" ht="12.75" x14ac:dyDescent="0.2"/>
    <row r="19546" ht="12.75" x14ac:dyDescent="0.2"/>
    <row r="19547" ht="12.75" x14ac:dyDescent="0.2"/>
    <row r="19548" ht="12.75" x14ac:dyDescent="0.2"/>
    <row r="19549" ht="12.75" x14ac:dyDescent="0.2"/>
    <row r="19550" ht="12.75" x14ac:dyDescent="0.2"/>
    <row r="19551" ht="12.75" x14ac:dyDescent="0.2"/>
    <row r="19552" ht="12.75" x14ac:dyDescent="0.2"/>
    <row r="19553" ht="12.75" x14ac:dyDescent="0.2"/>
    <row r="19554" ht="12.75" x14ac:dyDescent="0.2"/>
    <row r="19555" ht="12.75" x14ac:dyDescent="0.2"/>
    <row r="19556" ht="12.75" x14ac:dyDescent="0.2"/>
    <row r="19557" ht="12.75" x14ac:dyDescent="0.2"/>
    <row r="19558" ht="12.75" x14ac:dyDescent="0.2"/>
    <row r="19559" ht="12.75" x14ac:dyDescent="0.2"/>
    <row r="19560" ht="12.75" x14ac:dyDescent="0.2"/>
    <row r="19561" ht="12.75" x14ac:dyDescent="0.2"/>
    <row r="19562" ht="12.75" x14ac:dyDescent="0.2"/>
    <row r="19563" ht="12.75" x14ac:dyDescent="0.2"/>
    <row r="19564" ht="12.75" x14ac:dyDescent="0.2"/>
    <row r="19565" ht="12.75" x14ac:dyDescent="0.2"/>
    <row r="19566" ht="12.75" x14ac:dyDescent="0.2"/>
    <row r="19567" ht="12.75" x14ac:dyDescent="0.2"/>
    <row r="19568" ht="12.75" x14ac:dyDescent="0.2"/>
    <row r="19569" ht="12.75" x14ac:dyDescent="0.2"/>
    <row r="19570" ht="12.75" x14ac:dyDescent="0.2"/>
    <row r="19571" ht="12.75" x14ac:dyDescent="0.2"/>
    <row r="19572" ht="12.75" x14ac:dyDescent="0.2"/>
    <row r="19573" ht="12.75" x14ac:dyDescent="0.2"/>
    <row r="19574" ht="12.75" x14ac:dyDescent="0.2"/>
    <row r="19575" ht="12.75" x14ac:dyDescent="0.2"/>
    <row r="19576" ht="12.75" x14ac:dyDescent="0.2"/>
    <row r="19577" ht="12.75" x14ac:dyDescent="0.2"/>
    <row r="19578" ht="12.75" x14ac:dyDescent="0.2"/>
    <row r="19579" ht="12.75" x14ac:dyDescent="0.2"/>
    <row r="19580" ht="12.75" x14ac:dyDescent="0.2"/>
    <row r="19581" ht="12.75" x14ac:dyDescent="0.2"/>
    <row r="19582" ht="12.75" x14ac:dyDescent="0.2"/>
    <row r="19583" ht="12.75" x14ac:dyDescent="0.2"/>
    <row r="19584" ht="12.75" x14ac:dyDescent="0.2"/>
    <row r="19585" ht="12.75" x14ac:dyDescent="0.2"/>
    <row r="19586" ht="12.75" x14ac:dyDescent="0.2"/>
    <row r="19587" ht="12.75" x14ac:dyDescent="0.2"/>
    <row r="19588" ht="12.75" x14ac:dyDescent="0.2"/>
    <row r="19589" ht="12.75" x14ac:dyDescent="0.2"/>
    <row r="19590" ht="12.75" x14ac:dyDescent="0.2"/>
    <row r="19591" ht="12.75" x14ac:dyDescent="0.2"/>
    <row r="19592" ht="12.75" x14ac:dyDescent="0.2"/>
    <row r="19593" ht="12.75" x14ac:dyDescent="0.2"/>
    <row r="19594" ht="12.75" x14ac:dyDescent="0.2"/>
    <row r="19595" ht="12.75" x14ac:dyDescent="0.2"/>
    <row r="19596" ht="12.75" x14ac:dyDescent="0.2"/>
    <row r="19597" ht="12.75" x14ac:dyDescent="0.2"/>
    <row r="19598" ht="12.75" x14ac:dyDescent="0.2"/>
    <row r="19599" ht="12.75" x14ac:dyDescent="0.2"/>
    <row r="19600" ht="12.75" x14ac:dyDescent="0.2"/>
    <row r="19601" ht="12.75" x14ac:dyDescent="0.2"/>
    <row r="19602" ht="12.75" x14ac:dyDescent="0.2"/>
    <row r="19603" ht="12.75" x14ac:dyDescent="0.2"/>
    <row r="19604" ht="12.75" x14ac:dyDescent="0.2"/>
    <row r="19605" ht="12.75" x14ac:dyDescent="0.2"/>
    <row r="19606" ht="12.75" x14ac:dyDescent="0.2"/>
    <row r="19607" ht="12.75" x14ac:dyDescent="0.2"/>
    <row r="19608" ht="12.75" x14ac:dyDescent="0.2"/>
    <row r="19609" ht="12.75" x14ac:dyDescent="0.2"/>
    <row r="19610" ht="12.75" x14ac:dyDescent="0.2"/>
    <row r="19611" ht="12.75" x14ac:dyDescent="0.2"/>
    <row r="19612" ht="12.75" x14ac:dyDescent="0.2"/>
    <row r="19613" ht="12.75" x14ac:dyDescent="0.2"/>
    <row r="19614" ht="12.75" x14ac:dyDescent="0.2"/>
    <row r="19615" ht="12.75" x14ac:dyDescent="0.2"/>
    <row r="19616" ht="12.75" x14ac:dyDescent="0.2"/>
    <row r="19617" ht="12.75" x14ac:dyDescent="0.2"/>
    <row r="19618" ht="12.75" x14ac:dyDescent="0.2"/>
    <row r="19619" ht="12.75" x14ac:dyDescent="0.2"/>
    <row r="19620" ht="12.75" x14ac:dyDescent="0.2"/>
    <row r="19621" ht="12.75" x14ac:dyDescent="0.2"/>
    <row r="19622" ht="12.75" x14ac:dyDescent="0.2"/>
    <row r="19623" ht="12.75" x14ac:dyDescent="0.2"/>
    <row r="19624" ht="12.75" x14ac:dyDescent="0.2"/>
    <row r="19625" ht="12.75" x14ac:dyDescent="0.2"/>
    <row r="19626" ht="12.75" x14ac:dyDescent="0.2"/>
    <row r="19627" ht="12.75" x14ac:dyDescent="0.2"/>
    <row r="19628" ht="12.75" x14ac:dyDescent="0.2"/>
    <row r="19629" ht="12.75" x14ac:dyDescent="0.2"/>
    <row r="19630" ht="12.75" x14ac:dyDescent="0.2"/>
    <row r="19631" ht="12.75" x14ac:dyDescent="0.2"/>
    <row r="19632" ht="12.75" x14ac:dyDescent="0.2"/>
    <row r="19633" ht="12.75" x14ac:dyDescent="0.2"/>
    <row r="19634" ht="12.75" x14ac:dyDescent="0.2"/>
    <row r="19635" ht="12.75" x14ac:dyDescent="0.2"/>
    <row r="19636" ht="12.75" x14ac:dyDescent="0.2"/>
    <row r="19637" ht="12.75" x14ac:dyDescent="0.2"/>
    <row r="19638" ht="12.75" x14ac:dyDescent="0.2"/>
    <row r="19639" ht="12.75" x14ac:dyDescent="0.2"/>
    <row r="19640" ht="12.75" x14ac:dyDescent="0.2"/>
    <row r="19641" ht="12.75" x14ac:dyDescent="0.2"/>
    <row r="19642" ht="12.75" x14ac:dyDescent="0.2"/>
    <row r="19643" ht="12.75" x14ac:dyDescent="0.2"/>
    <row r="19644" ht="12.75" x14ac:dyDescent="0.2"/>
    <row r="19645" ht="12.75" x14ac:dyDescent="0.2"/>
    <row r="19646" ht="12.75" x14ac:dyDescent="0.2"/>
    <row r="19647" ht="12.75" x14ac:dyDescent="0.2"/>
    <row r="19648" ht="12.75" x14ac:dyDescent="0.2"/>
    <row r="19649" ht="12.75" x14ac:dyDescent="0.2"/>
    <row r="19650" ht="12.75" x14ac:dyDescent="0.2"/>
    <row r="19651" ht="12.75" x14ac:dyDescent="0.2"/>
    <row r="19652" ht="12.75" x14ac:dyDescent="0.2"/>
    <row r="19653" ht="12.75" x14ac:dyDescent="0.2"/>
    <row r="19654" ht="12.75" x14ac:dyDescent="0.2"/>
    <row r="19655" ht="12.75" x14ac:dyDescent="0.2"/>
    <row r="19656" ht="12.75" x14ac:dyDescent="0.2"/>
    <row r="19657" ht="12.75" x14ac:dyDescent="0.2"/>
    <row r="19658" ht="12.75" x14ac:dyDescent="0.2"/>
    <row r="19659" ht="12.75" x14ac:dyDescent="0.2"/>
    <row r="19660" ht="12.75" x14ac:dyDescent="0.2"/>
    <row r="19661" ht="12.75" x14ac:dyDescent="0.2"/>
    <row r="19662" ht="12.75" x14ac:dyDescent="0.2"/>
    <row r="19663" ht="12.75" x14ac:dyDescent="0.2"/>
    <row r="19664" ht="12.75" x14ac:dyDescent="0.2"/>
    <row r="19665" ht="12.75" x14ac:dyDescent="0.2"/>
    <row r="19666" ht="12.75" x14ac:dyDescent="0.2"/>
    <row r="19667" ht="12.75" x14ac:dyDescent="0.2"/>
    <row r="19668" ht="12.75" x14ac:dyDescent="0.2"/>
    <row r="19669" ht="12.75" x14ac:dyDescent="0.2"/>
    <row r="19670" ht="12.75" x14ac:dyDescent="0.2"/>
    <row r="19671" ht="12.75" x14ac:dyDescent="0.2"/>
    <row r="19672" ht="12.75" x14ac:dyDescent="0.2"/>
    <row r="19673" ht="12.75" x14ac:dyDescent="0.2"/>
    <row r="19674" ht="12.75" x14ac:dyDescent="0.2"/>
    <row r="19675" ht="12.75" x14ac:dyDescent="0.2"/>
    <row r="19676" ht="12.75" x14ac:dyDescent="0.2"/>
    <row r="19677" ht="12.75" x14ac:dyDescent="0.2"/>
    <row r="19678" ht="12.75" x14ac:dyDescent="0.2"/>
    <row r="19679" ht="12.75" x14ac:dyDescent="0.2"/>
    <row r="19680" ht="12.75" x14ac:dyDescent="0.2"/>
    <row r="19681" ht="12.75" x14ac:dyDescent="0.2"/>
    <row r="19682" ht="12.75" x14ac:dyDescent="0.2"/>
    <row r="19683" ht="12.75" x14ac:dyDescent="0.2"/>
    <row r="19684" ht="12.75" x14ac:dyDescent="0.2"/>
    <row r="19685" ht="12.75" x14ac:dyDescent="0.2"/>
    <row r="19686" ht="12.75" x14ac:dyDescent="0.2"/>
    <row r="19687" ht="12.75" x14ac:dyDescent="0.2"/>
    <row r="19688" ht="12.75" x14ac:dyDescent="0.2"/>
    <row r="19689" ht="12.75" x14ac:dyDescent="0.2"/>
    <row r="19690" ht="12.75" x14ac:dyDescent="0.2"/>
    <row r="19691" ht="12.75" x14ac:dyDescent="0.2"/>
    <row r="19692" ht="12.75" x14ac:dyDescent="0.2"/>
    <row r="19693" ht="12.75" x14ac:dyDescent="0.2"/>
    <row r="19694" ht="12.75" x14ac:dyDescent="0.2"/>
    <row r="19695" ht="12.75" x14ac:dyDescent="0.2"/>
    <row r="19696" ht="12.75" x14ac:dyDescent="0.2"/>
    <row r="19697" ht="12.75" x14ac:dyDescent="0.2"/>
    <row r="19698" ht="12.75" x14ac:dyDescent="0.2"/>
    <row r="19699" ht="12.75" x14ac:dyDescent="0.2"/>
    <row r="19700" ht="12.75" x14ac:dyDescent="0.2"/>
    <row r="19701" ht="12.75" x14ac:dyDescent="0.2"/>
    <row r="19702" ht="12.75" x14ac:dyDescent="0.2"/>
    <row r="19703" ht="12.75" x14ac:dyDescent="0.2"/>
    <row r="19704" ht="12.75" x14ac:dyDescent="0.2"/>
    <row r="19705" ht="12.75" x14ac:dyDescent="0.2"/>
    <row r="19706" ht="12.75" x14ac:dyDescent="0.2"/>
    <row r="19707" ht="12.75" x14ac:dyDescent="0.2"/>
    <row r="19708" ht="12.75" x14ac:dyDescent="0.2"/>
    <row r="19709" ht="12.75" x14ac:dyDescent="0.2"/>
    <row r="19710" ht="12.75" x14ac:dyDescent="0.2"/>
    <row r="19711" ht="12.75" x14ac:dyDescent="0.2"/>
    <row r="19712" ht="12.75" x14ac:dyDescent="0.2"/>
    <row r="19713" ht="12.75" x14ac:dyDescent="0.2"/>
    <row r="19714" ht="12.75" x14ac:dyDescent="0.2"/>
    <row r="19715" ht="12.75" x14ac:dyDescent="0.2"/>
    <row r="19716" ht="12.75" x14ac:dyDescent="0.2"/>
    <row r="19717" ht="12.75" x14ac:dyDescent="0.2"/>
    <row r="19718" ht="12.75" x14ac:dyDescent="0.2"/>
    <row r="19719" ht="12.75" x14ac:dyDescent="0.2"/>
    <row r="19720" ht="12.75" x14ac:dyDescent="0.2"/>
    <row r="19721" ht="12.75" x14ac:dyDescent="0.2"/>
    <row r="19722" ht="12.75" x14ac:dyDescent="0.2"/>
    <row r="19723" ht="12.75" x14ac:dyDescent="0.2"/>
    <row r="19724" ht="12.75" x14ac:dyDescent="0.2"/>
    <row r="19725" ht="12.75" x14ac:dyDescent="0.2"/>
    <row r="19726" ht="12.75" x14ac:dyDescent="0.2"/>
    <row r="19727" ht="12.75" x14ac:dyDescent="0.2"/>
    <row r="19728" ht="12.75" x14ac:dyDescent="0.2"/>
    <row r="19729" ht="12.75" x14ac:dyDescent="0.2"/>
    <row r="19730" ht="12.75" x14ac:dyDescent="0.2"/>
    <row r="19731" ht="12.75" x14ac:dyDescent="0.2"/>
    <row r="19732" ht="12.75" x14ac:dyDescent="0.2"/>
    <row r="19733" ht="12.75" x14ac:dyDescent="0.2"/>
    <row r="19734" ht="12.75" x14ac:dyDescent="0.2"/>
    <row r="19735" ht="12.75" x14ac:dyDescent="0.2"/>
    <row r="19736" ht="12.75" x14ac:dyDescent="0.2"/>
    <row r="19737" ht="12.75" x14ac:dyDescent="0.2"/>
    <row r="19738" ht="12.75" x14ac:dyDescent="0.2"/>
    <row r="19739" ht="12.75" x14ac:dyDescent="0.2"/>
    <row r="19740" ht="12.75" x14ac:dyDescent="0.2"/>
    <row r="19741" ht="12.75" x14ac:dyDescent="0.2"/>
    <row r="19742" ht="12.75" x14ac:dyDescent="0.2"/>
    <row r="19743" ht="12.75" x14ac:dyDescent="0.2"/>
    <row r="19744" ht="12.75" x14ac:dyDescent="0.2"/>
    <row r="19745" ht="12.75" x14ac:dyDescent="0.2"/>
    <row r="19746" ht="12.75" x14ac:dyDescent="0.2"/>
    <row r="19747" ht="12.75" x14ac:dyDescent="0.2"/>
    <row r="19748" ht="12.75" x14ac:dyDescent="0.2"/>
    <row r="19749" ht="12.75" x14ac:dyDescent="0.2"/>
    <row r="19750" ht="12.75" x14ac:dyDescent="0.2"/>
    <row r="19751" ht="12.75" x14ac:dyDescent="0.2"/>
    <row r="19752" ht="12.75" x14ac:dyDescent="0.2"/>
    <row r="19753" ht="12.75" x14ac:dyDescent="0.2"/>
    <row r="19754" ht="12.75" x14ac:dyDescent="0.2"/>
    <row r="19755" ht="12.75" x14ac:dyDescent="0.2"/>
    <row r="19756" ht="12.75" x14ac:dyDescent="0.2"/>
    <row r="19757" ht="12.75" x14ac:dyDescent="0.2"/>
    <row r="19758" ht="12.75" x14ac:dyDescent="0.2"/>
    <row r="19759" ht="12.75" x14ac:dyDescent="0.2"/>
    <row r="19760" ht="12.75" x14ac:dyDescent="0.2"/>
    <row r="19761" ht="12.75" x14ac:dyDescent="0.2"/>
    <row r="19762" ht="12.75" x14ac:dyDescent="0.2"/>
    <row r="19763" ht="12.75" x14ac:dyDescent="0.2"/>
    <row r="19764" ht="12.75" x14ac:dyDescent="0.2"/>
    <row r="19765" ht="12.75" x14ac:dyDescent="0.2"/>
    <row r="19766" ht="12.75" x14ac:dyDescent="0.2"/>
    <row r="19767" ht="12.75" x14ac:dyDescent="0.2"/>
    <row r="19768" ht="12.75" x14ac:dyDescent="0.2"/>
    <row r="19769" ht="12.75" x14ac:dyDescent="0.2"/>
    <row r="19770" ht="12.75" x14ac:dyDescent="0.2"/>
    <row r="19771" ht="12.75" x14ac:dyDescent="0.2"/>
    <row r="19772" ht="12.75" x14ac:dyDescent="0.2"/>
    <row r="19773" ht="12.75" x14ac:dyDescent="0.2"/>
    <row r="19774" ht="12.75" x14ac:dyDescent="0.2"/>
    <row r="19775" ht="12.75" x14ac:dyDescent="0.2"/>
    <row r="19776" ht="12.75" x14ac:dyDescent="0.2"/>
    <row r="19777" ht="12.75" x14ac:dyDescent="0.2"/>
    <row r="19778" ht="12.75" x14ac:dyDescent="0.2"/>
    <row r="19779" ht="12.75" x14ac:dyDescent="0.2"/>
    <row r="19780" ht="12.75" x14ac:dyDescent="0.2"/>
    <row r="19781" ht="12.75" x14ac:dyDescent="0.2"/>
    <row r="19782" ht="12.75" x14ac:dyDescent="0.2"/>
    <row r="19783" ht="12.75" x14ac:dyDescent="0.2"/>
    <row r="19784" ht="12.75" x14ac:dyDescent="0.2"/>
    <row r="19785" ht="12.75" x14ac:dyDescent="0.2"/>
    <row r="19786" ht="12.75" x14ac:dyDescent="0.2"/>
    <row r="19787" ht="12.75" x14ac:dyDescent="0.2"/>
    <row r="19788" ht="12.75" x14ac:dyDescent="0.2"/>
    <row r="19789" ht="12.75" x14ac:dyDescent="0.2"/>
    <row r="19790" ht="12.75" x14ac:dyDescent="0.2"/>
    <row r="19791" ht="12.75" x14ac:dyDescent="0.2"/>
    <row r="19792" ht="12.75" x14ac:dyDescent="0.2"/>
    <row r="19793" ht="12.75" x14ac:dyDescent="0.2"/>
    <row r="19794" ht="12.75" x14ac:dyDescent="0.2"/>
    <row r="19795" ht="12.75" x14ac:dyDescent="0.2"/>
    <row r="19796" ht="12.75" x14ac:dyDescent="0.2"/>
    <row r="19797" ht="12.75" x14ac:dyDescent="0.2"/>
    <row r="19798" ht="12.75" x14ac:dyDescent="0.2"/>
    <row r="19799" ht="12.75" x14ac:dyDescent="0.2"/>
    <row r="19800" ht="12.75" x14ac:dyDescent="0.2"/>
    <row r="19801" ht="12.75" x14ac:dyDescent="0.2"/>
    <row r="19802" ht="12.75" x14ac:dyDescent="0.2"/>
    <row r="19803" ht="12.75" x14ac:dyDescent="0.2"/>
    <row r="19804" ht="12.75" x14ac:dyDescent="0.2"/>
    <row r="19805" ht="12.75" x14ac:dyDescent="0.2"/>
    <row r="19806" ht="12.75" x14ac:dyDescent="0.2"/>
    <row r="19807" ht="12.75" x14ac:dyDescent="0.2"/>
    <row r="19808" ht="12.75" x14ac:dyDescent="0.2"/>
    <row r="19809" ht="12.75" x14ac:dyDescent="0.2"/>
    <row r="19810" ht="12.75" x14ac:dyDescent="0.2"/>
    <row r="19811" ht="12.75" x14ac:dyDescent="0.2"/>
    <row r="19812" ht="12.75" x14ac:dyDescent="0.2"/>
    <row r="19813" ht="12.75" x14ac:dyDescent="0.2"/>
    <row r="19814" ht="12.75" x14ac:dyDescent="0.2"/>
    <row r="19815" ht="12.75" x14ac:dyDescent="0.2"/>
    <row r="19816" ht="12.75" x14ac:dyDescent="0.2"/>
    <row r="19817" ht="12.75" x14ac:dyDescent="0.2"/>
    <row r="19818" ht="12.75" x14ac:dyDescent="0.2"/>
    <row r="19819" ht="12.75" x14ac:dyDescent="0.2"/>
    <row r="19820" ht="12.75" x14ac:dyDescent="0.2"/>
    <row r="19821" ht="12.75" x14ac:dyDescent="0.2"/>
    <row r="19822" ht="12.75" x14ac:dyDescent="0.2"/>
    <row r="19823" ht="12.75" x14ac:dyDescent="0.2"/>
    <row r="19824" ht="12.75" x14ac:dyDescent="0.2"/>
    <row r="19825" ht="12.75" x14ac:dyDescent="0.2"/>
    <row r="19826" ht="12.75" x14ac:dyDescent="0.2"/>
    <row r="19827" ht="12.75" x14ac:dyDescent="0.2"/>
    <row r="19828" ht="12.75" x14ac:dyDescent="0.2"/>
    <row r="19829" ht="12.75" x14ac:dyDescent="0.2"/>
    <row r="19830" ht="12.75" x14ac:dyDescent="0.2"/>
    <row r="19831" ht="12.75" x14ac:dyDescent="0.2"/>
    <row r="19832" ht="12.75" x14ac:dyDescent="0.2"/>
    <row r="19833" ht="12.75" x14ac:dyDescent="0.2"/>
    <row r="19834" ht="12.75" x14ac:dyDescent="0.2"/>
    <row r="19835" ht="12.75" x14ac:dyDescent="0.2"/>
    <row r="19836" ht="12.75" x14ac:dyDescent="0.2"/>
    <row r="19837" ht="12.75" x14ac:dyDescent="0.2"/>
    <row r="19838" ht="12.75" x14ac:dyDescent="0.2"/>
    <row r="19839" ht="12.75" x14ac:dyDescent="0.2"/>
    <row r="19840" ht="12.75" x14ac:dyDescent="0.2"/>
    <row r="19841" ht="12.75" x14ac:dyDescent="0.2"/>
    <row r="19842" ht="12.75" x14ac:dyDescent="0.2"/>
    <row r="19843" ht="12.75" x14ac:dyDescent="0.2"/>
    <row r="19844" ht="12.75" x14ac:dyDescent="0.2"/>
    <row r="19845" ht="12.75" x14ac:dyDescent="0.2"/>
    <row r="19846" ht="12.75" x14ac:dyDescent="0.2"/>
    <row r="19847" ht="12.75" x14ac:dyDescent="0.2"/>
    <row r="19848" ht="12.75" x14ac:dyDescent="0.2"/>
    <row r="19849" ht="12.75" x14ac:dyDescent="0.2"/>
    <row r="19850" ht="12.75" x14ac:dyDescent="0.2"/>
    <row r="19851" ht="12.75" x14ac:dyDescent="0.2"/>
    <row r="19852" ht="12.75" x14ac:dyDescent="0.2"/>
    <row r="19853" ht="12.75" x14ac:dyDescent="0.2"/>
    <row r="19854" ht="12.75" x14ac:dyDescent="0.2"/>
    <row r="19855" ht="12.75" x14ac:dyDescent="0.2"/>
    <row r="19856" ht="12.75" x14ac:dyDescent="0.2"/>
    <row r="19857" ht="12.75" x14ac:dyDescent="0.2"/>
    <row r="19858" ht="12.75" x14ac:dyDescent="0.2"/>
    <row r="19859" ht="12.75" x14ac:dyDescent="0.2"/>
    <row r="19860" ht="12.75" x14ac:dyDescent="0.2"/>
    <row r="19861" ht="12.75" x14ac:dyDescent="0.2"/>
    <row r="19862" ht="12.75" x14ac:dyDescent="0.2"/>
    <row r="19863" ht="12.75" x14ac:dyDescent="0.2"/>
    <row r="19864" ht="12.75" x14ac:dyDescent="0.2"/>
    <row r="19865" ht="12.75" x14ac:dyDescent="0.2"/>
    <row r="19866" ht="12.75" x14ac:dyDescent="0.2"/>
    <row r="19867" ht="12.75" x14ac:dyDescent="0.2"/>
    <row r="19868" ht="12.75" x14ac:dyDescent="0.2"/>
    <row r="19869" ht="12.75" x14ac:dyDescent="0.2"/>
    <row r="19870" ht="12.75" x14ac:dyDescent="0.2"/>
    <row r="19871" ht="12.75" x14ac:dyDescent="0.2"/>
    <row r="19872" ht="12.75" x14ac:dyDescent="0.2"/>
    <row r="19873" ht="12.75" x14ac:dyDescent="0.2"/>
    <row r="19874" ht="12.75" x14ac:dyDescent="0.2"/>
    <row r="19875" ht="12.75" x14ac:dyDescent="0.2"/>
    <row r="19876" ht="12.75" x14ac:dyDescent="0.2"/>
    <row r="19877" ht="12.75" x14ac:dyDescent="0.2"/>
    <row r="19878" ht="12.75" x14ac:dyDescent="0.2"/>
    <row r="19879" ht="12.75" x14ac:dyDescent="0.2"/>
    <row r="19880" ht="12.75" x14ac:dyDescent="0.2"/>
    <row r="19881" ht="12.75" x14ac:dyDescent="0.2"/>
    <row r="19882" ht="12.75" x14ac:dyDescent="0.2"/>
    <row r="19883" ht="12.75" x14ac:dyDescent="0.2"/>
    <row r="19884" ht="12.75" x14ac:dyDescent="0.2"/>
    <row r="19885" ht="12.75" x14ac:dyDescent="0.2"/>
    <row r="19886" ht="12.75" x14ac:dyDescent="0.2"/>
    <row r="19887" ht="12.75" x14ac:dyDescent="0.2"/>
    <row r="19888" ht="12.75" x14ac:dyDescent="0.2"/>
    <row r="19889" ht="12.75" x14ac:dyDescent="0.2"/>
    <row r="19890" ht="12.75" x14ac:dyDescent="0.2"/>
    <row r="19891" ht="12.75" x14ac:dyDescent="0.2"/>
    <row r="19892" ht="12.75" x14ac:dyDescent="0.2"/>
    <row r="19893" ht="12.75" x14ac:dyDescent="0.2"/>
    <row r="19894" ht="12.75" x14ac:dyDescent="0.2"/>
    <row r="19895" ht="12.75" x14ac:dyDescent="0.2"/>
    <row r="19896" ht="12.75" x14ac:dyDescent="0.2"/>
    <row r="19897" ht="12.75" x14ac:dyDescent="0.2"/>
    <row r="19898" ht="12.75" x14ac:dyDescent="0.2"/>
    <row r="19899" ht="12.75" x14ac:dyDescent="0.2"/>
    <row r="19900" ht="12.75" x14ac:dyDescent="0.2"/>
    <row r="19901" ht="12.75" x14ac:dyDescent="0.2"/>
    <row r="19902" ht="12.75" x14ac:dyDescent="0.2"/>
    <row r="19903" ht="12.75" x14ac:dyDescent="0.2"/>
    <row r="19904" ht="12.75" x14ac:dyDescent="0.2"/>
    <row r="19905" ht="12.75" x14ac:dyDescent="0.2"/>
    <row r="19906" ht="12.75" x14ac:dyDescent="0.2"/>
    <row r="19907" ht="12.75" x14ac:dyDescent="0.2"/>
    <row r="19908" ht="12.75" x14ac:dyDescent="0.2"/>
    <row r="19909" ht="12.75" x14ac:dyDescent="0.2"/>
    <row r="19910" ht="12.75" x14ac:dyDescent="0.2"/>
    <row r="19911" ht="12.75" x14ac:dyDescent="0.2"/>
    <row r="19912" ht="12.75" x14ac:dyDescent="0.2"/>
    <row r="19913" ht="12.75" x14ac:dyDescent="0.2"/>
    <row r="19914" ht="12.75" x14ac:dyDescent="0.2"/>
    <row r="19915" ht="12.75" x14ac:dyDescent="0.2"/>
    <row r="19916" ht="12.75" x14ac:dyDescent="0.2"/>
    <row r="19917" ht="12.75" x14ac:dyDescent="0.2"/>
    <row r="19918" ht="12.75" x14ac:dyDescent="0.2"/>
    <row r="19919" ht="12.75" x14ac:dyDescent="0.2"/>
    <row r="19920" ht="12.75" x14ac:dyDescent="0.2"/>
    <row r="19921" ht="12.75" x14ac:dyDescent="0.2"/>
    <row r="19922" ht="12.75" x14ac:dyDescent="0.2"/>
    <row r="19923" ht="12.75" x14ac:dyDescent="0.2"/>
    <row r="19924" ht="12.75" x14ac:dyDescent="0.2"/>
    <row r="19925" ht="12.75" x14ac:dyDescent="0.2"/>
    <row r="19926" ht="12.75" x14ac:dyDescent="0.2"/>
    <row r="19927" ht="12.75" x14ac:dyDescent="0.2"/>
    <row r="19928" ht="12.75" x14ac:dyDescent="0.2"/>
    <row r="19929" ht="12.75" x14ac:dyDescent="0.2"/>
    <row r="19930" ht="12.75" x14ac:dyDescent="0.2"/>
    <row r="19931" ht="12.75" x14ac:dyDescent="0.2"/>
    <row r="19932" ht="12.75" x14ac:dyDescent="0.2"/>
    <row r="19933" ht="12.75" x14ac:dyDescent="0.2"/>
    <row r="19934" ht="12.75" x14ac:dyDescent="0.2"/>
    <row r="19935" ht="12.75" x14ac:dyDescent="0.2"/>
    <row r="19936" ht="12.75" x14ac:dyDescent="0.2"/>
    <row r="19937" ht="12.75" x14ac:dyDescent="0.2"/>
    <row r="19938" ht="12.75" x14ac:dyDescent="0.2"/>
    <row r="19939" ht="12.75" x14ac:dyDescent="0.2"/>
    <row r="19940" ht="12.75" x14ac:dyDescent="0.2"/>
    <row r="19941" ht="12.75" x14ac:dyDescent="0.2"/>
    <row r="19942" ht="12.75" x14ac:dyDescent="0.2"/>
    <row r="19943" ht="12.75" x14ac:dyDescent="0.2"/>
    <row r="19944" ht="12.75" x14ac:dyDescent="0.2"/>
    <row r="19945" ht="12.75" x14ac:dyDescent="0.2"/>
    <row r="19946" ht="12.75" x14ac:dyDescent="0.2"/>
    <row r="19947" ht="12.75" x14ac:dyDescent="0.2"/>
    <row r="19948" ht="12.75" x14ac:dyDescent="0.2"/>
    <row r="19949" ht="12.75" x14ac:dyDescent="0.2"/>
    <row r="19950" ht="12.75" x14ac:dyDescent="0.2"/>
    <row r="19951" ht="12.75" x14ac:dyDescent="0.2"/>
    <row r="19952" ht="12.75" x14ac:dyDescent="0.2"/>
    <row r="19953" ht="12.75" x14ac:dyDescent="0.2"/>
    <row r="19954" ht="12.75" x14ac:dyDescent="0.2"/>
    <row r="19955" ht="12.75" x14ac:dyDescent="0.2"/>
    <row r="19956" ht="12.75" x14ac:dyDescent="0.2"/>
    <row r="19957" ht="12.75" x14ac:dyDescent="0.2"/>
    <row r="19958" ht="12.75" x14ac:dyDescent="0.2"/>
    <row r="19959" ht="12.75" x14ac:dyDescent="0.2"/>
    <row r="19960" ht="12.75" x14ac:dyDescent="0.2"/>
    <row r="19961" ht="12.75" x14ac:dyDescent="0.2"/>
    <row r="19962" ht="12.75" x14ac:dyDescent="0.2"/>
    <row r="19963" ht="12.75" x14ac:dyDescent="0.2"/>
    <row r="19964" ht="12.75" x14ac:dyDescent="0.2"/>
    <row r="19965" ht="12.75" x14ac:dyDescent="0.2"/>
    <row r="19966" ht="12.75" x14ac:dyDescent="0.2"/>
    <row r="19967" ht="12.75" x14ac:dyDescent="0.2"/>
    <row r="19968" ht="12.75" x14ac:dyDescent="0.2"/>
    <row r="19969" ht="12.75" x14ac:dyDescent="0.2"/>
    <row r="19970" ht="12.75" x14ac:dyDescent="0.2"/>
    <row r="19971" ht="12.75" x14ac:dyDescent="0.2"/>
    <row r="19972" ht="12.75" x14ac:dyDescent="0.2"/>
    <row r="19973" ht="12.75" x14ac:dyDescent="0.2"/>
    <row r="19974" ht="12.75" x14ac:dyDescent="0.2"/>
    <row r="19975" ht="12.75" x14ac:dyDescent="0.2"/>
    <row r="19976" ht="12.75" x14ac:dyDescent="0.2"/>
    <row r="19977" ht="12.75" x14ac:dyDescent="0.2"/>
    <row r="19978" ht="12.75" x14ac:dyDescent="0.2"/>
    <row r="19979" ht="12.75" x14ac:dyDescent="0.2"/>
    <row r="19980" ht="12.75" x14ac:dyDescent="0.2"/>
    <row r="19981" ht="12.75" x14ac:dyDescent="0.2"/>
    <row r="19982" ht="12.75" x14ac:dyDescent="0.2"/>
    <row r="19983" ht="12.75" x14ac:dyDescent="0.2"/>
    <row r="19984" ht="12.75" x14ac:dyDescent="0.2"/>
    <row r="19985" ht="12.75" x14ac:dyDescent="0.2"/>
    <row r="19986" ht="12.75" x14ac:dyDescent="0.2"/>
    <row r="19987" ht="12.75" x14ac:dyDescent="0.2"/>
    <row r="19988" ht="12.75" x14ac:dyDescent="0.2"/>
    <row r="19989" ht="12.75" x14ac:dyDescent="0.2"/>
    <row r="19990" ht="12.75" x14ac:dyDescent="0.2"/>
    <row r="19991" ht="12.75" x14ac:dyDescent="0.2"/>
    <row r="19992" ht="12.75" x14ac:dyDescent="0.2"/>
    <row r="19993" ht="12.75" x14ac:dyDescent="0.2"/>
    <row r="19994" ht="12.75" x14ac:dyDescent="0.2"/>
    <row r="19995" ht="12.75" x14ac:dyDescent="0.2"/>
    <row r="19996" ht="12.75" x14ac:dyDescent="0.2"/>
    <row r="19997" ht="12.75" x14ac:dyDescent="0.2"/>
    <row r="19998" ht="12.75" x14ac:dyDescent="0.2"/>
    <row r="19999" ht="12.75" x14ac:dyDescent="0.2"/>
    <row r="20000" ht="12.75" x14ac:dyDescent="0.2"/>
    <row r="20001" ht="12.75" x14ac:dyDescent="0.2"/>
    <row r="20002" ht="12.75" x14ac:dyDescent="0.2"/>
    <row r="20003" ht="12.75" x14ac:dyDescent="0.2"/>
    <row r="20004" ht="12.75" x14ac:dyDescent="0.2"/>
    <row r="20005" ht="12.75" x14ac:dyDescent="0.2"/>
    <row r="20006" ht="12.75" x14ac:dyDescent="0.2"/>
    <row r="20007" ht="12.75" x14ac:dyDescent="0.2"/>
    <row r="20008" ht="12.75" x14ac:dyDescent="0.2"/>
    <row r="20009" ht="12.75" x14ac:dyDescent="0.2"/>
    <row r="20010" ht="12.75" x14ac:dyDescent="0.2"/>
    <row r="20011" ht="12.75" x14ac:dyDescent="0.2"/>
    <row r="20012" ht="12.75" x14ac:dyDescent="0.2"/>
    <row r="20013" ht="12.75" x14ac:dyDescent="0.2"/>
    <row r="20014" ht="12.75" x14ac:dyDescent="0.2"/>
    <row r="20015" ht="12.75" x14ac:dyDescent="0.2"/>
    <row r="20016" ht="12.75" x14ac:dyDescent="0.2"/>
    <row r="20017" ht="12.75" x14ac:dyDescent="0.2"/>
    <row r="20018" ht="12.75" x14ac:dyDescent="0.2"/>
    <row r="20019" ht="12.75" x14ac:dyDescent="0.2"/>
    <row r="20020" ht="12.75" x14ac:dyDescent="0.2"/>
    <row r="20021" ht="12.75" x14ac:dyDescent="0.2"/>
    <row r="20022" ht="12.75" x14ac:dyDescent="0.2"/>
    <row r="20023" ht="12.75" x14ac:dyDescent="0.2"/>
    <row r="20024" ht="12.75" x14ac:dyDescent="0.2"/>
    <row r="20025" ht="12.75" x14ac:dyDescent="0.2"/>
    <row r="20026" ht="12.75" x14ac:dyDescent="0.2"/>
    <row r="20027" ht="12.75" x14ac:dyDescent="0.2"/>
    <row r="20028" ht="12.75" x14ac:dyDescent="0.2"/>
    <row r="20029" ht="12.75" x14ac:dyDescent="0.2"/>
    <row r="20030" ht="12.75" x14ac:dyDescent="0.2"/>
    <row r="20031" ht="12.75" x14ac:dyDescent="0.2"/>
    <row r="20032" ht="12.75" x14ac:dyDescent="0.2"/>
    <row r="20033" ht="12.75" x14ac:dyDescent="0.2"/>
    <row r="20034" ht="12.75" x14ac:dyDescent="0.2"/>
    <row r="20035" ht="12.75" x14ac:dyDescent="0.2"/>
    <row r="20036" ht="12.75" x14ac:dyDescent="0.2"/>
    <row r="20037" ht="12.75" x14ac:dyDescent="0.2"/>
    <row r="20038" ht="12.75" x14ac:dyDescent="0.2"/>
    <row r="20039" ht="12.75" x14ac:dyDescent="0.2"/>
    <row r="20040" ht="12.75" x14ac:dyDescent="0.2"/>
    <row r="20041" ht="12.75" x14ac:dyDescent="0.2"/>
    <row r="20042" ht="12.75" x14ac:dyDescent="0.2"/>
    <row r="20043" ht="12.75" x14ac:dyDescent="0.2"/>
    <row r="20044" ht="12.75" x14ac:dyDescent="0.2"/>
    <row r="20045" ht="12.75" x14ac:dyDescent="0.2"/>
    <row r="20046" ht="12.75" x14ac:dyDescent="0.2"/>
    <row r="20047" ht="12.75" x14ac:dyDescent="0.2"/>
    <row r="20048" ht="12.75" x14ac:dyDescent="0.2"/>
    <row r="20049" ht="12.75" x14ac:dyDescent="0.2"/>
    <row r="20050" ht="12.75" x14ac:dyDescent="0.2"/>
    <row r="20051" ht="12.75" x14ac:dyDescent="0.2"/>
    <row r="20052" ht="12.75" x14ac:dyDescent="0.2"/>
    <row r="20053" ht="12.75" x14ac:dyDescent="0.2"/>
    <row r="20054" ht="12.75" x14ac:dyDescent="0.2"/>
    <row r="20055" ht="12.75" x14ac:dyDescent="0.2"/>
    <row r="20056" ht="12.75" x14ac:dyDescent="0.2"/>
    <row r="20057" ht="12.75" x14ac:dyDescent="0.2"/>
    <row r="20058" ht="12.75" x14ac:dyDescent="0.2"/>
    <row r="20059" ht="12.75" x14ac:dyDescent="0.2"/>
    <row r="20060" ht="12.75" x14ac:dyDescent="0.2"/>
    <row r="20061" ht="12.75" x14ac:dyDescent="0.2"/>
    <row r="20062" ht="12.75" x14ac:dyDescent="0.2"/>
    <row r="20063" ht="12.75" x14ac:dyDescent="0.2"/>
    <row r="20064" ht="12.75" x14ac:dyDescent="0.2"/>
    <row r="20065" ht="12.75" x14ac:dyDescent="0.2"/>
    <row r="20066" ht="12.75" x14ac:dyDescent="0.2"/>
    <row r="20067" ht="12.75" x14ac:dyDescent="0.2"/>
    <row r="20068" ht="12.75" x14ac:dyDescent="0.2"/>
    <row r="20069" ht="12.75" x14ac:dyDescent="0.2"/>
    <row r="20070" ht="12.75" x14ac:dyDescent="0.2"/>
    <row r="20071" ht="12.75" x14ac:dyDescent="0.2"/>
    <row r="20072" ht="12.75" x14ac:dyDescent="0.2"/>
    <row r="20073" ht="12.75" x14ac:dyDescent="0.2"/>
    <row r="20074" ht="12.75" x14ac:dyDescent="0.2"/>
    <row r="20075" ht="12.75" x14ac:dyDescent="0.2"/>
    <row r="20076" ht="12.75" x14ac:dyDescent="0.2"/>
    <row r="20077" ht="12.75" x14ac:dyDescent="0.2"/>
    <row r="20078" ht="12.75" x14ac:dyDescent="0.2"/>
    <row r="20079" ht="12.75" x14ac:dyDescent="0.2"/>
    <row r="20080" ht="12.75" x14ac:dyDescent="0.2"/>
    <row r="20081" ht="12.75" x14ac:dyDescent="0.2"/>
    <row r="20082" ht="12.75" x14ac:dyDescent="0.2"/>
    <row r="20083" ht="12.75" x14ac:dyDescent="0.2"/>
    <row r="20084" ht="12.75" x14ac:dyDescent="0.2"/>
    <row r="20085" ht="12.75" x14ac:dyDescent="0.2"/>
    <row r="20086" ht="12.75" x14ac:dyDescent="0.2"/>
    <row r="20087" ht="12.75" x14ac:dyDescent="0.2"/>
    <row r="20088" ht="12.75" x14ac:dyDescent="0.2"/>
    <row r="20089" ht="12.75" x14ac:dyDescent="0.2"/>
    <row r="20090" ht="12.75" x14ac:dyDescent="0.2"/>
    <row r="20091" ht="12.75" x14ac:dyDescent="0.2"/>
    <row r="20092" ht="12.75" x14ac:dyDescent="0.2"/>
    <row r="20093" ht="12.75" x14ac:dyDescent="0.2"/>
    <row r="20094" ht="12.75" x14ac:dyDescent="0.2"/>
    <row r="20095" ht="12.75" x14ac:dyDescent="0.2"/>
    <row r="20096" ht="12.75" x14ac:dyDescent="0.2"/>
    <row r="20097" ht="12.75" x14ac:dyDescent="0.2"/>
    <row r="20098" ht="12.75" x14ac:dyDescent="0.2"/>
    <row r="20099" ht="12.75" x14ac:dyDescent="0.2"/>
    <row r="20100" ht="12.75" x14ac:dyDescent="0.2"/>
    <row r="20101" ht="12.75" x14ac:dyDescent="0.2"/>
    <row r="20102" ht="12.75" x14ac:dyDescent="0.2"/>
    <row r="20103" ht="12.75" x14ac:dyDescent="0.2"/>
    <row r="20104" ht="12.75" x14ac:dyDescent="0.2"/>
    <row r="20105" ht="12.75" x14ac:dyDescent="0.2"/>
    <row r="20106" ht="12.75" x14ac:dyDescent="0.2"/>
    <row r="20107" ht="12.75" x14ac:dyDescent="0.2"/>
    <row r="20108" ht="12.75" x14ac:dyDescent="0.2"/>
    <row r="20109" ht="12.75" x14ac:dyDescent="0.2"/>
    <row r="20110" ht="12.75" x14ac:dyDescent="0.2"/>
    <row r="20111" ht="12.75" x14ac:dyDescent="0.2"/>
    <row r="20112" ht="12.75" x14ac:dyDescent="0.2"/>
    <row r="20113" ht="12.75" x14ac:dyDescent="0.2"/>
    <row r="20114" ht="12.75" x14ac:dyDescent="0.2"/>
    <row r="20115" ht="12.75" x14ac:dyDescent="0.2"/>
    <row r="20116" ht="12.75" x14ac:dyDescent="0.2"/>
    <row r="20117" ht="12.75" x14ac:dyDescent="0.2"/>
    <row r="20118" ht="12.75" x14ac:dyDescent="0.2"/>
    <row r="20119" ht="12.75" x14ac:dyDescent="0.2"/>
    <row r="20120" ht="12.75" x14ac:dyDescent="0.2"/>
    <row r="20121" ht="12.75" x14ac:dyDescent="0.2"/>
    <row r="20122" ht="12.75" x14ac:dyDescent="0.2"/>
    <row r="20123" ht="12.75" x14ac:dyDescent="0.2"/>
    <row r="20124" ht="12.75" x14ac:dyDescent="0.2"/>
    <row r="20125" ht="12.75" x14ac:dyDescent="0.2"/>
    <row r="20126" ht="12.75" x14ac:dyDescent="0.2"/>
    <row r="20127" ht="12.75" x14ac:dyDescent="0.2"/>
    <row r="20128" ht="12.75" x14ac:dyDescent="0.2"/>
    <row r="20129" ht="12.75" x14ac:dyDescent="0.2"/>
    <row r="20130" ht="12.75" x14ac:dyDescent="0.2"/>
    <row r="20131" ht="12.75" x14ac:dyDescent="0.2"/>
    <row r="20132" ht="12.75" x14ac:dyDescent="0.2"/>
    <row r="20133" ht="12.75" x14ac:dyDescent="0.2"/>
    <row r="20134" ht="12.75" x14ac:dyDescent="0.2"/>
    <row r="20135" ht="12.75" x14ac:dyDescent="0.2"/>
    <row r="20136" ht="12.75" x14ac:dyDescent="0.2"/>
    <row r="20137" ht="12.75" x14ac:dyDescent="0.2"/>
    <row r="20138" ht="12.75" x14ac:dyDescent="0.2"/>
    <row r="20139" ht="12.75" x14ac:dyDescent="0.2"/>
    <row r="20140" ht="12.75" x14ac:dyDescent="0.2"/>
    <row r="20141" ht="12.75" x14ac:dyDescent="0.2"/>
    <row r="20142" ht="12.75" x14ac:dyDescent="0.2"/>
    <row r="20143" ht="12.75" x14ac:dyDescent="0.2"/>
    <row r="20144" ht="12.75" x14ac:dyDescent="0.2"/>
    <row r="20145" ht="12.75" x14ac:dyDescent="0.2"/>
    <row r="20146" ht="12.75" x14ac:dyDescent="0.2"/>
    <row r="20147" ht="12.75" x14ac:dyDescent="0.2"/>
    <row r="20148" ht="12.75" x14ac:dyDescent="0.2"/>
    <row r="20149" ht="12.75" x14ac:dyDescent="0.2"/>
    <row r="20150" ht="12.75" x14ac:dyDescent="0.2"/>
    <row r="20151" ht="12.75" x14ac:dyDescent="0.2"/>
    <row r="20152" ht="12.75" x14ac:dyDescent="0.2"/>
    <row r="20153" ht="12.75" x14ac:dyDescent="0.2"/>
    <row r="20154" ht="12.75" x14ac:dyDescent="0.2"/>
    <row r="20155" ht="12.75" x14ac:dyDescent="0.2"/>
    <row r="20156" ht="12.75" x14ac:dyDescent="0.2"/>
    <row r="20157" ht="12.75" x14ac:dyDescent="0.2"/>
    <row r="20158" ht="12.75" x14ac:dyDescent="0.2"/>
    <row r="20159" ht="12.75" x14ac:dyDescent="0.2"/>
    <row r="20160" ht="12.75" x14ac:dyDescent="0.2"/>
    <row r="20161" ht="12.75" x14ac:dyDescent="0.2"/>
    <row r="20162" ht="12.75" x14ac:dyDescent="0.2"/>
    <row r="20163" ht="12.75" x14ac:dyDescent="0.2"/>
    <row r="20164" ht="12.75" x14ac:dyDescent="0.2"/>
    <row r="20165" ht="12.75" x14ac:dyDescent="0.2"/>
    <row r="20166" ht="12.75" x14ac:dyDescent="0.2"/>
    <row r="20167" ht="12.75" x14ac:dyDescent="0.2"/>
    <row r="20168" ht="12.75" x14ac:dyDescent="0.2"/>
    <row r="20169" ht="12.75" x14ac:dyDescent="0.2"/>
    <row r="20170" ht="12.75" x14ac:dyDescent="0.2"/>
    <row r="20171" ht="12.75" x14ac:dyDescent="0.2"/>
    <row r="20172" ht="12.75" x14ac:dyDescent="0.2"/>
    <row r="20173" ht="12.75" x14ac:dyDescent="0.2"/>
    <row r="20174" ht="12.75" x14ac:dyDescent="0.2"/>
    <row r="20175" ht="12.75" x14ac:dyDescent="0.2"/>
    <row r="20176" ht="12.75" x14ac:dyDescent="0.2"/>
    <row r="20177" ht="12.75" x14ac:dyDescent="0.2"/>
    <row r="20178" ht="12.75" x14ac:dyDescent="0.2"/>
    <row r="20179" ht="12.75" x14ac:dyDescent="0.2"/>
    <row r="20180" ht="12.75" x14ac:dyDescent="0.2"/>
    <row r="20181" ht="12.75" x14ac:dyDescent="0.2"/>
    <row r="20182" ht="12.75" x14ac:dyDescent="0.2"/>
    <row r="20183" ht="12.75" x14ac:dyDescent="0.2"/>
    <row r="20184" ht="12.75" x14ac:dyDescent="0.2"/>
    <row r="20185" ht="12.75" x14ac:dyDescent="0.2"/>
    <row r="20186" ht="12.75" x14ac:dyDescent="0.2"/>
    <row r="20187" ht="12.75" x14ac:dyDescent="0.2"/>
    <row r="20188" ht="12.75" x14ac:dyDescent="0.2"/>
    <row r="20189" ht="12.75" x14ac:dyDescent="0.2"/>
    <row r="20190" ht="12.75" x14ac:dyDescent="0.2"/>
    <row r="20191" ht="12.75" x14ac:dyDescent="0.2"/>
    <row r="20192" ht="12.75" x14ac:dyDescent="0.2"/>
    <row r="20193" ht="12.75" x14ac:dyDescent="0.2"/>
    <row r="20194" ht="12.75" x14ac:dyDescent="0.2"/>
    <row r="20195" ht="12.75" x14ac:dyDescent="0.2"/>
    <row r="20196" ht="12.75" x14ac:dyDescent="0.2"/>
    <row r="20197" ht="12.75" x14ac:dyDescent="0.2"/>
    <row r="20198" ht="12.75" x14ac:dyDescent="0.2"/>
    <row r="20199" ht="12.75" x14ac:dyDescent="0.2"/>
    <row r="20200" ht="12.75" x14ac:dyDescent="0.2"/>
    <row r="20201" ht="12.75" x14ac:dyDescent="0.2"/>
    <row r="20202" ht="12.75" x14ac:dyDescent="0.2"/>
    <row r="20203" ht="12.75" x14ac:dyDescent="0.2"/>
    <row r="20204" ht="12.75" x14ac:dyDescent="0.2"/>
    <row r="20205" ht="12.75" x14ac:dyDescent="0.2"/>
    <row r="20206" ht="12.75" x14ac:dyDescent="0.2"/>
    <row r="20207" ht="12.75" x14ac:dyDescent="0.2"/>
    <row r="20208" ht="12.75" x14ac:dyDescent="0.2"/>
    <row r="20209" ht="12.75" x14ac:dyDescent="0.2"/>
    <row r="20210" ht="12.75" x14ac:dyDescent="0.2"/>
    <row r="20211" ht="12.75" x14ac:dyDescent="0.2"/>
    <row r="20212" ht="12.75" x14ac:dyDescent="0.2"/>
    <row r="20213" ht="12.75" x14ac:dyDescent="0.2"/>
    <row r="20214" ht="12.75" x14ac:dyDescent="0.2"/>
    <row r="20215" ht="12.75" x14ac:dyDescent="0.2"/>
    <row r="20216" ht="12.75" x14ac:dyDescent="0.2"/>
    <row r="20217" ht="12.75" x14ac:dyDescent="0.2"/>
    <row r="20218" ht="12.75" x14ac:dyDescent="0.2"/>
    <row r="20219" ht="12.75" x14ac:dyDescent="0.2"/>
    <row r="20220" ht="12.75" x14ac:dyDescent="0.2"/>
    <row r="20221" ht="12.75" x14ac:dyDescent="0.2"/>
    <row r="20222" ht="12.75" x14ac:dyDescent="0.2"/>
    <row r="20223" ht="12.75" x14ac:dyDescent="0.2"/>
    <row r="20224" ht="12.75" x14ac:dyDescent="0.2"/>
    <row r="20225" ht="12.75" x14ac:dyDescent="0.2"/>
    <row r="20226" ht="12.75" x14ac:dyDescent="0.2"/>
    <row r="20227" ht="12.75" x14ac:dyDescent="0.2"/>
    <row r="20228" ht="12.75" x14ac:dyDescent="0.2"/>
    <row r="20229" ht="12.75" x14ac:dyDescent="0.2"/>
    <row r="20230" ht="12.75" x14ac:dyDescent="0.2"/>
    <row r="20231" ht="12.75" x14ac:dyDescent="0.2"/>
    <row r="20232" ht="12.75" x14ac:dyDescent="0.2"/>
    <row r="20233" ht="12.75" x14ac:dyDescent="0.2"/>
    <row r="20234" ht="12.75" x14ac:dyDescent="0.2"/>
    <row r="20235" ht="12.75" x14ac:dyDescent="0.2"/>
    <row r="20236" ht="12.75" x14ac:dyDescent="0.2"/>
    <row r="20237" ht="12.75" x14ac:dyDescent="0.2"/>
    <row r="20238" ht="12.75" x14ac:dyDescent="0.2"/>
    <row r="20239" ht="12.75" x14ac:dyDescent="0.2"/>
    <row r="20240" ht="12.75" x14ac:dyDescent="0.2"/>
    <row r="20241" ht="12.75" x14ac:dyDescent="0.2"/>
    <row r="20242" ht="12.75" x14ac:dyDescent="0.2"/>
    <row r="20243" ht="12.75" x14ac:dyDescent="0.2"/>
    <row r="20244" ht="12.75" x14ac:dyDescent="0.2"/>
    <row r="20245" ht="12.75" x14ac:dyDescent="0.2"/>
    <row r="20246" ht="12.75" x14ac:dyDescent="0.2"/>
    <row r="20247" ht="12.75" x14ac:dyDescent="0.2"/>
    <row r="20248" ht="12.75" x14ac:dyDescent="0.2"/>
    <row r="20249" ht="12.75" x14ac:dyDescent="0.2"/>
    <row r="20250" ht="12.75" x14ac:dyDescent="0.2"/>
    <row r="20251" ht="12.75" x14ac:dyDescent="0.2"/>
    <row r="20252" ht="12.75" x14ac:dyDescent="0.2"/>
    <row r="20253" ht="12.75" x14ac:dyDescent="0.2"/>
    <row r="20254" ht="12.75" x14ac:dyDescent="0.2"/>
    <row r="20255" ht="12.75" x14ac:dyDescent="0.2"/>
    <row r="20256" ht="12.75" x14ac:dyDescent="0.2"/>
    <row r="20257" ht="12.75" x14ac:dyDescent="0.2"/>
    <row r="20258" ht="12.75" x14ac:dyDescent="0.2"/>
    <row r="20259" ht="12.75" x14ac:dyDescent="0.2"/>
    <row r="20260" ht="12.75" x14ac:dyDescent="0.2"/>
    <row r="20261" ht="12.75" x14ac:dyDescent="0.2"/>
    <row r="20262" ht="12.75" x14ac:dyDescent="0.2"/>
    <row r="20263" ht="12.75" x14ac:dyDescent="0.2"/>
    <row r="20264" ht="12.75" x14ac:dyDescent="0.2"/>
    <row r="20265" ht="12.75" x14ac:dyDescent="0.2"/>
    <row r="20266" ht="12.75" x14ac:dyDescent="0.2"/>
    <row r="20267" ht="12.75" x14ac:dyDescent="0.2"/>
    <row r="20268" ht="12.75" x14ac:dyDescent="0.2"/>
    <row r="20269" ht="12.75" x14ac:dyDescent="0.2"/>
    <row r="20270" ht="12.75" x14ac:dyDescent="0.2"/>
    <row r="20271" ht="12.75" x14ac:dyDescent="0.2"/>
    <row r="20272" ht="12.75" x14ac:dyDescent="0.2"/>
    <row r="20273" ht="12.75" x14ac:dyDescent="0.2"/>
    <row r="20274" ht="12.75" x14ac:dyDescent="0.2"/>
    <row r="20275" ht="12.75" x14ac:dyDescent="0.2"/>
    <row r="20276" ht="12.75" x14ac:dyDescent="0.2"/>
    <row r="20277" ht="12.75" x14ac:dyDescent="0.2"/>
    <row r="20278" ht="12.75" x14ac:dyDescent="0.2"/>
    <row r="20279" ht="12.75" x14ac:dyDescent="0.2"/>
    <row r="20280" ht="12.75" x14ac:dyDescent="0.2"/>
    <row r="20281" ht="12.75" x14ac:dyDescent="0.2"/>
    <row r="20282" ht="12.75" x14ac:dyDescent="0.2"/>
    <row r="20283" ht="12.75" x14ac:dyDescent="0.2"/>
    <row r="20284" ht="12.75" x14ac:dyDescent="0.2"/>
    <row r="20285" ht="12.75" x14ac:dyDescent="0.2"/>
    <row r="20286" ht="12.75" x14ac:dyDescent="0.2"/>
    <row r="20287" ht="12.75" x14ac:dyDescent="0.2"/>
    <row r="20288" ht="12.75" x14ac:dyDescent="0.2"/>
    <row r="20289" ht="12.75" x14ac:dyDescent="0.2"/>
    <row r="20290" ht="12.75" x14ac:dyDescent="0.2"/>
    <row r="20291" ht="12.75" x14ac:dyDescent="0.2"/>
    <row r="20292" ht="12.75" x14ac:dyDescent="0.2"/>
    <row r="20293" ht="12.75" x14ac:dyDescent="0.2"/>
    <row r="20294" ht="12.75" x14ac:dyDescent="0.2"/>
    <row r="20295" ht="12.75" x14ac:dyDescent="0.2"/>
    <row r="20296" ht="12.75" x14ac:dyDescent="0.2"/>
    <row r="20297" ht="12.75" x14ac:dyDescent="0.2"/>
    <row r="20298" ht="12.75" x14ac:dyDescent="0.2"/>
    <row r="20299" ht="12.75" x14ac:dyDescent="0.2"/>
    <row r="20300" ht="12.75" x14ac:dyDescent="0.2"/>
    <row r="20301" ht="12.75" x14ac:dyDescent="0.2"/>
    <row r="20302" ht="12.75" x14ac:dyDescent="0.2"/>
    <row r="20303" ht="12.75" x14ac:dyDescent="0.2"/>
    <row r="20304" ht="12.75" x14ac:dyDescent="0.2"/>
    <row r="20305" ht="12.75" x14ac:dyDescent="0.2"/>
    <row r="20306" ht="12.75" x14ac:dyDescent="0.2"/>
    <row r="20307" ht="12.75" x14ac:dyDescent="0.2"/>
    <row r="20308" ht="12.75" x14ac:dyDescent="0.2"/>
    <row r="20309" ht="12.75" x14ac:dyDescent="0.2"/>
    <row r="20310" ht="12.75" x14ac:dyDescent="0.2"/>
    <row r="20311" ht="12.75" x14ac:dyDescent="0.2"/>
    <row r="20312" ht="12.75" x14ac:dyDescent="0.2"/>
    <row r="20313" ht="12.75" x14ac:dyDescent="0.2"/>
    <row r="20314" ht="12.75" x14ac:dyDescent="0.2"/>
    <row r="20315" ht="12.75" x14ac:dyDescent="0.2"/>
    <row r="20316" ht="12.75" x14ac:dyDescent="0.2"/>
    <row r="20317" ht="12.75" x14ac:dyDescent="0.2"/>
    <row r="20318" ht="12.75" x14ac:dyDescent="0.2"/>
    <row r="20319" ht="12.75" x14ac:dyDescent="0.2"/>
    <row r="20320" ht="12.75" x14ac:dyDescent="0.2"/>
    <row r="20321" ht="12.75" x14ac:dyDescent="0.2"/>
    <row r="20322" ht="12.75" x14ac:dyDescent="0.2"/>
    <row r="20323" ht="12.75" x14ac:dyDescent="0.2"/>
    <row r="20324" ht="12.75" x14ac:dyDescent="0.2"/>
    <row r="20325" ht="12.75" x14ac:dyDescent="0.2"/>
    <row r="20326" ht="12.75" x14ac:dyDescent="0.2"/>
    <row r="20327" ht="12.75" x14ac:dyDescent="0.2"/>
    <row r="20328" ht="12.75" x14ac:dyDescent="0.2"/>
    <row r="20329" ht="12.75" x14ac:dyDescent="0.2"/>
    <row r="20330" ht="12.75" x14ac:dyDescent="0.2"/>
    <row r="20331" ht="12.75" x14ac:dyDescent="0.2"/>
    <row r="20332" ht="12.75" x14ac:dyDescent="0.2"/>
    <row r="20333" ht="12.75" x14ac:dyDescent="0.2"/>
    <row r="20334" ht="12.75" x14ac:dyDescent="0.2"/>
    <row r="20335" ht="12.75" x14ac:dyDescent="0.2"/>
    <row r="20336" ht="12.75" x14ac:dyDescent="0.2"/>
    <row r="20337" ht="12.75" x14ac:dyDescent="0.2"/>
    <row r="20338" ht="12.75" x14ac:dyDescent="0.2"/>
    <row r="20339" ht="12.75" x14ac:dyDescent="0.2"/>
    <row r="20340" ht="12.75" x14ac:dyDescent="0.2"/>
    <row r="20341" ht="12.75" x14ac:dyDescent="0.2"/>
    <row r="20342" ht="12.75" x14ac:dyDescent="0.2"/>
    <row r="20343" ht="12.75" x14ac:dyDescent="0.2"/>
    <row r="20344" ht="12.75" x14ac:dyDescent="0.2"/>
    <row r="20345" ht="12.75" x14ac:dyDescent="0.2"/>
    <row r="20346" ht="12.75" x14ac:dyDescent="0.2"/>
    <row r="20347" ht="12.75" x14ac:dyDescent="0.2"/>
    <row r="20348" ht="12.75" x14ac:dyDescent="0.2"/>
    <row r="20349" ht="12.75" x14ac:dyDescent="0.2"/>
    <row r="20350" ht="12.75" x14ac:dyDescent="0.2"/>
    <row r="20351" ht="12.75" x14ac:dyDescent="0.2"/>
    <row r="20352" ht="12.75" x14ac:dyDescent="0.2"/>
    <row r="20353" ht="12.75" x14ac:dyDescent="0.2"/>
    <row r="20354" ht="12.75" x14ac:dyDescent="0.2"/>
    <row r="20355" ht="12.75" x14ac:dyDescent="0.2"/>
    <row r="20356" ht="12.75" x14ac:dyDescent="0.2"/>
    <row r="20357" ht="12.75" x14ac:dyDescent="0.2"/>
    <row r="20358" ht="12.75" x14ac:dyDescent="0.2"/>
    <row r="20359" ht="12.75" x14ac:dyDescent="0.2"/>
    <row r="20360" ht="12.75" x14ac:dyDescent="0.2"/>
    <row r="20361" ht="12.75" x14ac:dyDescent="0.2"/>
    <row r="20362" ht="12.75" x14ac:dyDescent="0.2"/>
    <row r="20363" ht="12.75" x14ac:dyDescent="0.2"/>
    <row r="20364" ht="12.75" x14ac:dyDescent="0.2"/>
    <row r="20365" ht="12.75" x14ac:dyDescent="0.2"/>
    <row r="20366" ht="12.75" x14ac:dyDescent="0.2"/>
    <row r="20367" ht="12.75" x14ac:dyDescent="0.2"/>
    <row r="20368" ht="12.75" x14ac:dyDescent="0.2"/>
    <row r="20369" ht="12.75" x14ac:dyDescent="0.2"/>
    <row r="20370" ht="12.75" x14ac:dyDescent="0.2"/>
    <row r="20371" ht="12.75" x14ac:dyDescent="0.2"/>
    <row r="20372" ht="12.75" x14ac:dyDescent="0.2"/>
    <row r="20373" ht="12.75" x14ac:dyDescent="0.2"/>
    <row r="20374" ht="12.75" x14ac:dyDescent="0.2"/>
    <row r="20375" ht="12.75" x14ac:dyDescent="0.2"/>
    <row r="20376" ht="12.75" x14ac:dyDescent="0.2"/>
    <row r="20377" ht="12.75" x14ac:dyDescent="0.2"/>
    <row r="20378" ht="12.75" x14ac:dyDescent="0.2"/>
    <row r="20379" ht="12.75" x14ac:dyDescent="0.2"/>
    <row r="20380" ht="12.75" x14ac:dyDescent="0.2"/>
    <row r="20381" ht="12.75" x14ac:dyDescent="0.2"/>
    <row r="20382" ht="12.75" x14ac:dyDescent="0.2"/>
    <row r="20383" ht="12.75" x14ac:dyDescent="0.2"/>
    <row r="20384" ht="12.75" x14ac:dyDescent="0.2"/>
    <row r="20385" ht="12.75" x14ac:dyDescent="0.2"/>
    <row r="20386" ht="12.75" x14ac:dyDescent="0.2"/>
    <row r="20387" ht="12.75" x14ac:dyDescent="0.2"/>
    <row r="20388" ht="12.75" x14ac:dyDescent="0.2"/>
    <row r="20389" ht="12.75" x14ac:dyDescent="0.2"/>
    <row r="20390" ht="12.75" x14ac:dyDescent="0.2"/>
    <row r="20391" ht="12.75" x14ac:dyDescent="0.2"/>
    <row r="20392" ht="12.75" x14ac:dyDescent="0.2"/>
    <row r="20393" ht="12.75" x14ac:dyDescent="0.2"/>
    <row r="20394" ht="12.75" x14ac:dyDescent="0.2"/>
    <row r="20395" ht="12.75" x14ac:dyDescent="0.2"/>
    <row r="20396" ht="12.75" x14ac:dyDescent="0.2"/>
    <row r="20397" ht="12.75" x14ac:dyDescent="0.2"/>
    <row r="20398" ht="12.75" x14ac:dyDescent="0.2"/>
    <row r="20399" ht="12.75" x14ac:dyDescent="0.2"/>
    <row r="20400" ht="12.75" x14ac:dyDescent="0.2"/>
    <row r="20401" ht="12.75" x14ac:dyDescent="0.2"/>
    <row r="20402" ht="12.75" x14ac:dyDescent="0.2"/>
    <row r="20403" ht="12.75" x14ac:dyDescent="0.2"/>
    <row r="20404" ht="12.75" x14ac:dyDescent="0.2"/>
    <row r="20405" ht="12.75" x14ac:dyDescent="0.2"/>
    <row r="20406" ht="12.75" x14ac:dyDescent="0.2"/>
    <row r="20407" ht="12.75" x14ac:dyDescent="0.2"/>
    <row r="20408" ht="12.75" x14ac:dyDescent="0.2"/>
    <row r="20409" ht="12.75" x14ac:dyDescent="0.2"/>
    <row r="20410" ht="12.75" x14ac:dyDescent="0.2"/>
    <row r="20411" ht="12.75" x14ac:dyDescent="0.2"/>
    <row r="20412" ht="12.75" x14ac:dyDescent="0.2"/>
    <row r="20413" ht="12.75" x14ac:dyDescent="0.2"/>
    <row r="20414" ht="12.75" x14ac:dyDescent="0.2"/>
    <row r="20415" ht="12.75" x14ac:dyDescent="0.2"/>
    <row r="20416" ht="12.75" x14ac:dyDescent="0.2"/>
    <row r="20417" ht="12.75" x14ac:dyDescent="0.2"/>
    <row r="20418" ht="12.75" x14ac:dyDescent="0.2"/>
    <row r="20419" ht="12.75" x14ac:dyDescent="0.2"/>
    <row r="20420" ht="12.75" x14ac:dyDescent="0.2"/>
    <row r="20421" ht="12.75" x14ac:dyDescent="0.2"/>
    <row r="20422" ht="12.75" x14ac:dyDescent="0.2"/>
    <row r="20423" ht="12.75" x14ac:dyDescent="0.2"/>
    <row r="20424" ht="12.75" x14ac:dyDescent="0.2"/>
    <row r="20425" ht="12.75" x14ac:dyDescent="0.2"/>
    <row r="20426" ht="12.75" x14ac:dyDescent="0.2"/>
    <row r="20427" ht="12.75" x14ac:dyDescent="0.2"/>
    <row r="20428" ht="12.75" x14ac:dyDescent="0.2"/>
    <row r="20429" ht="12.75" x14ac:dyDescent="0.2"/>
    <row r="20430" ht="12.75" x14ac:dyDescent="0.2"/>
    <row r="20431" ht="12.75" x14ac:dyDescent="0.2"/>
    <row r="20432" ht="12.75" x14ac:dyDescent="0.2"/>
    <row r="20433" ht="12.75" x14ac:dyDescent="0.2"/>
    <row r="20434" ht="12.75" x14ac:dyDescent="0.2"/>
    <row r="20435" ht="12.75" x14ac:dyDescent="0.2"/>
    <row r="20436" ht="12.75" x14ac:dyDescent="0.2"/>
    <row r="20437" ht="12.75" x14ac:dyDescent="0.2"/>
    <row r="20438" ht="12.75" x14ac:dyDescent="0.2"/>
    <row r="20439" ht="12.75" x14ac:dyDescent="0.2"/>
    <row r="20440" ht="12.75" x14ac:dyDescent="0.2"/>
    <row r="20441" ht="12.75" x14ac:dyDescent="0.2"/>
    <row r="20442" ht="12.75" x14ac:dyDescent="0.2"/>
    <row r="20443" ht="12.75" x14ac:dyDescent="0.2"/>
    <row r="20444" ht="12.75" x14ac:dyDescent="0.2"/>
    <row r="20445" ht="12.75" x14ac:dyDescent="0.2"/>
    <row r="20446" ht="12.75" x14ac:dyDescent="0.2"/>
    <row r="20447" ht="12.75" x14ac:dyDescent="0.2"/>
    <row r="20448" ht="12.75" x14ac:dyDescent="0.2"/>
    <row r="20449" ht="12.75" x14ac:dyDescent="0.2"/>
    <row r="20450" ht="12.75" x14ac:dyDescent="0.2"/>
    <row r="20451" ht="12.75" x14ac:dyDescent="0.2"/>
    <row r="20452" ht="12.75" x14ac:dyDescent="0.2"/>
    <row r="20453" ht="12.75" x14ac:dyDescent="0.2"/>
    <row r="20454" ht="12.75" x14ac:dyDescent="0.2"/>
    <row r="20455" ht="12.75" x14ac:dyDescent="0.2"/>
    <row r="20456" ht="12.75" x14ac:dyDescent="0.2"/>
    <row r="20457" ht="12.75" x14ac:dyDescent="0.2"/>
    <row r="20458" ht="12.75" x14ac:dyDescent="0.2"/>
    <row r="20459" ht="12.75" x14ac:dyDescent="0.2"/>
    <row r="20460" ht="12.75" x14ac:dyDescent="0.2"/>
    <row r="20461" ht="12.75" x14ac:dyDescent="0.2"/>
    <row r="20462" ht="12.75" x14ac:dyDescent="0.2"/>
    <row r="20463" ht="12.75" x14ac:dyDescent="0.2"/>
    <row r="20464" ht="12.75" x14ac:dyDescent="0.2"/>
    <row r="20465" ht="12.75" x14ac:dyDescent="0.2"/>
    <row r="20466" ht="12.75" x14ac:dyDescent="0.2"/>
    <row r="20467" ht="12.75" x14ac:dyDescent="0.2"/>
    <row r="20468" ht="12.75" x14ac:dyDescent="0.2"/>
    <row r="20469" ht="12.75" x14ac:dyDescent="0.2"/>
    <row r="20470" ht="12.75" x14ac:dyDescent="0.2"/>
    <row r="20471" ht="12.75" x14ac:dyDescent="0.2"/>
    <row r="20472" ht="12.75" x14ac:dyDescent="0.2"/>
    <row r="20473" ht="12.75" x14ac:dyDescent="0.2"/>
    <row r="20474" ht="12.75" x14ac:dyDescent="0.2"/>
    <row r="20475" ht="12.75" x14ac:dyDescent="0.2"/>
    <row r="20476" ht="12.75" x14ac:dyDescent="0.2"/>
    <row r="20477" ht="12.75" x14ac:dyDescent="0.2"/>
    <row r="20478" ht="12.75" x14ac:dyDescent="0.2"/>
    <row r="20479" ht="12.75" x14ac:dyDescent="0.2"/>
    <row r="20480" ht="12.75" x14ac:dyDescent="0.2"/>
    <row r="20481" ht="12.75" x14ac:dyDescent="0.2"/>
    <row r="20482" ht="12.75" x14ac:dyDescent="0.2"/>
    <row r="20483" ht="12.75" x14ac:dyDescent="0.2"/>
    <row r="20484" ht="12.75" x14ac:dyDescent="0.2"/>
    <row r="20485" ht="12.75" x14ac:dyDescent="0.2"/>
    <row r="20486" ht="12.75" x14ac:dyDescent="0.2"/>
    <row r="20487" ht="12.75" x14ac:dyDescent="0.2"/>
    <row r="20488" ht="12.75" x14ac:dyDescent="0.2"/>
    <row r="20489" ht="12.75" x14ac:dyDescent="0.2"/>
    <row r="20490" ht="12.75" x14ac:dyDescent="0.2"/>
    <row r="20491" ht="12.75" x14ac:dyDescent="0.2"/>
    <row r="20492" ht="12.75" x14ac:dyDescent="0.2"/>
    <row r="20493" ht="12.75" x14ac:dyDescent="0.2"/>
    <row r="20494" ht="12.75" x14ac:dyDescent="0.2"/>
    <row r="20495" ht="12.75" x14ac:dyDescent="0.2"/>
    <row r="20496" ht="12.75" x14ac:dyDescent="0.2"/>
    <row r="20497" ht="12.75" x14ac:dyDescent="0.2"/>
    <row r="20498" ht="12.75" x14ac:dyDescent="0.2"/>
    <row r="20499" ht="12.75" x14ac:dyDescent="0.2"/>
    <row r="20500" ht="12.75" x14ac:dyDescent="0.2"/>
    <row r="20501" ht="12.75" x14ac:dyDescent="0.2"/>
    <row r="20502" ht="12.75" x14ac:dyDescent="0.2"/>
    <row r="20503" ht="12.75" x14ac:dyDescent="0.2"/>
    <row r="20504" ht="12.75" x14ac:dyDescent="0.2"/>
    <row r="20505" ht="12.75" x14ac:dyDescent="0.2"/>
    <row r="20506" ht="12.75" x14ac:dyDescent="0.2"/>
    <row r="20507" ht="12.75" x14ac:dyDescent="0.2"/>
    <row r="20508" ht="12.75" x14ac:dyDescent="0.2"/>
    <row r="20509" ht="12.75" x14ac:dyDescent="0.2"/>
    <row r="20510" ht="12.75" x14ac:dyDescent="0.2"/>
    <row r="20511" ht="12.75" x14ac:dyDescent="0.2"/>
    <row r="20512" ht="12.75" x14ac:dyDescent="0.2"/>
    <row r="20513" ht="12.75" x14ac:dyDescent="0.2"/>
    <row r="20514" ht="12.75" x14ac:dyDescent="0.2"/>
    <row r="20515" ht="12.75" x14ac:dyDescent="0.2"/>
    <row r="20516" ht="12.75" x14ac:dyDescent="0.2"/>
    <row r="20517" ht="12.75" x14ac:dyDescent="0.2"/>
    <row r="20518" ht="12.75" x14ac:dyDescent="0.2"/>
    <row r="20519" ht="12.75" x14ac:dyDescent="0.2"/>
    <row r="20520" ht="12.75" x14ac:dyDescent="0.2"/>
    <row r="20521" ht="12.75" x14ac:dyDescent="0.2"/>
    <row r="20522" ht="12.75" x14ac:dyDescent="0.2"/>
    <row r="20523" ht="12.75" x14ac:dyDescent="0.2"/>
    <row r="20524" ht="12.75" x14ac:dyDescent="0.2"/>
    <row r="20525" ht="12.75" x14ac:dyDescent="0.2"/>
    <row r="20526" ht="12.75" x14ac:dyDescent="0.2"/>
    <row r="20527" ht="12.75" x14ac:dyDescent="0.2"/>
    <row r="20528" ht="12.75" x14ac:dyDescent="0.2"/>
    <row r="20529" ht="12.75" x14ac:dyDescent="0.2"/>
    <row r="20530" ht="12.75" x14ac:dyDescent="0.2"/>
    <row r="20531" ht="12.75" x14ac:dyDescent="0.2"/>
    <row r="20532" ht="12.75" x14ac:dyDescent="0.2"/>
    <row r="20533" ht="12.75" x14ac:dyDescent="0.2"/>
    <row r="20534" ht="12.75" x14ac:dyDescent="0.2"/>
    <row r="20535" ht="12.75" x14ac:dyDescent="0.2"/>
    <row r="20536" ht="12.75" x14ac:dyDescent="0.2"/>
    <row r="20537" ht="12.75" x14ac:dyDescent="0.2"/>
    <row r="20538" ht="12.75" x14ac:dyDescent="0.2"/>
    <row r="20539" ht="12.75" x14ac:dyDescent="0.2"/>
    <row r="20540" ht="12.75" x14ac:dyDescent="0.2"/>
    <row r="20541" ht="12.75" x14ac:dyDescent="0.2"/>
    <row r="20542" ht="12.75" x14ac:dyDescent="0.2"/>
    <row r="20543" ht="12.75" x14ac:dyDescent="0.2"/>
    <row r="20544" ht="12.75" x14ac:dyDescent="0.2"/>
    <row r="20545" ht="12.75" x14ac:dyDescent="0.2"/>
    <row r="20546" ht="12.75" x14ac:dyDescent="0.2"/>
    <row r="20547" ht="12.75" x14ac:dyDescent="0.2"/>
    <row r="20548" ht="12.75" x14ac:dyDescent="0.2"/>
    <row r="20549" ht="12.75" x14ac:dyDescent="0.2"/>
    <row r="20550" ht="12.75" x14ac:dyDescent="0.2"/>
    <row r="20551" ht="12.75" x14ac:dyDescent="0.2"/>
    <row r="20552" ht="12.75" x14ac:dyDescent="0.2"/>
    <row r="20553" ht="12.75" x14ac:dyDescent="0.2"/>
    <row r="20554" ht="12.75" x14ac:dyDescent="0.2"/>
    <row r="20555" ht="12.75" x14ac:dyDescent="0.2"/>
    <row r="20556" ht="12.75" x14ac:dyDescent="0.2"/>
    <row r="20557" ht="12.75" x14ac:dyDescent="0.2"/>
    <row r="20558" ht="12.75" x14ac:dyDescent="0.2"/>
    <row r="20559" ht="12.75" x14ac:dyDescent="0.2"/>
    <row r="20560" ht="12.75" x14ac:dyDescent="0.2"/>
    <row r="20561" ht="12.75" x14ac:dyDescent="0.2"/>
    <row r="20562" ht="12.75" x14ac:dyDescent="0.2"/>
    <row r="20563" ht="12.75" x14ac:dyDescent="0.2"/>
    <row r="20564" ht="12.75" x14ac:dyDescent="0.2"/>
    <row r="20565" ht="12.75" x14ac:dyDescent="0.2"/>
    <row r="20566" ht="12.75" x14ac:dyDescent="0.2"/>
    <row r="20567" ht="12.75" x14ac:dyDescent="0.2"/>
    <row r="20568" ht="12.75" x14ac:dyDescent="0.2"/>
    <row r="20569" ht="12.75" x14ac:dyDescent="0.2"/>
    <row r="20570" ht="12.75" x14ac:dyDescent="0.2"/>
    <row r="20571" ht="12.75" x14ac:dyDescent="0.2"/>
    <row r="20572" ht="12.75" x14ac:dyDescent="0.2"/>
    <row r="20573" ht="12.75" x14ac:dyDescent="0.2"/>
    <row r="20574" ht="12.75" x14ac:dyDescent="0.2"/>
    <row r="20575" ht="12.75" x14ac:dyDescent="0.2"/>
    <row r="20576" ht="12.75" x14ac:dyDescent="0.2"/>
    <row r="20577" ht="12.75" x14ac:dyDescent="0.2"/>
    <row r="20578" ht="12.75" x14ac:dyDescent="0.2"/>
    <row r="20579" ht="12.75" x14ac:dyDescent="0.2"/>
    <row r="20580" ht="12.75" x14ac:dyDescent="0.2"/>
    <row r="20581" ht="12.75" x14ac:dyDescent="0.2"/>
    <row r="20582" ht="12.75" x14ac:dyDescent="0.2"/>
    <row r="20583" ht="12.75" x14ac:dyDescent="0.2"/>
    <row r="20584" ht="12.75" x14ac:dyDescent="0.2"/>
    <row r="20585" ht="12.75" x14ac:dyDescent="0.2"/>
    <row r="20586" ht="12.75" x14ac:dyDescent="0.2"/>
    <row r="20587" ht="12.75" x14ac:dyDescent="0.2"/>
    <row r="20588" ht="12.75" x14ac:dyDescent="0.2"/>
    <row r="20589" ht="12.75" x14ac:dyDescent="0.2"/>
    <row r="20590" ht="12.75" x14ac:dyDescent="0.2"/>
    <row r="20591" ht="12.75" x14ac:dyDescent="0.2"/>
    <row r="20592" ht="12.75" x14ac:dyDescent="0.2"/>
    <row r="20593" ht="12.75" x14ac:dyDescent="0.2"/>
    <row r="20594" ht="12.75" x14ac:dyDescent="0.2"/>
    <row r="20595" ht="12.75" x14ac:dyDescent="0.2"/>
    <row r="20596" ht="12.75" x14ac:dyDescent="0.2"/>
    <row r="20597" ht="12.75" x14ac:dyDescent="0.2"/>
    <row r="20598" ht="12.75" x14ac:dyDescent="0.2"/>
    <row r="20599" ht="12.75" x14ac:dyDescent="0.2"/>
    <row r="20600" ht="12.75" x14ac:dyDescent="0.2"/>
    <row r="20601" ht="12.75" x14ac:dyDescent="0.2"/>
    <row r="20602" ht="12.75" x14ac:dyDescent="0.2"/>
    <row r="20603" ht="12.75" x14ac:dyDescent="0.2"/>
    <row r="20604" ht="12.75" x14ac:dyDescent="0.2"/>
    <row r="20605" ht="12.75" x14ac:dyDescent="0.2"/>
    <row r="20606" ht="12.75" x14ac:dyDescent="0.2"/>
    <row r="20607" ht="12.75" x14ac:dyDescent="0.2"/>
    <row r="20608" ht="12.75" x14ac:dyDescent="0.2"/>
    <row r="20609" ht="12.75" x14ac:dyDescent="0.2"/>
    <row r="20610" ht="12.75" x14ac:dyDescent="0.2"/>
    <row r="20611" ht="12.75" x14ac:dyDescent="0.2"/>
    <row r="20612" ht="12.75" x14ac:dyDescent="0.2"/>
    <row r="20613" ht="12.75" x14ac:dyDescent="0.2"/>
    <row r="20614" ht="12.75" x14ac:dyDescent="0.2"/>
    <row r="20615" ht="12.75" x14ac:dyDescent="0.2"/>
    <row r="20616" ht="12.75" x14ac:dyDescent="0.2"/>
    <row r="20617" ht="12.75" x14ac:dyDescent="0.2"/>
    <row r="20618" ht="12.75" x14ac:dyDescent="0.2"/>
    <row r="20619" ht="12.75" x14ac:dyDescent="0.2"/>
    <row r="20620" ht="12.75" x14ac:dyDescent="0.2"/>
    <row r="20621" ht="12.75" x14ac:dyDescent="0.2"/>
    <row r="20622" ht="12.75" x14ac:dyDescent="0.2"/>
    <row r="20623" ht="12.75" x14ac:dyDescent="0.2"/>
    <row r="20624" ht="12.75" x14ac:dyDescent="0.2"/>
    <row r="20625" ht="12.75" x14ac:dyDescent="0.2"/>
    <row r="20626" ht="12.75" x14ac:dyDescent="0.2"/>
    <row r="20627" ht="12.75" x14ac:dyDescent="0.2"/>
    <row r="20628" ht="12.75" x14ac:dyDescent="0.2"/>
    <row r="20629" ht="12.75" x14ac:dyDescent="0.2"/>
    <row r="20630" ht="12.75" x14ac:dyDescent="0.2"/>
    <row r="20631" ht="12.75" x14ac:dyDescent="0.2"/>
    <row r="20632" ht="12.75" x14ac:dyDescent="0.2"/>
    <row r="20633" ht="12.75" x14ac:dyDescent="0.2"/>
    <row r="20634" ht="12.75" x14ac:dyDescent="0.2"/>
    <row r="20635" ht="12.75" x14ac:dyDescent="0.2"/>
    <row r="20636" ht="12.75" x14ac:dyDescent="0.2"/>
    <row r="20637" ht="12.75" x14ac:dyDescent="0.2"/>
    <row r="20638" ht="12.75" x14ac:dyDescent="0.2"/>
    <row r="20639" ht="12.75" x14ac:dyDescent="0.2"/>
    <row r="20640" ht="12.75" x14ac:dyDescent="0.2"/>
    <row r="20641" ht="12.75" x14ac:dyDescent="0.2"/>
    <row r="20642" ht="12.75" x14ac:dyDescent="0.2"/>
    <row r="20643" ht="12.75" x14ac:dyDescent="0.2"/>
    <row r="20644" ht="12.75" x14ac:dyDescent="0.2"/>
    <row r="20645" ht="12.75" x14ac:dyDescent="0.2"/>
    <row r="20646" ht="12.75" x14ac:dyDescent="0.2"/>
    <row r="20647" ht="12.75" x14ac:dyDescent="0.2"/>
    <row r="20648" ht="12.75" x14ac:dyDescent="0.2"/>
    <row r="20649" ht="12.75" x14ac:dyDescent="0.2"/>
    <row r="20650" ht="12.75" x14ac:dyDescent="0.2"/>
    <row r="20651" ht="12.75" x14ac:dyDescent="0.2"/>
    <row r="20652" ht="12.75" x14ac:dyDescent="0.2"/>
    <row r="20653" ht="12.75" x14ac:dyDescent="0.2"/>
    <row r="20654" ht="12.75" x14ac:dyDescent="0.2"/>
    <row r="20655" ht="12.75" x14ac:dyDescent="0.2"/>
    <row r="20656" ht="12.75" x14ac:dyDescent="0.2"/>
    <row r="20657" ht="12.75" x14ac:dyDescent="0.2"/>
    <row r="20658" ht="12.75" x14ac:dyDescent="0.2"/>
    <row r="20659" ht="12.75" x14ac:dyDescent="0.2"/>
    <row r="20660" ht="12.75" x14ac:dyDescent="0.2"/>
    <row r="20661" ht="12.75" x14ac:dyDescent="0.2"/>
    <row r="20662" ht="12.75" x14ac:dyDescent="0.2"/>
    <row r="20663" ht="12.75" x14ac:dyDescent="0.2"/>
    <row r="20664" ht="12.75" x14ac:dyDescent="0.2"/>
    <row r="20665" ht="12.75" x14ac:dyDescent="0.2"/>
    <row r="20666" ht="12.75" x14ac:dyDescent="0.2"/>
    <row r="20667" ht="12.75" x14ac:dyDescent="0.2"/>
    <row r="20668" ht="12.75" x14ac:dyDescent="0.2"/>
    <row r="20669" ht="12.75" x14ac:dyDescent="0.2"/>
    <row r="20670" ht="12.75" x14ac:dyDescent="0.2"/>
    <row r="20671" ht="12.75" x14ac:dyDescent="0.2"/>
    <row r="20672" ht="12.75" x14ac:dyDescent="0.2"/>
    <row r="20673" ht="12.75" x14ac:dyDescent="0.2"/>
    <row r="20674" ht="12.75" x14ac:dyDescent="0.2"/>
    <row r="20675" ht="12.75" x14ac:dyDescent="0.2"/>
    <row r="20676" ht="12.75" x14ac:dyDescent="0.2"/>
    <row r="20677" ht="12.75" x14ac:dyDescent="0.2"/>
    <row r="20678" ht="12.75" x14ac:dyDescent="0.2"/>
    <row r="20679" ht="12.75" x14ac:dyDescent="0.2"/>
    <row r="20680" ht="12.75" x14ac:dyDescent="0.2"/>
    <row r="20681" ht="12.75" x14ac:dyDescent="0.2"/>
    <row r="20682" ht="12.75" x14ac:dyDescent="0.2"/>
    <row r="20683" ht="12.75" x14ac:dyDescent="0.2"/>
    <row r="20684" ht="12.75" x14ac:dyDescent="0.2"/>
    <row r="20685" ht="12.75" x14ac:dyDescent="0.2"/>
    <row r="20686" ht="12.75" x14ac:dyDescent="0.2"/>
    <row r="20687" ht="12.75" x14ac:dyDescent="0.2"/>
    <row r="20688" ht="12.75" x14ac:dyDescent="0.2"/>
    <row r="20689" ht="12.75" x14ac:dyDescent="0.2"/>
    <row r="20690" ht="12.75" x14ac:dyDescent="0.2"/>
    <row r="20691" ht="12.75" x14ac:dyDescent="0.2"/>
    <row r="20692" ht="12.75" x14ac:dyDescent="0.2"/>
    <row r="20693" ht="12.75" x14ac:dyDescent="0.2"/>
    <row r="20694" ht="12.75" x14ac:dyDescent="0.2"/>
    <row r="20695" ht="12.75" x14ac:dyDescent="0.2"/>
    <row r="20696" ht="12.75" x14ac:dyDescent="0.2"/>
    <row r="20697" ht="12.75" x14ac:dyDescent="0.2"/>
    <row r="20698" ht="12.75" x14ac:dyDescent="0.2"/>
    <row r="20699" ht="12.75" x14ac:dyDescent="0.2"/>
    <row r="20700" ht="12.75" x14ac:dyDescent="0.2"/>
    <row r="20701" ht="12.75" x14ac:dyDescent="0.2"/>
    <row r="20702" ht="12.75" x14ac:dyDescent="0.2"/>
    <row r="20703" ht="12.75" x14ac:dyDescent="0.2"/>
    <row r="20704" ht="12.75" x14ac:dyDescent="0.2"/>
    <row r="20705" ht="12.75" x14ac:dyDescent="0.2"/>
    <row r="20706" ht="12.75" x14ac:dyDescent="0.2"/>
    <row r="20707" ht="12.75" x14ac:dyDescent="0.2"/>
    <row r="20708" ht="12.75" x14ac:dyDescent="0.2"/>
    <row r="20709" ht="12.75" x14ac:dyDescent="0.2"/>
    <row r="20710" ht="12.75" x14ac:dyDescent="0.2"/>
    <row r="20711" ht="12.75" x14ac:dyDescent="0.2"/>
    <row r="20712" ht="12.75" x14ac:dyDescent="0.2"/>
    <row r="20713" ht="12.75" x14ac:dyDescent="0.2"/>
    <row r="20714" ht="12.75" x14ac:dyDescent="0.2"/>
    <row r="20715" ht="12.75" x14ac:dyDescent="0.2"/>
    <row r="20716" ht="12.75" x14ac:dyDescent="0.2"/>
    <row r="20717" ht="12.75" x14ac:dyDescent="0.2"/>
    <row r="20718" ht="12.75" x14ac:dyDescent="0.2"/>
    <row r="20719" ht="12.75" x14ac:dyDescent="0.2"/>
    <row r="20720" ht="12.75" x14ac:dyDescent="0.2"/>
    <row r="20721" ht="12.75" x14ac:dyDescent="0.2"/>
    <row r="20722" ht="12.75" x14ac:dyDescent="0.2"/>
    <row r="20723" ht="12.75" x14ac:dyDescent="0.2"/>
    <row r="20724" ht="12.75" x14ac:dyDescent="0.2"/>
    <row r="20725" ht="12.75" x14ac:dyDescent="0.2"/>
    <row r="20726" ht="12.75" x14ac:dyDescent="0.2"/>
    <row r="20727" ht="12.75" x14ac:dyDescent="0.2"/>
    <row r="20728" ht="12.75" x14ac:dyDescent="0.2"/>
    <row r="20729" ht="12.75" x14ac:dyDescent="0.2"/>
    <row r="20730" ht="12.75" x14ac:dyDescent="0.2"/>
    <row r="20731" ht="12.75" x14ac:dyDescent="0.2"/>
    <row r="20732" ht="12.75" x14ac:dyDescent="0.2"/>
    <row r="20733" ht="12.75" x14ac:dyDescent="0.2"/>
    <row r="20734" ht="12.75" x14ac:dyDescent="0.2"/>
    <row r="20735" ht="12.75" x14ac:dyDescent="0.2"/>
    <row r="20736" ht="12.75" x14ac:dyDescent="0.2"/>
    <row r="20737" ht="12.75" x14ac:dyDescent="0.2"/>
    <row r="20738" ht="12.75" x14ac:dyDescent="0.2"/>
    <row r="20739" ht="12.75" x14ac:dyDescent="0.2"/>
    <row r="20740" ht="12.75" x14ac:dyDescent="0.2"/>
    <row r="20741" ht="12.75" x14ac:dyDescent="0.2"/>
    <row r="20742" ht="12.75" x14ac:dyDescent="0.2"/>
    <row r="20743" ht="12.75" x14ac:dyDescent="0.2"/>
    <row r="20744" ht="12.75" x14ac:dyDescent="0.2"/>
    <row r="20745" ht="12.75" x14ac:dyDescent="0.2"/>
    <row r="20746" ht="12.75" x14ac:dyDescent="0.2"/>
    <row r="20747" ht="12.75" x14ac:dyDescent="0.2"/>
    <row r="20748" ht="12.75" x14ac:dyDescent="0.2"/>
    <row r="20749" ht="12.75" x14ac:dyDescent="0.2"/>
    <row r="20750" ht="12.75" x14ac:dyDescent="0.2"/>
    <row r="20751" ht="12.75" x14ac:dyDescent="0.2"/>
    <row r="20752" ht="12.75" x14ac:dyDescent="0.2"/>
    <row r="20753" ht="12.75" x14ac:dyDescent="0.2"/>
    <row r="20754" ht="12.75" x14ac:dyDescent="0.2"/>
    <row r="20755" ht="12.75" x14ac:dyDescent="0.2"/>
    <row r="20756" ht="12.75" x14ac:dyDescent="0.2"/>
    <row r="20757" ht="12.75" x14ac:dyDescent="0.2"/>
    <row r="20758" ht="12.75" x14ac:dyDescent="0.2"/>
    <row r="20759" ht="12.75" x14ac:dyDescent="0.2"/>
    <row r="20760" ht="12.75" x14ac:dyDescent="0.2"/>
    <row r="20761" ht="12.75" x14ac:dyDescent="0.2"/>
    <row r="20762" ht="12.75" x14ac:dyDescent="0.2"/>
    <row r="20763" ht="12.75" x14ac:dyDescent="0.2"/>
    <row r="20764" ht="12.75" x14ac:dyDescent="0.2"/>
    <row r="20765" ht="12.75" x14ac:dyDescent="0.2"/>
    <row r="20766" ht="12.75" x14ac:dyDescent="0.2"/>
    <row r="20767" ht="12.75" x14ac:dyDescent="0.2"/>
    <row r="20768" ht="12.75" x14ac:dyDescent="0.2"/>
    <row r="20769" ht="12.75" x14ac:dyDescent="0.2"/>
    <row r="20770" ht="12.75" x14ac:dyDescent="0.2"/>
    <row r="20771" ht="12.75" x14ac:dyDescent="0.2"/>
    <row r="20772" ht="12.75" x14ac:dyDescent="0.2"/>
    <row r="20773" ht="12.75" x14ac:dyDescent="0.2"/>
    <row r="20774" ht="12.75" x14ac:dyDescent="0.2"/>
    <row r="20775" ht="12.75" x14ac:dyDescent="0.2"/>
    <row r="20776" ht="12.75" x14ac:dyDescent="0.2"/>
    <row r="20777" ht="12.75" x14ac:dyDescent="0.2"/>
    <row r="20778" ht="12.75" x14ac:dyDescent="0.2"/>
    <row r="20779" ht="12.75" x14ac:dyDescent="0.2"/>
    <row r="20780" ht="12.75" x14ac:dyDescent="0.2"/>
    <row r="20781" ht="12.75" x14ac:dyDescent="0.2"/>
    <row r="20782" ht="12.75" x14ac:dyDescent="0.2"/>
    <row r="20783" ht="12.75" x14ac:dyDescent="0.2"/>
    <row r="20784" ht="12.75" x14ac:dyDescent="0.2"/>
    <row r="20785" ht="12.75" x14ac:dyDescent="0.2"/>
    <row r="20786" ht="12.75" x14ac:dyDescent="0.2"/>
    <row r="20787" ht="12.75" x14ac:dyDescent="0.2"/>
    <row r="20788" ht="12.75" x14ac:dyDescent="0.2"/>
    <row r="20789" ht="12.75" x14ac:dyDescent="0.2"/>
    <row r="20790" ht="12.75" x14ac:dyDescent="0.2"/>
    <row r="20791" ht="12.75" x14ac:dyDescent="0.2"/>
    <row r="20792" ht="12.75" x14ac:dyDescent="0.2"/>
    <row r="20793" ht="12.75" x14ac:dyDescent="0.2"/>
    <row r="20794" ht="12.75" x14ac:dyDescent="0.2"/>
    <row r="20795" ht="12.75" x14ac:dyDescent="0.2"/>
    <row r="20796" ht="12.75" x14ac:dyDescent="0.2"/>
    <row r="20797" ht="12.75" x14ac:dyDescent="0.2"/>
    <row r="20798" ht="12.75" x14ac:dyDescent="0.2"/>
    <row r="20799" ht="12.75" x14ac:dyDescent="0.2"/>
    <row r="20800" ht="12.75" x14ac:dyDescent="0.2"/>
    <row r="20801" ht="12.75" x14ac:dyDescent="0.2"/>
    <row r="20802" ht="12.75" x14ac:dyDescent="0.2"/>
    <row r="20803" ht="12.75" x14ac:dyDescent="0.2"/>
    <row r="20804" ht="12.75" x14ac:dyDescent="0.2"/>
    <row r="20805" ht="12.75" x14ac:dyDescent="0.2"/>
    <row r="20806" ht="12.75" x14ac:dyDescent="0.2"/>
    <row r="20807" ht="12.75" x14ac:dyDescent="0.2"/>
    <row r="20808" ht="12.75" x14ac:dyDescent="0.2"/>
    <row r="20809" ht="12.75" x14ac:dyDescent="0.2"/>
    <row r="20810" ht="12.75" x14ac:dyDescent="0.2"/>
    <row r="20811" ht="12.75" x14ac:dyDescent="0.2"/>
    <row r="20812" ht="12.75" x14ac:dyDescent="0.2"/>
    <row r="20813" ht="12.75" x14ac:dyDescent="0.2"/>
    <row r="20814" ht="12.75" x14ac:dyDescent="0.2"/>
    <row r="20815" ht="12.75" x14ac:dyDescent="0.2"/>
    <row r="20816" ht="12.75" x14ac:dyDescent="0.2"/>
    <row r="20817" ht="12.75" x14ac:dyDescent="0.2"/>
    <row r="20818" ht="12.75" x14ac:dyDescent="0.2"/>
    <row r="20819" ht="12.75" x14ac:dyDescent="0.2"/>
    <row r="20820" ht="12.75" x14ac:dyDescent="0.2"/>
    <row r="20821" ht="12.75" x14ac:dyDescent="0.2"/>
    <row r="20822" ht="12.75" x14ac:dyDescent="0.2"/>
    <row r="20823" ht="12.75" x14ac:dyDescent="0.2"/>
    <row r="20824" ht="12.75" x14ac:dyDescent="0.2"/>
    <row r="20825" ht="12.75" x14ac:dyDescent="0.2"/>
    <row r="20826" ht="12.75" x14ac:dyDescent="0.2"/>
    <row r="20827" ht="12.75" x14ac:dyDescent="0.2"/>
    <row r="20828" ht="12.75" x14ac:dyDescent="0.2"/>
    <row r="20829" ht="12.75" x14ac:dyDescent="0.2"/>
    <row r="20830" ht="12.75" x14ac:dyDescent="0.2"/>
    <row r="20831" ht="12.75" x14ac:dyDescent="0.2"/>
    <row r="20832" ht="12.75" x14ac:dyDescent="0.2"/>
    <row r="20833" ht="12.75" x14ac:dyDescent="0.2"/>
    <row r="20834" ht="12.75" x14ac:dyDescent="0.2"/>
    <row r="20835" ht="12.75" x14ac:dyDescent="0.2"/>
    <row r="20836" ht="12.75" x14ac:dyDescent="0.2"/>
    <row r="20837" ht="12.75" x14ac:dyDescent="0.2"/>
    <row r="20838" ht="12.75" x14ac:dyDescent="0.2"/>
    <row r="20839" ht="12.75" x14ac:dyDescent="0.2"/>
    <row r="20840" ht="12.75" x14ac:dyDescent="0.2"/>
    <row r="20841" ht="12.75" x14ac:dyDescent="0.2"/>
    <row r="20842" ht="12.75" x14ac:dyDescent="0.2"/>
    <row r="20843" ht="12.75" x14ac:dyDescent="0.2"/>
    <row r="20844" ht="12.75" x14ac:dyDescent="0.2"/>
    <row r="20845" ht="12.75" x14ac:dyDescent="0.2"/>
    <row r="20846" ht="12.75" x14ac:dyDescent="0.2"/>
    <row r="20847" ht="12.75" x14ac:dyDescent="0.2"/>
    <row r="20848" ht="12.75" x14ac:dyDescent="0.2"/>
    <row r="20849" ht="12.75" x14ac:dyDescent="0.2"/>
    <row r="20850" ht="12.75" x14ac:dyDescent="0.2"/>
    <row r="20851" ht="12.75" x14ac:dyDescent="0.2"/>
    <row r="20852" ht="12.75" x14ac:dyDescent="0.2"/>
    <row r="20853" ht="12.75" x14ac:dyDescent="0.2"/>
    <row r="20854" ht="12.75" x14ac:dyDescent="0.2"/>
    <row r="20855" ht="12.75" x14ac:dyDescent="0.2"/>
    <row r="20856" ht="12.75" x14ac:dyDescent="0.2"/>
    <row r="20857" ht="12.75" x14ac:dyDescent="0.2"/>
    <row r="20858" ht="12.75" x14ac:dyDescent="0.2"/>
    <row r="20859" ht="12.75" x14ac:dyDescent="0.2"/>
    <row r="20860" ht="12.75" x14ac:dyDescent="0.2"/>
    <row r="20861" ht="12.75" x14ac:dyDescent="0.2"/>
    <row r="20862" ht="12.75" x14ac:dyDescent="0.2"/>
    <row r="20863" ht="12.75" x14ac:dyDescent="0.2"/>
    <row r="20864" ht="12.75" x14ac:dyDescent="0.2"/>
    <row r="20865" ht="12.75" x14ac:dyDescent="0.2"/>
    <row r="20866" ht="12.75" x14ac:dyDescent="0.2"/>
    <row r="20867" ht="12.75" x14ac:dyDescent="0.2"/>
    <row r="20868" ht="12.75" x14ac:dyDescent="0.2"/>
    <row r="20869" ht="12.75" x14ac:dyDescent="0.2"/>
    <row r="20870" ht="12.75" x14ac:dyDescent="0.2"/>
    <row r="20871" ht="12.75" x14ac:dyDescent="0.2"/>
    <row r="20872" ht="12.75" x14ac:dyDescent="0.2"/>
    <row r="20873" ht="12.75" x14ac:dyDescent="0.2"/>
    <row r="20874" ht="12.75" x14ac:dyDescent="0.2"/>
    <row r="20875" ht="12.75" x14ac:dyDescent="0.2"/>
    <row r="20876" ht="12.75" x14ac:dyDescent="0.2"/>
    <row r="20877" ht="12.75" x14ac:dyDescent="0.2"/>
    <row r="20878" ht="12.75" x14ac:dyDescent="0.2"/>
    <row r="20879" ht="12.75" x14ac:dyDescent="0.2"/>
    <row r="20880" ht="12.75" x14ac:dyDescent="0.2"/>
    <row r="20881" ht="12.75" x14ac:dyDescent="0.2"/>
    <row r="20882" ht="12.75" x14ac:dyDescent="0.2"/>
    <row r="20883" ht="12.75" x14ac:dyDescent="0.2"/>
    <row r="20884" ht="12.75" x14ac:dyDescent="0.2"/>
    <row r="20885" ht="12.75" x14ac:dyDescent="0.2"/>
    <row r="20886" ht="12.75" x14ac:dyDescent="0.2"/>
    <row r="20887" ht="12.75" x14ac:dyDescent="0.2"/>
    <row r="20888" ht="12.75" x14ac:dyDescent="0.2"/>
    <row r="20889" ht="12.75" x14ac:dyDescent="0.2"/>
    <row r="20890" ht="12.75" x14ac:dyDescent="0.2"/>
    <row r="20891" ht="12.75" x14ac:dyDescent="0.2"/>
    <row r="20892" ht="12.75" x14ac:dyDescent="0.2"/>
    <row r="20893" ht="12.75" x14ac:dyDescent="0.2"/>
    <row r="20894" ht="12.75" x14ac:dyDescent="0.2"/>
    <row r="20895" ht="12.75" x14ac:dyDescent="0.2"/>
    <row r="20896" ht="12.75" x14ac:dyDescent="0.2"/>
    <row r="20897" ht="12.75" x14ac:dyDescent="0.2"/>
    <row r="20898" ht="12.75" x14ac:dyDescent="0.2"/>
    <row r="20899" ht="12.75" x14ac:dyDescent="0.2"/>
    <row r="20900" ht="12.75" x14ac:dyDescent="0.2"/>
    <row r="20901" ht="12.75" x14ac:dyDescent="0.2"/>
    <row r="20902" ht="12.75" x14ac:dyDescent="0.2"/>
    <row r="20903" ht="12.75" x14ac:dyDescent="0.2"/>
    <row r="20904" ht="12.75" x14ac:dyDescent="0.2"/>
    <row r="20905" ht="12.75" x14ac:dyDescent="0.2"/>
    <row r="20906" ht="12.75" x14ac:dyDescent="0.2"/>
    <row r="20907" ht="12.75" x14ac:dyDescent="0.2"/>
    <row r="20908" ht="12.75" x14ac:dyDescent="0.2"/>
    <row r="20909" ht="12.75" x14ac:dyDescent="0.2"/>
    <row r="20910" ht="12.75" x14ac:dyDescent="0.2"/>
    <row r="20911" ht="12.75" x14ac:dyDescent="0.2"/>
    <row r="20912" ht="12.75" x14ac:dyDescent="0.2"/>
    <row r="20913" ht="12.75" x14ac:dyDescent="0.2"/>
    <row r="20914" ht="12.75" x14ac:dyDescent="0.2"/>
    <row r="20915" ht="12.75" x14ac:dyDescent="0.2"/>
    <row r="20916" ht="12.75" x14ac:dyDescent="0.2"/>
    <row r="20917" ht="12.75" x14ac:dyDescent="0.2"/>
    <row r="20918" ht="12.75" x14ac:dyDescent="0.2"/>
    <row r="20919" ht="12.75" x14ac:dyDescent="0.2"/>
    <row r="20920" ht="12.75" x14ac:dyDescent="0.2"/>
    <row r="20921" ht="12.75" x14ac:dyDescent="0.2"/>
    <row r="20922" ht="12.75" x14ac:dyDescent="0.2"/>
    <row r="20923" ht="12.75" x14ac:dyDescent="0.2"/>
    <row r="20924" ht="12.75" x14ac:dyDescent="0.2"/>
    <row r="20925" ht="12.75" x14ac:dyDescent="0.2"/>
    <row r="20926" ht="12.75" x14ac:dyDescent="0.2"/>
    <row r="20927" ht="12.75" x14ac:dyDescent="0.2"/>
    <row r="20928" ht="12.75" x14ac:dyDescent="0.2"/>
    <row r="20929" ht="12.75" x14ac:dyDescent="0.2"/>
    <row r="20930" ht="12.75" x14ac:dyDescent="0.2"/>
    <row r="20931" ht="12.75" x14ac:dyDescent="0.2"/>
    <row r="20932" ht="12.75" x14ac:dyDescent="0.2"/>
    <row r="20933" ht="12.75" x14ac:dyDescent="0.2"/>
    <row r="20934" ht="12.75" x14ac:dyDescent="0.2"/>
    <row r="20935" ht="12.75" x14ac:dyDescent="0.2"/>
    <row r="20936" ht="12.75" x14ac:dyDescent="0.2"/>
    <row r="20937" ht="12.75" x14ac:dyDescent="0.2"/>
    <row r="20938" ht="12.75" x14ac:dyDescent="0.2"/>
    <row r="20939" ht="12.75" x14ac:dyDescent="0.2"/>
    <row r="20940" ht="12.75" x14ac:dyDescent="0.2"/>
    <row r="20941" ht="12.75" x14ac:dyDescent="0.2"/>
    <row r="20942" ht="12.75" x14ac:dyDescent="0.2"/>
    <row r="20943" ht="12.75" x14ac:dyDescent="0.2"/>
    <row r="20944" ht="12.75" x14ac:dyDescent="0.2"/>
    <row r="20945" ht="12.75" x14ac:dyDescent="0.2"/>
    <row r="20946" ht="12.75" x14ac:dyDescent="0.2"/>
    <row r="20947" ht="12.75" x14ac:dyDescent="0.2"/>
    <row r="20948" ht="12.75" x14ac:dyDescent="0.2"/>
    <row r="20949" ht="12.75" x14ac:dyDescent="0.2"/>
    <row r="20950" ht="12.75" x14ac:dyDescent="0.2"/>
    <row r="20951" ht="12.75" x14ac:dyDescent="0.2"/>
    <row r="20952" ht="12.75" x14ac:dyDescent="0.2"/>
    <row r="20953" ht="12.75" x14ac:dyDescent="0.2"/>
    <row r="20954" ht="12.75" x14ac:dyDescent="0.2"/>
    <row r="20955" ht="12.75" x14ac:dyDescent="0.2"/>
    <row r="20956" ht="12.75" x14ac:dyDescent="0.2"/>
    <row r="20957" ht="12.75" x14ac:dyDescent="0.2"/>
    <row r="20958" ht="12.75" x14ac:dyDescent="0.2"/>
    <row r="20959" ht="12.75" x14ac:dyDescent="0.2"/>
    <row r="20960" ht="12.75" x14ac:dyDescent="0.2"/>
    <row r="20961" ht="12.75" x14ac:dyDescent="0.2"/>
    <row r="20962" ht="12.75" x14ac:dyDescent="0.2"/>
    <row r="20963" ht="12.75" x14ac:dyDescent="0.2"/>
    <row r="20964" ht="12.75" x14ac:dyDescent="0.2"/>
    <row r="20965" ht="12.75" x14ac:dyDescent="0.2"/>
    <row r="20966" ht="12.75" x14ac:dyDescent="0.2"/>
    <row r="20967" ht="12.75" x14ac:dyDescent="0.2"/>
    <row r="20968" ht="12.75" x14ac:dyDescent="0.2"/>
    <row r="20969" ht="12.75" x14ac:dyDescent="0.2"/>
    <row r="20970" ht="12.75" x14ac:dyDescent="0.2"/>
    <row r="20971" ht="12.75" x14ac:dyDescent="0.2"/>
    <row r="20972" ht="12.75" x14ac:dyDescent="0.2"/>
    <row r="20973" ht="12.75" x14ac:dyDescent="0.2"/>
    <row r="20974" ht="12.75" x14ac:dyDescent="0.2"/>
    <row r="20975" ht="12.75" x14ac:dyDescent="0.2"/>
    <row r="20976" ht="12.75" x14ac:dyDescent="0.2"/>
    <row r="20977" ht="12.75" x14ac:dyDescent="0.2"/>
    <row r="20978" ht="12.75" x14ac:dyDescent="0.2"/>
    <row r="20979" ht="12.75" x14ac:dyDescent="0.2"/>
    <row r="20980" ht="12.75" x14ac:dyDescent="0.2"/>
    <row r="20981" ht="12.75" x14ac:dyDescent="0.2"/>
    <row r="20982" ht="12.75" x14ac:dyDescent="0.2"/>
    <row r="20983" ht="12.75" x14ac:dyDescent="0.2"/>
    <row r="20984" ht="12.75" x14ac:dyDescent="0.2"/>
    <row r="20985" ht="12.75" x14ac:dyDescent="0.2"/>
    <row r="20986" ht="12.75" x14ac:dyDescent="0.2"/>
    <row r="20987" ht="12.75" x14ac:dyDescent="0.2"/>
    <row r="20988" ht="12.75" x14ac:dyDescent="0.2"/>
    <row r="20989" ht="12.75" x14ac:dyDescent="0.2"/>
    <row r="20990" ht="12.75" x14ac:dyDescent="0.2"/>
    <row r="20991" ht="12.75" x14ac:dyDescent="0.2"/>
    <row r="20992" ht="12.75" x14ac:dyDescent="0.2"/>
    <row r="20993" ht="12.75" x14ac:dyDescent="0.2"/>
    <row r="20994" ht="12.75" x14ac:dyDescent="0.2"/>
    <row r="20995" ht="12.75" x14ac:dyDescent="0.2"/>
    <row r="20996" ht="12.75" x14ac:dyDescent="0.2"/>
    <row r="20997" ht="12.75" x14ac:dyDescent="0.2"/>
    <row r="20998" ht="12.75" x14ac:dyDescent="0.2"/>
    <row r="20999" ht="12.75" x14ac:dyDescent="0.2"/>
    <row r="21000" ht="12.75" x14ac:dyDescent="0.2"/>
    <row r="21001" ht="12.75" x14ac:dyDescent="0.2"/>
    <row r="21002" ht="12.75" x14ac:dyDescent="0.2"/>
    <row r="21003" ht="12.75" x14ac:dyDescent="0.2"/>
    <row r="21004" ht="12.75" x14ac:dyDescent="0.2"/>
    <row r="21005" ht="12.75" x14ac:dyDescent="0.2"/>
    <row r="21006" ht="12.75" x14ac:dyDescent="0.2"/>
    <row r="21007" ht="12.75" x14ac:dyDescent="0.2"/>
    <row r="21008" ht="12.75" x14ac:dyDescent="0.2"/>
    <row r="21009" ht="12.75" x14ac:dyDescent="0.2"/>
    <row r="21010" ht="12.75" x14ac:dyDescent="0.2"/>
    <row r="21011" ht="12.75" x14ac:dyDescent="0.2"/>
    <row r="21012" ht="12.75" x14ac:dyDescent="0.2"/>
    <row r="21013" ht="12.75" x14ac:dyDescent="0.2"/>
    <row r="21014" ht="12.75" x14ac:dyDescent="0.2"/>
    <row r="21015" ht="12.75" x14ac:dyDescent="0.2"/>
    <row r="21016" ht="12.75" x14ac:dyDescent="0.2"/>
    <row r="21017" ht="12.75" x14ac:dyDescent="0.2"/>
    <row r="21018" ht="12.75" x14ac:dyDescent="0.2"/>
    <row r="21019" ht="12.75" x14ac:dyDescent="0.2"/>
    <row r="21020" ht="12.75" x14ac:dyDescent="0.2"/>
    <row r="21021" ht="12.75" x14ac:dyDescent="0.2"/>
    <row r="21022" ht="12.75" x14ac:dyDescent="0.2"/>
    <row r="21023" ht="12.75" x14ac:dyDescent="0.2"/>
    <row r="21024" ht="12.75" x14ac:dyDescent="0.2"/>
    <row r="21025" ht="12.75" x14ac:dyDescent="0.2"/>
    <row r="21026" ht="12.75" x14ac:dyDescent="0.2"/>
    <row r="21027" ht="12.75" x14ac:dyDescent="0.2"/>
    <row r="21028" ht="12.75" x14ac:dyDescent="0.2"/>
    <row r="21029" ht="12.75" x14ac:dyDescent="0.2"/>
    <row r="21030" ht="12.75" x14ac:dyDescent="0.2"/>
    <row r="21031" ht="12.75" x14ac:dyDescent="0.2"/>
    <row r="21032" ht="12.75" x14ac:dyDescent="0.2"/>
    <row r="21033" ht="12.75" x14ac:dyDescent="0.2"/>
    <row r="21034" ht="12.75" x14ac:dyDescent="0.2"/>
    <row r="21035" ht="12.75" x14ac:dyDescent="0.2"/>
    <row r="21036" ht="12.75" x14ac:dyDescent="0.2"/>
    <row r="21037" ht="12.75" x14ac:dyDescent="0.2"/>
    <row r="21038" ht="12.75" x14ac:dyDescent="0.2"/>
    <row r="21039" ht="12.75" x14ac:dyDescent="0.2"/>
    <row r="21040" ht="12.75" x14ac:dyDescent="0.2"/>
    <row r="21041" ht="12.75" x14ac:dyDescent="0.2"/>
    <row r="21042" ht="12.75" x14ac:dyDescent="0.2"/>
    <row r="21043" ht="12.75" x14ac:dyDescent="0.2"/>
    <row r="21044" ht="12.75" x14ac:dyDescent="0.2"/>
    <row r="21045" ht="12.75" x14ac:dyDescent="0.2"/>
    <row r="21046" ht="12.75" x14ac:dyDescent="0.2"/>
    <row r="21047" ht="12.75" x14ac:dyDescent="0.2"/>
    <row r="21048" ht="12.75" x14ac:dyDescent="0.2"/>
    <row r="21049" ht="12.75" x14ac:dyDescent="0.2"/>
    <row r="21050" ht="12.75" x14ac:dyDescent="0.2"/>
    <row r="21051" ht="12.75" x14ac:dyDescent="0.2"/>
    <row r="21052" ht="12.75" x14ac:dyDescent="0.2"/>
    <row r="21053" ht="12.75" x14ac:dyDescent="0.2"/>
    <row r="21054" ht="12.75" x14ac:dyDescent="0.2"/>
    <row r="21055" ht="12.75" x14ac:dyDescent="0.2"/>
    <row r="21056" ht="12.75" x14ac:dyDescent="0.2"/>
    <row r="21057" ht="12.75" x14ac:dyDescent="0.2"/>
    <row r="21058" ht="12.75" x14ac:dyDescent="0.2"/>
    <row r="21059" ht="12.75" x14ac:dyDescent="0.2"/>
    <row r="21060" ht="12.75" x14ac:dyDescent="0.2"/>
    <row r="21061" ht="12.75" x14ac:dyDescent="0.2"/>
    <row r="21062" ht="12.75" x14ac:dyDescent="0.2"/>
    <row r="21063" ht="12.75" x14ac:dyDescent="0.2"/>
    <row r="21064" ht="12.75" x14ac:dyDescent="0.2"/>
    <row r="21065" ht="12.75" x14ac:dyDescent="0.2"/>
    <row r="21066" ht="12.75" x14ac:dyDescent="0.2"/>
    <row r="21067" ht="12.75" x14ac:dyDescent="0.2"/>
    <row r="21068" ht="12.75" x14ac:dyDescent="0.2"/>
    <row r="21069" ht="12.75" x14ac:dyDescent="0.2"/>
    <row r="21070" ht="12.75" x14ac:dyDescent="0.2"/>
    <row r="21071" ht="12.75" x14ac:dyDescent="0.2"/>
    <row r="21072" ht="12.75" x14ac:dyDescent="0.2"/>
    <row r="21073" ht="12.75" x14ac:dyDescent="0.2"/>
    <row r="21074" ht="12.75" x14ac:dyDescent="0.2"/>
    <row r="21075" ht="12.75" x14ac:dyDescent="0.2"/>
    <row r="21076" ht="12.75" x14ac:dyDescent="0.2"/>
    <row r="21077" ht="12.75" x14ac:dyDescent="0.2"/>
    <row r="21078" ht="12.75" x14ac:dyDescent="0.2"/>
    <row r="21079" ht="12.75" x14ac:dyDescent="0.2"/>
    <row r="21080" ht="12.75" x14ac:dyDescent="0.2"/>
    <row r="21081" ht="12.75" x14ac:dyDescent="0.2"/>
    <row r="21082" ht="12.75" x14ac:dyDescent="0.2"/>
    <row r="21083" ht="12.75" x14ac:dyDescent="0.2"/>
    <row r="21084" ht="12.75" x14ac:dyDescent="0.2"/>
    <row r="21085" ht="12.75" x14ac:dyDescent="0.2"/>
    <row r="21086" ht="12.75" x14ac:dyDescent="0.2"/>
    <row r="21087" ht="12.75" x14ac:dyDescent="0.2"/>
    <row r="21088" ht="12.75" x14ac:dyDescent="0.2"/>
    <row r="21089" ht="12.75" x14ac:dyDescent="0.2"/>
    <row r="21090" ht="12.75" x14ac:dyDescent="0.2"/>
    <row r="21091" ht="12.75" x14ac:dyDescent="0.2"/>
    <row r="21092" ht="12.75" x14ac:dyDescent="0.2"/>
    <row r="21093" ht="12.75" x14ac:dyDescent="0.2"/>
    <row r="21094" ht="12.75" x14ac:dyDescent="0.2"/>
    <row r="21095" ht="12.75" x14ac:dyDescent="0.2"/>
    <row r="21096" ht="12.75" x14ac:dyDescent="0.2"/>
    <row r="21097" ht="12.75" x14ac:dyDescent="0.2"/>
    <row r="21098" ht="12.75" x14ac:dyDescent="0.2"/>
    <row r="21099" ht="12.75" x14ac:dyDescent="0.2"/>
    <row r="21100" ht="12.75" x14ac:dyDescent="0.2"/>
    <row r="21101" ht="12.75" x14ac:dyDescent="0.2"/>
    <row r="21102" ht="12.75" x14ac:dyDescent="0.2"/>
    <row r="21103" ht="12.75" x14ac:dyDescent="0.2"/>
    <row r="21104" ht="12.75" x14ac:dyDescent="0.2"/>
    <row r="21105" ht="12.75" x14ac:dyDescent="0.2"/>
    <row r="21106" ht="12.75" x14ac:dyDescent="0.2"/>
    <row r="21107" ht="12.75" x14ac:dyDescent="0.2"/>
    <row r="21108" ht="12.75" x14ac:dyDescent="0.2"/>
    <row r="21109" ht="12.75" x14ac:dyDescent="0.2"/>
    <row r="21110" ht="12.75" x14ac:dyDescent="0.2"/>
    <row r="21111" ht="12.75" x14ac:dyDescent="0.2"/>
    <row r="21112" ht="12.75" x14ac:dyDescent="0.2"/>
    <row r="21113" ht="12.75" x14ac:dyDescent="0.2"/>
    <row r="21114" ht="12.75" x14ac:dyDescent="0.2"/>
    <row r="21115" ht="12.75" x14ac:dyDescent="0.2"/>
    <row r="21116" ht="12.75" x14ac:dyDescent="0.2"/>
    <row r="21117" ht="12.75" x14ac:dyDescent="0.2"/>
    <row r="21118" ht="12.75" x14ac:dyDescent="0.2"/>
    <row r="21119" ht="12.75" x14ac:dyDescent="0.2"/>
    <row r="21120" ht="12.75" x14ac:dyDescent="0.2"/>
    <row r="21121" ht="12.75" x14ac:dyDescent="0.2"/>
    <row r="21122" ht="12.75" x14ac:dyDescent="0.2"/>
    <row r="21123" ht="12.75" x14ac:dyDescent="0.2"/>
    <row r="21124" ht="12.75" x14ac:dyDescent="0.2"/>
    <row r="21125" ht="12.75" x14ac:dyDescent="0.2"/>
    <row r="21126" ht="12.75" x14ac:dyDescent="0.2"/>
    <row r="21127" ht="12.75" x14ac:dyDescent="0.2"/>
    <row r="21128" ht="12.75" x14ac:dyDescent="0.2"/>
    <row r="21129" ht="12.75" x14ac:dyDescent="0.2"/>
    <row r="21130" ht="12.75" x14ac:dyDescent="0.2"/>
    <row r="21131" ht="12.75" x14ac:dyDescent="0.2"/>
    <row r="21132" ht="12.75" x14ac:dyDescent="0.2"/>
    <row r="21133" ht="12.75" x14ac:dyDescent="0.2"/>
    <row r="21134" ht="12.75" x14ac:dyDescent="0.2"/>
    <row r="21135" ht="12.75" x14ac:dyDescent="0.2"/>
    <row r="21136" ht="12.75" x14ac:dyDescent="0.2"/>
    <row r="21137" ht="12.75" x14ac:dyDescent="0.2"/>
    <row r="21138" ht="12.75" x14ac:dyDescent="0.2"/>
    <row r="21139" ht="12.75" x14ac:dyDescent="0.2"/>
    <row r="21140" ht="12.75" x14ac:dyDescent="0.2"/>
    <row r="21141" ht="12.75" x14ac:dyDescent="0.2"/>
    <row r="21142" ht="12.75" x14ac:dyDescent="0.2"/>
    <row r="21143" ht="12.75" x14ac:dyDescent="0.2"/>
    <row r="21144" ht="12.75" x14ac:dyDescent="0.2"/>
    <row r="21145" ht="12.75" x14ac:dyDescent="0.2"/>
    <row r="21146" ht="12.75" x14ac:dyDescent="0.2"/>
    <row r="21147" ht="12.75" x14ac:dyDescent="0.2"/>
    <row r="21148" ht="12.75" x14ac:dyDescent="0.2"/>
    <row r="21149" ht="12.75" x14ac:dyDescent="0.2"/>
    <row r="21150" ht="12.75" x14ac:dyDescent="0.2"/>
    <row r="21151" ht="12.75" x14ac:dyDescent="0.2"/>
    <row r="21152" ht="12.75" x14ac:dyDescent="0.2"/>
    <row r="21153" ht="12.75" x14ac:dyDescent="0.2"/>
    <row r="21154" ht="12.75" x14ac:dyDescent="0.2"/>
    <row r="21155" ht="12.75" x14ac:dyDescent="0.2"/>
    <row r="21156" ht="12.75" x14ac:dyDescent="0.2"/>
    <row r="21157" ht="12.75" x14ac:dyDescent="0.2"/>
    <row r="21158" ht="12.75" x14ac:dyDescent="0.2"/>
    <row r="21159" ht="12.75" x14ac:dyDescent="0.2"/>
    <row r="21160" ht="12.75" x14ac:dyDescent="0.2"/>
    <row r="21161" ht="12.75" x14ac:dyDescent="0.2"/>
    <row r="21162" ht="12.75" x14ac:dyDescent="0.2"/>
    <row r="21163" ht="12.75" x14ac:dyDescent="0.2"/>
    <row r="21164" ht="12.75" x14ac:dyDescent="0.2"/>
    <row r="21165" ht="12.75" x14ac:dyDescent="0.2"/>
    <row r="21166" ht="12.75" x14ac:dyDescent="0.2"/>
    <row r="21167" ht="12.75" x14ac:dyDescent="0.2"/>
    <row r="21168" ht="12.75" x14ac:dyDescent="0.2"/>
    <row r="21169" ht="12.75" x14ac:dyDescent="0.2"/>
    <row r="21170" ht="12.75" x14ac:dyDescent="0.2"/>
    <row r="21171" ht="12.75" x14ac:dyDescent="0.2"/>
    <row r="21172" ht="12.75" x14ac:dyDescent="0.2"/>
    <row r="21173" ht="12.75" x14ac:dyDescent="0.2"/>
    <row r="21174" ht="12.75" x14ac:dyDescent="0.2"/>
    <row r="21175" ht="12.75" x14ac:dyDescent="0.2"/>
    <row r="21176" ht="12.75" x14ac:dyDescent="0.2"/>
    <row r="21177" ht="12.75" x14ac:dyDescent="0.2"/>
    <row r="21178" ht="12.75" x14ac:dyDescent="0.2"/>
    <row r="21179" ht="12.75" x14ac:dyDescent="0.2"/>
    <row r="21180" ht="12.75" x14ac:dyDescent="0.2"/>
    <row r="21181" ht="12.75" x14ac:dyDescent="0.2"/>
    <row r="21182" ht="12.75" x14ac:dyDescent="0.2"/>
    <row r="21183" ht="12.75" x14ac:dyDescent="0.2"/>
    <row r="21184" ht="12.75" x14ac:dyDescent="0.2"/>
    <row r="21185" ht="12.75" x14ac:dyDescent="0.2"/>
    <row r="21186" ht="12.75" x14ac:dyDescent="0.2"/>
    <row r="21187" ht="12.75" x14ac:dyDescent="0.2"/>
    <row r="21188" ht="12.75" x14ac:dyDescent="0.2"/>
    <row r="21189" ht="12.75" x14ac:dyDescent="0.2"/>
    <row r="21190" ht="12.75" x14ac:dyDescent="0.2"/>
    <row r="21191" ht="12.75" x14ac:dyDescent="0.2"/>
    <row r="21192" ht="12.75" x14ac:dyDescent="0.2"/>
    <row r="21193" ht="12.75" x14ac:dyDescent="0.2"/>
    <row r="21194" ht="12.75" x14ac:dyDescent="0.2"/>
    <row r="21195" ht="12.75" x14ac:dyDescent="0.2"/>
    <row r="21196" ht="12.75" x14ac:dyDescent="0.2"/>
    <row r="21197" ht="12.75" x14ac:dyDescent="0.2"/>
    <row r="21198" ht="12.75" x14ac:dyDescent="0.2"/>
    <row r="21199" ht="12.75" x14ac:dyDescent="0.2"/>
    <row r="21200" ht="12.75" x14ac:dyDescent="0.2"/>
    <row r="21201" ht="12.75" x14ac:dyDescent="0.2"/>
    <row r="21202" ht="12.75" x14ac:dyDescent="0.2"/>
    <row r="21203" ht="12.75" x14ac:dyDescent="0.2"/>
    <row r="21204" ht="12.75" x14ac:dyDescent="0.2"/>
    <row r="21205" ht="12.75" x14ac:dyDescent="0.2"/>
    <row r="21206" ht="12.75" x14ac:dyDescent="0.2"/>
    <row r="21207" ht="12.75" x14ac:dyDescent="0.2"/>
    <row r="21208" ht="12.75" x14ac:dyDescent="0.2"/>
    <row r="21209" ht="12.75" x14ac:dyDescent="0.2"/>
    <row r="21210" ht="12.75" x14ac:dyDescent="0.2"/>
    <row r="21211" ht="12.75" x14ac:dyDescent="0.2"/>
    <row r="21212" ht="12.75" x14ac:dyDescent="0.2"/>
    <row r="21213" ht="12.75" x14ac:dyDescent="0.2"/>
    <row r="21214" ht="12.75" x14ac:dyDescent="0.2"/>
    <row r="21215" ht="12.75" x14ac:dyDescent="0.2"/>
    <row r="21216" ht="12.75" x14ac:dyDescent="0.2"/>
    <row r="21217" ht="12.75" x14ac:dyDescent="0.2"/>
    <row r="21218" ht="12.75" x14ac:dyDescent="0.2"/>
    <row r="21219" ht="12.75" x14ac:dyDescent="0.2"/>
    <row r="21220" ht="12.75" x14ac:dyDescent="0.2"/>
    <row r="21221" ht="12.75" x14ac:dyDescent="0.2"/>
    <row r="21222" ht="12.75" x14ac:dyDescent="0.2"/>
    <row r="21223" ht="12.75" x14ac:dyDescent="0.2"/>
    <row r="21224" ht="12.75" x14ac:dyDescent="0.2"/>
    <row r="21225" ht="12.75" x14ac:dyDescent="0.2"/>
    <row r="21226" ht="12.75" x14ac:dyDescent="0.2"/>
    <row r="21227" ht="12.75" x14ac:dyDescent="0.2"/>
    <row r="21228" ht="12.75" x14ac:dyDescent="0.2"/>
    <row r="21229" ht="12.75" x14ac:dyDescent="0.2"/>
    <row r="21230" ht="12.75" x14ac:dyDescent="0.2"/>
    <row r="21231" ht="12.75" x14ac:dyDescent="0.2"/>
    <row r="21232" ht="12.75" x14ac:dyDescent="0.2"/>
    <row r="21233" ht="12.75" x14ac:dyDescent="0.2"/>
    <row r="21234" ht="12.75" x14ac:dyDescent="0.2"/>
    <row r="21235" ht="12.75" x14ac:dyDescent="0.2"/>
    <row r="21236" ht="12.75" x14ac:dyDescent="0.2"/>
    <row r="21237" ht="12.75" x14ac:dyDescent="0.2"/>
    <row r="21238" ht="12.75" x14ac:dyDescent="0.2"/>
    <row r="21239" ht="12.75" x14ac:dyDescent="0.2"/>
    <row r="21240" ht="12.75" x14ac:dyDescent="0.2"/>
    <row r="21241" ht="12.75" x14ac:dyDescent="0.2"/>
    <row r="21242" ht="12.75" x14ac:dyDescent="0.2"/>
    <row r="21243" ht="12.75" x14ac:dyDescent="0.2"/>
    <row r="21244" ht="12.75" x14ac:dyDescent="0.2"/>
    <row r="21245" ht="12.75" x14ac:dyDescent="0.2"/>
    <row r="21246" ht="12.75" x14ac:dyDescent="0.2"/>
    <row r="21247" ht="12.75" x14ac:dyDescent="0.2"/>
    <row r="21248" ht="12.75" x14ac:dyDescent="0.2"/>
    <row r="21249" ht="12.75" x14ac:dyDescent="0.2"/>
    <row r="21250" ht="12.75" x14ac:dyDescent="0.2"/>
    <row r="21251" ht="12.75" x14ac:dyDescent="0.2"/>
    <row r="21252" ht="12.75" x14ac:dyDescent="0.2"/>
    <row r="21253" ht="12.75" x14ac:dyDescent="0.2"/>
    <row r="21254" ht="12.75" x14ac:dyDescent="0.2"/>
    <row r="21255" ht="12.75" x14ac:dyDescent="0.2"/>
    <row r="21256" ht="12.75" x14ac:dyDescent="0.2"/>
    <row r="21257" ht="12.75" x14ac:dyDescent="0.2"/>
    <row r="21258" ht="12.75" x14ac:dyDescent="0.2"/>
    <row r="21259" ht="12.75" x14ac:dyDescent="0.2"/>
    <row r="21260" ht="12.75" x14ac:dyDescent="0.2"/>
    <row r="21261" ht="12.75" x14ac:dyDescent="0.2"/>
    <row r="21262" ht="12.75" x14ac:dyDescent="0.2"/>
    <row r="21263" ht="12.75" x14ac:dyDescent="0.2"/>
    <row r="21264" ht="12.75" x14ac:dyDescent="0.2"/>
    <row r="21265" ht="12.75" x14ac:dyDescent="0.2"/>
    <row r="21266" ht="12.75" x14ac:dyDescent="0.2"/>
    <row r="21267" ht="12.75" x14ac:dyDescent="0.2"/>
    <row r="21268" ht="12.75" x14ac:dyDescent="0.2"/>
    <row r="21269" ht="12.75" x14ac:dyDescent="0.2"/>
    <row r="21270" ht="12.75" x14ac:dyDescent="0.2"/>
    <row r="21271" ht="12.75" x14ac:dyDescent="0.2"/>
    <row r="21272" ht="12.75" x14ac:dyDescent="0.2"/>
    <row r="21273" ht="12.75" x14ac:dyDescent="0.2"/>
    <row r="21274" ht="12.75" x14ac:dyDescent="0.2"/>
    <row r="21275" ht="12.75" x14ac:dyDescent="0.2"/>
    <row r="21276" ht="12.75" x14ac:dyDescent="0.2"/>
    <row r="21277" ht="12.75" x14ac:dyDescent="0.2"/>
    <row r="21278" ht="12.75" x14ac:dyDescent="0.2"/>
    <row r="21279" ht="12.75" x14ac:dyDescent="0.2"/>
    <row r="21280" ht="12.75" x14ac:dyDescent="0.2"/>
    <row r="21281" ht="12.75" x14ac:dyDescent="0.2"/>
    <row r="21282" ht="12.75" x14ac:dyDescent="0.2"/>
    <row r="21283" ht="12.75" x14ac:dyDescent="0.2"/>
    <row r="21284" ht="12.75" x14ac:dyDescent="0.2"/>
    <row r="21285" ht="12.75" x14ac:dyDescent="0.2"/>
    <row r="21286" ht="12.75" x14ac:dyDescent="0.2"/>
    <row r="21287" ht="12.75" x14ac:dyDescent="0.2"/>
    <row r="21288" ht="12.75" x14ac:dyDescent="0.2"/>
    <row r="21289" ht="12.75" x14ac:dyDescent="0.2"/>
    <row r="21290" ht="12.75" x14ac:dyDescent="0.2"/>
    <row r="21291" ht="12.75" x14ac:dyDescent="0.2"/>
    <row r="21292" ht="12.75" x14ac:dyDescent="0.2"/>
    <row r="21293" ht="12.75" x14ac:dyDescent="0.2"/>
    <row r="21294" ht="12.75" x14ac:dyDescent="0.2"/>
    <row r="21295" ht="12.75" x14ac:dyDescent="0.2"/>
    <row r="21296" ht="12.75" x14ac:dyDescent="0.2"/>
    <row r="21297" ht="12.75" x14ac:dyDescent="0.2"/>
    <row r="21298" ht="12.75" x14ac:dyDescent="0.2"/>
    <row r="21299" ht="12.75" x14ac:dyDescent="0.2"/>
    <row r="21300" ht="12.75" x14ac:dyDescent="0.2"/>
    <row r="21301" ht="12.75" x14ac:dyDescent="0.2"/>
    <row r="21302" ht="12.75" x14ac:dyDescent="0.2"/>
    <row r="21303" ht="12.75" x14ac:dyDescent="0.2"/>
    <row r="21304" ht="12.75" x14ac:dyDescent="0.2"/>
    <row r="21305" ht="12.75" x14ac:dyDescent="0.2"/>
    <row r="21306" ht="12.75" x14ac:dyDescent="0.2"/>
    <row r="21307" ht="12.75" x14ac:dyDescent="0.2"/>
    <row r="21308" ht="12.75" x14ac:dyDescent="0.2"/>
    <row r="21309" ht="12.75" x14ac:dyDescent="0.2"/>
    <row r="21310" ht="12.75" x14ac:dyDescent="0.2"/>
    <row r="21311" ht="12.75" x14ac:dyDescent="0.2"/>
    <row r="21312" ht="12.75" x14ac:dyDescent="0.2"/>
    <row r="21313" ht="12.75" x14ac:dyDescent="0.2"/>
    <row r="21314" ht="12.75" x14ac:dyDescent="0.2"/>
    <row r="21315" ht="12.75" x14ac:dyDescent="0.2"/>
    <row r="21316" ht="12.75" x14ac:dyDescent="0.2"/>
    <row r="21317" ht="12.75" x14ac:dyDescent="0.2"/>
    <row r="21318" ht="12.75" x14ac:dyDescent="0.2"/>
    <row r="21319" ht="12.75" x14ac:dyDescent="0.2"/>
    <row r="21320" ht="12.75" x14ac:dyDescent="0.2"/>
    <row r="21321" ht="12.75" x14ac:dyDescent="0.2"/>
    <row r="21322" ht="12.75" x14ac:dyDescent="0.2"/>
    <row r="21323" ht="12.75" x14ac:dyDescent="0.2"/>
    <row r="21324" ht="12.75" x14ac:dyDescent="0.2"/>
    <row r="21325" ht="12.75" x14ac:dyDescent="0.2"/>
    <row r="21326" ht="12.75" x14ac:dyDescent="0.2"/>
    <row r="21327" ht="12.75" x14ac:dyDescent="0.2"/>
    <row r="21328" ht="12.75" x14ac:dyDescent="0.2"/>
    <row r="21329" ht="12.75" x14ac:dyDescent="0.2"/>
    <row r="21330" ht="12.75" x14ac:dyDescent="0.2"/>
    <row r="21331" ht="12.75" x14ac:dyDescent="0.2"/>
    <row r="21332" ht="12.75" x14ac:dyDescent="0.2"/>
    <row r="21333" ht="12.75" x14ac:dyDescent="0.2"/>
    <row r="21334" ht="12.75" x14ac:dyDescent="0.2"/>
    <row r="21335" ht="12.75" x14ac:dyDescent="0.2"/>
    <row r="21336" ht="12.75" x14ac:dyDescent="0.2"/>
    <row r="21337" ht="12.75" x14ac:dyDescent="0.2"/>
    <row r="21338" ht="12.75" x14ac:dyDescent="0.2"/>
    <row r="21339" ht="12.75" x14ac:dyDescent="0.2"/>
    <row r="21340" ht="12.75" x14ac:dyDescent="0.2"/>
    <row r="21341" ht="12.75" x14ac:dyDescent="0.2"/>
    <row r="21342" ht="12.75" x14ac:dyDescent="0.2"/>
    <row r="21343" ht="12.75" x14ac:dyDescent="0.2"/>
    <row r="21344" ht="12.75" x14ac:dyDescent="0.2"/>
    <row r="21345" ht="12.75" x14ac:dyDescent="0.2"/>
    <row r="21346" ht="12.75" x14ac:dyDescent="0.2"/>
    <row r="21347" ht="12.75" x14ac:dyDescent="0.2"/>
    <row r="21348" ht="12.75" x14ac:dyDescent="0.2"/>
    <row r="21349" ht="12.75" x14ac:dyDescent="0.2"/>
    <row r="21350" ht="12.75" x14ac:dyDescent="0.2"/>
    <row r="21351" ht="12.75" x14ac:dyDescent="0.2"/>
    <row r="21352" ht="12.75" x14ac:dyDescent="0.2"/>
    <row r="21353" ht="12.75" x14ac:dyDescent="0.2"/>
    <row r="21354" ht="12.75" x14ac:dyDescent="0.2"/>
    <row r="21355" ht="12.75" x14ac:dyDescent="0.2"/>
    <row r="21356" ht="12.75" x14ac:dyDescent="0.2"/>
    <row r="21357" ht="12.75" x14ac:dyDescent="0.2"/>
    <row r="21358" ht="12.75" x14ac:dyDescent="0.2"/>
    <row r="21359" ht="12.75" x14ac:dyDescent="0.2"/>
    <row r="21360" ht="12.75" x14ac:dyDescent="0.2"/>
    <row r="21361" ht="12.75" x14ac:dyDescent="0.2"/>
    <row r="21362" ht="12.75" x14ac:dyDescent="0.2"/>
    <row r="21363" ht="12.75" x14ac:dyDescent="0.2"/>
    <row r="21364" ht="12.75" x14ac:dyDescent="0.2"/>
    <row r="21365" ht="12.75" x14ac:dyDescent="0.2"/>
    <row r="21366" ht="12.75" x14ac:dyDescent="0.2"/>
    <row r="21367" ht="12.75" x14ac:dyDescent="0.2"/>
    <row r="21368" ht="12.75" x14ac:dyDescent="0.2"/>
    <row r="21369" ht="12.75" x14ac:dyDescent="0.2"/>
    <row r="21370" ht="12.75" x14ac:dyDescent="0.2"/>
    <row r="21371" ht="12.75" x14ac:dyDescent="0.2"/>
    <row r="21372" ht="12.75" x14ac:dyDescent="0.2"/>
    <row r="21373" ht="12.75" x14ac:dyDescent="0.2"/>
    <row r="21374" ht="12.75" x14ac:dyDescent="0.2"/>
    <row r="21375" ht="12.75" x14ac:dyDescent="0.2"/>
    <row r="21376" ht="12.75" x14ac:dyDescent="0.2"/>
    <row r="21377" ht="12.75" x14ac:dyDescent="0.2"/>
    <row r="21378" ht="12.75" x14ac:dyDescent="0.2"/>
    <row r="21379" ht="12.75" x14ac:dyDescent="0.2"/>
    <row r="21380" ht="12.75" x14ac:dyDescent="0.2"/>
    <row r="21381" ht="12.75" x14ac:dyDescent="0.2"/>
    <row r="21382" ht="12.75" x14ac:dyDescent="0.2"/>
    <row r="21383" ht="12.75" x14ac:dyDescent="0.2"/>
    <row r="21384" ht="12.75" x14ac:dyDescent="0.2"/>
    <row r="21385" ht="12.75" x14ac:dyDescent="0.2"/>
    <row r="21386" ht="12.75" x14ac:dyDescent="0.2"/>
    <row r="21387" ht="12.75" x14ac:dyDescent="0.2"/>
    <row r="21388" ht="12.75" x14ac:dyDescent="0.2"/>
    <row r="21389" ht="12.75" x14ac:dyDescent="0.2"/>
    <row r="21390" ht="12.75" x14ac:dyDescent="0.2"/>
    <row r="21391" ht="12.75" x14ac:dyDescent="0.2"/>
    <row r="21392" ht="12.75" x14ac:dyDescent="0.2"/>
    <row r="21393" ht="12.75" x14ac:dyDescent="0.2"/>
    <row r="21394" ht="12.75" x14ac:dyDescent="0.2"/>
    <row r="21395" ht="12.75" x14ac:dyDescent="0.2"/>
    <row r="21396" ht="12.75" x14ac:dyDescent="0.2"/>
    <row r="21397" ht="12.75" x14ac:dyDescent="0.2"/>
    <row r="21398" ht="12.75" x14ac:dyDescent="0.2"/>
    <row r="21399" ht="12.75" x14ac:dyDescent="0.2"/>
    <row r="21400" ht="12.75" x14ac:dyDescent="0.2"/>
    <row r="21401" ht="12.75" x14ac:dyDescent="0.2"/>
    <row r="21402" ht="12.75" x14ac:dyDescent="0.2"/>
    <row r="21403" ht="12.75" x14ac:dyDescent="0.2"/>
    <row r="21404" ht="12.75" x14ac:dyDescent="0.2"/>
    <row r="21405" ht="12.75" x14ac:dyDescent="0.2"/>
    <row r="21406" ht="12.75" x14ac:dyDescent="0.2"/>
    <row r="21407" ht="12.75" x14ac:dyDescent="0.2"/>
    <row r="21408" ht="12.75" x14ac:dyDescent="0.2"/>
    <row r="21409" ht="12.75" x14ac:dyDescent="0.2"/>
    <row r="21410" ht="12.75" x14ac:dyDescent="0.2"/>
    <row r="21411" ht="12.75" x14ac:dyDescent="0.2"/>
    <row r="21412" ht="12.75" x14ac:dyDescent="0.2"/>
    <row r="21413" ht="12.75" x14ac:dyDescent="0.2"/>
    <row r="21414" ht="12.75" x14ac:dyDescent="0.2"/>
    <row r="21415" ht="12.75" x14ac:dyDescent="0.2"/>
    <row r="21416" ht="12.75" x14ac:dyDescent="0.2"/>
    <row r="21417" ht="12.75" x14ac:dyDescent="0.2"/>
    <row r="21418" ht="12.75" x14ac:dyDescent="0.2"/>
    <row r="21419" ht="12.75" x14ac:dyDescent="0.2"/>
    <row r="21420" ht="12.75" x14ac:dyDescent="0.2"/>
    <row r="21421" ht="12.75" x14ac:dyDescent="0.2"/>
    <row r="21422" ht="12.75" x14ac:dyDescent="0.2"/>
    <row r="21423" ht="12.75" x14ac:dyDescent="0.2"/>
    <row r="21424" ht="12.75" x14ac:dyDescent="0.2"/>
    <row r="21425" ht="12.75" x14ac:dyDescent="0.2"/>
    <row r="21426" ht="12.75" x14ac:dyDescent="0.2"/>
    <row r="21427" ht="12.75" x14ac:dyDescent="0.2"/>
    <row r="21428" ht="12.75" x14ac:dyDescent="0.2"/>
    <row r="21429" ht="12.75" x14ac:dyDescent="0.2"/>
    <row r="21430" ht="12.75" x14ac:dyDescent="0.2"/>
    <row r="21431" ht="12.75" x14ac:dyDescent="0.2"/>
    <row r="21432" ht="12.75" x14ac:dyDescent="0.2"/>
    <row r="21433" ht="12.75" x14ac:dyDescent="0.2"/>
    <row r="21434" ht="12.75" x14ac:dyDescent="0.2"/>
    <row r="21435" ht="12.75" x14ac:dyDescent="0.2"/>
    <row r="21436" ht="12.75" x14ac:dyDescent="0.2"/>
    <row r="21437" ht="12.75" x14ac:dyDescent="0.2"/>
    <row r="21438" ht="12.75" x14ac:dyDescent="0.2"/>
    <row r="21439" ht="12.75" x14ac:dyDescent="0.2"/>
    <row r="21440" ht="12.75" x14ac:dyDescent="0.2"/>
    <row r="21441" ht="12.75" x14ac:dyDescent="0.2"/>
    <row r="21442" ht="12.75" x14ac:dyDescent="0.2"/>
    <row r="21443" ht="12.75" x14ac:dyDescent="0.2"/>
    <row r="21444" ht="12.75" x14ac:dyDescent="0.2"/>
    <row r="21445" ht="12.75" x14ac:dyDescent="0.2"/>
    <row r="21446" ht="12.75" x14ac:dyDescent="0.2"/>
    <row r="21447" ht="12.75" x14ac:dyDescent="0.2"/>
    <row r="21448" ht="12.75" x14ac:dyDescent="0.2"/>
    <row r="21449" ht="12.75" x14ac:dyDescent="0.2"/>
    <row r="21450" ht="12.75" x14ac:dyDescent="0.2"/>
    <row r="21451" ht="12.75" x14ac:dyDescent="0.2"/>
    <row r="21452" ht="12.75" x14ac:dyDescent="0.2"/>
    <row r="21453" ht="12.75" x14ac:dyDescent="0.2"/>
    <row r="21454" ht="12.75" x14ac:dyDescent="0.2"/>
    <row r="21455" ht="12.75" x14ac:dyDescent="0.2"/>
    <row r="21456" ht="12.75" x14ac:dyDescent="0.2"/>
    <row r="21457" ht="12.75" x14ac:dyDescent="0.2"/>
    <row r="21458" ht="12.75" x14ac:dyDescent="0.2"/>
    <row r="21459" ht="12.75" x14ac:dyDescent="0.2"/>
    <row r="21460" ht="12.75" x14ac:dyDescent="0.2"/>
    <row r="21461" ht="12.75" x14ac:dyDescent="0.2"/>
    <row r="21462" ht="12.75" x14ac:dyDescent="0.2"/>
    <row r="21463" ht="12.75" x14ac:dyDescent="0.2"/>
    <row r="21464" ht="12.75" x14ac:dyDescent="0.2"/>
    <row r="21465" ht="12.75" x14ac:dyDescent="0.2"/>
    <row r="21466" ht="12.75" x14ac:dyDescent="0.2"/>
    <row r="21467" ht="12.75" x14ac:dyDescent="0.2"/>
    <row r="21468" ht="12.75" x14ac:dyDescent="0.2"/>
    <row r="21469" ht="12.75" x14ac:dyDescent="0.2"/>
    <row r="21470" ht="12.75" x14ac:dyDescent="0.2"/>
    <row r="21471" ht="12.75" x14ac:dyDescent="0.2"/>
    <row r="21472" ht="12.75" x14ac:dyDescent="0.2"/>
    <row r="21473" ht="12.75" x14ac:dyDescent="0.2"/>
    <row r="21474" ht="12.75" x14ac:dyDescent="0.2"/>
    <row r="21475" ht="12.75" x14ac:dyDescent="0.2"/>
    <row r="21476" ht="12.75" x14ac:dyDescent="0.2"/>
    <row r="21477" ht="12.75" x14ac:dyDescent="0.2"/>
    <row r="21478" ht="12.75" x14ac:dyDescent="0.2"/>
    <row r="21479" ht="12.75" x14ac:dyDescent="0.2"/>
    <row r="21480" ht="12.75" x14ac:dyDescent="0.2"/>
    <row r="21481" ht="12.75" x14ac:dyDescent="0.2"/>
    <row r="21482" ht="12.75" x14ac:dyDescent="0.2"/>
    <row r="21483" ht="12.75" x14ac:dyDescent="0.2"/>
    <row r="21484" ht="12.75" x14ac:dyDescent="0.2"/>
    <row r="21485" ht="12.75" x14ac:dyDescent="0.2"/>
    <row r="21486" ht="12.75" x14ac:dyDescent="0.2"/>
    <row r="21487" ht="12.75" x14ac:dyDescent="0.2"/>
    <row r="21488" ht="12.75" x14ac:dyDescent="0.2"/>
    <row r="21489" ht="12.75" x14ac:dyDescent="0.2"/>
    <row r="21490" ht="12.75" x14ac:dyDescent="0.2"/>
    <row r="21491" ht="12.75" x14ac:dyDescent="0.2"/>
    <row r="21492" ht="12.75" x14ac:dyDescent="0.2"/>
    <row r="21493" ht="12.75" x14ac:dyDescent="0.2"/>
    <row r="21494" ht="12.75" x14ac:dyDescent="0.2"/>
    <row r="21495" ht="12.75" x14ac:dyDescent="0.2"/>
    <row r="21496" ht="12.75" x14ac:dyDescent="0.2"/>
    <row r="21497" ht="12.75" x14ac:dyDescent="0.2"/>
    <row r="21498" ht="12.75" x14ac:dyDescent="0.2"/>
    <row r="21499" ht="12.75" x14ac:dyDescent="0.2"/>
    <row r="21500" ht="12.75" x14ac:dyDescent="0.2"/>
    <row r="21501" ht="12.75" x14ac:dyDescent="0.2"/>
    <row r="21502" ht="12.75" x14ac:dyDescent="0.2"/>
    <row r="21503" ht="12.75" x14ac:dyDescent="0.2"/>
    <row r="21504" ht="12.75" x14ac:dyDescent="0.2"/>
    <row r="21505" ht="12.75" x14ac:dyDescent="0.2"/>
    <row r="21506" ht="12.75" x14ac:dyDescent="0.2"/>
    <row r="21507" ht="12.75" x14ac:dyDescent="0.2"/>
    <row r="21508" ht="12.75" x14ac:dyDescent="0.2"/>
    <row r="21509" ht="12.75" x14ac:dyDescent="0.2"/>
    <row r="21510" ht="12.75" x14ac:dyDescent="0.2"/>
    <row r="21511" ht="12.75" x14ac:dyDescent="0.2"/>
    <row r="21512" ht="12.75" x14ac:dyDescent="0.2"/>
    <row r="21513" ht="12.75" x14ac:dyDescent="0.2"/>
    <row r="21514" ht="12.75" x14ac:dyDescent="0.2"/>
    <row r="21515" ht="12.75" x14ac:dyDescent="0.2"/>
    <row r="21516" ht="12.75" x14ac:dyDescent="0.2"/>
    <row r="21517" ht="12.75" x14ac:dyDescent="0.2"/>
    <row r="21518" ht="12.75" x14ac:dyDescent="0.2"/>
    <row r="21519" ht="12.75" x14ac:dyDescent="0.2"/>
    <row r="21520" ht="12.75" x14ac:dyDescent="0.2"/>
    <row r="21521" ht="12.75" x14ac:dyDescent="0.2"/>
    <row r="21522" ht="12.75" x14ac:dyDescent="0.2"/>
    <row r="21523" ht="12.75" x14ac:dyDescent="0.2"/>
    <row r="21524" ht="12.75" x14ac:dyDescent="0.2"/>
    <row r="21525" ht="12.75" x14ac:dyDescent="0.2"/>
    <row r="21526" ht="12.75" x14ac:dyDescent="0.2"/>
    <row r="21527" ht="12.75" x14ac:dyDescent="0.2"/>
    <row r="21528" ht="12.75" x14ac:dyDescent="0.2"/>
    <row r="21529" ht="12.75" x14ac:dyDescent="0.2"/>
    <row r="21530" ht="12.75" x14ac:dyDescent="0.2"/>
    <row r="21531" ht="12.75" x14ac:dyDescent="0.2"/>
    <row r="21532" ht="12.75" x14ac:dyDescent="0.2"/>
    <row r="21533" ht="12.75" x14ac:dyDescent="0.2"/>
    <row r="21534" ht="12.75" x14ac:dyDescent="0.2"/>
    <row r="21535" ht="12.75" x14ac:dyDescent="0.2"/>
    <row r="21536" ht="12.75" x14ac:dyDescent="0.2"/>
    <row r="21537" ht="12.75" x14ac:dyDescent="0.2"/>
    <row r="21538" ht="12.75" x14ac:dyDescent="0.2"/>
    <row r="21539" ht="12.75" x14ac:dyDescent="0.2"/>
    <row r="21540" ht="12.75" x14ac:dyDescent="0.2"/>
    <row r="21541" ht="12.75" x14ac:dyDescent="0.2"/>
    <row r="21542" ht="12.75" x14ac:dyDescent="0.2"/>
    <row r="21543" ht="12.75" x14ac:dyDescent="0.2"/>
    <row r="21544" ht="12.75" x14ac:dyDescent="0.2"/>
    <row r="21545" ht="12.75" x14ac:dyDescent="0.2"/>
    <row r="21546" ht="12.75" x14ac:dyDescent="0.2"/>
    <row r="21547" ht="12.75" x14ac:dyDescent="0.2"/>
    <row r="21548" ht="12.75" x14ac:dyDescent="0.2"/>
    <row r="21549" ht="12.75" x14ac:dyDescent="0.2"/>
    <row r="21550" ht="12.75" x14ac:dyDescent="0.2"/>
    <row r="21551" ht="12.75" x14ac:dyDescent="0.2"/>
    <row r="21552" ht="12.75" x14ac:dyDescent="0.2"/>
    <row r="21553" ht="12.75" x14ac:dyDescent="0.2"/>
    <row r="21554" ht="12.75" x14ac:dyDescent="0.2"/>
    <row r="21555" ht="12.75" x14ac:dyDescent="0.2"/>
    <row r="21556" ht="12.75" x14ac:dyDescent="0.2"/>
    <row r="21557" ht="12.75" x14ac:dyDescent="0.2"/>
    <row r="21558" ht="12.75" x14ac:dyDescent="0.2"/>
    <row r="21559" ht="12.75" x14ac:dyDescent="0.2"/>
    <row r="21560" ht="12.75" x14ac:dyDescent="0.2"/>
    <row r="21561" ht="12.75" x14ac:dyDescent="0.2"/>
    <row r="21562" ht="12.75" x14ac:dyDescent="0.2"/>
    <row r="21563" ht="12.75" x14ac:dyDescent="0.2"/>
    <row r="21564" ht="12.75" x14ac:dyDescent="0.2"/>
    <row r="21565" ht="12.75" x14ac:dyDescent="0.2"/>
    <row r="21566" ht="12.75" x14ac:dyDescent="0.2"/>
    <row r="21567" ht="12.75" x14ac:dyDescent="0.2"/>
    <row r="21568" ht="12.75" x14ac:dyDescent="0.2"/>
    <row r="21569" ht="12.75" x14ac:dyDescent="0.2"/>
    <row r="21570" ht="12.75" x14ac:dyDescent="0.2"/>
    <row r="21571" ht="12.75" x14ac:dyDescent="0.2"/>
    <row r="21572" ht="12.75" x14ac:dyDescent="0.2"/>
    <row r="21573" ht="12.75" x14ac:dyDescent="0.2"/>
    <row r="21574" ht="12.75" x14ac:dyDescent="0.2"/>
    <row r="21575" ht="12.75" x14ac:dyDescent="0.2"/>
    <row r="21576" ht="12.75" x14ac:dyDescent="0.2"/>
    <row r="21577" ht="12.75" x14ac:dyDescent="0.2"/>
    <row r="21578" ht="12.75" x14ac:dyDescent="0.2"/>
    <row r="21579" ht="12.75" x14ac:dyDescent="0.2"/>
    <row r="21580" ht="12.75" x14ac:dyDescent="0.2"/>
    <row r="21581" ht="12.75" x14ac:dyDescent="0.2"/>
    <row r="21582" ht="12.75" x14ac:dyDescent="0.2"/>
    <row r="21583" ht="12.75" x14ac:dyDescent="0.2"/>
    <row r="21584" ht="12.75" x14ac:dyDescent="0.2"/>
    <row r="21585" ht="12.75" x14ac:dyDescent="0.2"/>
    <row r="21586" ht="12.75" x14ac:dyDescent="0.2"/>
    <row r="21587" ht="12.75" x14ac:dyDescent="0.2"/>
    <row r="21588" ht="12.75" x14ac:dyDescent="0.2"/>
    <row r="21589" ht="12.75" x14ac:dyDescent="0.2"/>
    <row r="21590" ht="12.75" x14ac:dyDescent="0.2"/>
    <row r="21591" ht="12.75" x14ac:dyDescent="0.2"/>
    <row r="21592" ht="12.75" x14ac:dyDescent="0.2"/>
    <row r="21593" ht="12.75" x14ac:dyDescent="0.2"/>
    <row r="21594" ht="12.75" x14ac:dyDescent="0.2"/>
    <row r="21595" ht="12.75" x14ac:dyDescent="0.2"/>
    <row r="21596" ht="12.75" x14ac:dyDescent="0.2"/>
    <row r="21597" ht="12.75" x14ac:dyDescent="0.2"/>
    <row r="21598" ht="12.75" x14ac:dyDescent="0.2"/>
    <row r="21599" ht="12.75" x14ac:dyDescent="0.2"/>
    <row r="21600" ht="12.75" x14ac:dyDescent="0.2"/>
    <row r="21601" ht="12.75" x14ac:dyDescent="0.2"/>
    <row r="21602" ht="12.75" x14ac:dyDescent="0.2"/>
    <row r="21603" ht="12.75" x14ac:dyDescent="0.2"/>
    <row r="21604" ht="12.75" x14ac:dyDescent="0.2"/>
    <row r="21605" ht="12.75" x14ac:dyDescent="0.2"/>
    <row r="21606" ht="12.75" x14ac:dyDescent="0.2"/>
    <row r="21607" ht="12.75" x14ac:dyDescent="0.2"/>
    <row r="21608" ht="12.75" x14ac:dyDescent="0.2"/>
    <row r="21609" ht="12.75" x14ac:dyDescent="0.2"/>
    <row r="21610" ht="12.75" x14ac:dyDescent="0.2"/>
    <row r="21611" ht="12.75" x14ac:dyDescent="0.2"/>
    <row r="21612" ht="12.75" x14ac:dyDescent="0.2"/>
    <row r="21613" ht="12.75" x14ac:dyDescent="0.2"/>
    <row r="21614" ht="12.75" x14ac:dyDescent="0.2"/>
    <row r="21615" ht="12.75" x14ac:dyDescent="0.2"/>
    <row r="21616" ht="12.75" x14ac:dyDescent="0.2"/>
    <row r="21617" ht="12.75" x14ac:dyDescent="0.2"/>
    <row r="21618" ht="12.75" x14ac:dyDescent="0.2"/>
    <row r="21619" ht="12.75" x14ac:dyDescent="0.2"/>
    <row r="21620" ht="12.75" x14ac:dyDescent="0.2"/>
    <row r="21621" ht="12.75" x14ac:dyDescent="0.2"/>
    <row r="21622" ht="12.75" x14ac:dyDescent="0.2"/>
    <row r="21623" ht="12.75" x14ac:dyDescent="0.2"/>
    <row r="21624" ht="12.75" x14ac:dyDescent="0.2"/>
    <row r="21625" ht="12.75" x14ac:dyDescent="0.2"/>
    <row r="21626" ht="12.75" x14ac:dyDescent="0.2"/>
    <row r="21627" ht="12.75" x14ac:dyDescent="0.2"/>
    <row r="21628" ht="12.75" x14ac:dyDescent="0.2"/>
    <row r="21629" ht="12.75" x14ac:dyDescent="0.2"/>
    <row r="21630" ht="12.75" x14ac:dyDescent="0.2"/>
    <row r="21631" ht="12.75" x14ac:dyDescent="0.2"/>
    <row r="21632" ht="12.75" x14ac:dyDescent="0.2"/>
    <row r="21633" ht="12.75" x14ac:dyDescent="0.2"/>
    <row r="21634" ht="12.75" x14ac:dyDescent="0.2"/>
    <row r="21635" ht="12.75" x14ac:dyDescent="0.2"/>
    <row r="21636" ht="12.75" x14ac:dyDescent="0.2"/>
    <row r="21637" ht="12.75" x14ac:dyDescent="0.2"/>
    <row r="21638" ht="12.75" x14ac:dyDescent="0.2"/>
    <row r="21639" ht="12.75" x14ac:dyDescent="0.2"/>
    <row r="21640" ht="12.75" x14ac:dyDescent="0.2"/>
    <row r="21641" ht="12.75" x14ac:dyDescent="0.2"/>
    <row r="21642" ht="12.75" x14ac:dyDescent="0.2"/>
    <row r="21643" ht="12.75" x14ac:dyDescent="0.2"/>
    <row r="21644" ht="12.75" x14ac:dyDescent="0.2"/>
    <row r="21645" ht="12.75" x14ac:dyDescent="0.2"/>
    <row r="21646" ht="12.75" x14ac:dyDescent="0.2"/>
    <row r="21647" ht="12.75" x14ac:dyDescent="0.2"/>
    <row r="21648" ht="12.75" x14ac:dyDescent="0.2"/>
    <row r="21649" ht="12.75" x14ac:dyDescent="0.2"/>
    <row r="21650" ht="12.75" x14ac:dyDescent="0.2"/>
    <row r="21651" ht="12.75" x14ac:dyDescent="0.2"/>
    <row r="21652" ht="12.75" x14ac:dyDescent="0.2"/>
    <row r="21653" ht="12.75" x14ac:dyDescent="0.2"/>
    <row r="21654" ht="12.75" x14ac:dyDescent="0.2"/>
    <row r="21655" ht="12.75" x14ac:dyDescent="0.2"/>
    <row r="21656" ht="12.75" x14ac:dyDescent="0.2"/>
    <row r="21657" ht="12.75" x14ac:dyDescent="0.2"/>
    <row r="21658" ht="12.75" x14ac:dyDescent="0.2"/>
    <row r="21659" ht="12.75" x14ac:dyDescent="0.2"/>
    <row r="21660" ht="12.75" x14ac:dyDescent="0.2"/>
    <row r="21661" ht="12.75" x14ac:dyDescent="0.2"/>
    <row r="21662" ht="12.75" x14ac:dyDescent="0.2"/>
    <row r="21663" ht="12.75" x14ac:dyDescent="0.2"/>
    <row r="21664" ht="12.75" x14ac:dyDescent="0.2"/>
    <row r="21665" ht="12.75" x14ac:dyDescent="0.2"/>
    <row r="21666" ht="12.75" x14ac:dyDescent="0.2"/>
    <row r="21667" ht="12.75" x14ac:dyDescent="0.2"/>
    <row r="21668" ht="12.75" x14ac:dyDescent="0.2"/>
    <row r="21669" ht="12.75" x14ac:dyDescent="0.2"/>
    <row r="21670" ht="12.75" x14ac:dyDescent="0.2"/>
    <row r="21671" ht="12.75" x14ac:dyDescent="0.2"/>
    <row r="21672" ht="12.75" x14ac:dyDescent="0.2"/>
    <row r="21673" ht="12.75" x14ac:dyDescent="0.2"/>
    <row r="21674" ht="12.75" x14ac:dyDescent="0.2"/>
    <row r="21675" ht="12.75" x14ac:dyDescent="0.2"/>
    <row r="21676" ht="12.75" x14ac:dyDescent="0.2"/>
    <row r="21677" ht="12.75" x14ac:dyDescent="0.2"/>
    <row r="21678" ht="12.75" x14ac:dyDescent="0.2"/>
    <row r="21679" ht="12.75" x14ac:dyDescent="0.2"/>
    <row r="21680" ht="12.75" x14ac:dyDescent="0.2"/>
    <row r="21681" ht="12.75" x14ac:dyDescent="0.2"/>
    <row r="21682" ht="12.75" x14ac:dyDescent="0.2"/>
    <row r="21683" ht="12.75" x14ac:dyDescent="0.2"/>
    <row r="21684" ht="12.75" x14ac:dyDescent="0.2"/>
    <row r="21685" ht="12.75" x14ac:dyDescent="0.2"/>
    <row r="21686" ht="12.75" x14ac:dyDescent="0.2"/>
    <row r="21687" ht="12.75" x14ac:dyDescent="0.2"/>
    <row r="21688" ht="12.75" x14ac:dyDescent="0.2"/>
    <row r="21689" ht="12.75" x14ac:dyDescent="0.2"/>
    <row r="21690" ht="12.75" x14ac:dyDescent="0.2"/>
    <row r="21691" ht="12.75" x14ac:dyDescent="0.2"/>
    <row r="21692" ht="12.75" x14ac:dyDescent="0.2"/>
    <row r="21693" ht="12.75" x14ac:dyDescent="0.2"/>
    <row r="21694" ht="12.75" x14ac:dyDescent="0.2"/>
    <row r="21695" ht="12.75" x14ac:dyDescent="0.2"/>
    <row r="21696" ht="12.75" x14ac:dyDescent="0.2"/>
    <row r="21697" ht="12.75" x14ac:dyDescent="0.2"/>
    <row r="21698" ht="12.75" x14ac:dyDescent="0.2"/>
    <row r="21699" ht="12.75" x14ac:dyDescent="0.2"/>
    <row r="21700" ht="12.75" x14ac:dyDescent="0.2"/>
    <row r="21701" ht="12.75" x14ac:dyDescent="0.2"/>
    <row r="21702" ht="12.75" x14ac:dyDescent="0.2"/>
    <row r="21703" ht="12.75" x14ac:dyDescent="0.2"/>
    <row r="21704" ht="12.75" x14ac:dyDescent="0.2"/>
    <row r="21705" ht="12.75" x14ac:dyDescent="0.2"/>
    <row r="21706" ht="12.75" x14ac:dyDescent="0.2"/>
    <row r="21707" ht="12.75" x14ac:dyDescent="0.2"/>
    <row r="21708" ht="12.75" x14ac:dyDescent="0.2"/>
    <row r="21709" ht="12.75" x14ac:dyDescent="0.2"/>
    <row r="21710" ht="12.75" x14ac:dyDescent="0.2"/>
    <row r="21711" ht="12.75" x14ac:dyDescent="0.2"/>
    <row r="21712" ht="12.75" x14ac:dyDescent="0.2"/>
    <row r="21713" ht="12.75" x14ac:dyDescent="0.2"/>
    <row r="21714" ht="12.75" x14ac:dyDescent="0.2"/>
    <row r="21715" ht="12.75" x14ac:dyDescent="0.2"/>
    <row r="21716" ht="12.75" x14ac:dyDescent="0.2"/>
    <row r="21717" ht="12.75" x14ac:dyDescent="0.2"/>
    <row r="21718" ht="12.75" x14ac:dyDescent="0.2"/>
    <row r="21719" ht="12.75" x14ac:dyDescent="0.2"/>
    <row r="21720" ht="12.75" x14ac:dyDescent="0.2"/>
    <row r="21721" ht="12.75" x14ac:dyDescent="0.2"/>
    <row r="21722" ht="12.75" x14ac:dyDescent="0.2"/>
    <row r="21723" ht="12.75" x14ac:dyDescent="0.2"/>
    <row r="21724" ht="12.75" x14ac:dyDescent="0.2"/>
    <row r="21725" ht="12.75" x14ac:dyDescent="0.2"/>
    <row r="21726" ht="12.75" x14ac:dyDescent="0.2"/>
    <row r="21727" ht="12.75" x14ac:dyDescent="0.2"/>
    <row r="21728" ht="12.75" x14ac:dyDescent="0.2"/>
    <row r="21729" ht="12.75" x14ac:dyDescent="0.2"/>
    <row r="21730" ht="12.75" x14ac:dyDescent="0.2"/>
    <row r="21731" ht="12.75" x14ac:dyDescent="0.2"/>
    <row r="21732" ht="12.75" x14ac:dyDescent="0.2"/>
    <row r="21733" ht="12.75" x14ac:dyDescent="0.2"/>
    <row r="21734" ht="12.75" x14ac:dyDescent="0.2"/>
    <row r="21735" ht="12.75" x14ac:dyDescent="0.2"/>
    <row r="21736" ht="12.75" x14ac:dyDescent="0.2"/>
    <row r="21737" ht="12.75" x14ac:dyDescent="0.2"/>
    <row r="21738" ht="12.75" x14ac:dyDescent="0.2"/>
    <row r="21739" ht="12.75" x14ac:dyDescent="0.2"/>
    <row r="21740" ht="12.75" x14ac:dyDescent="0.2"/>
    <row r="21741" ht="12.75" x14ac:dyDescent="0.2"/>
    <row r="21742" ht="12.75" x14ac:dyDescent="0.2"/>
    <row r="21743" ht="12.75" x14ac:dyDescent="0.2"/>
    <row r="21744" ht="12.75" x14ac:dyDescent="0.2"/>
    <row r="21745" ht="12.75" x14ac:dyDescent="0.2"/>
    <row r="21746" ht="12.75" x14ac:dyDescent="0.2"/>
    <row r="21747" ht="12.75" x14ac:dyDescent="0.2"/>
    <row r="21748" ht="12.75" x14ac:dyDescent="0.2"/>
    <row r="21749" ht="12.75" x14ac:dyDescent="0.2"/>
    <row r="21750" ht="12.75" x14ac:dyDescent="0.2"/>
    <row r="21751" ht="12.75" x14ac:dyDescent="0.2"/>
    <row r="21752" ht="12.75" x14ac:dyDescent="0.2"/>
    <row r="21753" ht="12.75" x14ac:dyDescent="0.2"/>
    <row r="21754" ht="12.75" x14ac:dyDescent="0.2"/>
    <row r="21755" ht="12.75" x14ac:dyDescent="0.2"/>
    <row r="21756" ht="12.75" x14ac:dyDescent="0.2"/>
    <row r="21757" ht="12.75" x14ac:dyDescent="0.2"/>
    <row r="21758" ht="12.75" x14ac:dyDescent="0.2"/>
    <row r="21759" ht="12.75" x14ac:dyDescent="0.2"/>
    <row r="21760" ht="12.75" x14ac:dyDescent="0.2"/>
    <row r="21761" ht="12.75" x14ac:dyDescent="0.2"/>
    <row r="21762" ht="12.75" x14ac:dyDescent="0.2"/>
    <row r="21763" ht="12.75" x14ac:dyDescent="0.2"/>
    <row r="21764" ht="12.75" x14ac:dyDescent="0.2"/>
    <row r="21765" ht="12.75" x14ac:dyDescent="0.2"/>
    <row r="21766" ht="12.75" x14ac:dyDescent="0.2"/>
    <row r="21767" ht="12.75" x14ac:dyDescent="0.2"/>
    <row r="21768" ht="12.75" x14ac:dyDescent="0.2"/>
    <row r="21769" ht="12.75" x14ac:dyDescent="0.2"/>
    <row r="21770" ht="12.75" x14ac:dyDescent="0.2"/>
    <row r="21771" ht="12.75" x14ac:dyDescent="0.2"/>
    <row r="21772" ht="12.75" x14ac:dyDescent="0.2"/>
    <row r="21773" ht="12.75" x14ac:dyDescent="0.2"/>
    <row r="21774" ht="12.75" x14ac:dyDescent="0.2"/>
    <row r="21775" ht="12.75" x14ac:dyDescent="0.2"/>
    <row r="21776" ht="12.75" x14ac:dyDescent="0.2"/>
    <row r="21777" ht="12.75" x14ac:dyDescent="0.2"/>
    <row r="21778" ht="12.75" x14ac:dyDescent="0.2"/>
    <row r="21779" ht="12.75" x14ac:dyDescent="0.2"/>
    <row r="21780" ht="12.75" x14ac:dyDescent="0.2"/>
    <row r="21781" ht="12.75" x14ac:dyDescent="0.2"/>
    <row r="21782" ht="12.75" x14ac:dyDescent="0.2"/>
    <row r="21783" ht="12.75" x14ac:dyDescent="0.2"/>
    <row r="21784" ht="12.75" x14ac:dyDescent="0.2"/>
    <row r="21785" ht="12.75" x14ac:dyDescent="0.2"/>
    <row r="21786" ht="12.75" x14ac:dyDescent="0.2"/>
    <row r="21787" ht="12.75" x14ac:dyDescent="0.2"/>
    <row r="21788" ht="12.75" x14ac:dyDescent="0.2"/>
    <row r="21789" ht="12.75" x14ac:dyDescent="0.2"/>
    <row r="21790" ht="12.75" x14ac:dyDescent="0.2"/>
    <row r="21791" ht="12.75" x14ac:dyDescent="0.2"/>
    <row r="21792" ht="12.75" x14ac:dyDescent="0.2"/>
    <row r="21793" ht="12.75" x14ac:dyDescent="0.2"/>
    <row r="21794" ht="12.75" x14ac:dyDescent="0.2"/>
    <row r="21795" ht="12.75" x14ac:dyDescent="0.2"/>
    <row r="21796" ht="12.75" x14ac:dyDescent="0.2"/>
    <row r="21797" ht="12.75" x14ac:dyDescent="0.2"/>
    <row r="21798" ht="12.75" x14ac:dyDescent="0.2"/>
    <row r="21799" ht="12.75" x14ac:dyDescent="0.2"/>
    <row r="21800" ht="12.75" x14ac:dyDescent="0.2"/>
    <row r="21801" ht="12.75" x14ac:dyDescent="0.2"/>
    <row r="21802" ht="12.75" x14ac:dyDescent="0.2"/>
    <row r="21803" ht="12.75" x14ac:dyDescent="0.2"/>
    <row r="21804" ht="12.75" x14ac:dyDescent="0.2"/>
    <row r="21805" ht="12.75" x14ac:dyDescent="0.2"/>
    <row r="21806" ht="12.75" x14ac:dyDescent="0.2"/>
    <row r="21807" ht="12.75" x14ac:dyDescent="0.2"/>
    <row r="21808" ht="12.75" x14ac:dyDescent="0.2"/>
    <row r="21809" ht="12.75" x14ac:dyDescent="0.2"/>
    <row r="21810" ht="12.75" x14ac:dyDescent="0.2"/>
    <row r="21811" ht="12.75" x14ac:dyDescent="0.2"/>
    <row r="21812" ht="12.75" x14ac:dyDescent="0.2"/>
    <row r="21813" ht="12.75" x14ac:dyDescent="0.2"/>
    <row r="21814" ht="12.75" x14ac:dyDescent="0.2"/>
    <row r="21815" ht="12.75" x14ac:dyDescent="0.2"/>
    <row r="21816" ht="12.75" x14ac:dyDescent="0.2"/>
    <row r="21817" ht="12.75" x14ac:dyDescent="0.2"/>
    <row r="21818" ht="12.75" x14ac:dyDescent="0.2"/>
    <row r="21819" ht="12.75" x14ac:dyDescent="0.2"/>
    <row r="21820" ht="12.75" x14ac:dyDescent="0.2"/>
    <row r="21821" ht="12.75" x14ac:dyDescent="0.2"/>
    <row r="21822" ht="12.75" x14ac:dyDescent="0.2"/>
    <row r="21823" ht="12.75" x14ac:dyDescent="0.2"/>
    <row r="21824" ht="12.75" x14ac:dyDescent="0.2"/>
    <row r="21825" ht="12.75" x14ac:dyDescent="0.2"/>
    <row r="21826" ht="12.75" x14ac:dyDescent="0.2"/>
    <row r="21827" ht="12.75" x14ac:dyDescent="0.2"/>
    <row r="21828" ht="12.75" x14ac:dyDescent="0.2"/>
    <row r="21829" ht="12.75" x14ac:dyDescent="0.2"/>
    <row r="21830" ht="12.75" x14ac:dyDescent="0.2"/>
    <row r="21831" ht="12.75" x14ac:dyDescent="0.2"/>
    <row r="21832" ht="12.75" x14ac:dyDescent="0.2"/>
    <row r="21833" ht="12.75" x14ac:dyDescent="0.2"/>
    <row r="21834" ht="12.75" x14ac:dyDescent="0.2"/>
    <row r="21835" ht="12.75" x14ac:dyDescent="0.2"/>
    <row r="21836" ht="12.75" x14ac:dyDescent="0.2"/>
    <row r="21837" ht="12.75" x14ac:dyDescent="0.2"/>
    <row r="21838" ht="12.75" x14ac:dyDescent="0.2"/>
    <row r="21839" ht="12.75" x14ac:dyDescent="0.2"/>
    <row r="21840" ht="12.75" x14ac:dyDescent="0.2"/>
    <row r="21841" ht="12.75" x14ac:dyDescent="0.2"/>
    <row r="21842" ht="12.75" x14ac:dyDescent="0.2"/>
    <row r="21843" ht="12.75" x14ac:dyDescent="0.2"/>
    <row r="21844" ht="12.75" x14ac:dyDescent="0.2"/>
    <row r="21845" ht="12.75" x14ac:dyDescent="0.2"/>
    <row r="21846" ht="12.75" x14ac:dyDescent="0.2"/>
    <row r="21847" ht="12.75" x14ac:dyDescent="0.2"/>
    <row r="21848" ht="12.75" x14ac:dyDescent="0.2"/>
    <row r="21849" ht="12.75" x14ac:dyDescent="0.2"/>
    <row r="21850" ht="12.75" x14ac:dyDescent="0.2"/>
    <row r="21851" ht="12.75" x14ac:dyDescent="0.2"/>
    <row r="21852" ht="12.75" x14ac:dyDescent="0.2"/>
    <row r="21853" ht="12.75" x14ac:dyDescent="0.2"/>
    <row r="21854" ht="12.75" x14ac:dyDescent="0.2"/>
    <row r="21855" ht="12.75" x14ac:dyDescent="0.2"/>
    <row r="21856" ht="12.75" x14ac:dyDescent="0.2"/>
    <row r="21857" ht="12.75" x14ac:dyDescent="0.2"/>
    <row r="21858" ht="12.75" x14ac:dyDescent="0.2"/>
    <row r="21859" ht="12.75" x14ac:dyDescent="0.2"/>
    <row r="21860" ht="12.75" x14ac:dyDescent="0.2"/>
    <row r="21861" ht="12.75" x14ac:dyDescent="0.2"/>
    <row r="21862" ht="12.75" x14ac:dyDescent="0.2"/>
    <row r="21863" ht="12.75" x14ac:dyDescent="0.2"/>
    <row r="21864" ht="12.75" x14ac:dyDescent="0.2"/>
    <row r="21865" ht="12.75" x14ac:dyDescent="0.2"/>
    <row r="21866" ht="12.75" x14ac:dyDescent="0.2"/>
    <row r="21867" ht="12.75" x14ac:dyDescent="0.2"/>
    <row r="21868" ht="12.75" x14ac:dyDescent="0.2"/>
    <row r="21869" ht="12.75" x14ac:dyDescent="0.2"/>
    <row r="21870" ht="12.75" x14ac:dyDescent="0.2"/>
    <row r="21871" ht="12.75" x14ac:dyDescent="0.2"/>
    <row r="21872" ht="12.75" x14ac:dyDescent="0.2"/>
    <row r="21873" ht="12.75" x14ac:dyDescent="0.2"/>
    <row r="21874" ht="12.75" x14ac:dyDescent="0.2"/>
    <row r="21875" ht="12.75" x14ac:dyDescent="0.2"/>
    <row r="21876" ht="12.75" x14ac:dyDescent="0.2"/>
    <row r="21877" ht="12.75" x14ac:dyDescent="0.2"/>
    <row r="21878" ht="12.75" x14ac:dyDescent="0.2"/>
    <row r="21879" ht="12.75" x14ac:dyDescent="0.2"/>
    <row r="21880" ht="12.75" x14ac:dyDescent="0.2"/>
    <row r="21881" ht="12.75" x14ac:dyDescent="0.2"/>
    <row r="21882" ht="12.75" x14ac:dyDescent="0.2"/>
    <row r="21883" ht="12.75" x14ac:dyDescent="0.2"/>
    <row r="21884" ht="12.75" x14ac:dyDescent="0.2"/>
    <row r="21885" ht="12.75" x14ac:dyDescent="0.2"/>
    <row r="21886" ht="12.75" x14ac:dyDescent="0.2"/>
    <row r="21887" ht="12.75" x14ac:dyDescent="0.2"/>
    <row r="21888" ht="12.75" x14ac:dyDescent="0.2"/>
    <row r="21889" ht="12.75" x14ac:dyDescent="0.2"/>
    <row r="21890" ht="12.75" x14ac:dyDescent="0.2"/>
    <row r="21891" ht="12.75" x14ac:dyDescent="0.2"/>
    <row r="21892" ht="12.75" x14ac:dyDescent="0.2"/>
    <row r="21893" ht="12.75" x14ac:dyDescent="0.2"/>
    <row r="21894" ht="12.75" x14ac:dyDescent="0.2"/>
    <row r="21895" ht="12.75" x14ac:dyDescent="0.2"/>
    <row r="21896" ht="12.75" x14ac:dyDescent="0.2"/>
    <row r="21897" ht="12.75" x14ac:dyDescent="0.2"/>
    <row r="21898" ht="12.75" x14ac:dyDescent="0.2"/>
    <row r="21899" ht="12.75" x14ac:dyDescent="0.2"/>
    <row r="21900" ht="12.75" x14ac:dyDescent="0.2"/>
    <row r="21901" ht="12.75" x14ac:dyDescent="0.2"/>
    <row r="21902" ht="12.75" x14ac:dyDescent="0.2"/>
    <row r="21903" ht="12.75" x14ac:dyDescent="0.2"/>
    <row r="21904" ht="12.75" x14ac:dyDescent="0.2"/>
    <row r="21905" ht="12.75" x14ac:dyDescent="0.2"/>
    <row r="21906" ht="12.75" x14ac:dyDescent="0.2"/>
    <row r="21907" ht="12.75" x14ac:dyDescent="0.2"/>
    <row r="21908" ht="12.75" x14ac:dyDescent="0.2"/>
    <row r="21909" ht="12.75" x14ac:dyDescent="0.2"/>
    <row r="21910" ht="12.75" x14ac:dyDescent="0.2"/>
    <row r="21911" ht="12.75" x14ac:dyDescent="0.2"/>
    <row r="21912" ht="12.75" x14ac:dyDescent="0.2"/>
    <row r="21913" ht="12.75" x14ac:dyDescent="0.2"/>
    <row r="21914" ht="12.75" x14ac:dyDescent="0.2"/>
    <row r="21915" ht="12.75" x14ac:dyDescent="0.2"/>
    <row r="21916" ht="12.75" x14ac:dyDescent="0.2"/>
    <row r="21917" ht="12.75" x14ac:dyDescent="0.2"/>
    <row r="21918" ht="12.75" x14ac:dyDescent="0.2"/>
    <row r="21919" ht="12.75" x14ac:dyDescent="0.2"/>
    <row r="21920" ht="12.75" x14ac:dyDescent="0.2"/>
    <row r="21921" ht="12.75" x14ac:dyDescent="0.2"/>
    <row r="21922" ht="12.75" x14ac:dyDescent="0.2"/>
    <row r="21923" ht="12.75" x14ac:dyDescent="0.2"/>
    <row r="21924" ht="12.75" x14ac:dyDescent="0.2"/>
    <row r="21925" ht="12.75" x14ac:dyDescent="0.2"/>
    <row r="21926" ht="12.75" x14ac:dyDescent="0.2"/>
    <row r="21927" ht="12.75" x14ac:dyDescent="0.2"/>
    <row r="21928" ht="12.75" x14ac:dyDescent="0.2"/>
    <row r="21929" ht="12.75" x14ac:dyDescent="0.2"/>
    <row r="21930" ht="12.75" x14ac:dyDescent="0.2"/>
    <row r="21931" ht="12.75" x14ac:dyDescent="0.2"/>
    <row r="21932" ht="12.75" x14ac:dyDescent="0.2"/>
    <row r="21933" ht="12.75" x14ac:dyDescent="0.2"/>
    <row r="21934" ht="12.75" x14ac:dyDescent="0.2"/>
    <row r="21935" ht="12.75" x14ac:dyDescent="0.2"/>
    <row r="21936" ht="12.75" x14ac:dyDescent="0.2"/>
    <row r="21937" ht="12.75" x14ac:dyDescent="0.2"/>
    <row r="21938" ht="12.75" x14ac:dyDescent="0.2"/>
    <row r="21939" ht="12.75" x14ac:dyDescent="0.2"/>
    <row r="21940" ht="12.75" x14ac:dyDescent="0.2"/>
    <row r="21941" ht="12.75" x14ac:dyDescent="0.2"/>
    <row r="21942" ht="12.75" x14ac:dyDescent="0.2"/>
    <row r="21943" ht="12.75" x14ac:dyDescent="0.2"/>
    <row r="21944" ht="12.75" x14ac:dyDescent="0.2"/>
    <row r="21945" ht="12.75" x14ac:dyDescent="0.2"/>
    <row r="21946" ht="12.75" x14ac:dyDescent="0.2"/>
    <row r="21947" ht="12.75" x14ac:dyDescent="0.2"/>
    <row r="21948" ht="12.75" x14ac:dyDescent="0.2"/>
    <row r="21949" ht="12.75" x14ac:dyDescent="0.2"/>
    <row r="21950" ht="12.75" x14ac:dyDescent="0.2"/>
    <row r="21951" ht="12.75" x14ac:dyDescent="0.2"/>
    <row r="21952" ht="12.75" x14ac:dyDescent="0.2"/>
    <row r="21953" ht="12.75" x14ac:dyDescent="0.2"/>
    <row r="21954" ht="12.75" x14ac:dyDescent="0.2"/>
    <row r="21955" ht="12.75" x14ac:dyDescent="0.2"/>
    <row r="21956" ht="12.75" x14ac:dyDescent="0.2"/>
    <row r="21957" ht="12.75" x14ac:dyDescent="0.2"/>
    <row r="21958" ht="12.75" x14ac:dyDescent="0.2"/>
    <row r="21959" ht="12.75" x14ac:dyDescent="0.2"/>
    <row r="21960" ht="12.75" x14ac:dyDescent="0.2"/>
    <row r="21961" ht="12.75" x14ac:dyDescent="0.2"/>
    <row r="21962" ht="12.75" x14ac:dyDescent="0.2"/>
    <row r="21963" ht="12.75" x14ac:dyDescent="0.2"/>
    <row r="21964" ht="12.75" x14ac:dyDescent="0.2"/>
    <row r="21965" ht="12.75" x14ac:dyDescent="0.2"/>
    <row r="21966" ht="12.75" x14ac:dyDescent="0.2"/>
    <row r="21967" ht="12.75" x14ac:dyDescent="0.2"/>
    <row r="21968" ht="12.75" x14ac:dyDescent="0.2"/>
    <row r="21969" ht="12.75" x14ac:dyDescent="0.2"/>
    <row r="21970" ht="12.75" x14ac:dyDescent="0.2"/>
    <row r="21971" ht="12.75" x14ac:dyDescent="0.2"/>
    <row r="21972" ht="12.75" x14ac:dyDescent="0.2"/>
    <row r="21973" ht="12.75" x14ac:dyDescent="0.2"/>
    <row r="21974" ht="12.75" x14ac:dyDescent="0.2"/>
    <row r="21975" ht="12.75" x14ac:dyDescent="0.2"/>
    <row r="21976" ht="12.75" x14ac:dyDescent="0.2"/>
    <row r="21977" ht="12.75" x14ac:dyDescent="0.2"/>
    <row r="21978" ht="12.75" x14ac:dyDescent="0.2"/>
    <row r="21979" ht="12.75" x14ac:dyDescent="0.2"/>
    <row r="21980" ht="12.75" x14ac:dyDescent="0.2"/>
    <row r="21981" ht="12.75" x14ac:dyDescent="0.2"/>
    <row r="21982" ht="12.75" x14ac:dyDescent="0.2"/>
    <row r="21983" ht="12.75" x14ac:dyDescent="0.2"/>
    <row r="21984" ht="12.75" x14ac:dyDescent="0.2"/>
    <row r="21985" ht="12.75" x14ac:dyDescent="0.2"/>
    <row r="21986" ht="12.75" x14ac:dyDescent="0.2"/>
    <row r="21987" ht="12.75" x14ac:dyDescent="0.2"/>
    <row r="21988" ht="12.75" x14ac:dyDescent="0.2"/>
    <row r="21989" ht="12.75" x14ac:dyDescent="0.2"/>
    <row r="21990" ht="12.75" x14ac:dyDescent="0.2"/>
    <row r="21991" ht="12.75" x14ac:dyDescent="0.2"/>
    <row r="21992" ht="12.75" x14ac:dyDescent="0.2"/>
    <row r="21993" ht="12.75" x14ac:dyDescent="0.2"/>
    <row r="21994" ht="12.75" x14ac:dyDescent="0.2"/>
    <row r="21995" ht="12.75" x14ac:dyDescent="0.2"/>
    <row r="21996" ht="12.75" x14ac:dyDescent="0.2"/>
    <row r="21997" ht="12.75" x14ac:dyDescent="0.2"/>
    <row r="21998" ht="12.75" x14ac:dyDescent="0.2"/>
    <row r="21999" ht="12.75" x14ac:dyDescent="0.2"/>
    <row r="22000" ht="12.75" x14ac:dyDescent="0.2"/>
    <row r="22001" ht="12.75" x14ac:dyDescent="0.2"/>
    <row r="22002" ht="12.75" x14ac:dyDescent="0.2"/>
    <row r="22003" ht="12.75" x14ac:dyDescent="0.2"/>
    <row r="22004" ht="12.75" x14ac:dyDescent="0.2"/>
    <row r="22005" ht="12.75" x14ac:dyDescent="0.2"/>
    <row r="22006" ht="12.75" x14ac:dyDescent="0.2"/>
    <row r="22007" ht="12.75" x14ac:dyDescent="0.2"/>
    <row r="22008" ht="12.75" x14ac:dyDescent="0.2"/>
    <row r="22009" ht="12.75" x14ac:dyDescent="0.2"/>
    <row r="22010" ht="12.75" x14ac:dyDescent="0.2"/>
    <row r="22011" ht="12.75" x14ac:dyDescent="0.2"/>
    <row r="22012" ht="12.75" x14ac:dyDescent="0.2"/>
    <row r="22013" ht="12.75" x14ac:dyDescent="0.2"/>
    <row r="22014" ht="12.75" x14ac:dyDescent="0.2"/>
    <row r="22015" ht="12.75" x14ac:dyDescent="0.2"/>
    <row r="22016" ht="12.75" x14ac:dyDescent="0.2"/>
    <row r="22017" ht="12.75" x14ac:dyDescent="0.2"/>
    <row r="22018" ht="12.75" x14ac:dyDescent="0.2"/>
    <row r="22019" ht="12.75" x14ac:dyDescent="0.2"/>
    <row r="22020" ht="12.75" x14ac:dyDescent="0.2"/>
    <row r="22021" ht="12.75" x14ac:dyDescent="0.2"/>
    <row r="22022" ht="12.75" x14ac:dyDescent="0.2"/>
    <row r="22023" ht="12.75" x14ac:dyDescent="0.2"/>
    <row r="22024" ht="12.75" x14ac:dyDescent="0.2"/>
    <row r="22025" ht="12.75" x14ac:dyDescent="0.2"/>
    <row r="22026" ht="12.75" x14ac:dyDescent="0.2"/>
    <row r="22027" ht="12.75" x14ac:dyDescent="0.2"/>
    <row r="22028" ht="12.75" x14ac:dyDescent="0.2"/>
    <row r="22029" ht="12.75" x14ac:dyDescent="0.2"/>
    <row r="22030" ht="12.75" x14ac:dyDescent="0.2"/>
    <row r="22031" ht="12.75" x14ac:dyDescent="0.2"/>
    <row r="22032" ht="12.75" x14ac:dyDescent="0.2"/>
    <row r="22033" ht="12.75" x14ac:dyDescent="0.2"/>
    <row r="22034" ht="12.75" x14ac:dyDescent="0.2"/>
    <row r="22035" ht="12.75" x14ac:dyDescent="0.2"/>
    <row r="22036" ht="12.75" x14ac:dyDescent="0.2"/>
    <row r="22037" ht="12.75" x14ac:dyDescent="0.2"/>
    <row r="22038" ht="12.75" x14ac:dyDescent="0.2"/>
    <row r="22039" ht="12.75" x14ac:dyDescent="0.2"/>
    <row r="22040" ht="12.75" x14ac:dyDescent="0.2"/>
    <row r="22041" ht="12.75" x14ac:dyDescent="0.2"/>
    <row r="22042" ht="12.75" x14ac:dyDescent="0.2"/>
    <row r="22043" ht="12.75" x14ac:dyDescent="0.2"/>
    <row r="22044" ht="12.75" x14ac:dyDescent="0.2"/>
    <row r="22045" ht="12.75" x14ac:dyDescent="0.2"/>
    <row r="22046" ht="12.75" x14ac:dyDescent="0.2"/>
    <row r="22047" ht="12.75" x14ac:dyDescent="0.2"/>
    <row r="22048" ht="12.75" x14ac:dyDescent="0.2"/>
    <row r="22049" ht="12.75" x14ac:dyDescent="0.2"/>
    <row r="22050" ht="12.75" x14ac:dyDescent="0.2"/>
    <row r="22051" ht="12.75" x14ac:dyDescent="0.2"/>
    <row r="22052" ht="12.75" x14ac:dyDescent="0.2"/>
    <row r="22053" ht="12.75" x14ac:dyDescent="0.2"/>
    <row r="22054" ht="12.75" x14ac:dyDescent="0.2"/>
    <row r="22055" ht="12.75" x14ac:dyDescent="0.2"/>
    <row r="22056" ht="12.75" x14ac:dyDescent="0.2"/>
    <row r="22057" ht="12.75" x14ac:dyDescent="0.2"/>
    <row r="22058" ht="12.75" x14ac:dyDescent="0.2"/>
    <row r="22059" ht="12.75" x14ac:dyDescent="0.2"/>
    <row r="22060" ht="12.75" x14ac:dyDescent="0.2"/>
    <row r="22061" ht="12.75" x14ac:dyDescent="0.2"/>
    <row r="22062" ht="12.75" x14ac:dyDescent="0.2"/>
    <row r="22063" ht="12.75" x14ac:dyDescent="0.2"/>
    <row r="22064" ht="12.75" x14ac:dyDescent="0.2"/>
    <row r="22065" ht="12.75" x14ac:dyDescent="0.2"/>
    <row r="22066" ht="12.75" x14ac:dyDescent="0.2"/>
    <row r="22067" ht="12.75" x14ac:dyDescent="0.2"/>
    <row r="22068" ht="12.75" x14ac:dyDescent="0.2"/>
    <row r="22069" ht="12.75" x14ac:dyDescent="0.2"/>
    <row r="22070" ht="12.75" x14ac:dyDescent="0.2"/>
    <row r="22071" ht="12.75" x14ac:dyDescent="0.2"/>
    <row r="22072" ht="12.75" x14ac:dyDescent="0.2"/>
    <row r="22073" ht="12.75" x14ac:dyDescent="0.2"/>
    <row r="22074" ht="12.75" x14ac:dyDescent="0.2"/>
    <row r="22075" ht="12.75" x14ac:dyDescent="0.2"/>
    <row r="22076" ht="12.75" x14ac:dyDescent="0.2"/>
    <row r="22077" ht="12.75" x14ac:dyDescent="0.2"/>
    <row r="22078" ht="12.75" x14ac:dyDescent="0.2"/>
    <row r="22079" ht="12.75" x14ac:dyDescent="0.2"/>
    <row r="22080" ht="12.75" x14ac:dyDescent="0.2"/>
    <row r="22081" ht="12.75" x14ac:dyDescent="0.2"/>
    <row r="22082" ht="12.75" x14ac:dyDescent="0.2"/>
    <row r="22083" ht="12.75" x14ac:dyDescent="0.2"/>
    <row r="22084" ht="12.75" x14ac:dyDescent="0.2"/>
    <row r="22085" ht="12.75" x14ac:dyDescent="0.2"/>
    <row r="22086" ht="12.75" x14ac:dyDescent="0.2"/>
    <row r="22087" ht="12.75" x14ac:dyDescent="0.2"/>
    <row r="22088" ht="12.75" x14ac:dyDescent="0.2"/>
    <row r="22089" ht="12.75" x14ac:dyDescent="0.2"/>
    <row r="22090" ht="12.75" x14ac:dyDescent="0.2"/>
    <row r="22091" ht="12.75" x14ac:dyDescent="0.2"/>
    <row r="22092" ht="12.75" x14ac:dyDescent="0.2"/>
    <row r="22093" ht="12.75" x14ac:dyDescent="0.2"/>
    <row r="22094" ht="12.75" x14ac:dyDescent="0.2"/>
    <row r="22095" ht="12.75" x14ac:dyDescent="0.2"/>
    <row r="22096" ht="12.75" x14ac:dyDescent="0.2"/>
    <row r="22097" ht="12.75" x14ac:dyDescent="0.2"/>
    <row r="22098" ht="12.75" x14ac:dyDescent="0.2"/>
    <row r="22099" ht="12.75" x14ac:dyDescent="0.2"/>
    <row r="22100" ht="12.75" x14ac:dyDescent="0.2"/>
    <row r="22101" ht="12.75" x14ac:dyDescent="0.2"/>
    <row r="22102" ht="12.75" x14ac:dyDescent="0.2"/>
    <row r="22103" ht="12.75" x14ac:dyDescent="0.2"/>
    <row r="22104" ht="12.75" x14ac:dyDescent="0.2"/>
    <row r="22105" ht="12.75" x14ac:dyDescent="0.2"/>
    <row r="22106" ht="12.75" x14ac:dyDescent="0.2"/>
    <row r="22107" ht="12.75" x14ac:dyDescent="0.2"/>
    <row r="22108" ht="12.75" x14ac:dyDescent="0.2"/>
    <row r="22109" ht="12.75" x14ac:dyDescent="0.2"/>
    <row r="22110" ht="12.75" x14ac:dyDescent="0.2"/>
    <row r="22111" ht="12.75" x14ac:dyDescent="0.2"/>
    <row r="22112" ht="12.75" x14ac:dyDescent="0.2"/>
    <row r="22113" ht="12.75" x14ac:dyDescent="0.2"/>
    <row r="22114" ht="12.75" x14ac:dyDescent="0.2"/>
    <row r="22115" ht="12.75" x14ac:dyDescent="0.2"/>
    <row r="22116" ht="12.75" x14ac:dyDescent="0.2"/>
    <row r="22117" ht="12.75" x14ac:dyDescent="0.2"/>
    <row r="22118" ht="12.75" x14ac:dyDescent="0.2"/>
    <row r="22119" ht="12.75" x14ac:dyDescent="0.2"/>
    <row r="22120" ht="12.75" x14ac:dyDescent="0.2"/>
    <row r="22121" ht="12.75" x14ac:dyDescent="0.2"/>
    <row r="22122" ht="12.75" x14ac:dyDescent="0.2"/>
    <row r="22123" ht="12.75" x14ac:dyDescent="0.2"/>
    <row r="22124" ht="12.75" x14ac:dyDescent="0.2"/>
    <row r="22125" ht="12.75" x14ac:dyDescent="0.2"/>
    <row r="22126" ht="12.75" x14ac:dyDescent="0.2"/>
    <row r="22127" ht="12.75" x14ac:dyDescent="0.2"/>
    <row r="22128" ht="12.75" x14ac:dyDescent="0.2"/>
    <row r="22129" ht="12.75" x14ac:dyDescent="0.2"/>
    <row r="22130" ht="12.75" x14ac:dyDescent="0.2"/>
    <row r="22131" ht="12.75" x14ac:dyDescent="0.2"/>
    <row r="22132" ht="12.75" x14ac:dyDescent="0.2"/>
    <row r="22133" ht="12.75" x14ac:dyDescent="0.2"/>
    <row r="22134" ht="12.75" x14ac:dyDescent="0.2"/>
    <row r="22135" ht="12.75" x14ac:dyDescent="0.2"/>
    <row r="22136" ht="12.75" x14ac:dyDescent="0.2"/>
    <row r="22137" ht="12.75" x14ac:dyDescent="0.2"/>
    <row r="22138" ht="12.75" x14ac:dyDescent="0.2"/>
    <row r="22139" ht="12.75" x14ac:dyDescent="0.2"/>
    <row r="22140" ht="12.75" x14ac:dyDescent="0.2"/>
    <row r="22141" ht="12.75" x14ac:dyDescent="0.2"/>
    <row r="22142" ht="12.75" x14ac:dyDescent="0.2"/>
    <row r="22143" ht="12.75" x14ac:dyDescent="0.2"/>
    <row r="22144" ht="12.75" x14ac:dyDescent="0.2"/>
    <row r="22145" ht="12.75" x14ac:dyDescent="0.2"/>
    <row r="22146" ht="12.75" x14ac:dyDescent="0.2"/>
    <row r="22147" ht="12.75" x14ac:dyDescent="0.2"/>
    <row r="22148" ht="12.75" x14ac:dyDescent="0.2"/>
    <row r="22149" ht="12.75" x14ac:dyDescent="0.2"/>
    <row r="22150" ht="12.75" x14ac:dyDescent="0.2"/>
    <row r="22151" ht="12.75" x14ac:dyDescent="0.2"/>
    <row r="22152" ht="12.75" x14ac:dyDescent="0.2"/>
    <row r="22153" ht="12.75" x14ac:dyDescent="0.2"/>
    <row r="22154" ht="12.75" x14ac:dyDescent="0.2"/>
    <row r="22155" ht="12.75" x14ac:dyDescent="0.2"/>
    <row r="22156" ht="12.75" x14ac:dyDescent="0.2"/>
    <row r="22157" ht="12.75" x14ac:dyDescent="0.2"/>
    <row r="22158" ht="12.75" x14ac:dyDescent="0.2"/>
    <row r="22159" ht="12.75" x14ac:dyDescent="0.2"/>
    <row r="22160" ht="12.75" x14ac:dyDescent="0.2"/>
    <row r="22161" ht="12.75" x14ac:dyDescent="0.2"/>
    <row r="22162" ht="12.75" x14ac:dyDescent="0.2"/>
    <row r="22163" ht="12.75" x14ac:dyDescent="0.2"/>
    <row r="22164" ht="12.75" x14ac:dyDescent="0.2"/>
    <row r="22165" ht="12.75" x14ac:dyDescent="0.2"/>
    <row r="22166" ht="12.75" x14ac:dyDescent="0.2"/>
    <row r="22167" ht="12.75" x14ac:dyDescent="0.2"/>
    <row r="22168" ht="12.75" x14ac:dyDescent="0.2"/>
    <row r="22169" ht="12.75" x14ac:dyDescent="0.2"/>
    <row r="22170" ht="12.75" x14ac:dyDescent="0.2"/>
    <row r="22171" ht="12.75" x14ac:dyDescent="0.2"/>
    <row r="22172" ht="12.75" x14ac:dyDescent="0.2"/>
    <row r="22173" ht="12.75" x14ac:dyDescent="0.2"/>
    <row r="22174" ht="12.75" x14ac:dyDescent="0.2"/>
    <row r="22175" ht="12.75" x14ac:dyDescent="0.2"/>
    <row r="22176" ht="12.75" x14ac:dyDescent="0.2"/>
    <row r="22177" ht="12.75" x14ac:dyDescent="0.2"/>
    <row r="22178" ht="12.75" x14ac:dyDescent="0.2"/>
    <row r="22179" ht="12.75" x14ac:dyDescent="0.2"/>
    <row r="22180" ht="12.75" x14ac:dyDescent="0.2"/>
    <row r="22181" ht="12.75" x14ac:dyDescent="0.2"/>
    <row r="22182" ht="12.75" x14ac:dyDescent="0.2"/>
    <row r="22183" ht="12.75" x14ac:dyDescent="0.2"/>
    <row r="22184" ht="12.75" x14ac:dyDescent="0.2"/>
    <row r="22185" ht="12.75" x14ac:dyDescent="0.2"/>
    <row r="22186" ht="12.75" x14ac:dyDescent="0.2"/>
    <row r="22187" ht="12.75" x14ac:dyDescent="0.2"/>
    <row r="22188" ht="12.75" x14ac:dyDescent="0.2"/>
    <row r="22189" ht="12.75" x14ac:dyDescent="0.2"/>
    <row r="22190" ht="12.75" x14ac:dyDescent="0.2"/>
    <row r="22191" ht="12.75" x14ac:dyDescent="0.2"/>
    <row r="22192" ht="12.75" x14ac:dyDescent="0.2"/>
    <row r="22193" ht="12.75" x14ac:dyDescent="0.2"/>
    <row r="22194" ht="12.75" x14ac:dyDescent="0.2"/>
    <row r="22195" ht="12.75" x14ac:dyDescent="0.2"/>
    <row r="22196" ht="12.75" x14ac:dyDescent="0.2"/>
    <row r="22197" ht="12.75" x14ac:dyDescent="0.2"/>
    <row r="22198" ht="12.75" x14ac:dyDescent="0.2"/>
    <row r="22199" ht="12.75" x14ac:dyDescent="0.2"/>
    <row r="22200" ht="12.75" x14ac:dyDescent="0.2"/>
    <row r="22201" ht="12.75" x14ac:dyDescent="0.2"/>
    <row r="22202" ht="12.75" x14ac:dyDescent="0.2"/>
    <row r="22203" ht="12.75" x14ac:dyDescent="0.2"/>
    <row r="22204" ht="12.75" x14ac:dyDescent="0.2"/>
    <row r="22205" ht="12.75" x14ac:dyDescent="0.2"/>
    <row r="22206" ht="12.75" x14ac:dyDescent="0.2"/>
    <row r="22207" ht="12.75" x14ac:dyDescent="0.2"/>
    <row r="22208" ht="12.75" x14ac:dyDescent="0.2"/>
    <row r="22209" ht="12.75" x14ac:dyDescent="0.2"/>
    <row r="22210" ht="12.75" x14ac:dyDescent="0.2"/>
    <row r="22211" ht="12.75" x14ac:dyDescent="0.2"/>
    <row r="22212" ht="12.75" x14ac:dyDescent="0.2"/>
    <row r="22213" ht="12.75" x14ac:dyDescent="0.2"/>
    <row r="22214" ht="12.75" x14ac:dyDescent="0.2"/>
    <row r="22215" ht="12.75" x14ac:dyDescent="0.2"/>
    <row r="22216" ht="12.75" x14ac:dyDescent="0.2"/>
    <row r="22217" ht="12.75" x14ac:dyDescent="0.2"/>
    <row r="22218" ht="12.75" x14ac:dyDescent="0.2"/>
    <row r="22219" ht="12.75" x14ac:dyDescent="0.2"/>
    <row r="22220" ht="12.75" x14ac:dyDescent="0.2"/>
    <row r="22221" ht="12.75" x14ac:dyDescent="0.2"/>
    <row r="22222" ht="12.75" x14ac:dyDescent="0.2"/>
    <row r="22223" ht="12.75" x14ac:dyDescent="0.2"/>
    <row r="22224" ht="12.75" x14ac:dyDescent="0.2"/>
    <row r="22225" ht="12.75" x14ac:dyDescent="0.2"/>
    <row r="22226" ht="12.75" x14ac:dyDescent="0.2"/>
    <row r="22227" ht="12.75" x14ac:dyDescent="0.2"/>
    <row r="22228" ht="12.75" x14ac:dyDescent="0.2"/>
    <row r="22229" ht="12.75" x14ac:dyDescent="0.2"/>
    <row r="22230" ht="12.75" x14ac:dyDescent="0.2"/>
    <row r="22231" ht="12.75" x14ac:dyDescent="0.2"/>
    <row r="22232" ht="12.75" x14ac:dyDescent="0.2"/>
    <row r="22233" ht="12.75" x14ac:dyDescent="0.2"/>
    <row r="22234" ht="12.75" x14ac:dyDescent="0.2"/>
    <row r="22235" ht="12.75" x14ac:dyDescent="0.2"/>
    <row r="22236" ht="12.75" x14ac:dyDescent="0.2"/>
    <row r="22237" ht="12.75" x14ac:dyDescent="0.2"/>
    <row r="22238" ht="12.75" x14ac:dyDescent="0.2"/>
    <row r="22239" ht="12.75" x14ac:dyDescent="0.2"/>
    <row r="22240" ht="12.75" x14ac:dyDescent="0.2"/>
    <row r="22241" ht="12.75" x14ac:dyDescent="0.2"/>
    <row r="22242" ht="12.75" x14ac:dyDescent="0.2"/>
    <row r="22243" ht="12.75" x14ac:dyDescent="0.2"/>
    <row r="22244" ht="12.75" x14ac:dyDescent="0.2"/>
    <row r="22245" ht="12.75" x14ac:dyDescent="0.2"/>
    <row r="22246" ht="12.75" x14ac:dyDescent="0.2"/>
    <row r="22247" ht="12.75" x14ac:dyDescent="0.2"/>
    <row r="22248" ht="12.75" x14ac:dyDescent="0.2"/>
    <row r="22249" ht="12.75" x14ac:dyDescent="0.2"/>
    <row r="22250" ht="12.75" x14ac:dyDescent="0.2"/>
    <row r="22251" ht="12.75" x14ac:dyDescent="0.2"/>
    <row r="22252" ht="12.75" x14ac:dyDescent="0.2"/>
    <row r="22253" ht="12.75" x14ac:dyDescent="0.2"/>
    <row r="22254" ht="12.75" x14ac:dyDescent="0.2"/>
    <row r="22255" ht="12.75" x14ac:dyDescent="0.2"/>
    <row r="22256" ht="12.75" x14ac:dyDescent="0.2"/>
    <row r="22257" ht="12.75" x14ac:dyDescent="0.2"/>
    <row r="22258" ht="12.75" x14ac:dyDescent="0.2"/>
    <row r="22259" ht="12.75" x14ac:dyDescent="0.2"/>
    <row r="22260" ht="12.75" x14ac:dyDescent="0.2"/>
    <row r="22261" ht="12.75" x14ac:dyDescent="0.2"/>
    <row r="22262" ht="12.75" x14ac:dyDescent="0.2"/>
    <row r="22263" ht="12.75" x14ac:dyDescent="0.2"/>
    <row r="22264" ht="12.75" x14ac:dyDescent="0.2"/>
    <row r="22265" ht="12.75" x14ac:dyDescent="0.2"/>
    <row r="22266" ht="12.75" x14ac:dyDescent="0.2"/>
    <row r="22267" ht="12.75" x14ac:dyDescent="0.2"/>
    <row r="22268" ht="12.75" x14ac:dyDescent="0.2"/>
    <row r="22269" ht="12.75" x14ac:dyDescent="0.2"/>
    <row r="22270" ht="12.75" x14ac:dyDescent="0.2"/>
    <row r="22271" ht="12.75" x14ac:dyDescent="0.2"/>
    <row r="22272" ht="12.75" x14ac:dyDescent="0.2"/>
    <row r="22273" ht="12.75" x14ac:dyDescent="0.2"/>
    <row r="22274" ht="12.75" x14ac:dyDescent="0.2"/>
    <row r="22275" ht="12.75" x14ac:dyDescent="0.2"/>
    <row r="22276" ht="12.75" x14ac:dyDescent="0.2"/>
    <row r="22277" ht="12.75" x14ac:dyDescent="0.2"/>
    <row r="22278" ht="12.75" x14ac:dyDescent="0.2"/>
    <row r="22279" ht="12.75" x14ac:dyDescent="0.2"/>
    <row r="22280" ht="12.75" x14ac:dyDescent="0.2"/>
    <row r="22281" ht="12.75" x14ac:dyDescent="0.2"/>
    <row r="22282" ht="12.75" x14ac:dyDescent="0.2"/>
    <row r="22283" ht="12.75" x14ac:dyDescent="0.2"/>
    <row r="22284" ht="12.75" x14ac:dyDescent="0.2"/>
    <row r="22285" ht="12.75" x14ac:dyDescent="0.2"/>
    <row r="22286" ht="12.75" x14ac:dyDescent="0.2"/>
    <row r="22287" ht="12.75" x14ac:dyDescent="0.2"/>
    <row r="22288" ht="12.75" x14ac:dyDescent="0.2"/>
    <row r="22289" ht="12.75" x14ac:dyDescent="0.2"/>
    <row r="22290" ht="12.75" x14ac:dyDescent="0.2"/>
    <row r="22291" ht="12.75" x14ac:dyDescent="0.2"/>
    <row r="22292" ht="12.75" x14ac:dyDescent="0.2"/>
    <row r="22293" ht="12.75" x14ac:dyDescent="0.2"/>
    <row r="22294" ht="12.75" x14ac:dyDescent="0.2"/>
    <row r="22295" ht="12.75" x14ac:dyDescent="0.2"/>
    <row r="22296" ht="12.75" x14ac:dyDescent="0.2"/>
    <row r="22297" ht="12.75" x14ac:dyDescent="0.2"/>
    <row r="22298" ht="12.75" x14ac:dyDescent="0.2"/>
    <row r="22299" ht="12.75" x14ac:dyDescent="0.2"/>
    <row r="22300" ht="12.75" x14ac:dyDescent="0.2"/>
    <row r="22301" ht="12.75" x14ac:dyDescent="0.2"/>
    <row r="22302" ht="12.75" x14ac:dyDescent="0.2"/>
    <row r="22303" ht="12.75" x14ac:dyDescent="0.2"/>
    <row r="22304" ht="12.75" x14ac:dyDescent="0.2"/>
    <row r="22305" ht="12.75" x14ac:dyDescent="0.2"/>
    <row r="22306" ht="12.75" x14ac:dyDescent="0.2"/>
    <row r="22307" ht="12.75" x14ac:dyDescent="0.2"/>
    <row r="22308" ht="12.75" x14ac:dyDescent="0.2"/>
    <row r="22309" ht="12.75" x14ac:dyDescent="0.2"/>
    <row r="22310" ht="12.75" x14ac:dyDescent="0.2"/>
    <row r="22311" ht="12.75" x14ac:dyDescent="0.2"/>
    <row r="22312" ht="12.75" x14ac:dyDescent="0.2"/>
    <row r="22313" ht="12.75" x14ac:dyDescent="0.2"/>
    <row r="22314" ht="12.75" x14ac:dyDescent="0.2"/>
    <row r="22315" ht="12.75" x14ac:dyDescent="0.2"/>
    <row r="22316" ht="12.75" x14ac:dyDescent="0.2"/>
    <row r="22317" ht="12.75" x14ac:dyDescent="0.2"/>
    <row r="22318" ht="12.75" x14ac:dyDescent="0.2"/>
    <row r="22319" ht="12.75" x14ac:dyDescent="0.2"/>
    <row r="22320" ht="12.75" x14ac:dyDescent="0.2"/>
    <row r="22321" ht="12.75" x14ac:dyDescent="0.2"/>
    <row r="22322" ht="12.75" x14ac:dyDescent="0.2"/>
    <row r="22323" ht="12.75" x14ac:dyDescent="0.2"/>
    <row r="22324" ht="12.75" x14ac:dyDescent="0.2"/>
    <row r="22325" ht="12.75" x14ac:dyDescent="0.2"/>
    <row r="22326" ht="12.75" x14ac:dyDescent="0.2"/>
    <row r="22327" ht="12.75" x14ac:dyDescent="0.2"/>
    <row r="22328" ht="12.75" x14ac:dyDescent="0.2"/>
    <row r="22329" ht="12.75" x14ac:dyDescent="0.2"/>
    <row r="22330" ht="12.75" x14ac:dyDescent="0.2"/>
    <row r="22331" ht="12.75" x14ac:dyDescent="0.2"/>
    <row r="22332" ht="12.75" x14ac:dyDescent="0.2"/>
    <row r="22333" ht="12.75" x14ac:dyDescent="0.2"/>
    <row r="22334" ht="12.75" x14ac:dyDescent="0.2"/>
    <row r="22335" ht="12.75" x14ac:dyDescent="0.2"/>
    <row r="22336" ht="12.75" x14ac:dyDescent="0.2"/>
    <row r="22337" ht="12.75" x14ac:dyDescent="0.2"/>
    <row r="22338" ht="12.75" x14ac:dyDescent="0.2"/>
    <row r="22339" ht="12.75" x14ac:dyDescent="0.2"/>
    <row r="22340" ht="12.75" x14ac:dyDescent="0.2"/>
    <row r="22341" ht="12.75" x14ac:dyDescent="0.2"/>
    <row r="22342" ht="12.75" x14ac:dyDescent="0.2"/>
    <row r="22343" ht="12.75" x14ac:dyDescent="0.2"/>
    <row r="22344" ht="12.75" x14ac:dyDescent="0.2"/>
    <row r="22345" ht="12.75" x14ac:dyDescent="0.2"/>
    <row r="22346" ht="12.75" x14ac:dyDescent="0.2"/>
    <row r="22347" ht="12.75" x14ac:dyDescent="0.2"/>
    <row r="22348" ht="12.75" x14ac:dyDescent="0.2"/>
    <row r="22349" ht="12.75" x14ac:dyDescent="0.2"/>
    <row r="22350" ht="12.75" x14ac:dyDescent="0.2"/>
    <row r="22351" ht="12.75" x14ac:dyDescent="0.2"/>
    <row r="22352" ht="12.75" x14ac:dyDescent="0.2"/>
    <row r="22353" ht="12.75" x14ac:dyDescent="0.2"/>
    <row r="22354" ht="12.75" x14ac:dyDescent="0.2"/>
    <row r="22355" ht="12.75" x14ac:dyDescent="0.2"/>
    <row r="22356" ht="12.75" x14ac:dyDescent="0.2"/>
    <row r="22357" ht="12.75" x14ac:dyDescent="0.2"/>
    <row r="22358" ht="12.75" x14ac:dyDescent="0.2"/>
    <row r="22359" ht="12.75" x14ac:dyDescent="0.2"/>
    <row r="22360" ht="12.75" x14ac:dyDescent="0.2"/>
    <row r="22361" ht="12.75" x14ac:dyDescent="0.2"/>
    <row r="22362" ht="12.75" x14ac:dyDescent="0.2"/>
    <row r="22363" ht="12.75" x14ac:dyDescent="0.2"/>
    <row r="22364" ht="12.75" x14ac:dyDescent="0.2"/>
    <row r="22365" ht="12.75" x14ac:dyDescent="0.2"/>
    <row r="22366" ht="12.75" x14ac:dyDescent="0.2"/>
    <row r="22367" ht="12.75" x14ac:dyDescent="0.2"/>
    <row r="22368" ht="12.75" x14ac:dyDescent="0.2"/>
    <row r="22369" ht="12.75" x14ac:dyDescent="0.2"/>
    <row r="22370" ht="12.75" x14ac:dyDescent="0.2"/>
    <row r="22371" ht="12.75" x14ac:dyDescent="0.2"/>
    <row r="22372" ht="12.75" x14ac:dyDescent="0.2"/>
    <row r="22373" ht="12.75" x14ac:dyDescent="0.2"/>
    <row r="22374" ht="12.75" x14ac:dyDescent="0.2"/>
    <row r="22375" ht="12.75" x14ac:dyDescent="0.2"/>
    <row r="22376" ht="12.75" x14ac:dyDescent="0.2"/>
    <row r="22377" ht="12.75" x14ac:dyDescent="0.2"/>
    <row r="22378" ht="12.75" x14ac:dyDescent="0.2"/>
    <row r="22379" ht="12.75" x14ac:dyDescent="0.2"/>
    <row r="22380" ht="12.75" x14ac:dyDescent="0.2"/>
    <row r="22381" ht="12.75" x14ac:dyDescent="0.2"/>
    <row r="22382" ht="12.75" x14ac:dyDescent="0.2"/>
    <row r="22383" ht="12.75" x14ac:dyDescent="0.2"/>
    <row r="22384" ht="12.75" x14ac:dyDescent="0.2"/>
    <row r="22385" ht="12.75" x14ac:dyDescent="0.2"/>
    <row r="22386" ht="12.75" x14ac:dyDescent="0.2"/>
    <row r="22387" ht="12.75" x14ac:dyDescent="0.2"/>
    <row r="22388" ht="12.75" x14ac:dyDescent="0.2"/>
    <row r="22389" ht="12.75" x14ac:dyDescent="0.2"/>
    <row r="22390" ht="12.75" x14ac:dyDescent="0.2"/>
    <row r="22391" ht="12.75" x14ac:dyDescent="0.2"/>
    <row r="22392" ht="12.75" x14ac:dyDescent="0.2"/>
    <row r="22393" ht="12.75" x14ac:dyDescent="0.2"/>
    <row r="22394" ht="12.75" x14ac:dyDescent="0.2"/>
    <row r="22395" ht="12.75" x14ac:dyDescent="0.2"/>
    <row r="22396" ht="12.75" x14ac:dyDescent="0.2"/>
    <row r="22397" ht="12.75" x14ac:dyDescent="0.2"/>
    <row r="22398" ht="12.75" x14ac:dyDescent="0.2"/>
    <row r="22399" ht="12.75" x14ac:dyDescent="0.2"/>
    <row r="22400" ht="12.75" x14ac:dyDescent="0.2"/>
    <row r="22401" ht="12.75" x14ac:dyDescent="0.2"/>
    <row r="22402" ht="12.75" x14ac:dyDescent="0.2"/>
    <row r="22403" ht="12.75" x14ac:dyDescent="0.2"/>
    <row r="22404" ht="12.75" x14ac:dyDescent="0.2"/>
    <row r="22405" ht="12.75" x14ac:dyDescent="0.2"/>
    <row r="22406" ht="12.75" x14ac:dyDescent="0.2"/>
    <row r="22407" ht="12.75" x14ac:dyDescent="0.2"/>
    <row r="22408" ht="12.75" x14ac:dyDescent="0.2"/>
    <row r="22409" ht="12.75" x14ac:dyDescent="0.2"/>
    <row r="22410" ht="12.75" x14ac:dyDescent="0.2"/>
    <row r="22411" ht="12.75" x14ac:dyDescent="0.2"/>
    <row r="22412" ht="12.75" x14ac:dyDescent="0.2"/>
    <row r="22413" ht="12.75" x14ac:dyDescent="0.2"/>
    <row r="22414" ht="12.75" x14ac:dyDescent="0.2"/>
    <row r="22415" ht="12.75" x14ac:dyDescent="0.2"/>
    <row r="22416" ht="12.75" x14ac:dyDescent="0.2"/>
    <row r="22417" ht="12.75" x14ac:dyDescent="0.2"/>
    <row r="22418" ht="12.75" x14ac:dyDescent="0.2"/>
    <row r="22419" ht="12.75" x14ac:dyDescent="0.2"/>
    <row r="22420" ht="12.75" x14ac:dyDescent="0.2"/>
    <row r="22421" ht="12.75" x14ac:dyDescent="0.2"/>
    <row r="22422" ht="12.75" x14ac:dyDescent="0.2"/>
    <row r="22423" ht="12.75" x14ac:dyDescent="0.2"/>
    <row r="22424" ht="12.75" x14ac:dyDescent="0.2"/>
    <row r="22425" ht="12.75" x14ac:dyDescent="0.2"/>
    <row r="22426" ht="12.75" x14ac:dyDescent="0.2"/>
    <row r="22427" ht="12.75" x14ac:dyDescent="0.2"/>
    <row r="22428" ht="12.75" x14ac:dyDescent="0.2"/>
    <row r="22429" ht="12.75" x14ac:dyDescent="0.2"/>
    <row r="22430" ht="12.75" x14ac:dyDescent="0.2"/>
    <row r="22431" ht="12.75" x14ac:dyDescent="0.2"/>
    <row r="22432" ht="12.75" x14ac:dyDescent="0.2"/>
    <row r="22433" ht="12.75" x14ac:dyDescent="0.2"/>
    <row r="22434" ht="12.75" x14ac:dyDescent="0.2"/>
    <row r="22435" ht="12.75" x14ac:dyDescent="0.2"/>
    <row r="22436" ht="12.75" x14ac:dyDescent="0.2"/>
    <row r="22437" ht="12.75" x14ac:dyDescent="0.2"/>
    <row r="22438" ht="12.75" x14ac:dyDescent="0.2"/>
    <row r="22439" ht="12.75" x14ac:dyDescent="0.2"/>
    <row r="22440" ht="12.75" x14ac:dyDescent="0.2"/>
    <row r="22441" ht="12.75" x14ac:dyDescent="0.2"/>
    <row r="22442" ht="12.75" x14ac:dyDescent="0.2"/>
    <row r="22443" ht="12.75" x14ac:dyDescent="0.2"/>
    <row r="22444" ht="12.75" x14ac:dyDescent="0.2"/>
    <row r="22445" ht="12.75" x14ac:dyDescent="0.2"/>
    <row r="22446" ht="12.75" x14ac:dyDescent="0.2"/>
    <row r="22447" ht="12.75" x14ac:dyDescent="0.2"/>
    <row r="22448" ht="12.75" x14ac:dyDescent="0.2"/>
    <row r="22449" ht="12.75" x14ac:dyDescent="0.2"/>
    <row r="22450" ht="12.75" x14ac:dyDescent="0.2"/>
    <row r="22451" ht="12.75" x14ac:dyDescent="0.2"/>
    <row r="22452" ht="12.75" x14ac:dyDescent="0.2"/>
    <row r="22453" ht="12.75" x14ac:dyDescent="0.2"/>
    <row r="22454" ht="12.75" x14ac:dyDescent="0.2"/>
    <row r="22455" ht="12.75" x14ac:dyDescent="0.2"/>
    <row r="22456" ht="12.75" x14ac:dyDescent="0.2"/>
    <row r="22457" ht="12.75" x14ac:dyDescent="0.2"/>
    <row r="22458" ht="12.75" x14ac:dyDescent="0.2"/>
    <row r="22459" ht="12.75" x14ac:dyDescent="0.2"/>
    <row r="22460" ht="12.75" x14ac:dyDescent="0.2"/>
    <row r="22461" ht="12.75" x14ac:dyDescent="0.2"/>
    <row r="22462" ht="12.75" x14ac:dyDescent="0.2"/>
    <row r="22463" ht="12.75" x14ac:dyDescent="0.2"/>
    <row r="22464" ht="12.75" x14ac:dyDescent="0.2"/>
    <row r="22465" ht="12.75" x14ac:dyDescent="0.2"/>
    <row r="22466" ht="12.75" x14ac:dyDescent="0.2"/>
    <row r="22467" ht="12.75" x14ac:dyDescent="0.2"/>
    <row r="22468" ht="12.75" x14ac:dyDescent="0.2"/>
    <row r="22469" ht="12.75" x14ac:dyDescent="0.2"/>
    <row r="22470" ht="12.75" x14ac:dyDescent="0.2"/>
    <row r="22471" ht="12.75" x14ac:dyDescent="0.2"/>
    <row r="22472" ht="12.75" x14ac:dyDescent="0.2"/>
    <row r="22473" ht="12.75" x14ac:dyDescent="0.2"/>
    <row r="22474" ht="12.75" x14ac:dyDescent="0.2"/>
    <row r="22475" ht="12.75" x14ac:dyDescent="0.2"/>
    <row r="22476" ht="12.75" x14ac:dyDescent="0.2"/>
    <row r="22477" ht="12.75" x14ac:dyDescent="0.2"/>
    <row r="22478" ht="12.75" x14ac:dyDescent="0.2"/>
    <row r="22479" ht="12.75" x14ac:dyDescent="0.2"/>
    <row r="22480" ht="12.75" x14ac:dyDescent="0.2"/>
    <row r="22481" ht="12.75" x14ac:dyDescent="0.2"/>
    <row r="22482" ht="12.75" x14ac:dyDescent="0.2"/>
    <row r="22483" ht="12.75" x14ac:dyDescent="0.2"/>
    <row r="22484" ht="12.75" x14ac:dyDescent="0.2"/>
    <row r="22485" ht="12.75" x14ac:dyDescent="0.2"/>
    <row r="22486" ht="12.75" x14ac:dyDescent="0.2"/>
    <row r="22487" ht="12.75" x14ac:dyDescent="0.2"/>
    <row r="22488" ht="12.75" x14ac:dyDescent="0.2"/>
    <row r="22489" ht="12.75" x14ac:dyDescent="0.2"/>
    <row r="22490" ht="12.75" x14ac:dyDescent="0.2"/>
    <row r="22491" ht="12.75" x14ac:dyDescent="0.2"/>
    <row r="22492" ht="12.75" x14ac:dyDescent="0.2"/>
    <row r="22493" ht="12.75" x14ac:dyDescent="0.2"/>
    <row r="22494" ht="12.75" x14ac:dyDescent="0.2"/>
    <row r="22495" ht="12.75" x14ac:dyDescent="0.2"/>
    <row r="22496" ht="12.75" x14ac:dyDescent="0.2"/>
    <row r="22497" ht="12.75" x14ac:dyDescent="0.2"/>
    <row r="22498" ht="12.75" x14ac:dyDescent="0.2"/>
    <row r="22499" ht="12.75" x14ac:dyDescent="0.2"/>
    <row r="22500" ht="12.75" x14ac:dyDescent="0.2"/>
    <row r="22501" ht="12.75" x14ac:dyDescent="0.2"/>
    <row r="22502" ht="12.75" x14ac:dyDescent="0.2"/>
    <row r="22503" ht="12.75" x14ac:dyDescent="0.2"/>
    <row r="22504" ht="12.75" x14ac:dyDescent="0.2"/>
    <row r="22505" ht="12.75" x14ac:dyDescent="0.2"/>
    <row r="22506" ht="12.75" x14ac:dyDescent="0.2"/>
    <row r="22507" ht="12.75" x14ac:dyDescent="0.2"/>
    <row r="22508" ht="12.75" x14ac:dyDescent="0.2"/>
    <row r="22509" ht="12.75" x14ac:dyDescent="0.2"/>
    <row r="22510" ht="12.75" x14ac:dyDescent="0.2"/>
    <row r="22511" ht="12.75" x14ac:dyDescent="0.2"/>
    <row r="22512" ht="12.75" x14ac:dyDescent="0.2"/>
    <row r="22513" ht="12.75" x14ac:dyDescent="0.2"/>
    <row r="22514" ht="12.75" x14ac:dyDescent="0.2"/>
    <row r="22515" ht="12.75" x14ac:dyDescent="0.2"/>
    <row r="22516" ht="12.75" x14ac:dyDescent="0.2"/>
    <row r="22517" ht="12.75" x14ac:dyDescent="0.2"/>
    <row r="22518" ht="12.75" x14ac:dyDescent="0.2"/>
    <row r="22519" ht="12.75" x14ac:dyDescent="0.2"/>
    <row r="22520" ht="12.75" x14ac:dyDescent="0.2"/>
    <row r="22521" ht="12.75" x14ac:dyDescent="0.2"/>
    <row r="22522" ht="12.75" x14ac:dyDescent="0.2"/>
    <row r="22523" ht="12.75" x14ac:dyDescent="0.2"/>
    <row r="22524" ht="12.75" x14ac:dyDescent="0.2"/>
    <row r="22525" ht="12.75" x14ac:dyDescent="0.2"/>
    <row r="22526" ht="12.75" x14ac:dyDescent="0.2"/>
    <row r="22527" ht="12.75" x14ac:dyDescent="0.2"/>
    <row r="22528" ht="12.75" x14ac:dyDescent="0.2"/>
    <row r="22529" ht="12.75" x14ac:dyDescent="0.2"/>
    <row r="22530" ht="12.75" x14ac:dyDescent="0.2"/>
    <row r="22531" ht="12.75" x14ac:dyDescent="0.2"/>
    <row r="22532" ht="12.75" x14ac:dyDescent="0.2"/>
    <row r="22533" ht="12.75" x14ac:dyDescent="0.2"/>
    <row r="22534" ht="12.75" x14ac:dyDescent="0.2"/>
    <row r="22535" ht="12.75" x14ac:dyDescent="0.2"/>
    <row r="22536" ht="12.75" x14ac:dyDescent="0.2"/>
    <row r="22537" ht="12.75" x14ac:dyDescent="0.2"/>
    <row r="22538" ht="12.75" x14ac:dyDescent="0.2"/>
    <row r="22539" ht="12.75" x14ac:dyDescent="0.2"/>
    <row r="22540" ht="12.75" x14ac:dyDescent="0.2"/>
    <row r="22541" ht="12.75" x14ac:dyDescent="0.2"/>
    <row r="22542" ht="12.75" x14ac:dyDescent="0.2"/>
    <row r="22543" ht="12.75" x14ac:dyDescent="0.2"/>
    <row r="22544" ht="12.75" x14ac:dyDescent="0.2"/>
    <row r="22545" ht="12.75" x14ac:dyDescent="0.2"/>
    <row r="22546" ht="12.75" x14ac:dyDescent="0.2"/>
    <row r="22547" ht="12.75" x14ac:dyDescent="0.2"/>
    <row r="22548" ht="12.75" x14ac:dyDescent="0.2"/>
    <row r="22549" ht="12.75" x14ac:dyDescent="0.2"/>
    <row r="22550" ht="12.75" x14ac:dyDescent="0.2"/>
    <row r="22551" ht="12.75" x14ac:dyDescent="0.2"/>
    <row r="22552" ht="12.75" x14ac:dyDescent="0.2"/>
    <row r="22553" ht="12.75" x14ac:dyDescent="0.2"/>
    <row r="22554" ht="12.75" x14ac:dyDescent="0.2"/>
    <row r="22555" ht="12.75" x14ac:dyDescent="0.2"/>
    <row r="22556" ht="12.75" x14ac:dyDescent="0.2"/>
    <row r="22557" ht="12.75" x14ac:dyDescent="0.2"/>
    <row r="22558" ht="12.75" x14ac:dyDescent="0.2"/>
    <row r="22559" ht="12.75" x14ac:dyDescent="0.2"/>
    <row r="22560" ht="12.75" x14ac:dyDescent="0.2"/>
    <row r="22561" ht="12.75" x14ac:dyDescent="0.2"/>
    <row r="22562" ht="12.75" x14ac:dyDescent="0.2"/>
    <row r="22563" ht="12.75" x14ac:dyDescent="0.2"/>
    <row r="22564" ht="12.75" x14ac:dyDescent="0.2"/>
    <row r="22565" ht="12.75" x14ac:dyDescent="0.2"/>
    <row r="22566" ht="12.75" x14ac:dyDescent="0.2"/>
    <row r="22567" ht="12.75" x14ac:dyDescent="0.2"/>
    <row r="22568" ht="12.75" x14ac:dyDescent="0.2"/>
    <row r="22569" ht="12.75" x14ac:dyDescent="0.2"/>
    <row r="22570" ht="12.75" x14ac:dyDescent="0.2"/>
    <row r="22571" ht="12.75" x14ac:dyDescent="0.2"/>
    <row r="22572" ht="12.75" x14ac:dyDescent="0.2"/>
    <row r="22573" ht="12.75" x14ac:dyDescent="0.2"/>
    <row r="22574" ht="12.75" x14ac:dyDescent="0.2"/>
    <row r="22575" ht="12.75" x14ac:dyDescent="0.2"/>
    <row r="22576" ht="12.75" x14ac:dyDescent="0.2"/>
    <row r="22577" ht="12.75" x14ac:dyDescent="0.2"/>
    <row r="22578" ht="12.75" x14ac:dyDescent="0.2"/>
    <row r="22579" ht="12.75" x14ac:dyDescent="0.2"/>
    <row r="22580" ht="12.75" x14ac:dyDescent="0.2"/>
    <row r="22581" ht="12.75" x14ac:dyDescent="0.2"/>
    <row r="22582" ht="12.75" x14ac:dyDescent="0.2"/>
    <row r="22583" ht="12.75" x14ac:dyDescent="0.2"/>
    <row r="22584" ht="12.75" x14ac:dyDescent="0.2"/>
    <row r="22585" ht="12.75" x14ac:dyDescent="0.2"/>
    <row r="22586" ht="12.75" x14ac:dyDescent="0.2"/>
    <row r="22587" ht="12.75" x14ac:dyDescent="0.2"/>
    <row r="22588" ht="12.75" x14ac:dyDescent="0.2"/>
    <row r="22589" ht="12.75" x14ac:dyDescent="0.2"/>
    <row r="22590" ht="12.75" x14ac:dyDescent="0.2"/>
    <row r="22591" ht="12.75" x14ac:dyDescent="0.2"/>
    <row r="22592" ht="12.75" x14ac:dyDescent="0.2"/>
    <row r="22593" ht="12.75" x14ac:dyDescent="0.2"/>
    <row r="22594" ht="12.75" x14ac:dyDescent="0.2"/>
    <row r="22595" ht="12.75" x14ac:dyDescent="0.2"/>
    <row r="22596" ht="12.75" x14ac:dyDescent="0.2"/>
    <row r="22597" ht="12.75" x14ac:dyDescent="0.2"/>
    <row r="22598" ht="12.75" x14ac:dyDescent="0.2"/>
    <row r="22599" ht="12.75" x14ac:dyDescent="0.2"/>
    <row r="22600" ht="12.75" x14ac:dyDescent="0.2"/>
    <row r="22601" ht="12.75" x14ac:dyDescent="0.2"/>
    <row r="22602" ht="12.75" x14ac:dyDescent="0.2"/>
    <row r="22603" ht="12.75" x14ac:dyDescent="0.2"/>
    <row r="22604" ht="12.75" x14ac:dyDescent="0.2"/>
    <row r="22605" ht="12.75" x14ac:dyDescent="0.2"/>
    <row r="22606" ht="12.75" x14ac:dyDescent="0.2"/>
    <row r="22607" ht="12.75" x14ac:dyDescent="0.2"/>
    <row r="22608" ht="12.75" x14ac:dyDescent="0.2"/>
    <row r="22609" ht="12.75" x14ac:dyDescent="0.2"/>
    <row r="22610" ht="12.75" x14ac:dyDescent="0.2"/>
    <row r="22611" ht="12.75" x14ac:dyDescent="0.2"/>
    <row r="22612" ht="12.75" x14ac:dyDescent="0.2"/>
    <row r="22613" ht="12.75" x14ac:dyDescent="0.2"/>
    <row r="22614" ht="12.75" x14ac:dyDescent="0.2"/>
    <row r="22615" ht="12.75" x14ac:dyDescent="0.2"/>
    <row r="22616" ht="12.75" x14ac:dyDescent="0.2"/>
    <row r="22617" ht="12.75" x14ac:dyDescent="0.2"/>
    <row r="22618" ht="12.75" x14ac:dyDescent="0.2"/>
    <row r="22619" ht="12.75" x14ac:dyDescent="0.2"/>
    <row r="22620" ht="12.75" x14ac:dyDescent="0.2"/>
    <row r="22621" ht="12.75" x14ac:dyDescent="0.2"/>
    <row r="22622" ht="12.75" x14ac:dyDescent="0.2"/>
    <row r="22623" ht="12.75" x14ac:dyDescent="0.2"/>
    <row r="22624" ht="12.75" x14ac:dyDescent="0.2"/>
    <row r="22625" ht="12.75" x14ac:dyDescent="0.2"/>
    <row r="22626" ht="12.75" x14ac:dyDescent="0.2"/>
    <row r="22627" ht="12.75" x14ac:dyDescent="0.2"/>
    <row r="22628" ht="12.75" x14ac:dyDescent="0.2"/>
    <row r="22629" ht="12.75" x14ac:dyDescent="0.2"/>
    <row r="22630" ht="12.75" x14ac:dyDescent="0.2"/>
    <row r="22631" ht="12.75" x14ac:dyDescent="0.2"/>
    <row r="22632" ht="12.75" x14ac:dyDescent="0.2"/>
    <row r="22633" ht="12.75" x14ac:dyDescent="0.2"/>
    <row r="22634" ht="12.75" x14ac:dyDescent="0.2"/>
    <row r="22635" ht="12.75" x14ac:dyDescent="0.2"/>
    <row r="22636" ht="12.75" x14ac:dyDescent="0.2"/>
    <row r="22637" ht="12.75" x14ac:dyDescent="0.2"/>
    <row r="22638" ht="12.75" x14ac:dyDescent="0.2"/>
    <row r="22639" ht="12.75" x14ac:dyDescent="0.2"/>
    <row r="22640" ht="12.75" x14ac:dyDescent="0.2"/>
    <row r="22641" ht="12.75" x14ac:dyDescent="0.2"/>
    <row r="22642" ht="12.75" x14ac:dyDescent="0.2"/>
    <row r="22643" ht="12.75" x14ac:dyDescent="0.2"/>
    <row r="22644" ht="12.75" x14ac:dyDescent="0.2"/>
    <row r="22645" ht="12.75" x14ac:dyDescent="0.2"/>
    <row r="22646" ht="12.75" x14ac:dyDescent="0.2"/>
    <row r="22647" ht="12.75" x14ac:dyDescent="0.2"/>
    <row r="22648" ht="12.75" x14ac:dyDescent="0.2"/>
    <row r="22649" ht="12.75" x14ac:dyDescent="0.2"/>
    <row r="22650" ht="12.75" x14ac:dyDescent="0.2"/>
    <row r="22651" ht="12.75" x14ac:dyDescent="0.2"/>
    <row r="22652" ht="12.75" x14ac:dyDescent="0.2"/>
    <row r="22653" ht="12.75" x14ac:dyDescent="0.2"/>
    <row r="22654" ht="12.75" x14ac:dyDescent="0.2"/>
    <row r="22655" ht="12.75" x14ac:dyDescent="0.2"/>
    <row r="22656" ht="12.75" x14ac:dyDescent="0.2"/>
    <row r="22657" ht="12.75" x14ac:dyDescent="0.2"/>
    <row r="22658" ht="12.75" x14ac:dyDescent="0.2"/>
    <row r="22659" ht="12.75" x14ac:dyDescent="0.2"/>
    <row r="22660" ht="12.75" x14ac:dyDescent="0.2"/>
    <row r="22661" ht="12.75" x14ac:dyDescent="0.2"/>
    <row r="22662" ht="12.75" x14ac:dyDescent="0.2"/>
    <row r="22663" ht="12.75" x14ac:dyDescent="0.2"/>
    <row r="22664" ht="12.75" x14ac:dyDescent="0.2"/>
    <row r="22665" ht="12.75" x14ac:dyDescent="0.2"/>
    <row r="22666" ht="12.75" x14ac:dyDescent="0.2"/>
    <row r="22667" ht="12.75" x14ac:dyDescent="0.2"/>
    <row r="22668" ht="12.75" x14ac:dyDescent="0.2"/>
    <row r="22669" ht="12.75" x14ac:dyDescent="0.2"/>
    <row r="22670" ht="12.75" x14ac:dyDescent="0.2"/>
    <row r="22671" ht="12.75" x14ac:dyDescent="0.2"/>
    <row r="22672" ht="12.75" x14ac:dyDescent="0.2"/>
    <row r="22673" ht="12.75" x14ac:dyDescent="0.2"/>
    <row r="22674" ht="12.75" x14ac:dyDescent="0.2"/>
    <row r="22675" ht="12.75" x14ac:dyDescent="0.2"/>
    <row r="22676" ht="12.75" x14ac:dyDescent="0.2"/>
    <row r="22677" ht="12.75" x14ac:dyDescent="0.2"/>
    <row r="22678" ht="12.75" x14ac:dyDescent="0.2"/>
    <row r="22679" ht="12.75" x14ac:dyDescent="0.2"/>
    <row r="22680" ht="12.75" x14ac:dyDescent="0.2"/>
    <row r="22681" ht="12.75" x14ac:dyDescent="0.2"/>
    <row r="22682" ht="12.75" x14ac:dyDescent="0.2"/>
    <row r="22683" ht="12.75" x14ac:dyDescent="0.2"/>
    <row r="22684" ht="12.75" x14ac:dyDescent="0.2"/>
    <row r="22685" ht="12.75" x14ac:dyDescent="0.2"/>
    <row r="22686" ht="12.75" x14ac:dyDescent="0.2"/>
    <row r="22687" ht="12.75" x14ac:dyDescent="0.2"/>
    <row r="22688" ht="12.75" x14ac:dyDescent="0.2"/>
    <row r="22689" ht="12.75" x14ac:dyDescent="0.2"/>
    <row r="22690" ht="12.75" x14ac:dyDescent="0.2"/>
    <row r="22691" ht="12.75" x14ac:dyDescent="0.2"/>
    <row r="22692" ht="12.75" x14ac:dyDescent="0.2"/>
    <row r="22693" ht="12.75" x14ac:dyDescent="0.2"/>
    <row r="22694" ht="12.75" x14ac:dyDescent="0.2"/>
    <row r="22695" ht="12.75" x14ac:dyDescent="0.2"/>
    <row r="22696" ht="12.75" x14ac:dyDescent="0.2"/>
    <row r="22697" ht="12.75" x14ac:dyDescent="0.2"/>
    <row r="22698" ht="12.75" x14ac:dyDescent="0.2"/>
    <row r="22699" ht="12.75" x14ac:dyDescent="0.2"/>
    <row r="22700" ht="12.75" x14ac:dyDescent="0.2"/>
    <row r="22701" ht="12.75" x14ac:dyDescent="0.2"/>
    <row r="22702" ht="12.75" x14ac:dyDescent="0.2"/>
    <row r="22703" ht="12.75" x14ac:dyDescent="0.2"/>
    <row r="22704" ht="12.75" x14ac:dyDescent="0.2"/>
    <row r="22705" ht="12.75" x14ac:dyDescent="0.2"/>
    <row r="22706" ht="12.75" x14ac:dyDescent="0.2"/>
    <row r="22707" ht="12.75" x14ac:dyDescent="0.2"/>
    <row r="22708" ht="12.75" x14ac:dyDescent="0.2"/>
    <row r="22709" ht="12.75" x14ac:dyDescent="0.2"/>
    <row r="22710" ht="12.75" x14ac:dyDescent="0.2"/>
    <row r="22711" ht="12.75" x14ac:dyDescent="0.2"/>
    <row r="22712" ht="12.75" x14ac:dyDescent="0.2"/>
    <row r="22713" ht="12.75" x14ac:dyDescent="0.2"/>
    <row r="22714" ht="12.75" x14ac:dyDescent="0.2"/>
    <row r="22715" ht="12.75" x14ac:dyDescent="0.2"/>
    <row r="22716" ht="12.75" x14ac:dyDescent="0.2"/>
    <row r="22717" ht="12.75" x14ac:dyDescent="0.2"/>
    <row r="22718" ht="12.75" x14ac:dyDescent="0.2"/>
    <row r="22719" ht="12.75" x14ac:dyDescent="0.2"/>
    <row r="22720" ht="12.75" x14ac:dyDescent="0.2"/>
    <row r="22721" ht="12.75" x14ac:dyDescent="0.2"/>
    <row r="22722" ht="12.75" x14ac:dyDescent="0.2"/>
    <row r="22723" ht="12.75" x14ac:dyDescent="0.2"/>
    <row r="22724" ht="12.75" x14ac:dyDescent="0.2"/>
    <row r="22725" ht="12.75" x14ac:dyDescent="0.2"/>
    <row r="22726" ht="12.75" x14ac:dyDescent="0.2"/>
    <row r="22727" ht="12.75" x14ac:dyDescent="0.2"/>
    <row r="22728" ht="12.75" x14ac:dyDescent="0.2"/>
    <row r="22729" ht="12.75" x14ac:dyDescent="0.2"/>
    <row r="22730" ht="12.75" x14ac:dyDescent="0.2"/>
    <row r="22731" ht="12.75" x14ac:dyDescent="0.2"/>
    <row r="22732" ht="12.75" x14ac:dyDescent="0.2"/>
    <row r="22733" ht="12.75" x14ac:dyDescent="0.2"/>
    <row r="22734" ht="12.75" x14ac:dyDescent="0.2"/>
    <row r="22735" ht="12.75" x14ac:dyDescent="0.2"/>
    <row r="22736" ht="12.75" x14ac:dyDescent="0.2"/>
    <row r="22737" ht="12.75" x14ac:dyDescent="0.2"/>
    <row r="22738" ht="12.75" x14ac:dyDescent="0.2"/>
    <row r="22739" ht="12.75" x14ac:dyDescent="0.2"/>
    <row r="22740" ht="12.75" x14ac:dyDescent="0.2"/>
    <row r="22741" ht="12.75" x14ac:dyDescent="0.2"/>
    <row r="22742" ht="12.75" x14ac:dyDescent="0.2"/>
    <row r="22743" ht="12.75" x14ac:dyDescent="0.2"/>
    <row r="22744" ht="12.75" x14ac:dyDescent="0.2"/>
    <row r="22745" ht="12.75" x14ac:dyDescent="0.2"/>
    <row r="22746" ht="12.75" x14ac:dyDescent="0.2"/>
    <row r="22747" ht="12.75" x14ac:dyDescent="0.2"/>
    <row r="22748" ht="12.75" x14ac:dyDescent="0.2"/>
    <row r="22749" ht="12.75" x14ac:dyDescent="0.2"/>
    <row r="22750" ht="12.75" x14ac:dyDescent="0.2"/>
    <row r="22751" ht="12.75" x14ac:dyDescent="0.2"/>
    <row r="22752" ht="12.75" x14ac:dyDescent="0.2"/>
    <row r="22753" ht="12.75" x14ac:dyDescent="0.2"/>
    <row r="22754" ht="12.75" x14ac:dyDescent="0.2"/>
    <row r="22755" ht="12.75" x14ac:dyDescent="0.2"/>
    <row r="22756" ht="12.75" x14ac:dyDescent="0.2"/>
    <row r="22757" ht="12.75" x14ac:dyDescent="0.2"/>
    <row r="22758" ht="12.75" x14ac:dyDescent="0.2"/>
    <row r="22759" ht="12.75" x14ac:dyDescent="0.2"/>
    <row r="22760" ht="12.75" x14ac:dyDescent="0.2"/>
    <row r="22761" ht="12.75" x14ac:dyDescent="0.2"/>
    <row r="22762" ht="12.75" x14ac:dyDescent="0.2"/>
    <row r="22763" ht="12.75" x14ac:dyDescent="0.2"/>
    <row r="22764" ht="12.75" x14ac:dyDescent="0.2"/>
    <row r="22765" ht="12.75" x14ac:dyDescent="0.2"/>
    <row r="22766" ht="12.75" x14ac:dyDescent="0.2"/>
    <row r="22767" ht="12.75" x14ac:dyDescent="0.2"/>
    <row r="22768" ht="12.75" x14ac:dyDescent="0.2"/>
    <row r="22769" ht="12.75" x14ac:dyDescent="0.2"/>
    <row r="22770" ht="12.75" x14ac:dyDescent="0.2"/>
    <row r="22771" ht="12.75" x14ac:dyDescent="0.2"/>
    <row r="22772" ht="12.75" x14ac:dyDescent="0.2"/>
    <row r="22773" ht="12.75" x14ac:dyDescent="0.2"/>
    <row r="22774" ht="12.75" x14ac:dyDescent="0.2"/>
    <row r="22775" ht="12.75" x14ac:dyDescent="0.2"/>
    <row r="22776" ht="12.75" x14ac:dyDescent="0.2"/>
    <row r="22777" ht="12.75" x14ac:dyDescent="0.2"/>
    <row r="22778" ht="12.75" x14ac:dyDescent="0.2"/>
    <row r="22779" ht="12.75" x14ac:dyDescent="0.2"/>
    <row r="22780" ht="12.75" x14ac:dyDescent="0.2"/>
    <row r="22781" ht="12.75" x14ac:dyDescent="0.2"/>
    <row r="22782" ht="12.75" x14ac:dyDescent="0.2"/>
    <row r="22783" ht="12.75" x14ac:dyDescent="0.2"/>
    <row r="22784" ht="12.75" x14ac:dyDescent="0.2"/>
    <row r="22785" ht="12.75" x14ac:dyDescent="0.2"/>
    <row r="22786" ht="12.75" x14ac:dyDescent="0.2"/>
    <row r="22787" ht="12.75" x14ac:dyDescent="0.2"/>
    <row r="22788" ht="12.75" x14ac:dyDescent="0.2"/>
    <row r="22789" ht="12.75" x14ac:dyDescent="0.2"/>
    <row r="22790" ht="12.75" x14ac:dyDescent="0.2"/>
    <row r="22791" ht="12.75" x14ac:dyDescent="0.2"/>
    <row r="22792" ht="12.75" x14ac:dyDescent="0.2"/>
    <row r="22793" ht="12.75" x14ac:dyDescent="0.2"/>
    <row r="22794" ht="12.75" x14ac:dyDescent="0.2"/>
    <row r="22795" ht="12.75" x14ac:dyDescent="0.2"/>
    <row r="22796" ht="12.75" x14ac:dyDescent="0.2"/>
    <row r="22797" ht="12.75" x14ac:dyDescent="0.2"/>
    <row r="22798" ht="12.75" x14ac:dyDescent="0.2"/>
    <row r="22799" ht="12.75" x14ac:dyDescent="0.2"/>
    <row r="22800" ht="12.75" x14ac:dyDescent="0.2"/>
    <row r="22801" ht="12.75" x14ac:dyDescent="0.2"/>
    <row r="22802" ht="12.75" x14ac:dyDescent="0.2"/>
    <row r="22803" ht="12.75" x14ac:dyDescent="0.2"/>
    <row r="22804" ht="12.75" x14ac:dyDescent="0.2"/>
    <row r="22805" ht="12.75" x14ac:dyDescent="0.2"/>
    <row r="22806" ht="12.75" x14ac:dyDescent="0.2"/>
    <row r="22807" ht="12.75" x14ac:dyDescent="0.2"/>
    <row r="22808" ht="12.75" x14ac:dyDescent="0.2"/>
    <row r="22809" ht="12.75" x14ac:dyDescent="0.2"/>
    <row r="22810" ht="12.75" x14ac:dyDescent="0.2"/>
    <row r="22811" ht="12.75" x14ac:dyDescent="0.2"/>
    <row r="22812" ht="12.75" x14ac:dyDescent="0.2"/>
    <row r="22813" ht="12.75" x14ac:dyDescent="0.2"/>
    <row r="22814" ht="12.75" x14ac:dyDescent="0.2"/>
    <row r="22815" ht="12.75" x14ac:dyDescent="0.2"/>
    <row r="22816" ht="12.75" x14ac:dyDescent="0.2"/>
    <row r="22817" ht="12.75" x14ac:dyDescent="0.2"/>
    <row r="22818" ht="12.75" x14ac:dyDescent="0.2"/>
    <row r="22819" ht="12.75" x14ac:dyDescent="0.2"/>
    <row r="22820" ht="12.75" x14ac:dyDescent="0.2"/>
    <row r="22821" ht="12.75" x14ac:dyDescent="0.2"/>
    <row r="22822" ht="12.75" x14ac:dyDescent="0.2"/>
    <row r="22823" ht="12.75" x14ac:dyDescent="0.2"/>
    <row r="22824" ht="12.75" x14ac:dyDescent="0.2"/>
    <row r="22825" ht="12.75" x14ac:dyDescent="0.2"/>
    <row r="22826" ht="12.75" x14ac:dyDescent="0.2"/>
    <row r="22827" ht="12.75" x14ac:dyDescent="0.2"/>
    <row r="22828" ht="12.75" x14ac:dyDescent="0.2"/>
    <row r="22829" ht="12.75" x14ac:dyDescent="0.2"/>
    <row r="22830" ht="12.75" x14ac:dyDescent="0.2"/>
    <row r="22831" ht="12.75" x14ac:dyDescent="0.2"/>
    <row r="22832" ht="12.75" x14ac:dyDescent="0.2"/>
    <row r="22833" ht="12.75" x14ac:dyDescent="0.2"/>
    <row r="22834" ht="12.75" x14ac:dyDescent="0.2"/>
    <row r="22835" ht="12.75" x14ac:dyDescent="0.2"/>
    <row r="22836" ht="12.75" x14ac:dyDescent="0.2"/>
    <row r="22837" ht="12.75" x14ac:dyDescent="0.2"/>
    <row r="22838" ht="12.75" x14ac:dyDescent="0.2"/>
    <row r="22839" ht="12.75" x14ac:dyDescent="0.2"/>
    <row r="22840" ht="12.75" x14ac:dyDescent="0.2"/>
    <row r="22841" ht="12.75" x14ac:dyDescent="0.2"/>
    <row r="22842" ht="12.75" x14ac:dyDescent="0.2"/>
    <row r="22843" ht="12.75" x14ac:dyDescent="0.2"/>
    <row r="22844" ht="12.75" x14ac:dyDescent="0.2"/>
    <row r="22845" ht="12.75" x14ac:dyDescent="0.2"/>
    <row r="22846" ht="12.75" x14ac:dyDescent="0.2"/>
    <row r="22847" ht="12.75" x14ac:dyDescent="0.2"/>
    <row r="22848" ht="12.75" x14ac:dyDescent="0.2"/>
    <row r="22849" ht="12.75" x14ac:dyDescent="0.2"/>
    <row r="22850" ht="12.75" x14ac:dyDescent="0.2"/>
    <row r="22851" ht="12.75" x14ac:dyDescent="0.2"/>
    <row r="22852" ht="12.75" x14ac:dyDescent="0.2"/>
    <row r="22853" ht="12.75" x14ac:dyDescent="0.2"/>
    <row r="22854" ht="12.75" x14ac:dyDescent="0.2"/>
    <row r="22855" ht="12.75" x14ac:dyDescent="0.2"/>
    <row r="22856" ht="12.75" x14ac:dyDescent="0.2"/>
    <row r="22857" ht="12.75" x14ac:dyDescent="0.2"/>
    <row r="22858" ht="12.75" x14ac:dyDescent="0.2"/>
    <row r="22859" ht="12.75" x14ac:dyDescent="0.2"/>
    <row r="22860" ht="12.75" x14ac:dyDescent="0.2"/>
    <row r="22861" ht="12.75" x14ac:dyDescent="0.2"/>
    <row r="22862" ht="12.75" x14ac:dyDescent="0.2"/>
    <row r="22863" ht="12.75" x14ac:dyDescent="0.2"/>
    <row r="22864" ht="12.75" x14ac:dyDescent="0.2"/>
    <row r="22865" ht="12.75" x14ac:dyDescent="0.2"/>
    <row r="22866" ht="12.75" x14ac:dyDescent="0.2"/>
    <row r="22867" ht="12.75" x14ac:dyDescent="0.2"/>
    <row r="22868" ht="12.75" x14ac:dyDescent="0.2"/>
    <row r="22869" ht="12.75" x14ac:dyDescent="0.2"/>
    <row r="22870" ht="12.75" x14ac:dyDescent="0.2"/>
    <row r="22871" ht="12.75" x14ac:dyDescent="0.2"/>
    <row r="22872" ht="12.75" x14ac:dyDescent="0.2"/>
    <row r="22873" ht="12.75" x14ac:dyDescent="0.2"/>
    <row r="22874" ht="12.75" x14ac:dyDescent="0.2"/>
    <row r="22875" ht="12.75" x14ac:dyDescent="0.2"/>
    <row r="22876" ht="12.75" x14ac:dyDescent="0.2"/>
    <row r="22877" ht="12.75" x14ac:dyDescent="0.2"/>
    <row r="22878" ht="12.75" x14ac:dyDescent="0.2"/>
    <row r="22879" ht="12.75" x14ac:dyDescent="0.2"/>
    <row r="22880" ht="12.75" x14ac:dyDescent="0.2"/>
    <row r="22881" ht="12.75" x14ac:dyDescent="0.2"/>
    <row r="22882" ht="12.75" x14ac:dyDescent="0.2"/>
    <row r="22883" ht="12.75" x14ac:dyDescent="0.2"/>
    <row r="22884" ht="12.75" x14ac:dyDescent="0.2"/>
    <row r="22885" ht="12.75" x14ac:dyDescent="0.2"/>
    <row r="22886" ht="12.75" x14ac:dyDescent="0.2"/>
    <row r="22887" ht="12.75" x14ac:dyDescent="0.2"/>
    <row r="22888" ht="12.75" x14ac:dyDescent="0.2"/>
    <row r="22889" ht="12.75" x14ac:dyDescent="0.2"/>
    <row r="22890" ht="12.75" x14ac:dyDescent="0.2"/>
    <row r="22891" ht="12.75" x14ac:dyDescent="0.2"/>
    <row r="22892" ht="12.75" x14ac:dyDescent="0.2"/>
    <row r="22893" ht="12.75" x14ac:dyDescent="0.2"/>
    <row r="22894" ht="12.75" x14ac:dyDescent="0.2"/>
    <row r="22895" ht="12.75" x14ac:dyDescent="0.2"/>
    <row r="22896" ht="12.75" x14ac:dyDescent="0.2"/>
    <row r="22897" ht="12.75" x14ac:dyDescent="0.2"/>
    <row r="22898" ht="12.75" x14ac:dyDescent="0.2"/>
    <row r="22899" ht="12.75" x14ac:dyDescent="0.2"/>
    <row r="22900" ht="12.75" x14ac:dyDescent="0.2"/>
    <row r="22901" ht="12.75" x14ac:dyDescent="0.2"/>
    <row r="22902" ht="12.75" x14ac:dyDescent="0.2"/>
    <row r="22903" ht="12.75" x14ac:dyDescent="0.2"/>
    <row r="22904" ht="12.75" x14ac:dyDescent="0.2"/>
    <row r="22905" ht="12.75" x14ac:dyDescent="0.2"/>
    <row r="22906" ht="12.75" x14ac:dyDescent="0.2"/>
    <row r="22907" ht="12.75" x14ac:dyDescent="0.2"/>
    <row r="22908" ht="12.75" x14ac:dyDescent="0.2"/>
    <row r="22909" ht="12.75" x14ac:dyDescent="0.2"/>
    <row r="22910" ht="12.75" x14ac:dyDescent="0.2"/>
    <row r="22911" ht="12.75" x14ac:dyDescent="0.2"/>
    <row r="22912" ht="12.75" x14ac:dyDescent="0.2"/>
    <row r="22913" ht="12.75" x14ac:dyDescent="0.2"/>
    <row r="22914" ht="12.75" x14ac:dyDescent="0.2"/>
    <row r="22915" ht="12.75" x14ac:dyDescent="0.2"/>
    <row r="22916" ht="12.75" x14ac:dyDescent="0.2"/>
    <row r="22917" ht="12.75" x14ac:dyDescent="0.2"/>
    <row r="22918" ht="12.75" x14ac:dyDescent="0.2"/>
    <row r="22919" ht="12.75" x14ac:dyDescent="0.2"/>
    <row r="22920" ht="12.75" x14ac:dyDescent="0.2"/>
    <row r="22921" ht="12.75" x14ac:dyDescent="0.2"/>
    <row r="22922" ht="12.75" x14ac:dyDescent="0.2"/>
    <row r="22923" ht="12.75" x14ac:dyDescent="0.2"/>
    <row r="22924" ht="12.75" x14ac:dyDescent="0.2"/>
    <row r="22925" ht="12.75" x14ac:dyDescent="0.2"/>
    <row r="22926" ht="12.75" x14ac:dyDescent="0.2"/>
    <row r="22927" ht="12.75" x14ac:dyDescent="0.2"/>
    <row r="22928" ht="12.75" x14ac:dyDescent="0.2"/>
    <row r="22929" ht="12.75" x14ac:dyDescent="0.2"/>
    <row r="22930" ht="12.75" x14ac:dyDescent="0.2"/>
    <row r="22931" ht="12.75" x14ac:dyDescent="0.2"/>
    <row r="22932" ht="12.75" x14ac:dyDescent="0.2"/>
    <row r="22933" ht="12.75" x14ac:dyDescent="0.2"/>
    <row r="22934" ht="12.75" x14ac:dyDescent="0.2"/>
    <row r="22935" ht="12.75" x14ac:dyDescent="0.2"/>
    <row r="22936" ht="12.75" x14ac:dyDescent="0.2"/>
    <row r="22937" ht="12.75" x14ac:dyDescent="0.2"/>
    <row r="22938" ht="12.75" x14ac:dyDescent="0.2"/>
    <row r="22939" ht="12.75" x14ac:dyDescent="0.2"/>
    <row r="22940" ht="12.75" x14ac:dyDescent="0.2"/>
    <row r="22941" ht="12.75" x14ac:dyDescent="0.2"/>
    <row r="22942" ht="12.75" x14ac:dyDescent="0.2"/>
    <row r="22943" ht="12.75" x14ac:dyDescent="0.2"/>
    <row r="22944" ht="12.75" x14ac:dyDescent="0.2"/>
    <row r="22945" ht="12.75" x14ac:dyDescent="0.2"/>
    <row r="22946" ht="12.75" x14ac:dyDescent="0.2"/>
    <row r="22947" ht="12.75" x14ac:dyDescent="0.2"/>
    <row r="22948" ht="12.75" x14ac:dyDescent="0.2"/>
    <row r="22949" ht="12.75" x14ac:dyDescent="0.2"/>
    <row r="22950" ht="12.75" x14ac:dyDescent="0.2"/>
    <row r="22951" ht="12.75" x14ac:dyDescent="0.2"/>
    <row r="22952" ht="12.75" x14ac:dyDescent="0.2"/>
    <row r="22953" ht="12.75" x14ac:dyDescent="0.2"/>
    <row r="22954" ht="12.75" x14ac:dyDescent="0.2"/>
    <row r="22955" ht="12.75" x14ac:dyDescent="0.2"/>
    <row r="22956" ht="12.75" x14ac:dyDescent="0.2"/>
    <row r="22957" ht="12.75" x14ac:dyDescent="0.2"/>
    <row r="22958" ht="12.75" x14ac:dyDescent="0.2"/>
    <row r="22959" ht="12.75" x14ac:dyDescent="0.2"/>
    <row r="22960" ht="12.75" x14ac:dyDescent="0.2"/>
    <row r="22961" ht="12.75" x14ac:dyDescent="0.2"/>
    <row r="22962" ht="12.75" x14ac:dyDescent="0.2"/>
    <row r="22963" ht="12.75" x14ac:dyDescent="0.2"/>
    <row r="22964" ht="12.75" x14ac:dyDescent="0.2"/>
    <row r="22965" ht="12.75" x14ac:dyDescent="0.2"/>
    <row r="22966" ht="12.75" x14ac:dyDescent="0.2"/>
    <row r="22967" ht="12.75" x14ac:dyDescent="0.2"/>
    <row r="22968" ht="12.75" x14ac:dyDescent="0.2"/>
    <row r="22969" ht="12.75" x14ac:dyDescent="0.2"/>
    <row r="22970" ht="12.75" x14ac:dyDescent="0.2"/>
    <row r="22971" ht="12.75" x14ac:dyDescent="0.2"/>
    <row r="22972" ht="12.75" x14ac:dyDescent="0.2"/>
    <row r="22973" ht="12.75" x14ac:dyDescent="0.2"/>
    <row r="22974" ht="12.75" x14ac:dyDescent="0.2"/>
    <row r="22975" ht="12.75" x14ac:dyDescent="0.2"/>
    <row r="22976" ht="12.75" x14ac:dyDescent="0.2"/>
    <row r="22977" ht="12.75" x14ac:dyDescent="0.2"/>
    <row r="22978" ht="12.75" x14ac:dyDescent="0.2"/>
    <row r="22979" ht="12.75" x14ac:dyDescent="0.2"/>
    <row r="22980" ht="12.75" x14ac:dyDescent="0.2"/>
    <row r="22981" ht="12.75" x14ac:dyDescent="0.2"/>
    <row r="22982" ht="12.75" x14ac:dyDescent="0.2"/>
    <row r="22983" ht="12.75" x14ac:dyDescent="0.2"/>
    <row r="22984" ht="12.75" x14ac:dyDescent="0.2"/>
    <row r="22985" ht="12.75" x14ac:dyDescent="0.2"/>
    <row r="22986" ht="12.75" x14ac:dyDescent="0.2"/>
    <row r="22987" ht="12.75" x14ac:dyDescent="0.2"/>
    <row r="22988" ht="12.75" x14ac:dyDescent="0.2"/>
    <row r="22989" ht="12.75" x14ac:dyDescent="0.2"/>
    <row r="22990" ht="12.75" x14ac:dyDescent="0.2"/>
    <row r="22991" ht="12.75" x14ac:dyDescent="0.2"/>
    <row r="22992" ht="12.75" x14ac:dyDescent="0.2"/>
    <row r="22993" ht="12.75" x14ac:dyDescent="0.2"/>
    <row r="22994" ht="12.75" x14ac:dyDescent="0.2"/>
    <row r="22995" ht="12.75" x14ac:dyDescent="0.2"/>
    <row r="22996" ht="12.75" x14ac:dyDescent="0.2"/>
    <row r="22997" ht="12.75" x14ac:dyDescent="0.2"/>
    <row r="22998" ht="12.75" x14ac:dyDescent="0.2"/>
    <row r="22999" ht="12.75" x14ac:dyDescent="0.2"/>
    <row r="23000" ht="12.75" x14ac:dyDescent="0.2"/>
    <row r="23001" ht="12.75" x14ac:dyDescent="0.2"/>
    <row r="23002" ht="12.75" x14ac:dyDescent="0.2"/>
    <row r="23003" ht="12.75" x14ac:dyDescent="0.2"/>
    <row r="23004" ht="12.75" x14ac:dyDescent="0.2"/>
    <row r="23005" ht="12.75" x14ac:dyDescent="0.2"/>
    <row r="23006" ht="12.75" x14ac:dyDescent="0.2"/>
    <row r="23007" ht="12.75" x14ac:dyDescent="0.2"/>
    <row r="23008" ht="12.75" x14ac:dyDescent="0.2"/>
    <row r="23009" ht="12.75" x14ac:dyDescent="0.2"/>
    <row r="23010" ht="12.75" x14ac:dyDescent="0.2"/>
    <row r="23011" ht="12.75" x14ac:dyDescent="0.2"/>
    <row r="23012" ht="12.75" x14ac:dyDescent="0.2"/>
    <row r="23013" ht="12.75" x14ac:dyDescent="0.2"/>
    <row r="23014" ht="12.75" x14ac:dyDescent="0.2"/>
    <row r="23015" ht="12.75" x14ac:dyDescent="0.2"/>
    <row r="23016" ht="12.75" x14ac:dyDescent="0.2"/>
    <row r="23017" ht="12.75" x14ac:dyDescent="0.2"/>
    <row r="23018" ht="12.75" x14ac:dyDescent="0.2"/>
    <row r="23019" ht="12.75" x14ac:dyDescent="0.2"/>
    <row r="23020" ht="12.75" x14ac:dyDescent="0.2"/>
    <row r="23021" ht="12.75" x14ac:dyDescent="0.2"/>
    <row r="23022" ht="12.75" x14ac:dyDescent="0.2"/>
    <row r="23023" ht="12.75" x14ac:dyDescent="0.2"/>
    <row r="23024" ht="12.75" x14ac:dyDescent="0.2"/>
    <row r="23025" ht="12.75" x14ac:dyDescent="0.2"/>
    <row r="23026" ht="12.75" x14ac:dyDescent="0.2"/>
    <row r="23027" ht="12.75" x14ac:dyDescent="0.2"/>
    <row r="23028" ht="12.75" x14ac:dyDescent="0.2"/>
    <row r="23029" ht="12.75" x14ac:dyDescent="0.2"/>
    <row r="23030" ht="12.75" x14ac:dyDescent="0.2"/>
    <row r="23031" ht="12.75" x14ac:dyDescent="0.2"/>
    <row r="23032" ht="12.75" x14ac:dyDescent="0.2"/>
    <row r="23033" ht="12.75" x14ac:dyDescent="0.2"/>
    <row r="23034" ht="12.75" x14ac:dyDescent="0.2"/>
    <row r="23035" ht="12.75" x14ac:dyDescent="0.2"/>
    <row r="23036" ht="12.75" x14ac:dyDescent="0.2"/>
    <row r="23037" ht="12.75" x14ac:dyDescent="0.2"/>
    <row r="23038" ht="12.75" x14ac:dyDescent="0.2"/>
    <row r="23039" ht="12.75" x14ac:dyDescent="0.2"/>
    <row r="23040" ht="12.75" x14ac:dyDescent="0.2"/>
    <row r="23041" ht="12.75" x14ac:dyDescent="0.2"/>
    <row r="23042" ht="12.75" x14ac:dyDescent="0.2"/>
    <row r="23043" ht="12.75" x14ac:dyDescent="0.2"/>
    <row r="23044" ht="12.75" x14ac:dyDescent="0.2"/>
    <row r="23045" ht="12.75" x14ac:dyDescent="0.2"/>
    <row r="23046" ht="12.75" x14ac:dyDescent="0.2"/>
    <row r="23047" ht="12.75" x14ac:dyDescent="0.2"/>
    <row r="23048" ht="12.75" x14ac:dyDescent="0.2"/>
    <row r="23049" ht="12.75" x14ac:dyDescent="0.2"/>
    <row r="23050" ht="12.75" x14ac:dyDescent="0.2"/>
    <row r="23051" ht="12.75" x14ac:dyDescent="0.2"/>
    <row r="23052" ht="12.75" x14ac:dyDescent="0.2"/>
    <row r="23053" ht="12.75" x14ac:dyDescent="0.2"/>
    <row r="23054" ht="12.75" x14ac:dyDescent="0.2"/>
    <row r="23055" ht="12.75" x14ac:dyDescent="0.2"/>
    <row r="23056" ht="12.75" x14ac:dyDescent="0.2"/>
    <row r="23057" ht="12.75" x14ac:dyDescent="0.2"/>
    <row r="23058" ht="12.75" x14ac:dyDescent="0.2"/>
    <row r="23059" ht="12.75" x14ac:dyDescent="0.2"/>
    <row r="23060" ht="12.75" x14ac:dyDescent="0.2"/>
    <row r="23061" ht="12.75" x14ac:dyDescent="0.2"/>
    <row r="23062" ht="12.75" x14ac:dyDescent="0.2"/>
    <row r="23063" ht="12.75" x14ac:dyDescent="0.2"/>
    <row r="23064" ht="12.75" x14ac:dyDescent="0.2"/>
    <row r="23065" ht="12.75" x14ac:dyDescent="0.2"/>
    <row r="23066" ht="12.75" x14ac:dyDescent="0.2"/>
    <row r="23067" ht="12.75" x14ac:dyDescent="0.2"/>
    <row r="23068" ht="12.75" x14ac:dyDescent="0.2"/>
    <row r="23069" ht="12.75" x14ac:dyDescent="0.2"/>
    <row r="23070" ht="12.75" x14ac:dyDescent="0.2"/>
    <row r="23071" ht="12.75" x14ac:dyDescent="0.2"/>
    <row r="23072" ht="12.75" x14ac:dyDescent="0.2"/>
    <row r="23073" ht="12.75" x14ac:dyDescent="0.2"/>
    <row r="23074" ht="12.75" x14ac:dyDescent="0.2"/>
    <row r="23075" ht="12.75" x14ac:dyDescent="0.2"/>
    <row r="23076" ht="12.75" x14ac:dyDescent="0.2"/>
    <row r="23077" ht="12.75" x14ac:dyDescent="0.2"/>
    <row r="23078" ht="12.75" x14ac:dyDescent="0.2"/>
    <row r="23079" ht="12.75" x14ac:dyDescent="0.2"/>
    <row r="23080" ht="12.75" x14ac:dyDescent="0.2"/>
    <row r="23081" ht="12.75" x14ac:dyDescent="0.2"/>
    <row r="23082" ht="12.75" x14ac:dyDescent="0.2"/>
    <row r="23083" ht="12.75" x14ac:dyDescent="0.2"/>
    <row r="23084" ht="12.75" x14ac:dyDescent="0.2"/>
    <row r="23085" ht="12.75" x14ac:dyDescent="0.2"/>
    <row r="23086" ht="12.75" x14ac:dyDescent="0.2"/>
    <row r="23087" ht="12.75" x14ac:dyDescent="0.2"/>
    <row r="23088" ht="12.75" x14ac:dyDescent="0.2"/>
    <row r="23089" ht="12.75" x14ac:dyDescent="0.2"/>
    <row r="23090" ht="12.75" x14ac:dyDescent="0.2"/>
    <row r="23091" ht="12.75" x14ac:dyDescent="0.2"/>
    <row r="23092" ht="12.75" x14ac:dyDescent="0.2"/>
    <row r="23093" ht="12.75" x14ac:dyDescent="0.2"/>
    <row r="23094" ht="12.75" x14ac:dyDescent="0.2"/>
    <row r="23095" ht="12.75" x14ac:dyDescent="0.2"/>
    <row r="23096" ht="12.75" x14ac:dyDescent="0.2"/>
    <row r="23097" ht="12.75" x14ac:dyDescent="0.2"/>
    <row r="23098" ht="12.75" x14ac:dyDescent="0.2"/>
    <row r="23099" ht="12.75" x14ac:dyDescent="0.2"/>
    <row r="23100" ht="12.75" x14ac:dyDescent="0.2"/>
    <row r="23101" ht="12.75" x14ac:dyDescent="0.2"/>
    <row r="23102" ht="12.75" x14ac:dyDescent="0.2"/>
    <row r="23103" ht="12.75" x14ac:dyDescent="0.2"/>
    <row r="23104" ht="12.75" x14ac:dyDescent="0.2"/>
    <row r="23105" ht="12.75" x14ac:dyDescent="0.2"/>
    <row r="23106" ht="12.75" x14ac:dyDescent="0.2"/>
    <row r="23107" ht="12.75" x14ac:dyDescent="0.2"/>
    <row r="23108" ht="12.75" x14ac:dyDescent="0.2"/>
    <row r="23109" ht="12.75" x14ac:dyDescent="0.2"/>
    <row r="23110" ht="12.75" x14ac:dyDescent="0.2"/>
    <row r="23111" ht="12.75" x14ac:dyDescent="0.2"/>
    <row r="23112" ht="12.75" x14ac:dyDescent="0.2"/>
    <row r="23113" ht="12.75" x14ac:dyDescent="0.2"/>
    <row r="23114" ht="12.75" x14ac:dyDescent="0.2"/>
    <row r="23115" ht="12.75" x14ac:dyDescent="0.2"/>
    <row r="23116" ht="12.75" x14ac:dyDescent="0.2"/>
    <row r="23117" ht="12.75" x14ac:dyDescent="0.2"/>
    <row r="23118" ht="12.75" x14ac:dyDescent="0.2"/>
    <row r="23119" ht="12.75" x14ac:dyDescent="0.2"/>
    <row r="23120" ht="12.75" x14ac:dyDescent="0.2"/>
    <row r="23121" ht="12.75" x14ac:dyDescent="0.2"/>
    <row r="23122" ht="12.75" x14ac:dyDescent="0.2"/>
    <row r="23123" ht="12.75" x14ac:dyDescent="0.2"/>
    <row r="23124" ht="12.75" x14ac:dyDescent="0.2"/>
    <row r="23125" ht="12.75" x14ac:dyDescent="0.2"/>
    <row r="23126" ht="12.75" x14ac:dyDescent="0.2"/>
    <row r="23127" ht="12.75" x14ac:dyDescent="0.2"/>
    <row r="23128" ht="12.75" x14ac:dyDescent="0.2"/>
    <row r="23129" ht="12.75" x14ac:dyDescent="0.2"/>
    <row r="23130" ht="12.75" x14ac:dyDescent="0.2"/>
    <row r="23131" ht="12.75" x14ac:dyDescent="0.2"/>
    <row r="23132" ht="12.75" x14ac:dyDescent="0.2"/>
    <row r="23133" ht="12.75" x14ac:dyDescent="0.2"/>
    <row r="23134" ht="12.75" x14ac:dyDescent="0.2"/>
    <row r="23135" ht="12.75" x14ac:dyDescent="0.2"/>
    <row r="23136" ht="12.75" x14ac:dyDescent="0.2"/>
    <row r="23137" ht="12.75" x14ac:dyDescent="0.2"/>
    <row r="23138" ht="12.75" x14ac:dyDescent="0.2"/>
    <row r="23139" ht="12.75" x14ac:dyDescent="0.2"/>
    <row r="23140" ht="12.75" x14ac:dyDescent="0.2"/>
    <row r="23141" ht="12.75" x14ac:dyDescent="0.2"/>
    <row r="23142" ht="12.75" x14ac:dyDescent="0.2"/>
    <row r="23143" ht="12.75" x14ac:dyDescent="0.2"/>
    <row r="23144" ht="12.75" x14ac:dyDescent="0.2"/>
    <row r="23145" ht="12.75" x14ac:dyDescent="0.2"/>
    <row r="23146" ht="12.75" x14ac:dyDescent="0.2"/>
    <row r="23147" ht="12.75" x14ac:dyDescent="0.2"/>
    <row r="23148" ht="12.75" x14ac:dyDescent="0.2"/>
    <row r="23149" ht="12.75" x14ac:dyDescent="0.2"/>
    <row r="23150" ht="12.75" x14ac:dyDescent="0.2"/>
    <row r="23151" ht="12.75" x14ac:dyDescent="0.2"/>
    <row r="23152" ht="12.75" x14ac:dyDescent="0.2"/>
    <row r="23153" ht="12.75" x14ac:dyDescent="0.2"/>
    <row r="23154" ht="12.75" x14ac:dyDescent="0.2"/>
    <row r="23155" ht="12.75" x14ac:dyDescent="0.2"/>
    <row r="23156" ht="12.75" x14ac:dyDescent="0.2"/>
    <row r="23157" ht="12.75" x14ac:dyDescent="0.2"/>
    <row r="23158" ht="12.75" x14ac:dyDescent="0.2"/>
    <row r="23159" ht="12.75" x14ac:dyDescent="0.2"/>
    <row r="23160" ht="12.75" x14ac:dyDescent="0.2"/>
    <row r="23161" ht="12.75" x14ac:dyDescent="0.2"/>
    <row r="23162" ht="12.75" x14ac:dyDescent="0.2"/>
    <row r="23163" ht="12.75" x14ac:dyDescent="0.2"/>
    <row r="23164" ht="12.75" x14ac:dyDescent="0.2"/>
    <row r="23165" ht="12.75" x14ac:dyDescent="0.2"/>
    <row r="23166" ht="12.75" x14ac:dyDescent="0.2"/>
    <row r="23167" ht="12.75" x14ac:dyDescent="0.2"/>
    <row r="23168" ht="12.75" x14ac:dyDescent="0.2"/>
    <row r="23169" ht="12.75" x14ac:dyDescent="0.2"/>
    <row r="23170" ht="12.75" x14ac:dyDescent="0.2"/>
    <row r="23171" ht="12.75" x14ac:dyDescent="0.2"/>
    <row r="23172" ht="12.75" x14ac:dyDescent="0.2"/>
    <row r="23173" ht="12.75" x14ac:dyDescent="0.2"/>
    <row r="23174" ht="12.75" x14ac:dyDescent="0.2"/>
    <row r="23175" ht="12.75" x14ac:dyDescent="0.2"/>
    <row r="23176" ht="12.75" x14ac:dyDescent="0.2"/>
    <row r="23177" ht="12.75" x14ac:dyDescent="0.2"/>
    <row r="23178" ht="12.75" x14ac:dyDescent="0.2"/>
    <row r="23179" ht="12.75" x14ac:dyDescent="0.2"/>
    <row r="23180" ht="12.75" x14ac:dyDescent="0.2"/>
    <row r="23181" ht="12.75" x14ac:dyDescent="0.2"/>
    <row r="23182" ht="12.75" x14ac:dyDescent="0.2"/>
    <row r="23183" ht="12.75" x14ac:dyDescent="0.2"/>
    <row r="23184" ht="12.75" x14ac:dyDescent="0.2"/>
    <row r="23185" ht="12.75" x14ac:dyDescent="0.2"/>
    <row r="23186" ht="12.75" x14ac:dyDescent="0.2"/>
    <row r="23187" ht="12.75" x14ac:dyDescent="0.2"/>
    <row r="23188" ht="12.75" x14ac:dyDescent="0.2"/>
    <row r="23189" ht="12.75" x14ac:dyDescent="0.2"/>
    <row r="23190" ht="12.75" x14ac:dyDescent="0.2"/>
    <row r="23191" ht="12.75" x14ac:dyDescent="0.2"/>
    <row r="23192" ht="12.75" x14ac:dyDescent="0.2"/>
    <row r="23193" ht="12.75" x14ac:dyDescent="0.2"/>
    <row r="23194" ht="12.75" x14ac:dyDescent="0.2"/>
    <row r="23195" ht="12.75" x14ac:dyDescent="0.2"/>
    <row r="23196" ht="12.75" x14ac:dyDescent="0.2"/>
    <row r="23197" ht="12.75" x14ac:dyDescent="0.2"/>
    <row r="23198" ht="12.75" x14ac:dyDescent="0.2"/>
    <row r="23199" ht="12.75" x14ac:dyDescent="0.2"/>
    <row r="23200" ht="12.75" x14ac:dyDescent="0.2"/>
    <row r="23201" ht="12.75" x14ac:dyDescent="0.2"/>
    <row r="23202" ht="12.75" x14ac:dyDescent="0.2"/>
    <row r="23203" ht="12.75" x14ac:dyDescent="0.2"/>
    <row r="23204" ht="12.75" x14ac:dyDescent="0.2"/>
    <row r="23205" ht="12.75" x14ac:dyDescent="0.2"/>
    <row r="23206" ht="12.75" x14ac:dyDescent="0.2"/>
    <row r="23207" ht="12.75" x14ac:dyDescent="0.2"/>
    <row r="23208" ht="12.75" x14ac:dyDescent="0.2"/>
    <row r="23209" ht="12.75" x14ac:dyDescent="0.2"/>
    <row r="23210" ht="12.75" x14ac:dyDescent="0.2"/>
    <row r="23211" ht="12.75" x14ac:dyDescent="0.2"/>
    <row r="23212" ht="12.75" x14ac:dyDescent="0.2"/>
    <row r="23213" ht="12.75" x14ac:dyDescent="0.2"/>
    <row r="23214" ht="12.75" x14ac:dyDescent="0.2"/>
    <row r="23215" ht="12.75" x14ac:dyDescent="0.2"/>
    <row r="23216" ht="12.75" x14ac:dyDescent="0.2"/>
    <row r="23217" ht="12.75" x14ac:dyDescent="0.2"/>
    <row r="23218" ht="12.75" x14ac:dyDescent="0.2"/>
    <row r="23219" ht="12.75" x14ac:dyDescent="0.2"/>
    <row r="23220" ht="12.75" x14ac:dyDescent="0.2"/>
    <row r="23221" ht="12.75" x14ac:dyDescent="0.2"/>
    <row r="23222" ht="12.75" x14ac:dyDescent="0.2"/>
    <row r="23223" ht="12.75" x14ac:dyDescent="0.2"/>
    <row r="23224" ht="12.75" x14ac:dyDescent="0.2"/>
    <row r="23225" ht="12.75" x14ac:dyDescent="0.2"/>
    <row r="23226" ht="12.75" x14ac:dyDescent="0.2"/>
    <row r="23227" ht="12.75" x14ac:dyDescent="0.2"/>
    <row r="23228" ht="12.75" x14ac:dyDescent="0.2"/>
    <row r="23229" ht="12.75" x14ac:dyDescent="0.2"/>
    <row r="23230" ht="12.75" x14ac:dyDescent="0.2"/>
    <row r="23231" ht="12.75" x14ac:dyDescent="0.2"/>
    <row r="23232" ht="12.75" x14ac:dyDescent="0.2"/>
    <row r="23233" ht="12.75" x14ac:dyDescent="0.2"/>
    <row r="23234" ht="12.75" x14ac:dyDescent="0.2"/>
    <row r="23235" ht="12.75" x14ac:dyDescent="0.2"/>
    <row r="23236" ht="12.75" x14ac:dyDescent="0.2"/>
    <row r="23237" ht="12.75" x14ac:dyDescent="0.2"/>
    <row r="23238" ht="12.75" x14ac:dyDescent="0.2"/>
    <row r="23239" ht="12.75" x14ac:dyDescent="0.2"/>
    <row r="23240" ht="12.75" x14ac:dyDescent="0.2"/>
    <row r="23241" ht="12.75" x14ac:dyDescent="0.2"/>
    <row r="23242" ht="12.75" x14ac:dyDescent="0.2"/>
    <row r="23243" ht="12.75" x14ac:dyDescent="0.2"/>
    <row r="23244" ht="12.75" x14ac:dyDescent="0.2"/>
    <row r="23245" ht="12.75" x14ac:dyDescent="0.2"/>
    <row r="23246" ht="12.75" x14ac:dyDescent="0.2"/>
    <row r="23247" ht="12.75" x14ac:dyDescent="0.2"/>
    <row r="23248" ht="12.75" x14ac:dyDescent="0.2"/>
    <row r="23249" ht="12.75" x14ac:dyDescent="0.2"/>
    <row r="23250" ht="12.75" x14ac:dyDescent="0.2"/>
    <row r="23251" ht="12.75" x14ac:dyDescent="0.2"/>
    <row r="23252" ht="12.75" x14ac:dyDescent="0.2"/>
    <row r="23253" ht="12.75" x14ac:dyDescent="0.2"/>
    <row r="23254" ht="12.75" x14ac:dyDescent="0.2"/>
    <row r="23255" ht="12.75" x14ac:dyDescent="0.2"/>
    <row r="23256" ht="12.75" x14ac:dyDescent="0.2"/>
    <row r="23257" ht="12.75" x14ac:dyDescent="0.2"/>
    <row r="23258" ht="12.75" x14ac:dyDescent="0.2"/>
    <row r="23259" ht="12.75" x14ac:dyDescent="0.2"/>
    <row r="23260" ht="12.75" x14ac:dyDescent="0.2"/>
    <row r="23261" ht="12.75" x14ac:dyDescent="0.2"/>
    <row r="23262" ht="12.75" x14ac:dyDescent="0.2"/>
    <row r="23263" ht="12.75" x14ac:dyDescent="0.2"/>
    <row r="23264" ht="12.75" x14ac:dyDescent="0.2"/>
    <row r="23265" ht="12.75" x14ac:dyDescent="0.2"/>
    <row r="23266" ht="12.75" x14ac:dyDescent="0.2"/>
    <row r="23267" ht="12.75" x14ac:dyDescent="0.2"/>
    <row r="23268" ht="12.75" x14ac:dyDescent="0.2"/>
    <row r="23269" ht="12.75" x14ac:dyDescent="0.2"/>
    <row r="23270" ht="12.75" x14ac:dyDescent="0.2"/>
    <row r="23271" ht="12.75" x14ac:dyDescent="0.2"/>
    <row r="23272" ht="12.75" x14ac:dyDescent="0.2"/>
    <row r="23273" ht="12.75" x14ac:dyDescent="0.2"/>
    <row r="23274" ht="12.75" x14ac:dyDescent="0.2"/>
    <row r="23275" ht="12.75" x14ac:dyDescent="0.2"/>
    <row r="23276" ht="12.75" x14ac:dyDescent="0.2"/>
    <row r="23277" ht="12.75" x14ac:dyDescent="0.2"/>
    <row r="23278" ht="12.75" x14ac:dyDescent="0.2"/>
    <row r="23279" ht="12.75" x14ac:dyDescent="0.2"/>
    <row r="23280" ht="12.75" x14ac:dyDescent="0.2"/>
    <row r="23281" ht="12.75" x14ac:dyDescent="0.2"/>
    <row r="23282" ht="12.75" x14ac:dyDescent="0.2"/>
    <row r="23283" ht="12.75" x14ac:dyDescent="0.2"/>
    <row r="23284" ht="12.75" x14ac:dyDescent="0.2"/>
    <row r="23285" ht="12.75" x14ac:dyDescent="0.2"/>
    <row r="23286" ht="12.75" x14ac:dyDescent="0.2"/>
    <row r="23287" ht="12.75" x14ac:dyDescent="0.2"/>
    <row r="23288" ht="12.75" x14ac:dyDescent="0.2"/>
    <row r="23289" ht="12.75" x14ac:dyDescent="0.2"/>
    <row r="23290" ht="12.75" x14ac:dyDescent="0.2"/>
    <row r="23291" ht="12.75" x14ac:dyDescent="0.2"/>
    <row r="23292" ht="12.75" x14ac:dyDescent="0.2"/>
    <row r="23293" ht="12.75" x14ac:dyDescent="0.2"/>
    <row r="23294" ht="12.75" x14ac:dyDescent="0.2"/>
    <row r="23295" ht="12.75" x14ac:dyDescent="0.2"/>
    <row r="23296" ht="12.75" x14ac:dyDescent="0.2"/>
    <row r="23297" ht="12.75" x14ac:dyDescent="0.2"/>
    <row r="23298" ht="12.75" x14ac:dyDescent="0.2"/>
    <row r="23299" ht="12.75" x14ac:dyDescent="0.2"/>
    <row r="23300" ht="12.75" x14ac:dyDescent="0.2"/>
    <row r="23301" ht="12.75" x14ac:dyDescent="0.2"/>
    <row r="23302" ht="12.75" x14ac:dyDescent="0.2"/>
    <row r="23303" ht="12.75" x14ac:dyDescent="0.2"/>
    <row r="23304" ht="12.75" x14ac:dyDescent="0.2"/>
    <row r="23305" ht="12.75" x14ac:dyDescent="0.2"/>
    <row r="23306" ht="12.75" x14ac:dyDescent="0.2"/>
    <row r="23307" ht="12.75" x14ac:dyDescent="0.2"/>
    <row r="23308" ht="12.75" x14ac:dyDescent="0.2"/>
    <row r="23309" ht="12.75" x14ac:dyDescent="0.2"/>
    <row r="23310" ht="12.75" x14ac:dyDescent="0.2"/>
    <row r="23311" ht="12.75" x14ac:dyDescent="0.2"/>
    <row r="23312" ht="12.75" x14ac:dyDescent="0.2"/>
    <row r="23313" ht="12.75" x14ac:dyDescent="0.2"/>
    <row r="23314" ht="12.75" x14ac:dyDescent="0.2"/>
    <row r="23315" ht="12.75" x14ac:dyDescent="0.2"/>
    <row r="23316" ht="12.75" x14ac:dyDescent="0.2"/>
    <row r="23317" ht="12.75" x14ac:dyDescent="0.2"/>
    <row r="23318" ht="12.75" x14ac:dyDescent="0.2"/>
    <row r="23319" ht="12.75" x14ac:dyDescent="0.2"/>
    <row r="23320" ht="12.75" x14ac:dyDescent="0.2"/>
    <row r="23321" ht="12.75" x14ac:dyDescent="0.2"/>
    <row r="23322" ht="12.75" x14ac:dyDescent="0.2"/>
    <row r="23323" ht="12.75" x14ac:dyDescent="0.2"/>
    <row r="23324" ht="12.75" x14ac:dyDescent="0.2"/>
    <row r="23325" ht="12.75" x14ac:dyDescent="0.2"/>
    <row r="23326" ht="12.75" x14ac:dyDescent="0.2"/>
    <row r="23327" ht="12.75" x14ac:dyDescent="0.2"/>
    <row r="23328" ht="12.75" x14ac:dyDescent="0.2"/>
    <row r="23329" ht="12.75" x14ac:dyDescent="0.2"/>
    <row r="23330" ht="12.75" x14ac:dyDescent="0.2"/>
    <row r="23331" ht="12.75" x14ac:dyDescent="0.2"/>
    <row r="23332" ht="12.75" x14ac:dyDescent="0.2"/>
    <row r="23333" ht="12.75" x14ac:dyDescent="0.2"/>
    <row r="23334" ht="12.75" x14ac:dyDescent="0.2"/>
    <row r="23335" ht="12.75" x14ac:dyDescent="0.2"/>
    <row r="23336" ht="12.75" x14ac:dyDescent="0.2"/>
    <row r="23337" ht="12.75" x14ac:dyDescent="0.2"/>
    <row r="23338" ht="12.75" x14ac:dyDescent="0.2"/>
    <row r="23339" ht="12.75" x14ac:dyDescent="0.2"/>
    <row r="23340" ht="12.75" x14ac:dyDescent="0.2"/>
    <row r="23341" ht="12.75" x14ac:dyDescent="0.2"/>
    <row r="23342" ht="12.75" x14ac:dyDescent="0.2"/>
    <row r="23343" ht="12.75" x14ac:dyDescent="0.2"/>
    <row r="23344" ht="12.75" x14ac:dyDescent="0.2"/>
    <row r="23345" ht="12.75" x14ac:dyDescent="0.2"/>
    <row r="23346" ht="12.75" x14ac:dyDescent="0.2"/>
    <row r="23347" ht="12.75" x14ac:dyDescent="0.2"/>
    <row r="23348" ht="12.75" x14ac:dyDescent="0.2"/>
    <row r="23349" ht="12.75" x14ac:dyDescent="0.2"/>
    <row r="23350" ht="12.75" x14ac:dyDescent="0.2"/>
    <row r="23351" ht="12.75" x14ac:dyDescent="0.2"/>
    <row r="23352" ht="12.75" x14ac:dyDescent="0.2"/>
    <row r="23353" ht="12.75" x14ac:dyDescent="0.2"/>
    <row r="23354" ht="12.75" x14ac:dyDescent="0.2"/>
    <row r="23355" ht="12.75" x14ac:dyDescent="0.2"/>
    <row r="23356" ht="12.75" x14ac:dyDescent="0.2"/>
    <row r="23357" ht="12.75" x14ac:dyDescent="0.2"/>
    <row r="23358" ht="12.75" x14ac:dyDescent="0.2"/>
    <row r="23359" ht="12.75" x14ac:dyDescent="0.2"/>
    <row r="23360" ht="12.75" x14ac:dyDescent="0.2"/>
    <row r="23361" ht="12.75" x14ac:dyDescent="0.2"/>
    <row r="23362" ht="12.75" x14ac:dyDescent="0.2"/>
    <row r="23363" ht="12.75" x14ac:dyDescent="0.2"/>
    <row r="23364" ht="12.75" x14ac:dyDescent="0.2"/>
    <row r="23365" ht="12.75" x14ac:dyDescent="0.2"/>
    <row r="23366" ht="12.75" x14ac:dyDescent="0.2"/>
    <row r="23367" ht="12.75" x14ac:dyDescent="0.2"/>
    <row r="23368" ht="12.75" x14ac:dyDescent="0.2"/>
    <row r="23369" ht="12.75" x14ac:dyDescent="0.2"/>
    <row r="23370" ht="12.75" x14ac:dyDescent="0.2"/>
    <row r="23371" ht="12.75" x14ac:dyDescent="0.2"/>
    <row r="23372" ht="12.75" x14ac:dyDescent="0.2"/>
    <row r="23373" ht="12.75" x14ac:dyDescent="0.2"/>
    <row r="23374" ht="12.75" x14ac:dyDescent="0.2"/>
    <row r="23375" ht="12.75" x14ac:dyDescent="0.2"/>
    <row r="23376" ht="12.75" x14ac:dyDescent="0.2"/>
    <row r="23377" ht="12.75" x14ac:dyDescent="0.2"/>
    <row r="23378" ht="12.75" x14ac:dyDescent="0.2"/>
    <row r="23379" ht="12.75" x14ac:dyDescent="0.2"/>
    <row r="23380" ht="12.75" x14ac:dyDescent="0.2"/>
    <row r="23381" ht="12.75" x14ac:dyDescent="0.2"/>
    <row r="23382" ht="12.75" x14ac:dyDescent="0.2"/>
    <row r="23383" ht="12.75" x14ac:dyDescent="0.2"/>
    <row r="23384" ht="12.75" x14ac:dyDescent="0.2"/>
    <row r="23385" ht="12.75" x14ac:dyDescent="0.2"/>
    <row r="23386" ht="12.75" x14ac:dyDescent="0.2"/>
    <row r="23387" ht="12.75" x14ac:dyDescent="0.2"/>
    <row r="23388" ht="12.75" x14ac:dyDescent="0.2"/>
    <row r="23389" ht="12.75" x14ac:dyDescent="0.2"/>
    <row r="23390" ht="12.75" x14ac:dyDescent="0.2"/>
    <row r="23391" ht="12.75" x14ac:dyDescent="0.2"/>
    <row r="23392" ht="12.75" x14ac:dyDescent="0.2"/>
    <row r="23393" ht="12.75" x14ac:dyDescent="0.2"/>
    <row r="23394" ht="12.75" x14ac:dyDescent="0.2"/>
    <row r="23395" ht="12.75" x14ac:dyDescent="0.2"/>
    <row r="23396" ht="12.75" x14ac:dyDescent="0.2"/>
    <row r="23397" ht="12.75" x14ac:dyDescent="0.2"/>
    <row r="23398" ht="12.75" x14ac:dyDescent="0.2"/>
    <row r="23399" ht="12.75" x14ac:dyDescent="0.2"/>
    <row r="23400" ht="12.75" x14ac:dyDescent="0.2"/>
    <row r="23401" ht="12.75" x14ac:dyDescent="0.2"/>
    <row r="23402" ht="12.75" x14ac:dyDescent="0.2"/>
    <row r="23403" ht="12.75" x14ac:dyDescent="0.2"/>
    <row r="23404" ht="12.75" x14ac:dyDescent="0.2"/>
    <row r="23405" ht="12.75" x14ac:dyDescent="0.2"/>
    <row r="23406" ht="12.75" x14ac:dyDescent="0.2"/>
    <row r="23407" ht="12.75" x14ac:dyDescent="0.2"/>
    <row r="23408" ht="12.75" x14ac:dyDescent="0.2"/>
    <row r="23409" ht="12.75" x14ac:dyDescent="0.2"/>
    <row r="23410" ht="12.75" x14ac:dyDescent="0.2"/>
    <row r="23411" ht="12.75" x14ac:dyDescent="0.2"/>
    <row r="23412" ht="12.75" x14ac:dyDescent="0.2"/>
    <row r="23413" ht="12.75" x14ac:dyDescent="0.2"/>
    <row r="23414" ht="12.75" x14ac:dyDescent="0.2"/>
    <row r="23415" ht="12.75" x14ac:dyDescent="0.2"/>
    <row r="23416" ht="12.75" x14ac:dyDescent="0.2"/>
    <row r="23417" ht="12.75" x14ac:dyDescent="0.2"/>
    <row r="23418" ht="12.75" x14ac:dyDescent="0.2"/>
    <row r="23419" ht="12.75" x14ac:dyDescent="0.2"/>
    <row r="23420" ht="12.75" x14ac:dyDescent="0.2"/>
    <row r="23421" ht="12.75" x14ac:dyDescent="0.2"/>
    <row r="23422" ht="12.75" x14ac:dyDescent="0.2"/>
    <row r="23423" ht="12.75" x14ac:dyDescent="0.2"/>
    <row r="23424" ht="12.75" x14ac:dyDescent="0.2"/>
    <row r="23425" ht="12.75" x14ac:dyDescent="0.2"/>
    <row r="23426" ht="12.75" x14ac:dyDescent="0.2"/>
    <row r="23427" ht="12.75" x14ac:dyDescent="0.2"/>
    <row r="23428" ht="12.75" x14ac:dyDescent="0.2"/>
    <row r="23429" ht="12.75" x14ac:dyDescent="0.2"/>
    <row r="23430" ht="12.75" x14ac:dyDescent="0.2"/>
    <row r="23431" ht="12.75" x14ac:dyDescent="0.2"/>
    <row r="23432" ht="12.75" x14ac:dyDescent="0.2"/>
    <row r="23433" ht="12.75" x14ac:dyDescent="0.2"/>
    <row r="23434" ht="12.75" x14ac:dyDescent="0.2"/>
    <row r="23435" ht="12.75" x14ac:dyDescent="0.2"/>
    <row r="23436" ht="12.75" x14ac:dyDescent="0.2"/>
    <row r="23437" ht="12.75" x14ac:dyDescent="0.2"/>
    <row r="23438" ht="12.75" x14ac:dyDescent="0.2"/>
    <row r="23439" ht="12.75" x14ac:dyDescent="0.2"/>
    <row r="23440" ht="12.75" x14ac:dyDescent="0.2"/>
    <row r="23441" ht="12.75" x14ac:dyDescent="0.2"/>
    <row r="23442" ht="12.75" x14ac:dyDescent="0.2"/>
    <row r="23443" ht="12.75" x14ac:dyDescent="0.2"/>
    <row r="23444" ht="12.75" x14ac:dyDescent="0.2"/>
    <row r="23445" ht="12.75" x14ac:dyDescent="0.2"/>
    <row r="23446" ht="12.75" x14ac:dyDescent="0.2"/>
    <row r="23447" ht="12.75" x14ac:dyDescent="0.2"/>
    <row r="23448" ht="12.75" x14ac:dyDescent="0.2"/>
    <row r="23449" ht="12.75" x14ac:dyDescent="0.2"/>
    <row r="23450" ht="12.75" x14ac:dyDescent="0.2"/>
    <row r="23451" ht="12.75" x14ac:dyDescent="0.2"/>
    <row r="23452" ht="12.75" x14ac:dyDescent="0.2"/>
    <row r="23453" ht="12.75" x14ac:dyDescent="0.2"/>
    <row r="23454" ht="12.75" x14ac:dyDescent="0.2"/>
    <row r="23455" ht="12.75" x14ac:dyDescent="0.2"/>
    <row r="23456" ht="12.75" x14ac:dyDescent="0.2"/>
    <row r="23457" ht="12.75" x14ac:dyDescent="0.2"/>
    <row r="23458" ht="12.75" x14ac:dyDescent="0.2"/>
    <row r="23459" ht="12.75" x14ac:dyDescent="0.2"/>
    <row r="23460" ht="12.75" x14ac:dyDescent="0.2"/>
    <row r="23461" ht="12.75" x14ac:dyDescent="0.2"/>
    <row r="23462" ht="12.75" x14ac:dyDescent="0.2"/>
    <row r="23463" ht="12.75" x14ac:dyDescent="0.2"/>
    <row r="23464" ht="12.75" x14ac:dyDescent="0.2"/>
    <row r="23465" ht="12.75" x14ac:dyDescent="0.2"/>
    <row r="23466" ht="12.75" x14ac:dyDescent="0.2"/>
    <row r="23467" ht="12.75" x14ac:dyDescent="0.2"/>
    <row r="23468" ht="12.75" x14ac:dyDescent="0.2"/>
    <row r="23469" ht="12.75" x14ac:dyDescent="0.2"/>
    <row r="23470" ht="12.75" x14ac:dyDescent="0.2"/>
    <row r="23471" ht="12.75" x14ac:dyDescent="0.2"/>
    <row r="23472" ht="12.75" x14ac:dyDescent="0.2"/>
    <row r="23473" ht="12.75" x14ac:dyDescent="0.2"/>
    <row r="23474" ht="12.75" x14ac:dyDescent="0.2"/>
    <row r="23475" ht="12.75" x14ac:dyDescent="0.2"/>
    <row r="23476" ht="12.75" x14ac:dyDescent="0.2"/>
    <row r="23477" ht="12.75" x14ac:dyDescent="0.2"/>
    <row r="23478" ht="12.75" x14ac:dyDescent="0.2"/>
    <row r="23479" ht="12.75" x14ac:dyDescent="0.2"/>
    <row r="23480" ht="12.75" x14ac:dyDescent="0.2"/>
    <row r="23481" ht="12.75" x14ac:dyDescent="0.2"/>
    <row r="23482" ht="12.75" x14ac:dyDescent="0.2"/>
    <row r="23483" ht="12.75" x14ac:dyDescent="0.2"/>
    <row r="23484" ht="12.75" x14ac:dyDescent="0.2"/>
    <row r="23485" ht="12.75" x14ac:dyDescent="0.2"/>
    <row r="23486" ht="12.75" x14ac:dyDescent="0.2"/>
    <row r="23487" ht="12.75" x14ac:dyDescent="0.2"/>
    <row r="23488" ht="12.75" x14ac:dyDescent="0.2"/>
    <row r="23489" ht="12.75" x14ac:dyDescent="0.2"/>
    <row r="23490" ht="12.75" x14ac:dyDescent="0.2"/>
    <row r="23491" ht="12.75" x14ac:dyDescent="0.2"/>
    <row r="23492" ht="12.75" x14ac:dyDescent="0.2"/>
    <row r="23493" ht="12.75" x14ac:dyDescent="0.2"/>
    <row r="23494" ht="12.75" x14ac:dyDescent="0.2"/>
    <row r="23495" ht="12.75" x14ac:dyDescent="0.2"/>
    <row r="23496" ht="12.75" x14ac:dyDescent="0.2"/>
    <row r="23497" ht="12.75" x14ac:dyDescent="0.2"/>
    <row r="23498" ht="12.75" x14ac:dyDescent="0.2"/>
    <row r="23499" ht="12.75" x14ac:dyDescent="0.2"/>
    <row r="23500" ht="12.75" x14ac:dyDescent="0.2"/>
    <row r="23501" ht="12.75" x14ac:dyDescent="0.2"/>
    <row r="23502" ht="12.75" x14ac:dyDescent="0.2"/>
    <row r="23503" ht="12.75" x14ac:dyDescent="0.2"/>
    <row r="23504" ht="12.75" x14ac:dyDescent="0.2"/>
    <row r="23505" ht="12.75" x14ac:dyDescent="0.2"/>
    <row r="23506" ht="12.75" x14ac:dyDescent="0.2"/>
    <row r="23507" ht="12.75" x14ac:dyDescent="0.2"/>
    <row r="23508" ht="12.75" x14ac:dyDescent="0.2"/>
    <row r="23509" ht="12.75" x14ac:dyDescent="0.2"/>
    <row r="23510" ht="12.75" x14ac:dyDescent="0.2"/>
    <row r="23511" ht="12.75" x14ac:dyDescent="0.2"/>
    <row r="23512" ht="12.75" x14ac:dyDescent="0.2"/>
    <row r="23513" ht="12.75" x14ac:dyDescent="0.2"/>
    <row r="23514" ht="12.75" x14ac:dyDescent="0.2"/>
    <row r="23515" ht="12.75" x14ac:dyDescent="0.2"/>
    <row r="23516" ht="12.75" x14ac:dyDescent="0.2"/>
    <row r="23517" ht="12.75" x14ac:dyDescent="0.2"/>
    <row r="23518" ht="12.75" x14ac:dyDescent="0.2"/>
    <row r="23519" ht="12.75" x14ac:dyDescent="0.2"/>
    <row r="23520" ht="12.75" x14ac:dyDescent="0.2"/>
    <row r="23521" ht="12.75" x14ac:dyDescent="0.2"/>
    <row r="23522" ht="12.75" x14ac:dyDescent="0.2"/>
    <row r="23523" ht="12.75" x14ac:dyDescent="0.2"/>
    <row r="23524" ht="12.75" x14ac:dyDescent="0.2"/>
    <row r="23525" ht="12.75" x14ac:dyDescent="0.2"/>
    <row r="23526" ht="12.75" x14ac:dyDescent="0.2"/>
    <row r="23527" ht="12.75" x14ac:dyDescent="0.2"/>
    <row r="23528" ht="12.75" x14ac:dyDescent="0.2"/>
    <row r="23529" ht="12.75" x14ac:dyDescent="0.2"/>
    <row r="23530" ht="12.75" x14ac:dyDescent="0.2"/>
    <row r="23531" ht="12.75" x14ac:dyDescent="0.2"/>
    <row r="23532" ht="12.75" x14ac:dyDescent="0.2"/>
    <row r="23533" ht="12.75" x14ac:dyDescent="0.2"/>
    <row r="23534" ht="12.75" x14ac:dyDescent="0.2"/>
    <row r="23535" ht="12.75" x14ac:dyDescent="0.2"/>
    <row r="23536" ht="12.75" x14ac:dyDescent="0.2"/>
    <row r="23537" ht="12.75" x14ac:dyDescent="0.2"/>
    <row r="23538" ht="12.75" x14ac:dyDescent="0.2"/>
    <row r="23539" ht="12.75" x14ac:dyDescent="0.2"/>
    <row r="23540" ht="12.75" x14ac:dyDescent="0.2"/>
    <row r="23541" ht="12.75" x14ac:dyDescent="0.2"/>
    <row r="23542" ht="12.75" x14ac:dyDescent="0.2"/>
    <row r="23543" ht="12.75" x14ac:dyDescent="0.2"/>
    <row r="23544" ht="12.75" x14ac:dyDescent="0.2"/>
    <row r="23545" ht="12.75" x14ac:dyDescent="0.2"/>
    <row r="23546" ht="12.75" x14ac:dyDescent="0.2"/>
    <row r="23547" ht="12.75" x14ac:dyDescent="0.2"/>
    <row r="23548" ht="12.75" x14ac:dyDescent="0.2"/>
    <row r="23549" ht="12.75" x14ac:dyDescent="0.2"/>
    <row r="23550" ht="12.75" x14ac:dyDescent="0.2"/>
    <row r="23551" ht="12.75" x14ac:dyDescent="0.2"/>
    <row r="23552" ht="12.75" x14ac:dyDescent="0.2"/>
    <row r="23553" ht="12.75" x14ac:dyDescent="0.2"/>
    <row r="23554" ht="12.75" x14ac:dyDescent="0.2"/>
    <row r="23555" ht="12.75" x14ac:dyDescent="0.2"/>
    <row r="23556" ht="12.75" x14ac:dyDescent="0.2"/>
    <row r="23557" ht="12.75" x14ac:dyDescent="0.2"/>
    <row r="23558" ht="12.75" x14ac:dyDescent="0.2"/>
    <row r="23559" ht="12.75" x14ac:dyDescent="0.2"/>
    <row r="23560" ht="12.75" x14ac:dyDescent="0.2"/>
    <row r="23561" ht="12.75" x14ac:dyDescent="0.2"/>
    <row r="23562" ht="12.75" x14ac:dyDescent="0.2"/>
    <row r="23563" ht="12.75" x14ac:dyDescent="0.2"/>
    <row r="23564" ht="12.75" x14ac:dyDescent="0.2"/>
    <row r="23565" ht="12.75" x14ac:dyDescent="0.2"/>
    <row r="23566" ht="12.75" x14ac:dyDescent="0.2"/>
    <row r="23567" ht="12.75" x14ac:dyDescent="0.2"/>
    <row r="23568" ht="12.75" x14ac:dyDescent="0.2"/>
    <row r="23569" ht="12.75" x14ac:dyDescent="0.2"/>
    <row r="23570" ht="12.75" x14ac:dyDescent="0.2"/>
    <row r="23571" ht="12.75" x14ac:dyDescent="0.2"/>
    <row r="23572" ht="12.75" x14ac:dyDescent="0.2"/>
    <row r="23573" ht="12.75" x14ac:dyDescent="0.2"/>
    <row r="23574" ht="12.75" x14ac:dyDescent="0.2"/>
    <row r="23575" ht="12.75" x14ac:dyDescent="0.2"/>
    <row r="23576" ht="12.75" x14ac:dyDescent="0.2"/>
    <row r="23577" ht="12.75" x14ac:dyDescent="0.2"/>
    <row r="23578" ht="12.75" x14ac:dyDescent="0.2"/>
    <row r="23579" ht="12.75" x14ac:dyDescent="0.2"/>
    <row r="23580" ht="12.75" x14ac:dyDescent="0.2"/>
    <row r="23581" ht="12.75" x14ac:dyDescent="0.2"/>
    <row r="23582" ht="12.75" x14ac:dyDescent="0.2"/>
    <row r="23583" ht="12.75" x14ac:dyDescent="0.2"/>
    <row r="23584" ht="12.75" x14ac:dyDescent="0.2"/>
    <row r="23585" ht="12.75" x14ac:dyDescent="0.2"/>
    <row r="23586" ht="12.75" x14ac:dyDescent="0.2"/>
    <row r="23587" ht="12.75" x14ac:dyDescent="0.2"/>
    <row r="23588" ht="12.75" x14ac:dyDescent="0.2"/>
    <row r="23589" ht="12.75" x14ac:dyDescent="0.2"/>
    <row r="23590" ht="12.75" x14ac:dyDescent="0.2"/>
    <row r="23591" ht="12.75" x14ac:dyDescent="0.2"/>
    <row r="23592" ht="12.75" x14ac:dyDescent="0.2"/>
    <row r="23593" ht="12.75" x14ac:dyDescent="0.2"/>
    <row r="23594" ht="12.75" x14ac:dyDescent="0.2"/>
    <row r="23595" ht="12.75" x14ac:dyDescent="0.2"/>
    <row r="23596" ht="12.75" x14ac:dyDescent="0.2"/>
    <row r="23597" ht="12.75" x14ac:dyDescent="0.2"/>
    <row r="23598" ht="12.75" x14ac:dyDescent="0.2"/>
    <row r="23599" ht="12.75" x14ac:dyDescent="0.2"/>
    <row r="23600" ht="12.75" x14ac:dyDescent="0.2"/>
    <row r="23601" ht="12.75" x14ac:dyDescent="0.2"/>
    <row r="23602" ht="12.75" x14ac:dyDescent="0.2"/>
    <row r="23603" ht="12.75" x14ac:dyDescent="0.2"/>
    <row r="23604" ht="12.75" x14ac:dyDescent="0.2"/>
    <row r="23605" ht="12.75" x14ac:dyDescent="0.2"/>
    <row r="23606" ht="12.75" x14ac:dyDescent="0.2"/>
    <row r="23607" ht="12.75" x14ac:dyDescent="0.2"/>
    <row r="23608" ht="12.75" x14ac:dyDescent="0.2"/>
    <row r="23609" ht="12.75" x14ac:dyDescent="0.2"/>
    <row r="23610" ht="12.75" x14ac:dyDescent="0.2"/>
    <row r="23611" ht="12.75" x14ac:dyDescent="0.2"/>
    <row r="23612" ht="12.75" x14ac:dyDescent="0.2"/>
    <row r="23613" ht="12.75" x14ac:dyDescent="0.2"/>
    <row r="23614" ht="12.75" x14ac:dyDescent="0.2"/>
    <row r="23615" ht="12.75" x14ac:dyDescent="0.2"/>
    <row r="23616" ht="12.75" x14ac:dyDescent="0.2"/>
    <row r="23617" ht="12.75" x14ac:dyDescent="0.2"/>
    <row r="23618" ht="12.75" x14ac:dyDescent="0.2"/>
    <row r="23619" ht="12.75" x14ac:dyDescent="0.2"/>
    <row r="23620" ht="12.75" x14ac:dyDescent="0.2"/>
    <row r="23621" ht="12.75" x14ac:dyDescent="0.2"/>
    <row r="23622" ht="12.75" x14ac:dyDescent="0.2"/>
    <row r="23623" ht="12.75" x14ac:dyDescent="0.2"/>
    <row r="23624" ht="12.75" x14ac:dyDescent="0.2"/>
    <row r="23625" ht="12.75" x14ac:dyDescent="0.2"/>
    <row r="23626" ht="12.75" x14ac:dyDescent="0.2"/>
    <row r="23627" ht="12.75" x14ac:dyDescent="0.2"/>
    <row r="23628" ht="12.75" x14ac:dyDescent="0.2"/>
    <row r="23629" ht="12.75" x14ac:dyDescent="0.2"/>
    <row r="23630" ht="12.75" x14ac:dyDescent="0.2"/>
    <row r="23631" ht="12.75" x14ac:dyDescent="0.2"/>
    <row r="23632" ht="12.75" x14ac:dyDescent="0.2"/>
    <row r="23633" ht="12.75" x14ac:dyDescent="0.2"/>
    <row r="23634" ht="12.75" x14ac:dyDescent="0.2"/>
    <row r="23635" ht="12.75" x14ac:dyDescent="0.2"/>
    <row r="23636" ht="12.75" x14ac:dyDescent="0.2"/>
    <row r="23637" ht="12.75" x14ac:dyDescent="0.2"/>
    <row r="23638" ht="12.75" x14ac:dyDescent="0.2"/>
    <row r="23639" ht="12.75" x14ac:dyDescent="0.2"/>
    <row r="23640" ht="12.75" x14ac:dyDescent="0.2"/>
    <row r="23641" ht="12.75" x14ac:dyDescent="0.2"/>
    <row r="23642" ht="12.75" x14ac:dyDescent="0.2"/>
    <row r="23643" ht="12.75" x14ac:dyDescent="0.2"/>
    <row r="23644" ht="12.75" x14ac:dyDescent="0.2"/>
    <row r="23645" ht="12.75" x14ac:dyDescent="0.2"/>
    <row r="23646" ht="12.75" x14ac:dyDescent="0.2"/>
    <row r="23647" ht="12.75" x14ac:dyDescent="0.2"/>
    <row r="23648" ht="12.75" x14ac:dyDescent="0.2"/>
    <row r="23649" ht="12.75" x14ac:dyDescent="0.2"/>
    <row r="23650" ht="12.75" x14ac:dyDescent="0.2"/>
    <row r="23651" ht="12.75" x14ac:dyDescent="0.2"/>
    <row r="23652" ht="12.75" x14ac:dyDescent="0.2"/>
    <row r="23653" ht="12.75" x14ac:dyDescent="0.2"/>
    <row r="23654" ht="12.75" x14ac:dyDescent="0.2"/>
    <row r="23655" ht="12.75" x14ac:dyDescent="0.2"/>
    <row r="23656" ht="12.75" x14ac:dyDescent="0.2"/>
    <row r="23657" ht="12.75" x14ac:dyDescent="0.2"/>
    <row r="23658" ht="12.75" x14ac:dyDescent="0.2"/>
    <row r="23659" ht="12.75" x14ac:dyDescent="0.2"/>
    <row r="23660" ht="12.75" x14ac:dyDescent="0.2"/>
    <row r="23661" ht="12.75" x14ac:dyDescent="0.2"/>
    <row r="23662" ht="12.75" x14ac:dyDescent="0.2"/>
    <row r="23663" ht="12.75" x14ac:dyDescent="0.2"/>
    <row r="23664" ht="12.75" x14ac:dyDescent="0.2"/>
    <row r="23665" ht="12.75" x14ac:dyDescent="0.2"/>
    <row r="23666" ht="12.75" x14ac:dyDescent="0.2"/>
    <row r="23667" ht="12.75" x14ac:dyDescent="0.2"/>
    <row r="23668" ht="12.75" x14ac:dyDescent="0.2"/>
    <row r="23669" ht="12.75" x14ac:dyDescent="0.2"/>
    <row r="23670" ht="12.75" x14ac:dyDescent="0.2"/>
    <row r="23671" ht="12.75" x14ac:dyDescent="0.2"/>
    <row r="23672" ht="12.75" x14ac:dyDescent="0.2"/>
    <row r="23673" ht="12.75" x14ac:dyDescent="0.2"/>
    <row r="23674" ht="12.75" x14ac:dyDescent="0.2"/>
    <row r="23675" ht="12.75" x14ac:dyDescent="0.2"/>
    <row r="23676" ht="12.75" x14ac:dyDescent="0.2"/>
    <row r="23677" ht="12.75" x14ac:dyDescent="0.2"/>
    <row r="23678" ht="12.75" x14ac:dyDescent="0.2"/>
    <row r="23679" ht="12.75" x14ac:dyDescent="0.2"/>
    <row r="23680" ht="12.75" x14ac:dyDescent="0.2"/>
    <row r="23681" ht="12.75" x14ac:dyDescent="0.2"/>
    <row r="23682" ht="12.75" x14ac:dyDescent="0.2"/>
    <row r="23683" ht="12.75" x14ac:dyDescent="0.2"/>
    <row r="23684" ht="12.75" x14ac:dyDescent="0.2"/>
    <row r="23685" ht="12.75" x14ac:dyDescent="0.2"/>
    <row r="23686" ht="12.75" x14ac:dyDescent="0.2"/>
    <row r="23687" ht="12.75" x14ac:dyDescent="0.2"/>
    <row r="23688" ht="12.75" x14ac:dyDescent="0.2"/>
    <row r="23689" ht="12.75" x14ac:dyDescent="0.2"/>
    <row r="23690" ht="12.75" x14ac:dyDescent="0.2"/>
    <row r="23691" ht="12.75" x14ac:dyDescent="0.2"/>
    <row r="23692" ht="12.75" x14ac:dyDescent="0.2"/>
    <row r="23693" ht="12.75" x14ac:dyDescent="0.2"/>
    <row r="23694" ht="12.75" x14ac:dyDescent="0.2"/>
    <row r="23695" ht="12.75" x14ac:dyDescent="0.2"/>
    <row r="23696" ht="12.75" x14ac:dyDescent="0.2"/>
    <row r="23697" ht="12.75" x14ac:dyDescent="0.2"/>
    <row r="23698" ht="12.75" x14ac:dyDescent="0.2"/>
    <row r="23699" ht="12.75" x14ac:dyDescent="0.2"/>
    <row r="23700" ht="12.75" x14ac:dyDescent="0.2"/>
    <row r="23701" ht="12.75" x14ac:dyDescent="0.2"/>
    <row r="23702" ht="12.75" x14ac:dyDescent="0.2"/>
    <row r="23703" ht="12.75" x14ac:dyDescent="0.2"/>
    <row r="23704" ht="12.75" x14ac:dyDescent="0.2"/>
    <row r="23705" ht="12.75" x14ac:dyDescent="0.2"/>
    <row r="23706" ht="12.75" x14ac:dyDescent="0.2"/>
    <row r="23707" ht="12.75" x14ac:dyDescent="0.2"/>
    <row r="23708" ht="12.75" x14ac:dyDescent="0.2"/>
    <row r="23709" ht="12.75" x14ac:dyDescent="0.2"/>
    <row r="23710" ht="12.75" x14ac:dyDescent="0.2"/>
    <row r="23711" ht="12.75" x14ac:dyDescent="0.2"/>
    <row r="23712" ht="12.75" x14ac:dyDescent="0.2"/>
    <row r="23713" ht="12.75" x14ac:dyDescent="0.2"/>
    <row r="23714" ht="12.75" x14ac:dyDescent="0.2"/>
    <row r="23715" ht="12.75" x14ac:dyDescent="0.2"/>
    <row r="23716" ht="12.75" x14ac:dyDescent="0.2"/>
    <row r="23717" ht="12.75" x14ac:dyDescent="0.2"/>
    <row r="23718" ht="12.75" x14ac:dyDescent="0.2"/>
    <row r="23719" ht="12.75" x14ac:dyDescent="0.2"/>
    <row r="23720" ht="12.75" x14ac:dyDescent="0.2"/>
    <row r="23721" ht="12.75" x14ac:dyDescent="0.2"/>
    <row r="23722" ht="12.75" x14ac:dyDescent="0.2"/>
    <row r="23723" ht="12.75" x14ac:dyDescent="0.2"/>
    <row r="23724" ht="12.75" x14ac:dyDescent="0.2"/>
    <row r="23725" ht="12.75" x14ac:dyDescent="0.2"/>
    <row r="23726" ht="12.75" x14ac:dyDescent="0.2"/>
    <row r="23727" ht="12.75" x14ac:dyDescent="0.2"/>
    <row r="23728" ht="12.75" x14ac:dyDescent="0.2"/>
    <row r="23729" ht="12.75" x14ac:dyDescent="0.2"/>
    <row r="23730" ht="12.75" x14ac:dyDescent="0.2"/>
    <row r="23731" ht="12.75" x14ac:dyDescent="0.2"/>
    <row r="23732" ht="12.75" x14ac:dyDescent="0.2"/>
    <row r="23733" ht="12.75" x14ac:dyDescent="0.2"/>
    <row r="23734" ht="12.75" x14ac:dyDescent="0.2"/>
    <row r="23735" ht="12.75" x14ac:dyDescent="0.2"/>
    <row r="23736" ht="12.75" x14ac:dyDescent="0.2"/>
    <row r="23737" ht="12.75" x14ac:dyDescent="0.2"/>
    <row r="23738" ht="12.75" x14ac:dyDescent="0.2"/>
    <row r="23739" ht="12.75" x14ac:dyDescent="0.2"/>
    <row r="23740" ht="12.75" x14ac:dyDescent="0.2"/>
    <row r="23741" ht="12.75" x14ac:dyDescent="0.2"/>
    <row r="23742" ht="12.75" x14ac:dyDescent="0.2"/>
    <row r="23743" ht="12.75" x14ac:dyDescent="0.2"/>
    <row r="23744" ht="12.75" x14ac:dyDescent="0.2"/>
    <row r="23745" ht="12.75" x14ac:dyDescent="0.2"/>
    <row r="23746" ht="12.75" x14ac:dyDescent="0.2"/>
    <row r="23747" ht="12.75" x14ac:dyDescent="0.2"/>
    <row r="23748" ht="12.75" x14ac:dyDescent="0.2"/>
    <row r="23749" ht="12.75" x14ac:dyDescent="0.2"/>
    <row r="23750" ht="12.75" x14ac:dyDescent="0.2"/>
    <row r="23751" ht="12.75" x14ac:dyDescent="0.2"/>
    <row r="23752" ht="12.75" x14ac:dyDescent="0.2"/>
    <row r="23753" ht="12.75" x14ac:dyDescent="0.2"/>
    <row r="23754" ht="12.75" x14ac:dyDescent="0.2"/>
    <row r="23755" ht="12.75" x14ac:dyDescent="0.2"/>
    <row r="23756" ht="12.75" x14ac:dyDescent="0.2"/>
    <row r="23757" ht="12.75" x14ac:dyDescent="0.2"/>
    <row r="23758" ht="12.75" x14ac:dyDescent="0.2"/>
    <row r="23759" ht="12.75" x14ac:dyDescent="0.2"/>
    <row r="23760" ht="12.75" x14ac:dyDescent="0.2"/>
    <row r="23761" ht="12.75" x14ac:dyDescent="0.2"/>
    <row r="23762" ht="12.75" x14ac:dyDescent="0.2"/>
    <row r="23763" ht="12.75" x14ac:dyDescent="0.2"/>
    <row r="23764" ht="12.75" x14ac:dyDescent="0.2"/>
    <row r="23765" ht="12.75" x14ac:dyDescent="0.2"/>
    <row r="23766" ht="12.75" x14ac:dyDescent="0.2"/>
    <row r="23767" ht="12.75" x14ac:dyDescent="0.2"/>
    <row r="23768" ht="12.75" x14ac:dyDescent="0.2"/>
    <row r="23769" ht="12.75" x14ac:dyDescent="0.2"/>
    <row r="23770" ht="12.75" x14ac:dyDescent="0.2"/>
    <row r="23771" ht="12.75" x14ac:dyDescent="0.2"/>
    <row r="23772" ht="12.75" x14ac:dyDescent="0.2"/>
    <row r="23773" ht="12.75" x14ac:dyDescent="0.2"/>
    <row r="23774" ht="12.75" x14ac:dyDescent="0.2"/>
    <row r="23775" ht="12.75" x14ac:dyDescent="0.2"/>
    <row r="23776" ht="12.75" x14ac:dyDescent="0.2"/>
    <row r="23777" ht="12.75" x14ac:dyDescent="0.2"/>
    <row r="23778" ht="12.75" x14ac:dyDescent="0.2"/>
    <row r="23779" ht="12.75" x14ac:dyDescent="0.2"/>
    <row r="23780" ht="12.75" x14ac:dyDescent="0.2"/>
    <row r="23781" ht="12.75" x14ac:dyDescent="0.2"/>
    <row r="23782" ht="12.75" x14ac:dyDescent="0.2"/>
    <row r="23783" ht="12.75" x14ac:dyDescent="0.2"/>
    <row r="23784" ht="12.75" x14ac:dyDescent="0.2"/>
    <row r="23785" ht="12.75" x14ac:dyDescent="0.2"/>
    <row r="23786" ht="12.75" x14ac:dyDescent="0.2"/>
    <row r="23787" ht="12.75" x14ac:dyDescent="0.2"/>
    <row r="23788" ht="12.75" x14ac:dyDescent="0.2"/>
    <row r="23789" ht="12.75" x14ac:dyDescent="0.2"/>
    <row r="23790" ht="12.75" x14ac:dyDescent="0.2"/>
    <row r="23791" ht="12.75" x14ac:dyDescent="0.2"/>
    <row r="23792" ht="12.75" x14ac:dyDescent="0.2"/>
    <row r="23793" ht="12.75" x14ac:dyDescent="0.2"/>
    <row r="23794" ht="12.75" x14ac:dyDescent="0.2"/>
    <row r="23795" ht="12.75" x14ac:dyDescent="0.2"/>
    <row r="23796" ht="12.75" x14ac:dyDescent="0.2"/>
    <row r="23797" ht="12.75" x14ac:dyDescent="0.2"/>
    <row r="23798" ht="12.75" x14ac:dyDescent="0.2"/>
    <row r="23799" ht="12.75" x14ac:dyDescent="0.2"/>
    <row r="23800" ht="12.75" x14ac:dyDescent="0.2"/>
    <row r="23801" ht="12.75" x14ac:dyDescent="0.2"/>
    <row r="23802" ht="12.75" x14ac:dyDescent="0.2"/>
    <row r="23803" ht="12.75" x14ac:dyDescent="0.2"/>
    <row r="23804" ht="12.75" x14ac:dyDescent="0.2"/>
    <row r="23805" ht="12.75" x14ac:dyDescent="0.2"/>
    <row r="23806" ht="12.75" x14ac:dyDescent="0.2"/>
    <row r="23807" ht="12.75" x14ac:dyDescent="0.2"/>
    <row r="23808" ht="12.75" x14ac:dyDescent="0.2"/>
    <row r="23809" ht="12.75" x14ac:dyDescent="0.2"/>
    <row r="23810" ht="12.75" x14ac:dyDescent="0.2"/>
    <row r="23811" ht="12.75" x14ac:dyDescent="0.2"/>
    <row r="23812" ht="12.75" x14ac:dyDescent="0.2"/>
    <row r="23813" ht="12.75" x14ac:dyDescent="0.2"/>
    <row r="23814" ht="12.75" x14ac:dyDescent="0.2"/>
    <row r="23815" ht="12.75" x14ac:dyDescent="0.2"/>
    <row r="23816" ht="12.75" x14ac:dyDescent="0.2"/>
    <row r="23817" ht="12.75" x14ac:dyDescent="0.2"/>
    <row r="23818" ht="12.75" x14ac:dyDescent="0.2"/>
    <row r="23819" ht="12.75" x14ac:dyDescent="0.2"/>
    <row r="23820" ht="12.75" x14ac:dyDescent="0.2"/>
    <row r="23821" ht="12.75" x14ac:dyDescent="0.2"/>
    <row r="23822" ht="12.75" x14ac:dyDescent="0.2"/>
    <row r="23823" ht="12.75" x14ac:dyDescent="0.2"/>
    <row r="23824" ht="12.75" x14ac:dyDescent="0.2"/>
    <row r="23825" ht="12.75" x14ac:dyDescent="0.2"/>
    <row r="23826" ht="12.75" x14ac:dyDescent="0.2"/>
    <row r="23827" ht="12.75" x14ac:dyDescent="0.2"/>
    <row r="23828" ht="12.75" x14ac:dyDescent="0.2"/>
    <row r="23829" ht="12.75" x14ac:dyDescent="0.2"/>
    <row r="23830" ht="12.75" x14ac:dyDescent="0.2"/>
    <row r="23831" ht="12.75" x14ac:dyDescent="0.2"/>
    <row r="23832" ht="12.75" x14ac:dyDescent="0.2"/>
    <row r="23833" ht="12.75" x14ac:dyDescent="0.2"/>
    <row r="23834" ht="12.75" x14ac:dyDescent="0.2"/>
    <row r="23835" ht="12.75" x14ac:dyDescent="0.2"/>
    <row r="23836" ht="12.75" x14ac:dyDescent="0.2"/>
    <row r="23837" ht="12.75" x14ac:dyDescent="0.2"/>
    <row r="23838" ht="12.75" x14ac:dyDescent="0.2"/>
    <row r="23839" ht="12.75" x14ac:dyDescent="0.2"/>
    <row r="23840" ht="12.75" x14ac:dyDescent="0.2"/>
    <row r="23841" ht="12.75" x14ac:dyDescent="0.2"/>
    <row r="23842" ht="12.75" x14ac:dyDescent="0.2"/>
    <row r="23843" ht="12.75" x14ac:dyDescent="0.2"/>
    <row r="23844" ht="12.75" x14ac:dyDescent="0.2"/>
    <row r="23845" ht="12.75" x14ac:dyDescent="0.2"/>
    <row r="23846" ht="12.75" x14ac:dyDescent="0.2"/>
    <row r="23847" ht="12.75" x14ac:dyDescent="0.2"/>
    <row r="23848" ht="12.75" x14ac:dyDescent="0.2"/>
    <row r="23849" ht="12.75" x14ac:dyDescent="0.2"/>
    <row r="23850" ht="12.75" x14ac:dyDescent="0.2"/>
    <row r="23851" ht="12.75" x14ac:dyDescent="0.2"/>
    <row r="23852" ht="12.75" x14ac:dyDescent="0.2"/>
    <row r="23853" ht="12.75" x14ac:dyDescent="0.2"/>
    <row r="23854" ht="12.75" x14ac:dyDescent="0.2"/>
    <row r="23855" ht="12.75" x14ac:dyDescent="0.2"/>
    <row r="23856" ht="12.75" x14ac:dyDescent="0.2"/>
    <row r="23857" ht="12.75" x14ac:dyDescent="0.2"/>
    <row r="23858" ht="12.75" x14ac:dyDescent="0.2"/>
    <row r="23859" ht="12.75" x14ac:dyDescent="0.2"/>
    <row r="23860" ht="12.75" x14ac:dyDescent="0.2"/>
    <row r="23861" ht="12.75" x14ac:dyDescent="0.2"/>
    <row r="23862" ht="12.75" x14ac:dyDescent="0.2"/>
    <row r="23863" ht="12.75" x14ac:dyDescent="0.2"/>
    <row r="23864" ht="12.75" x14ac:dyDescent="0.2"/>
    <row r="23865" ht="12.75" x14ac:dyDescent="0.2"/>
    <row r="23866" ht="12.75" x14ac:dyDescent="0.2"/>
    <row r="23867" ht="12.75" x14ac:dyDescent="0.2"/>
    <row r="23868" ht="12.75" x14ac:dyDescent="0.2"/>
    <row r="23869" ht="12.75" x14ac:dyDescent="0.2"/>
    <row r="23870" ht="12.75" x14ac:dyDescent="0.2"/>
    <row r="23871" ht="12.75" x14ac:dyDescent="0.2"/>
    <row r="23872" ht="12.75" x14ac:dyDescent="0.2"/>
    <row r="23873" ht="12.75" x14ac:dyDescent="0.2"/>
    <row r="23874" ht="12.75" x14ac:dyDescent="0.2"/>
    <row r="23875" ht="12.75" x14ac:dyDescent="0.2"/>
    <row r="23876" ht="12.75" x14ac:dyDescent="0.2"/>
    <row r="23877" ht="12.75" x14ac:dyDescent="0.2"/>
    <row r="23878" ht="12.75" x14ac:dyDescent="0.2"/>
    <row r="23879" ht="12.75" x14ac:dyDescent="0.2"/>
    <row r="23880" ht="12.75" x14ac:dyDescent="0.2"/>
    <row r="23881" ht="12.75" x14ac:dyDescent="0.2"/>
    <row r="23882" ht="12.75" x14ac:dyDescent="0.2"/>
    <row r="23883" ht="12.75" x14ac:dyDescent="0.2"/>
    <row r="23884" ht="12.75" x14ac:dyDescent="0.2"/>
    <row r="23885" ht="12.75" x14ac:dyDescent="0.2"/>
    <row r="23886" ht="12.75" x14ac:dyDescent="0.2"/>
    <row r="23887" ht="12.75" x14ac:dyDescent="0.2"/>
    <row r="23888" ht="12.75" x14ac:dyDescent="0.2"/>
    <row r="23889" ht="12.75" x14ac:dyDescent="0.2"/>
    <row r="23890" ht="12.75" x14ac:dyDescent="0.2"/>
    <row r="23891" ht="12.75" x14ac:dyDescent="0.2"/>
    <row r="23892" ht="12.75" x14ac:dyDescent="0.2"/>
    <row r="23893" ht="12.75" x14ac:dyDescent="0.2"/>
    <row r="23894" ht="12.75" x14ac:dyDescent="0.2"/>
    <row r="23895" ht="12.75" x14ac:dyDescent="0.2"/>
    <row r="23896" ht="12.75" x14ac:dyDescent="0.2"/>
    <row r="23897" ht="12.75" x14ac:dyDescent="0.2"/>
    <row r="23898" ht="12.75" x14ac:dyDescent="0.2"/>
    <row r="23899" ht="12.75" x14ac:dyDescent="0.2"/>
    <row r="23900" ht="12.75" x14ac:dyDescent="0.2"/>
    <row r="23901" ht="12.75" x14ac:dyDescent="0.2"/>
    <row r="23902" ht="12.75" x14ac:dyDescent="0.2"/>
    <row r="23903" ht="12.75" x14ac:dyDescent="0.2"/>
    <row r="23904" ht="12.75" x14ac:dyDescent="0.2"/>
    <row r="23905" ht="12.75" x14ac:dyDescent="0.2"/>
    <row r="23906" ht="12.75" x14ac:dyDescent="0.2"/>
    <row r="23907" ht="12.75" x14ac:dyDescent="0.2"/>
    <row r="23908" ht="12.75" x14ac:dyDescent="0.2"/>
    <row r="23909" ht="12.75" x14ac:dyDescent="0.2"/>
    <row r="23910" ht="12.75" x14ac:dyDescent="0.2"/>
    <row r="23911" ht="12.75" x14ac:dyDescent="0.2"/>
    <row r="23912" ht="12.75" x14ac:dyDescent="0.2"/>
    <row r="23913" ht="12.75" x14ac:dyDescent="0.2"/>
    <row r="23914" ht="12.75" x14ac:dyDescent="0.2"/>
    <row r="23915" ht="12.75" x14ac:dyDescent="0.2"/>
    <row r="23916" ht="12.75" x14ac:dyDescent="0.2"/>
    <row r="23917" ht="12.75" x14ac:dyDescent="0.2"/>
    <row r="23918" ht="12.75" x14ac:dyDescent="0.2"/>
    <row r="23919" ht="12.75" x14ac:dyDescent="0.2"/>
    <row r="23920" ht="12.75" x14ac:dyDescent="0.2"/>
    <row r="23921" ht="12.75" x14ac:dyDescent="0.2"/>
    <row r="23922" ht="12.75" x14ac:dyDescent="0.2"/>
    <row r="23923" ht="12.75" x14ac:dyDescent="0.2"/>
    <row r="23924" ht="12.75" x14ac:dyDescent="0.2"/>
    <row r="23925" ht="12.75" x14ac:dyDescent="0.2"/>
    <row r="23926" ht="12.75" x14ac:dyDescent="0.2"/>
    <row r="23927" ht="12.75" x14ac:dyDescent="0.2"/>
    <row r="23928" ht="12.75" x14ac:dyDescent="0.2"/>
    <row r="23929" ht="12.75" x14ac:dyDescent="0.2"/>
    <row r="23930" ht="12.75" x14ac:dyDescent="0.2"/>
    <row r="23931" ht="12.75" x14ac:dyDescent="0.2"/>
    <row r="23932" ht="12.75" x14ac:dyDescent="0.2"/>
    <row r="23933" ht="12.75" x14ac:dyDescent="0.2"/>
    <row r="23934" ht="12.75" x14ac:dyDescent="0.2"/>
    <row r="23935" ht="12.75" x14ac:dyDescent="0.2"/>
    <row r="23936" ht="12.75" x14ac:dyDescent="0.2"/>
    <row r="23937" ht="12.75" x14ac:dyDescent="0.2"/>
    <row r="23938" ht="12.75" x14ac:dyDescent="0.2"/>
    <row r="23939" ht="12.75" x14ac:dyDescent="0.2"/>
    <row r="23940" ht="12.75" x14ac:dyDescent="0.2"/>
    <row r="23941" ht="12.75" x14ac:dyDescent="0.2"/>
    <row r="23942" ht="12.75" x14ac:dyDescent="0.2"/>
    <row r="23943" ht="12.75" x14ac:dyDescent="0.2"/>
    <row r="23944" ht="12.75" x14ac:dyDescent="0.2"/>
    <row r="23945" ht="12.75" x14ac:dyDescent="0.2"/>
    <row r="23946" ht="12.75" x14ac:dyDescent="0.2"/>
    <row r="23947" ht="12.75" x14ac:dyDescent="0.2"/>
    <row r="23948" ht="12.75" x14ac:dyDescent="0.2"/>
    <row r="23949" ht="12.75" x14ac:dyDescent="0.2"/>
    <row r="23950" ht="12.75" x14ac:dyDescent="0.2"/>
    <row r="23951" ht="12.75" x14ac:dyDescent="0.2"/>
    <row r="23952" ht="12.75" x14ac:dyDescent="0.2"/>
    <row r="23953" ht="12.75" x14ac:dyDescent="0.2"/>
    <row r="23954" ht="12.75" x14ac:dyDescent="0.2"/>
    <row r="23955" ht="12.75" x14ac:dyDescent="0.2"/>
    <row r="23956" ht="12.75" x14ac:dyDescent="0.2"/>
    <row r="23957" ht="12.75" x14ac:dyDescent="0.2"/>
    <row r="23958" ht="12.75" x14ac:dyDescent="0.2"/>
    <row r="23959" ht="12.75" x14ac:dyDescent="0.2"/>
    <row r="23960" ht="12.75" x14ac:dyDescent="0.2"/>
    <row r="23961" ht="12.75" x14ac:dyDescent="0.2"/>
    <row r="23962" ht="12.75" x14ac:dyDescent="0.2"/>
    <row r="23963" ht="12.75" x14ac:dyDescent="0.2"/>
    <row r="23964" ht="12.75" x14ac:dyDescent="0.2"/>
    <row r="23965" ht="12.75" x14ac:dyDescent="0.2"/>
    <row r="23966" ht="12.75" x14ac:dyDescent="0.2"/>
    <row r="23967" ht="12.75" x14ac:dyDescent="0.2"/>
    <row r="23968" ht="12.75" x14ac:dyDescent="0.2"/>
    <row r="23969" ht="12.75" x14ac:dyDescent="0.2"/>
    <row r="23970" ht="12.75" x14ac:dyDescent="0.2"/>
    <row r="23971" ht="12.75" x14ac:dyDescent="0.2"/>
    <row r="23972" ht="12.75" x14ac:dyDescent="0.2"/>
    <row r="23973" ht="12.75" x14ac:dyDescent="0.2"/>
    <row r="23974" ht="12.75" x14ac:dyDescent="0.2"/>
    <row r="23975" ht="12.75" x14ac:dyDescent="0.2"/>
    <row r="23976" ht="12.75" x14ac:dyDescent="0.2"/>
    <row r="23977" ht="12.75" x14ac:dyDescent="0.2"/>
    <row r="23978" ht="12.75" x14ac:dyDescent="0.2"/>
    <row r="23979" ht="12.75" x14ac:dyDescent="0.2"/>
    <row r="23980" ht="12.75" x14ac:dyDescent="0.2"/>
    <row r="23981" ht="12.75" x14ac:dyDescent="0.2"/>
    <row r="23982" ht="12.75" x14ac:dyDescent="0.2"/>
    <row r="23983" ht="12.75" x14ac:dyDescent="0.2"/>
    <row r="23984" ht="12.75" x14ac:dyDescent="0.2"/>
    <row r="23985" ht="12.75" x14ac:dyDescent="0.2"/>
    <row r="23986" ht="12.75" x14ac:dyDescent="0.2"/>
    <row r="23987" ht="12.75" x14ac:dyDescent="0.2"/>
    <row r="23988" ht="12.75" x14ac:dyDescent="0.2"/>
    <row r="23989" ht="12.75" x14ac:dyDescent="0.2"/>
    <row r="23990" ht="12.75" x14ac:dyDescent="0.2"/>
    <row r="23991" ht="12.75" x14ac:dyDescent="0.2"/>
    <row r="23992" ht="12.75" x14ac:dyDescent="0.2"/>
    <row r="23993" ht="12.75" x14ac:dyDescent="0.2"/>
    <row r="23994" ht="12.75" x14ac:dyDescent="0.2"/>
    <row r="23995" ht="12.75" x14ac:dyDescent="0.2"/>
    <row r="23996" ht="12.75" x14ac:dyDescent="0.2"/>
    <row r="23997" ht="12.75" x14ac:dyDescent="0.2"/>
    <row r="23998" ht="12.75" x14ac:dyDescent="0.2"/>
    <row r="23999" ht="12.75" x14ac:dyDescent="0.2"/>
    <row r="24000" ht="12.75" x14ac:dyDescent="0.2"/>
    <row r="24001" ht="12.75" x14ac:dyDescent="0.2"/>
    <row r="24002" ht="12.75" x14ac:dyDescent="0.2"/>
    <row r="24003" ht="12.75" x14ac:dyDescent="0.2"/>
    <row r="24004" ht="12.75" x14ac:dyDescent="0.2"/>
    <row r="24005" ht="12.75" x14ac:dyDescent="0.2"/>
    <row r="24006" ht="12.75" x14ac:dyDescent="0.2"/>
    <row r="24007" ht="12.75" x14ac:dyDescent="0.2"/>
    <row r="24008" ht="12.75" x14ac:dyDescent="0.2"/>
    <row r="24009" ht="12.75" x14ac:dyDescent="0.2"/>
    <row r="24010" ht="12.75" x14ac:dyDescent="0.2"/>
    <row r="24011" ht="12.75" x14ac:dyDescent="0.2"/>
    <row r="24012" ht="12.75" x14ac:dyDescent="0.2"/>
    <row r="24013" ht="12.75" x14ac:dyDescent="0.2"/>
    <row r="24014" ht="12.75" x14ac:dyDescent="0.2"/>
    <row r="24015" ht="12.75" x14ac:dyDescent="0.2"/>
    <row r="24016" ht="12.75" x14ac:dyDescent="0.2"/>
    <row r="24017" ht="12.75" x14ac:dyDescent="0.2"/>
    <row r="24018" ht="12.75" x14ac:dyDescent="0.2"/>
    <row r="24019" ht="12.75" x14ac:dyDescent="0.2"/>
    <row r="24020" ht="12.75" x14ac:dyDescent="0.2"/>
    <row r="24021" ht="12.75" x14ac:dyDescent="0.2"/>
    <row r="24022" ht="12.75" x14ac:dyDescent="0.2"/>
    <row r="24023" ht="12.75" x14ac:dyDescent="0.2"/>
    <row r="24024" ht="12.75" x14ac:dyDescent="0.2"/>
    <row r="24025" ht="12.75" x14ac:dyDescent="0.2"/>
    <row r="24026" ht="12.75" x14ac:dyDescent="0.2"/>
    <row r="24027" ht="12.75" x14ac:dyDescent="0.2"/>
    <row r="24028" ht="12.75" x14ac:dyDescent="0.2"/>
    <row r="24029" ht="12.75" x14ac:dyDescent="0.2"/>
    <row r="24030" ht="12.75" x14ac:dyDescent="0.2"/>
    <row r="24031" ht="12.75" x14ac:dyDescent="0.2"/>
    <row r="24032" ht="12.75" x14ac:dyDescent="0.2"/>
    <row r="24033" ht="12.75" x14ac:dyDescent="0.2"/>
    <row r="24034" ht="12.75" x14ac:dyDescent="0.2"/>
    <row r="24035" ht="12.75" x14ac:dyDescent="0.2"/>
    <row r="24036" ht="12.75" x14ac:dyDescent="0.2"/>
    <row r="24037" ht="12.75" x14ac:dyDescent="0.2"/>
    <row r="24038" ht="12.75" x14ac:dyDescent="0.2"/>
    <row r="24039" ht="12.75" x14ac:dyDescent="0.2"/>
    <row r="24040" ht="12.75" x14ac:dyDescent="0.2"/>
    <row r="24041" ht="12.75" x14ac:dyDescent="0.2"/>
    <row r="24042" ht="12.75" x14ac:dyDescent="0.2"/>
    <row r="24043" ht="12.75" x14ac:dyDescent="0.2"/>
    <row r="24044" ht="12.75" x14ac:dyDescent="0.2"/>
    <row r="24045" ht="12.75" x14ac:dyDescent="0.2"/>
    <row r="24046" ht="12.75" x14ac:dyDescent="0.2"/>
    <row r="24047" ht="12.75" x14ac:dyDescent="0.2"/>
    <row r="24048" ht="12.75" x14ac:dyDescent="0.2"/>
    <row r="24049" ht="12.75" x14ac:dyDescent="0.2"/>
    <row r="24050" ht="12.75" x14ac:dyDescent="0.2"/>
    <row r="24051" ht="12.75" x14ac:dyDescent="0.2"/>
    <row r="24052" ht="12.75" x14ac:dyDescent="0.2"/>
    <row r="24053" ht="12.75" x14ac:dyDescent="0.2"/>
    <row r="24054" ht="12.75" x14ac:dyDescent="0.2"/>
    <row r="24055" ht="12.75" x14ac:dyDescent="0.2"/>
    <row r="24056" ht="12.75" x14ac:dyDescent="0.2"/>
    <row r="24057" ht="12.75" x14ac:dyDescent="0.2"/>
    <row r="24058" ht="12.75" x14ac:dyDescent="0.2"/>
    <row r="24059" ht="12.75" x14ac:dyDescent="0.2"/>
    <row r="24060" ht="12.75" x14ac:dyDescent="0.2"/>
    <row r="24061" ht="12.75" x14ac:dyDescent="0.2"/>
    <row r="24062" ht="12.75" x14ac:dyDescent="0.2"/>
    <row r="24063" ht="12.75" x14ac:dyDescent="0.2"/>
    <row r="24064" ht="12.75" x14ac:dyDescent="0.2"/>
    <row r="24065" ht="12.75" x14ac:dyDescent="0.2"/>
    <row r="24066" ht="12.75" x14ac:dyDescent="0.2"/>
    <row r="24067" ht="12.75" x14ac:dyDescent="0.2"/>
    <row r="24068" ht="12.75" x14ac:dyDescent="0.2"/>
    <row r="24069" ht="12.75" x14ac:dyDescent="0.2"/>
    <row r="24070" ht="12.75" x14ac:dyDescent="0.2"/>
    <row r="24071" ht="12.75" x14ac:dyDescent="0.2"/>
    <row r="24072" ht="12.75" x14ac:dyDescent="0.2"/>
    <row r="24073" ht="12.75" x14ac:dyDescent="0.2"/>
    <row r="24074" ht="12.75" x14ac:dyDescent="0.2"/>
    <row r="24075" ht="12.75" x14ac:dyDescent="0.2"/>
    <row r="24076" ht="12.75" x14ac:dyDescent="0.2"/>
    <row r="24077" ht="12.75" x14ac:dyDescent="0.2"/>
    <row r="24078" ht="12.75" x14ac:dyDescent="0.2"/>
    <row r="24079" ht="12.75" x14ac:dyDescent="0.2"/>
    <row r="24080" ht="12.75" x14ac:dyDescent="0.2"/>
    <row r="24081" ht="12.75" x14ac:dyDescent="0.2"/>
    <row r="24082" ht="12.75" x14ac:dyDescent="0.2"/>
    <row r="24083" ht="12.75" x14ac:dyDescent="0.2"/>
    <row r="24084" ht="12.75" x14ac:dyDescent="0.2"/>
    <row r="24085" ht="12.75" x14ac:dyDescent="0.2"/>
    <row r="24086" ht="12.75" x14ac:dyDescent="0.2"/>
    <row r="24087" ht="12.75" x14ac:dyDescent="0.2"/>
    <row r="24088" ht="12.75" x14ac:dyDescent="0.2"/>
    <row r="24089" ht="12.75" x14ac:dyDescent="0.2"/>
    <row r="24090" ht="12.75" x14ac:dyDescent="0.2"/>
    <row r="24091" ht="12.75" x14ac:dyDescent="0.2"/>
    <row r="24092" ht="12.75" x14ac:dyDescent="0.2"/>
    <row r="24093" ht="12.75" x14ac:dyDescent="0.2"/>
    <row r="24094" ht="12.75" x14ac:dyDescent="0.2"/>
    <row r="24095" ht="12.75" x14ac:dyDescent="0.2"/>
    <row r="24096" ht="12.75" x14ac:dyDescent="0.2"/>
    <row r="24097" ht="12.75" x14ac:dyDescent="0.2"/>
    <row r="24098" ht="12.75" x14ac:dyDescent="0.2"/>
    <row r="24099" ht="12.75" x14ac:dyDescent="0.2"/>
    <row r="24100" ht="12.75" x14ac:dyDescent="0.2"/>
    <row r="24101" ht="12.75" x14ac:dyDescent="0.2"/>
    <row r="24102" ht="12.75" x14ac:dyDescent="0.2"/>
    <row r="24103" ht="12.75" x14ac:dyDescent="0.2"/>
    <row r="24104" ht="12.75" x14ac:dyDescent="0.2"/>
    <row r="24105" ht="12.75" x14ac:dyDescent="0.2"/>
    <row r="24106" ht="12.75" x14ac:dyDescent="0.2"/>
    <row r="24107" ht="12.75" x14ac:dyDescent="0.2"/>
    <row r="24108" ht="12.75" x14ac:dyDescent="0.2"/>
    <row r="24109" ht="12.75" x14ac:dyDescent="0.2"/>
    <row r="24110" ht="12.75" x14ac:dyDescent="0.2"/>
    <row r="24111" ht="12.75" x14ac:dyDescent="0.2"/>
    <row r="24112" ht="12.75" x14ac:dyDescent="0.2"/>
    <row r="24113" ht="12.75" x14ac:dyDescent="0.2"/>
    <row r="24114" ht="12.75" x14ac:dyDescent="0.2"/>
    <row r="24115" ht="12.75" x14ac:dyDescent="0.2"/>
    <row r="24116" ht="12.75" x14ac:dyDescent="0.2"/>
    <row r="24117" ht="12.75" x14ac:dyDescent="0.2"/>
    <row r="24118" ht="12.75" x14ac:dyDescent="0.2"/>
    <row r="24119" ht="12.75" x14ac:dyDescent="0.2"/>
    <row r="24120" ht="12.75" x14ac:dyDescent="0.2"/>
    <row r="24121" ht="12.75" x14ac:dyDescent="0.2"/>
    <row r="24122" ht="12.75" x14ac:dyDescent="0.2"/>
    <row r="24123" ht="12.75" x14ac:dyDescent="0.2"/>
    <row r="24124" ht="12.75" x14ac:dyDescent="0.2"/>
    <row r="24125" ht="12.75" x14ac:dyDescent="0.2"/>
    <row r="24126" ht="12.75" x14ac:dyDescent="0.2"/>
    <row r="24127" ht="12.75" x14ac:dyDescent="0.2"/>
    <row r="24128" ht="12.75" x14ac:dyDescent="0.2"/>
    <row r="24129" ht="12.75" x14ac:dyDescent="0.2"/>
    <row r="24130" ht="12.75" x14ac:dyDescent="0.2"/>
    <row r="24131" ht="12.75" x14ac:dyDescent="0.2"/>
    <row r="24132" ht="12.75" x14ac:dyDescent="0.2"/>
    <row r="24133" ht="12.75" x14ac:dyDescent="0.2"/>
    <row r="24134" ht="12.75" x14ac:dyDescent="0.2"/>
    <row r="24135" ht="12.75" x14ac:dyDescent="0.2"/>
    <row r="24136" ht="12.75" x14ac:dyDescent="0.2"/>
    <row r="24137" ht="12.75" x14ac:dyDescent="0.2"/>
    <row r="24138" ht="12.75" x14ac:dyDescent="0.2"/>
    <row r="24139" ht="12.75" x14ac:dyDescent="0.2"/>
    <row r="24140" ht="12.75" x14ac:dyDescent="0.2"/>
    <row r="24141" ht="12.75" x14ac:dyDescent="0.2"/>
    <row r="24142" ht="12.75" x14ac:dyDescent="0.2"/>
    <row r="24143" ht="12.75" x14ac:dyDescent="0.2"/>
    <row r="24144" ht="12.75" x14ac:dyDescent="0.2"/>
    <row r="24145" ht="12.75" x14ac:dyDescent="0.2"/>
    <row r="24146" ht="12.75" x14ac:dyDescent="0.2"/>
    <row r="24147" ht="12.75" x14ac:dyDescent="0.2"/>
    <row r="24148" ht="12.75" x14ac:dyDescent="0.2"/>
    <row r="24149" ht="12.75" x14ac:dyDescent="0.2"/>
    <row r="24150" ht="12.75" x14ac:dyDescent="0.2"/>
    <row r="24151" ht="12.75" x14ac:dyDescent="0.2"/>
    <row r="24152" ht="12.75" x14ac:dyDescent="0.2"/>
    <row r="24153" ht="12.75" x14ac:dyDescent="0.2"/>
    <row r="24154" ht="12.75" x14ac:dyDescent="0.2"/>
    <row r="24155" ht="12.75" x14ac:dyDescent="0.2"/>
    <row r="24156" ht="12.75" x14ac:dyDescent="0.2"/>
    <row r="24157" ht="12.75" x14ac:dyDescent="0.2"/>
    <row r="24158" ht="12.75" x14ac:dyDescent="0.2"/>
    <row r="24159" ht="12.75" x14ac:dyDescent="0.2"/>
    <row r="24160" ht="12.75" x14ac:dyDescent="0.2"/>
    <row r="24161" ht="12.75" x14ac:dyDescent="0.2"/>
    <row r="24162" ht="12.75" x14ac:dyDescent="0.2"/>
    <row r="24163" ht="12.75" x14ac:dyDescent="0.2"/>
    <row r="24164" ht="12.75" x14ac:dyDescent="0.2"/>
    <row r="24165" ht="12.75" x14ac:dyDescent="0.2"/>
    <row r="24166" ht="12.75" x14ac:dyDescent="0.2"/>
    <row r="24167" ht="12.75" x14ac:dyDescent="0.2"/>
    <row r="24168" ht="12.75" x14ac:dyDescent="0.2"/>
    <row r="24169" ht="12.75" x14ac:dyDescent="0.2"/>
    <row r="24170" ht="12.75" x14ac:dyDescent="0.2"/>
    <row r="24171" ht="12.75" x14ac:dyDescent="0.2"/>
    <row r="24172" ht="12.75" x14ac:dyDescent="0.2"/>
    <row r="24173" ht="12.75" x14ac:dyDescent="0.2"/>
    <row r="24174" ht="12.75" x14ac:dyDescent="0.2"/>
    <row r="24175" ht="12.75" x14ac:dyDescent="0.2"/>
    <row r="24176" ht="12.75" x14ac:dyDescent="0.2"/>
    <row r="24177" ht="12.75" x14ac:dyDescent="0.2"/>
    <row r="24178" ht="12.75" x14ac:dyDescent="0.2"/>
    <row r="24179" ht="12.75" x14ac:dyDescent="0.2"/>
    <row r="24180" ht="12.75" x14ac:dyDescent="0.2"/>
    <row r="24181" ht="12.75" x14ac:dyDescent="0.2"/>
    <row r="24182" ht="12.75" x14ac:dyDescent="0.2"/>
    <row r="24183" ht="12.75" x14ac:dyDescent="0.2"/>
    <row r="24184" ht="12.75" x14ac:dyDescent="0.2"/>
    <row r="24185" ht="12.75" x14ac:dyDescent="0.2"/>
    <row r="24186" ht="12.75" x14ac:dyDescent="0.2"/>
    <row r="24187" ht="12.75" x14ac:dyDescent="0.2"/>
    <row r="24188" ht="12.75" x14ac:dyDescent="0.2"/>
    <row r="24189" ht="12.75" x14ac:dyDescent="0.2"/>
    <row r="24190" ht="12.75" x14ac:dyDescent="0.2"/>
    <row r="24191" ht="12.75" x14ac:dyDescent="0.2"/>
    <row r="24192" ht="12.75" x14ac:dyDescent="0.2"/>
    <row r="24193" ht="12.75" x14ac:dyDescent="0.2"/>
    <row r="24194" ht="12.75" x14ac:dyDescent="0.2"/>
    <row r="24195" ht="12.75" x14ac:dyDescent="0.2"/>
    <row r="24196" ht="12.75" x14ac:dyDescent="0.2"/>
    <row r="24197" ht="12.75" x14ac:dyDescent="0.2"/>
    <row r="24198" ht="12.75" x14ac:dyDescent="0.2"/>
    <row r="24199" ht="12.75" x14ac:dyDescent="0.2"/>
    <row r="24200" ht="12.75" x14ac:dyDescent="0.2"/>
    <row r="24201" ht="12.75" x14ac:dyDescent="0.2"/>
    <row r="24202" ht="12.75" x14ac:dyDescent="0.2"/>
    <row r="24203" ht="12.75" x14ac:dyDescent="0.2"/>
    <row r="24204" ht="12.75" x14ac:dyDescent="0.2"/>
    <row r="24205" ht="12.75" x14ac:dyDescent="0.2"/>
    <row r="24206" ht="12.75" x14ac:dyDescent="0.2"/>
    <row r="24207" ht="12.75" x14ac:dyDescent="0.2"/>
    <row r="24208" ht="12.75" x14ac:dyDescent="0.2"/>
    <row r="24209" ht="12.75" x14ac:dyDescent="0.2"/>
    <row r="24210" ht="12.75" x14ac:dyDescent="0.2"/>
    <row r="24211" ht="12.75" x14ac:dyDescent="0.2"/>
    <row r="24212" ht="12.75" x14ac:dyDescent="0.2"/>
    <row r="24213" ht="12.75" x14ac:dyDescent="0.2"/>
    <row r="24214" ht="12.75" x14ac:dyDescent="0.2"/>
    <row r="24215" ht="12.75" x14ac:dyDescent="0.2"/>
    <row r="24216" ht="12.75" x14ac:dyDescent="0.2"/>
    <row r="24217" ht="12.75" x14ac:dyDescent="0.2"/>
    <row r="24218" ht="12.75" x14ac:dyDescent="0.2"/>
    <row r="24219" ht="12.75" x14ac:dyDescent="0.2"/>
    <row r="24220" ht="12.75" x14ac:dyDescent="0.2"/>
    <row r="24221" ht="12.75" x14ac:dyDescent="0.2"/>
    <row r="24222" ht="12.75" x14ac:dyDescent="0.2"/>
    <row r="24223" ht="12.75" x14ac:dyDescent="0.2"/>
    <row r="24224" ht="12.75" x14ac:dyDescent="0.2"/>
    <row r="24225" ht="12.75" x14ac:dyDescent="0.2"/>
    <row r="24226" ht="12.75" x14ac:dyDescent="0.2"/>
    <row r="24227" ht="12.75" x14ac:dyDescent="0.2"/>
    <row r="24228" ht="12.75" x14ac:dyDescent="0.2"/>
    <row r="24229" ht="12.75" x14ac:dyDescent="0.2"/>
    <row r="24230" ht="12.75" x14ac:dyDescent="0.2"/>
    <row r="24231" ht="12.75" x14ac:dyDescent="0.2"/>
    <row r="24232" ht="12.75" x14ac:dyDescent="0.2"/>
    <row r="24233" ht="12.75" x14ac:dyDescent="0.2"/>
    <row r="24234" ht="12.75" x14ac:dyDescent="0.2"/>
    <row r="24235" ht="12.75" x14ac:dyDescent="0.2"/>
    <row r="24236" ht="12.75" x14ac:dyDescent="0.2"/>
    <row r="24237" ht="12.75" x14ac:dyDescent="0.2"/>
    <row r="24238" ht="12.75" x14ac:dyDescent="0.2"/>
    <row r="24239" ht="12.75" x14ac:dyDescent="0.2"/>
    <row r="24240" ht="12.75" x14ac:dyDescent="0.2"/>
    <row r="24241" ht="12.75" x14ac:dyDescent="0.2"/>
    <row r="24242" ht="12.75" x14ac:dyDescent="0.2"/>
    <row r="24243" ht="12.75" x14ac:dyDescent="0.2"/>
    <row r="24244" ht="12.75" x14ac:dyDescent="0.2"/>
    <row r="24245" ht="12.75" x14ac:dyDescent="0.2"/>
    <row r="24246" ht="12.75" x14ac:dyDescent="0.2"/>
    <row r="24247" ht="12.75" x14ac:dyDescent="0.2"/>
    <row r="24248" ht="12.75" x14ac:dyDescent="0.2"/>
    <row r="24249" ht="12.75" x14ac:dyDescent="0.2"/>
    <row r="24250" ht="12.75" x14ac:dyDescent="0.2"/>
    <row r="24251" ht="12.75" x14ac:dyDescent="0.2"/>
    <row r="24252" ht="12.75" x14ac:dyDescent="0.2"/>
    <row r="24253" ht="12.75" x14ac:dyDescent="0.2"/>
    <row r="24254" ht="12.75" x14ac:dyDescent="0.2"/>
    <row r="24255" ht="12.75" x14ac:dyDescent="0.2"/>
    <row r="24256" ht="12.75" x14ac:dyDescent="0.2"/>
    <row r="24257" ht="12.75" x14ac:dyDescent="0.2"/>
    <row r="24258" ht="12.75" x14ac:dyDescent="0.2"/>
    <row r="24259" ht="12.75" x14ac:dyDescent="0.2"/>
    <row r="24260" ht="12.75" x14ac:dyDescent="0.2"/>
    <row r="24261" ht="12.75" x14ac:dyDescent="0.2"/>
    <row r="24262" ht="12.75" x14ac:dyDescent="0.2"/>
    <row r="24263" ht="12.75" x14ac:dyDescent="0.2"/>
    <row r="24264" ht="12.75" x14ac:dyDescent="0.2"/>
    <row r="24265" ht="12.75" x14ac:dyDescent="0.2"/>
    <row r="24266" ht="12.75" x14ac:dyDescent="0.2"/>
    <row r="24267" ht="12.75" x14ac:dyDescent="0.2"/>
    <row r="24268" ht="12.75" x14ac:dyDescent="0.2"/>
    <row r="24269" ht="12.75" x14ac:dyDescent="0.2"/>
    <row r="24270" ht="12.75" x14ac:dyDescent="0.2"/>
    <row r="24271" ht="12.75" x14ac:dyDescent="0.2"/>
    <row r="24272" ht="12.75" x14ac:dyDescent="0.2"/>
    <row r="24273" ht="12.75" x14ac:dyDescent="0.2"/>
    <row r="24274" ht="12.75" x14ac:dyDescent="0.2"/>
    <row r="24275" ht="12.75" x14ac:dyDescent="0.2"/>
    <row r="24276" ht="12.75" x14ac:dyDescent="0.2"/>
    <row r="24277" ht="12.75" x14ac:dyDescent="0.2"/>
    <row r="24278" ht="12.75" x14ac:dyDescent="0.2"/>
    <row r="24279" ht="12.75" x14ac:dyDescent="0.2"/>
    <row r="24280" ht="12.75" x14ac:dyDescent="0.2"/>
    <row r="24281" ht="12.75" x14ac:dyDescent="0.2"/>
    <row r="24282" ht="12.75" x14ac:dyDescent="0.2"/>
    <row r="24283" ht="12.75" x14ac:dyDescent="0.2"/>
    <row r="24284" ht="12.75" x14ac:dyDescent="0.2"/>
    <row r="24285" ht="12.75" x14ac:dyDescent="0.2"/>
    <row r="24286" ht="12.75" x14ac:dyDescent="0.2"/>
    <row r="24287" ht="12.75" x14ac:dyDescent="0.2"/>
    <row r="24288" ht="12.75" x14ac:dyDescent="0.2"/>
    <row r="24289" ht="12.75" x14ac:dyDescent="0.2"/>
    <row r="24290" ht="12.75" x14ac:dyDescent="0.2"/>
    <row r="24291" ht="12.75" x14ac:dyDescent="0.2"/>
    <row r="24292" ht="12.75" x14ac:dyDescent="0.2"/>
    <row r="24293" ht="12.75" x14ac:dyDescent="0.2"/>
    <row r="24294" ht="12.75" x14ac:dyDescent="0.2"/>
    <row r="24295" ht="12.75" x14ac:dyDescent="0.2"/>
    <row r="24296" ht="12.75" x14ac:dyDescent="0.2"/>
    <row r="24297" ht="12.75" x14ac:dyDescent="0.2"/>
    <row r="24298" ht="12.75" x14ac:dyDescent="0.2"/>
    <row r="24299" ht="12.75" x14ac:dyDescent="0.2"/>
    <row r="24300" ht="12.75" x14ac:dyDescent="0.2"/>
    <row r="24301" ht="12.75" x14ac:dyDescent="0.2"/>
    <row r="24302" ht="12.75" x14ac:dyDescent="0.2"/>
    <row r="24303" ht="12.75" x14ac:dyDescent="0.2"/>
    <row r="24304" ht="12.75" x14ac:dyDescent="0.2"/>
    <row r="24305" ht="12.75" x14ac:dyDescent="0.2"/>
    <row r="24306" ht="12.75" x14ac:dyDescent="0.2"/>
    <row r="24307" ht="12.75" x14ac:dyDescent="0.2"/>
    <row r="24308" ht="12.75" x14ac:dyDescent="0.2"/>
    <row r="24309" ht="12.75" x14ac:dyDescent="0.2"/>
    <row r="24310" ht="12.75" x14ac:dyDescent="0.2"/>
    <row r="24311" ht="12.75" x14ac:dyDescent="0.2"/>
    <row r="24312" ht="12.75" x14ac:dyDescent="0.2"/>
    <row r="24313" ht="12.75" x14ac:dyDescent="0.2"/>
    <row r="24314" ht="12.75" x14ac:dyDescent="0.2"/>
    <row r="24315" ht="12.75" x14ac:dyDescent="0.2"/>
    <row r="24316" ht="12.75" x14ac:dyDescent="0.2"/>
    <row r="24317" ht="12.75" x14ac:dyDescent="0.2"/>
    <row r="24318" ht="12.75" x14ac:dyDescent="0.2"/>
    <row r="24319" ht="12.75" x14ac:dyDescent="0.2"/>
    <row r="24320" ht="12.75" x14ac:dyDescent="0.2"/>
    <row r="24321" ht="12.75" x14ac:dyDescent="0.2"/>
    <row r="24322" ht="12.75" x14ac:dyDescent="0.2"/>
    <row r="24323" ht="12.75" x14ac:dyDescent="0.2"/>
    <row r="24324" ht="12.75" x14ac:dyDescent="0.2"/>
    <row r="24325" ht="12.75" x14ac:dyDescent="0.2"/>
    <row r="24326" ht="12.75" x14ac:dyDescent="0.2"/>
    <row r="24327" ht="12.75" x14ac:dyDescent="0.2"/>
    <row r="24328" ht="12.75" x14ac:dyDescent="0.2"/>
    <row r="24329" ht="12.75" x14ac:dyDescent="0.2"/>
    <row r="24330" ht="12.75" x14ac:dyDescent="0.2"/>
    <row r="24331" ht="12.75" x14ac:dyDescent="0.2"/>
    <row r="24332" ht="12.75" x14ac:dyDescent="0.2"/>
    <row r="24333" ht="12.75" x14ac:dyDescent="0.2"/>
    <row r="24334" ht="12.75" x14ac:dyDescent="0.2"/>
    <row r="24335" ht="12.75" x14ac:dyDescent="0.2"/>
    <row r="24336" ht="12.75" x14ac:dyDescent="0.2"/>
    <row r="24337" ht="12.75" x14ac:dyDescent="0.2"/>
    <row r="24338" ht="12.75" x14ac:dyDescent="0.2"/>
    <row r="24339" ht="12.75" x14ac:dyDescent="0.2"/>
    <row r="24340" ht="12.75" x14ac:dyDescent="0.2"/>
    <row r="24341" ht="12.75" x14ac:dyDescent="0.2"/>
    <row r="24342" ht="12.75" x14ac:dyDescent="0.2"/>
    <row r="24343" ht="12.75" x14ac:dyDescent="0.2"/>
    <row r="24344" ht="12.75" x14ac:dyDescent="0.2"/>
    <row r="24345" ht="12.75" x14ac:dyDescent="0.2"/>
    <row r="24346" ht="12.75" x14ac:dyDescent="0.2"/>
    <row r="24347" ht="12.75" x14ac:dyDescent="0.2"/>
    <row r="24348" ht="12.75" x14ac:dyDescent="0.2"/>
    <row r="24349" ht="12.75" x14ac:dyDescent="0.2"/>
    <row r="24350" ht="12.75" x14ac:dyDescent="0.2"/>
    <row r="24351" ht="12.75" x14ac:dyDescent="0.2"/>
    <row r="24352" ht="12.75" x14ac:dyDescent="0.2"/>
    <row r="24353" ht="12.75" x14ac:dyDescent="0.2"/>
    <row r="24354" ht="12.75" x14ac:dyDescent="0.2"/>
    <row r="24355" ht="12.75" x14ac:dyDescent="0.2"/>
    <row r="24356" ht="12.75" x14ac:dyDescent="0.2"/>
    <row r="24357" ht="12.75" x14ac:dyDescent="0.2"/>
    <row r="24358" ht="12.75" x14ac:dyDescent="0.2"/>
    <row r="24359" ht="12.75" x14ac:dyDescent="0.2"/>
    <row r="24360" ht="12.75" x14ac:dyDescent="0.2"/>
    <row r="24361" ht="12.75" x14ac:dyDescent="0.2"/>
    <row r="24362" ht="12.75" x14ac:dyDescent="0.2"/>
    <row r="24363" ht="12.75" x14ac:dyDescent="0.2"/>
    <row r="24364" ht="12.75" x14ac:dyDescent="0.2"/>
    <row r="24365" ht="12.75" x14ac:dyDescent="0.2"/>
    <row r="24366" ht="12.75" x14ac:dyDescent="0.2"/>
    <row r="24367" ht="12.75" x14ac:dyDescent="0.2"/>
    <row r="24368" ht="12.75" x14ac:dyDescent="0.2"/>
    <row r="24369" ht="12.75" x14ac:dyDescent="0.2"/>
    <row r="24370" ht="12.75" x14ac:dyDescent="0.2"/>
    <row r="24371" ht="12.75" x14ac:dyDescent="0.2"/>
    <row r="24372" ht="12.75" x14ac:dyDescent="0.2"/>
    <row r="24373" ht="12.75" x14ac:dyDescent="0.2"/>
    <row r="24374" ht="12.75" x14ac:dyDescent="0.2"/>
    <row r="24375" ht="12.75" x14ac:dyDescent="0.2"/>
    <row r="24376" ht="12.75" x14ac:dyDescent="0.2"/>
    <row r="24377" ht="12.75" x14ac:dyDescent="0.2"/>
    <row r="24378" ht="12.75" x14ac:dyDescent="0.2"/>
    <row r="24379" ht="12.75" x14ac:dyDescent="0.2"/>
    <row r="24380" ht="12.75" x14ac:dyDescent="0.2"/>
    <row r="24381" ht="12.75" x14ac:dyDescent="0.2"/>
    <row r="24382" ht="12.75" x14ac:dyDescent="0.2"/>
    <row r="24383" ht="12.75" x14ac:dyDescent="0.2"/>
    <row r="24384" ht="12.75" x14ac:dyDescent="0.2"/>
    <row r="24385" ht="12.75" x14ac:dyDescent="0.2"/>
    <row r="24386" ht="12.75" x14ac:dyDescent="0.2"/>
    <row r="24387" ht="12.75" x14ac:dyDescent="0.2"/>
    <row r="24388" ht="12.75" x14ac:dyDescent="0.2"/>
    <row r="24389" ht="12.75" x14ac:dyDescent="0.2"/>
    <row r="24390" ht="12.75" x14ac:dyDescent="0.2"/>
    <row r="24391" ht="12.75" x14ac:dyDescent="0.2"/>
    <row r="24392" ht="12.75" x14ac:dyDescent="0.2"/>
    <row r="24393" ht="12.75" x14ac:dyDescent="0.2"/>
    <row r="24394" ht="12.75" x14ac:dyDescent="0.2"/>
    <row r="24395" ht="12.75" x14ac:dyDescent="0.2"/>
    <row r="24396" ht="12.75" x14ac:dyDescent="0.2"/>
    <row r="24397" ht="12.75" x14ac:dyDescent="0.2"/>
    <row r="24398" ht="12.75" x14ac:dyDescent="0.2"/>
    <row r="24399" ht="12.75" x14ac:dyDescent="0.2"/>
    <row r="24400" ht="12.75" x14ac:dyDescent="0.2"/>
    <row r="24401" ht="12.75" x14ac:dyDescent="0.2"/>
    <row r="24402" ht="12.75" x14ac:dyDescent="0.2"/>
    <row r="24403" ht="12.75" x14ac:dyDescent="0.2"/>
    <row r="24404" ht="12.75" x14ac:dyDescent="0.2"/>
    <row r="24405" ht="12.75" x14ac:dyDescent="0.2"/>
    <row r="24406" ht="12.75" x14ac:dyDescent="0.2"/>
    <row r="24407" ht="12.75" x14ac:dyDescent="0.2"/>
    <row r="24408" ht="12.75" x14ac:dyDescent="0.2"/>
    <row r="24409" ht="12.75" x14ac:dyDescent="0.2"/>
    <row r="24410" ht="12.75" x14ac:dyDescent="0.2"/>
    <row r="24411" ht="12.75" x14ac:dyDescent="0.2"/>
    <row r="24412" ht="12.75" x14ac:dyDescent="0.2"/>
    <row r="24413" ht="12.75" x14ac:dyDescent="0.2"/>
    <row r="24414" ht="12.75" x14ac:dyDescent="0.2"/>
    <row r="24415" ht="12.75" x14ac:dyDescent="0.2"/>
    <row r="24416" ht="12.75" x14ac:dyDescent="0.2"/>
    <row r="24417" ht="12.75" x14ac:dyDescent="0.2"/>
    <row r="24418" ht="12.75" x14ac:dyDescent="0.2"/>
    <row r="24419" ht="12.75" x14ac:dyDescent="0.2"/>
    <row r="24420" ht="12.75" x14ac:dyDescent="0.2"/>
    <row r="24421" ht="12.75" x14ac:dyDescent="0.2"/>
    <row r="24422" ht="12.75" x14ac:dyDescent="0.2"/>
    <row r="24423" ht="12.75" x14ac:dyDescent="0.2"/>
    <row r="24424" ht="12.75" x14ac:dyDescent="0.2"/>
    <row r="24425" ht="12.75" x14ac:dyDescent="0.2"/>
    <row r="24426" ht="12.75" x14ac:dyDescent="0.2"/>
    <row r="24427" ht="12.75" x14ac:dyDescent="0.2"/>
    <row r="24428" ht="12.75" x14ac:dyDescent="0.2"/>
    <row r="24429" ht="12.75" x14ac:dyDescent="0.2"/>
    <row r="24430" ht="12.75" x14ac:dyDescent="0.2"/>
    <row r="24431" ht="12.75" x14ac:dyDescent="0.2"/>
    <row r="24432" ht="12.75" x14ac:dyDescent="0.2"/>
    <row r="24433" ht="12.75" x14ac:dyDescent="0.2"/>
    <row r="24434" ht="12.75" x14ac:dyDescent="0.2"/>
    <row r="24435" ht="12.75" x14ac:dyDescent="0.2"/>
    <row r="24436" ht="12.75" x14ac:dyDescent="0.2"/>
    <row r="24437" ht="12.75" x14ac:dyDescent="0.2"/>
    <row r="24438" ht="12.75" x14ac:dyDescent="0.2"/>
    <row r="24439" ht="12.75" x14ac:dyDescent="0.2"/>
    <row r="24440" ht="12.75" x14ac:dyDescent="0.2"/>
    <row r="24441" ht="12.75" x14ac:dyDescent="0.2"/>
    <row r="24442" ht="12.75" x14ac:dyDescent="0.2"/>
    <row r="24443" ht="12.75" x14ac:dyDescent="0.2"/>
    <row r="24444" ht="12.75" x14ac:dyDescent="0.2"/>
    <row r="24445" ht="12.75" x14ac:dyDescent="0.2"/>
    <row r="24446" ht="12.75" x14ac:dyDescent="0.2"/>
    <row r="24447" ht="12.75" x14ac:dyDescent="0.2"/>
    <row r="24448" ht="12.75" x14ac:dyDescent="0.2"/>
    <row r="24449" ht="12.75" x14ac:dyDescent="0.2"/>
    <row r="24450" ht="12.75" x14ac:dyDescent="0.2"/>
    <row r="24451" ht="12.75" x14ac:dyDescent="0.2"/>
    <row r="24452" ht="12.75" x14ac:dyDescent="0.2"/>
    <row r="24453" ht="12.75" x14ac:dyDescent="0.2"/>
    <row r="24454" ht="12.75" x14ac:dyDescent="0.2"/>
    <row r="24455" ht="12.75" x14ac:dyDescent="0.2"/>
    <row r="24456" ht="12.75" x14ac:dyDescent="0.2"/>
    <row r="24457" ht="12.75" x14ac:dyDescent="0.2"/>
    <row r="24458" ht="12.75" x14ac:dyDescent="0.2"/>
    <row r="24459" ht="12.75" x14ac:dyDescent="0.2"/>
    <row r="24460" ht="12.75" x14ac:dyDescent="0.2"/>
    <row r="24461" ht="12.75" x14ac:dyDescent="0.2"/>
    <row r="24462" ht="12.75" x14ac:dyDescent="0.2"/>
    <row r="24463" ht="12.75" x14ac:dyDescent="0.2"/>
    <row r="24464" ht="12.75" x14ac:dyDescent="0.2"/>
    <row r="24465" ht="12.75" x14ac:dyDescent="0.2"/>
    <row r="24466" ht="12.75" x14ac:dyDescent="0.2"/>
    <row r="24467" ht="12.75" x14ac:dyDescent="0.2"/>
    <row r="24468" ht="12.75" x14ac:dyDescent="0.2"/>
    <row r="24469" ht="12.75" x14ac:dyDescent="0.2"/>
    <row r="24470" ht="12.75" x14ac:dyDescent="0.2"/>
    <row r="24471" ht="12.75" x14ac:dyDescent="0.2"/>
    <row r="24472" ht="12.75" x14ac:dyDescent="0.2"/>
    <row r="24473" ht="12.75" x14ac:dyDescent="0.2"/>
    <row r="24474" ht="12.75" x14ac:dyDescent="0.2"/>
    <row r="24475" ht="12.75" x14ac:dyDescent="0.2"/>
    <row r="24476" ht="12.75" x14ac:dyDescent="0.2"/>
    <row r="24477" ht="12.75" x14ac:dyDescent="0.2"/>
    <row r="24478" ht="12.75" x14ac:dyDescent="0.2"/>
    <row r="24479" ht="12.75" x14ac:dyDescent="0.2"/>
    <row r="24480" ht="12.75" x14ac:dyDescent="0.2"/>
    <row r="24481" ht="12.75" x14ac:dyDescent="0.2"/>
    <row r="24482" ht="12.75" x14ac:dyDescent="0.2"/>
    <row r="24483" ht="12.75" x14ac:dyDescent="0.2"/>
    <row r="24484" ht="12.75" x14ac:dyDescent="0.2"/>
    <row r="24485" ht="12.75" x14ac:dyDescent="0.2"/>
    <row r="24486" ht="12.75" x14ac:dyDescent="0.2"/>
    <row r="24487" ht="12.75" x14ac:dyDescent="0.2"/>
    <row r="24488" ht="12.75" x14ac:dyDescent="0.2"/>
    <row r="24489" ht="12.75" x14ac:dyDescent="0.2"/>
    <row r="24490" ht="12.75" x14ac:dyDescent="0.2"/>
    <row r="24491" ht="12.75" x14ac:dyDescent="0.2"/>
    <row r="24492" ht="12.75" x14ac:dyDescent="0.2"/>
    <row r="24493" ht="12.75" x14ac:dyDescent="0.2"/>
    <row r="24494" ht="12.75" x14ac:dyDescent="0.2"/>
    <row r="24495" ht="12.75" x14ac:dyDescent="0.2"/>
    <row r="24496" ht="12.75" x14ac:dyDescent="0.2"/>
    <row r="24497" ht="12.75" x14ac:dyDescent="0.2"/>
    <row r="24498" ht="12.75" x14ac:dyDescent="0.2"/>
    <row r="24499" ht="12.75" x14ac:dyDescent="0.2"/>
    <row r="24500" ht="12.75" x14ac:dyDescent="0.2"/>
    <row r="24501" ht="12.75" x14ac:dyDescent="0.2"/>
    <row r="24502" ht="12.75" x14ac:dyDescent="0.2"/>
    <row r="24503" ht="12.75" x14ac:dyDescent="0.2"/>
    <row r="24504" ht="12.75" x14ac:dyDescent="0.2"/>
    <row r="24505" ht="12.75" x14ac:dyDescent="0.2"/>
    <row r="24506" ht="12.75" x14ac:dyDescent="0.2"/>
    <row r="24507" ht="12.75" x14ac:dyDescent="0.2"/>
    <row r="24508" ht="12.75" x14ac:dyDescent="0.2"/>
    <row r="24509" ht="12.75" x14ac:dyDescent="0.2"/>
    <row r="24510" ht="12.75" x14ac:dyDescent="0.2"/>
    <row r="24511" ht="12.75" x14ac:dyDescent="0.2"/>
    <row r="24512" ht="12.75" x14ac:dyDescent="0.2"/>
    <row r="24513" ht="12.75" x14ac:dyDescent="0.2"/>
    <row r="24514" ht="12.75" x14ac:dyDescent="0.2"/>
    <row r="24515" ht="12.75" x14ac:dyDescent="0.2"/>
    <row r="24516" ht="12.75" x14ac:dyDescent="0.2"/>
    <row r="24517" ht="12.75" x14ac:dyDescent="0.2"/>
    <row r="24518" ht="12.75" x14ac:dyDescent="0.2"/>
    <row r="24519" ht="12.75" x14ac:dyDescent="0.2"/>
    <row r="24520" ht="12.75" x14ac:dyDescent="0.2"/>
    <row r="24521" ht="12.75" x14ac:dyDescent="0.2"/>
    <row r="24522" ht="12.75" x14ac:dyDescent="0.2"/>
    <row r="24523" ht="12.75" x14ac:dyDescent="0.2"/>
    <row r="24524" ht="12.75" x14ac:dyDescent="0.2"/>
    <row r="24525" ht="12.75" x14ac:dyDescent="0.2"/>
    <row r="24526" ht="12.75" x14ac:dyDescent="0.2"/>
    <row r="24527" ht="12.75" x14ac:dyDescent="0.2"/>
    <row r="24528" ht="12.75" x14ac:dyDescent="0.2"/>
    <row r="24529" ht="12.75" x14ac:dyDescent="0.2"/>
    <row r="24530" ht="12.75" x14ac:dyDescent="0.2"/>
    <row r="24531" ht="12.75" x14ac:dyDescent="0.2"/>
    <row r="24532" ht="12.75" x14ac:dyDescent="0.2"/>
    <row r="24533" ht="12.75" x14ac:dyDescent="0.2"/>
    <row r="24534" ht="12.75" x14ac:dyDescent="0.2"/>
    <row r="24535" ht="12.75" x14ac:dyDescent="0.2"/>
    <row r="24536" ht="12.75" x14ac:dyDescent="0.2"/>
    <row r="24537" ht="12.75" x14ac:dyDescent="0.2"/>
    <row r="24538" ht="12.75" x14ac:dyDescent="0.2"/>
    <row r="24539" ht="12.75" x14ac:dyDescent="0.2"/>
    <row r="24540" ht="12.75" x14ac:dyDescent="0.2"/>
    <row r="24541" ht="12.75" x14ac:dyDescent="0.2"/>
    <row r="24542" ht="12.75" x14ac:dyDescent="0.2"/>
    <row r="24543" ht="12.75" x14ac:dyDescent="0.2"/>
    <row r="24544" ht="12.75" x14ac:dyDescent="0.2"/>
    <row r="24545" ht="12.75" x14ac:dyDescent="0.2"/>
    <row r="24546" ht="12.75" x14ac:dyDescent="0.2"/>
    <row r="24547" ht="12.75" x14ac:dyDescent="0.2"/>
    <row r="24548" ht="12.75" x14ac:dyDescent="0.2"/>
    <row r="24549" ht="12.75" x14ac:dyDescent="0.2"/>
    <row r="24550" ht="12.75" x14ac:dyDescent="0.2"/>
    <row r="24551" ht="12.75" x14ac:dyDescent="0.2"/>
    <row r="24552" ht="12.75" x14ac:dyDescent="0.2"/>
    <row r="24553" ht="12.75" x14ac:dyDescent="0.2"/>
    <row r="24554" ht="12.75" x14ac:dyDescent="0.2"/>
    <row r="24555" ht="12.75" x14ac:dyDescent="0.2"/>
    <row r="24556" ht="12.75" x14ac:dyDescent="0.2"/>
    <row r="24557" ht="12.75" x14ac:dyDescent="0.2"/>
    <row r="24558" ht="12.75" x14ac:dyDescent="0.2"/>
    <row r="24559" ht="12.75" x14ac:dyDescent="0.2"/>
    <row r="24560" ht="12.75" x14ac:dyDescent="0.2"/>
    <row r="24561" ht="12.75" x14ac:dyDescent="0.2"/>
    <row r="24562" ht="12.75" x14ac:dyDescent="0.2"/>
    <row r="24563" ht="12.75" x14ac:dyDescent="0.2"/>
    <row r="24564" ht="12.75" x14ac:dyDescent="0.2"/>
    <row r="24565" ht="12.75" x14ac:dyDescent="0.2"/>
    <row r="24566" ht="12.75" x14ac:dyDescent="0.2"/>
    <row r="24567" ht="12.75" x14ac:dyDescent="0.2"/>
    <row r="24568" ht="12.75" x14ac:dyDescent="0.2"/>
    <row r="24569" ht="12.75" x14ac:dyDescent="0.2"/>
    <row r="24570" ht="12.75" x14ac:dyDescent="0.2"/>
    <row r="24571" ht="12.75" x14ac:dyDescent="0.2"/>
    <row r="24572" ht="12.75" x14ac:dyDescent="0.2"/>
    <row r="24573" ht="12.75" x14ac:dyDescent="0.2"/>
    <row r="24574" ht="12.75" x14ac:dyDescent="0.2"/>
    <row r="24575" ht="12.75" x14ac:dyDescent="0.2"/>
    <row r="24576" ht="12.75" x14ac:dyDescent="0.2"/>
    <row r="24577" ht="12.75" x14ac:dyDescent="0.2"/>
    <row r="24578" ht="12.75" x14ac:dyDescent="0.2"/>
    <row r="24579" ht="12.75" x14ac:dyDescent="0.2"/>
    <row r="24580" ht="12.75" x14ac:dyDescent="0.2"/>
    <row r="24581" ht="12.75" x14ac:dyDescent="0.2"/>
    <row r="24582" ht="12.75" x14ac:dyDescent="0.2"/>
    <row r="24583" ht="12.75" x14ac:dyDescent="0.2"/>
    <row r="24584" ht="12.75" x14ac:dyDescent="0.2"/>
    <row r="24585" ht="12.75" x14ac:dyDescent="0.2"/>
    <row r="24586" ht="12.75" x14ac:dyDescent="0.2"/>
    <row r="24587" ht="12.75" x14ac:dyDescent="0.2"/>
    <row r="24588" ht="12.75" x14ac:dyDescent="0.2"/>
    <row r="24589" ht="12.75" x14ac:dyDescent="0.2"/>
    <row r="24590" ht="12.75" x14ac:dyDescent="0.2"/>
    <row r="24591" ht="12.75" x14ac:dyDescent="0.2"/>
    <row r="24592" ht="12.75" x14ac:dyDescent="0.2"/>
    <row r="24593" ht="12.75" x14ac:dyDescent="0.2"/>
    <row r="24594" ht="12.75" x14ac:dyDescent="0.2"/>
    <row r="24595" ht="12.75" x14ac:dyDescent="0.2"/>
    <row r="24596" ht="12.75" x14ac:dyDescent="0.2"/>
    <row r="24597" ht="12.75" x14ac:dyDescent="0.2"/>
    <row r="24598" ht="12.75" x14ac:dyDescent="0.2"/>
    <row r="24599" ht="12.75" x14ac:dyDescent="0.2"/>
    <row r="24600" ht="12.75" x14ac:dyDescent="0.2"/>
    <row r="24601" ht="12.75" x14ac:dyDescent="0.2"/>
    <row r="24602" ht="12.75" x14ac:dyDescent="0.2"/>
    <row r="24603" ht="12.75" x14ac:dyDescent="0.2"/>
    <row r="24604" ht="12.75" x14ac:dyDescent="0.2"/>
    <row r="24605" ht="12.75" x14ac:dyDescent="0.2"/>
    <row r="24606" ht="12.75" x14ac:dyDescent="0.2"/>
    <row r="24607" ht="12.75" x14ac:dyDescent="0.2"/>
    <row r="24608" ht="12.75" x14ac:dyDescent="0.2"/>
    <row r="24609" ht="12.75" x14ac:dyDescent="0.2"/>
    <row r="24610" ht="12.75" x14ac:dyDescent="0.2"/>
    <row r="24611" ht="12.75" x14ac:dyDescent="0.2"/>
    <row r="24612" ht="12.75" x14ac:dyDescent="0.2"/>
    <row r="24613" ht="12.75" x14ac:dyDescent="0.2"/>
    <row r="24614" ht="12.75" x14ac:dyDescent="0.2"/>
    <row r="24615" ht="12.75" x14ac:dyDescent="0.2"/>
    <row r="24616" ht="12.75" x14ac:dyDescent="0.2"/>
    <row r="24617" ht="12.75" x14ac:dyDescent="0.2"/>
    <row r="24618" ht="12.75" x14ac:dyDescent="0.2"/>
    <row r="24619" ht="12.75" x14ac:dyDescent="0.2"/>
    <row r="24620" ht="12.75" x14ac:dyDescent="0.2"/>
    <row r="24621" ht="12.75" x14ac:dyDescent="0.2"/>
    <row r="24622" ht="12.75" x14ac:dyDescent="0.2"/>
    <row r="24623" ht="12.75" x14ac:dyDescent="0.2"/>
    <row r="24624" ht="12.75" x14ac:dyDescent="0.2"/>
    <row r="24625" ht="12.75" x14ac:dyDescent="0.2"/>
    <row r="24626" ht="12.75" x14ac:dyDescent="0.2"/>
    <row r="24627" ht="12.75" x14ac:dyDescent="0.2"/>
    <row r="24628" ht="12.75" x14ac:dyDescent="0.2"/>
    <row r="24629" ht="12.75" x14ac:dyDescent="0.2"/>
    <row r="24630" ht="12.75" x14ac:dyDescent="0.2"/>
    <row r="24631" ht="12.75" x14ac:dyDescent="0.2"/>
    <row r="24632" ht="12.75" x14ac:dyDescent="0.2"/>
    <row r="24633" ht="12.75" x14ac:dyDescent="0.2"/>
    <row r="24634" ht="12.75" x14ac:dyDescent="0.2"/>
    <row r="24635" ht="12.75" x14ac:dyDescent="0.2"/>
    <row r="24636" ht="12.75" x14ac:dyDescent="0.2"/>
    <row r="24637" ht="12.75" x14ac:dyDescent="0.2"/>
    <row r="24638" ht="12.75" x14ac:dyDescent="0.2"/>
    <row r="24639" ht="12.75" x14ac:dyDescent="0.2"/>
    <row r="24640" ht="12.75" x14ac:dyDescent="0.2"/>
    <row r="24641" ht="12.75" x14ac:dyDescent="0.2"/>
    <row r="24642" ht="12.75" x14ac:dyDescent="0.2"/>
    <row r="24643" ht="12.75" x14ac:dyDescent="0.2"/>
    <row r="24644" ht="12.75" x14ac:dyDescent="0.2"/>
    <row r="24645" ht="12.75" x14ac:dyDescent="0.2"/>
    <row r="24646" ht="12.75" x14ac:dyDescent="0.2"/>
    <row r="24647" ht="12.75" x14ac:dyDescent="0.2"/>
    <row r="24648" ht="12.75" x14ac:dyDescent="0.2"/>
    <row r="24649" ht="12.75" x14ac:dyDescent="0.2"/>
    <row r="24650" ht="12.75" x14ac:dyDescent="0.2"/>
    <row r="24651" ht="12.75" x14ac:dyDescent="0.2"/>
    <row r="24652" ht="12.75" x14ac:dyDescent="0.2"/>
    <row r="24653" ht="12.75" x14ac:dyDescent="0.2"/>
    <row r="24654" ht="12.75" x14ac:dyDescent="0.2"/>
    <row r="24655" ht="12.75" x14ac:dyDescent="0.2"/>
    <row r="24656" ht="12.75" x14ac:dyDescent="0.2"/>
    <row r="24657" ht="12.75" x14ac:dyDescent="0.2"/>
    <row r="24658" ht="12.75" x14ac:dyDescent="0.2"/>
    <row r="24659" ht="12.75" x14ac:dyDescent="0.2"/>
    <row r="24660" ht="12.75" x14ac:dyDescent="0.2"/>
    <row r="24661" ht="12.75" x14ac:dyDescent="0.2"/>
    <row r="24662" ht="12.75" x14ac:dyDescent="0.2"/>
    <row r="24663" ht="12.75" x14ac:dyDescent="0.2"/>
    <row r="24664" ht="12.75" x14ac:dyDescent="0.2"/>
    <row r="24665" ht="12.75" x14ac:dyDescent="0.2"/>
    <row r="24666" ht="12.75" x14ac:dyDescent="0.2"/>
    <row r="24667" ht="12.75" x14ac:dyDescent="0.2"/>
    <row r="24668" ht="12.75" x14ac:dyDescent="0.2"/>
    <row r="24669" ht="12.75" x14ac:dyDescent="0.2"/>
    <row r="24670" ht="12.75" x14ac:dyDescent="0.2"/>
    <row r="24671" ht="12.75" x14ac:dyDescent="0.2"/>
    <row r="24672" ht="12.75" x14ac:dyDescent="0.2"/>
    <row r="24673" ht="12.75" x14ac:dyDescent="0.2"/>
    <row r="24674" ht="12.75" x14ac:dyDescent="0.2"/>
    <row r="24675" ht="12.75" x14ac:dyDescent="0.2"/>
    <row r="24676" ht="12.75" x14ac:dyDescent="0.2"/>
    <row r="24677" ht="12.75" x14ac:dyDescent="0.2"/>
    <row r="24678" ht="12.75" x14ac:dyDescent="0.2"/>
    <row r="24679" ht="12.75" x14ac:dyDescent="0.2"/>
    <row r="24680" ht="12.75" x14ac:dyDescent="0.2"/>
    <row r="24681" ht="12.75" x14ac:dyDescent="0.2"/>
    <row r="24682" ht="12.75" x14ac:dyDescent="0.2"/>
    <row r="24683" ht="12.75" x14ac:dyDescent="0.2"/>
    <row r="24684" ht="12.75" x14ac:dyDescent="0.2"/>
    <row r="24685" ht="12.75" x14ac:dyDescent="0.2"/>
    <row r="24686" ht="12.75" x14ac:dyDescent="0.2"/>
    <row r="24687" ht="12.75" x14ac:dyDescent="0.2"/>
    <row r="24688" ht="12.75" x14ac:dyDescent="0.2"/>
    <row r="24689" ht="12.75" x14ac:dyDescent="0.2"/>
    <row r="24690" ht="12.75" x14ac:dyDescent="0.2"/>
    <row r="24691" ht="12.75" x14ac:dyDescent="0.2"/>
    <row r="24692" ht="12.75" x14ac:dyDescent="0.2"/>
    <row r="24693" ht="12.75" x14ac:dyDescent="0.2"/>
    <row r="24694" ht="12.75" x14ac:dyDescent="0.2"/>
    <row r="24695" ht="12.75" x14ac:dyDescent="0.2"/>
    <row r="24696" ht="12.75" x14ac:dyDescent="0.2"/>
    <row r="24697" ht="12.75" x14ac:dyDescent="0.2"/>
    <row r="24698" ht="12.75" x14ac:dyDescent="0.2"/>
    <row r="24699" ht="12.75" x14ac:dyDescent="0.2"/>
    <row r="24700" ht="12.75" x14ac:dyDescent="0.2"/>
    <row r="24701" ht="12.75" x14ac:dyDescent="0.2"/>
    <row r="24702" ht="12.75" x14ac:dyDescent="0.2"/>
    <row r="24703" ht="12.75" x14ac:dyDescent="0.2"/>
    <row r="24704" ht="12.75" x14ac:dyDescent="0.2"/>
    <row r="24705" ht="12.75" x14ac:dyDescent="0.2"/>
    <row r="24706" ht="12.75" x14ac:dyDescent="0.2"/>
    <row r="24707" ht="12.75" x14ac:dyDescent="0.2"/>
    <row r="24708" ht="12.75" x14ac:dyDescent="0.2"/>
    <row r="24709" ht="12.75" x14ac:dyDescent="0.2"/>
    <row r="24710" ht="12.75" x14ac:dyDescent="0.2"/>
    <row r="24711" ht="12.75" x14ac:dyDescent="0.2"/>
    <row r="24712" ht="12.75" x14ac:dyDescent="0.2"/>
    <row r="24713" ht="12.75" x14ac:dyDescent="0.2"/>
    <row r="24714" ht="12.75" x14ac:dyDescent="0.2"/>
    <row r="24715" ht="12.75" x14ac:dyDescent="0.2"/>
    <row r="24716" ht="12.75" x14ac:dyDescent="0.2"/>
    <row r="24717" ht="12.75" x14ac:dyDescent="0.2"/>
    <row r="24718" ht="12.75" x14ac:dyDescent="0.2"/>
    <row r="24719" ht="12.75" x14ac:dyDescent="0.2"/>
    <row r="24720" ht="12.75" x14ac:dyDescent="0.2"/>
    <row r="24721" ht="12.75" x14ac:dyDescent="0.2"/>
    <row r="24722" ht="12.75" x14ac:dyDescent="0.2"/>
    <row r="24723" ht="12.75" x14ac:dyDescent="0.2"/>
    <row r="24724" ht="12.75" x14ac:dyDescent="0.2"/>
    <row r="24725" ht="12.75" x14ac:dyDescent="0.2"/>
    <row r="24726" ht="12.75" x14ac:dyDescent="0.2"/>
    <row r="24727" ht="12.75" x14ac:dyDescent="0.2"/>
    <row r="24728" ht="12.75" x14ac:dyDescent="0.2"/>
    <row r="24729" ht="12.75" x14ac:dyDescent="0.2"/>
    <row r="24730" ht="12.75" x14ac:dyDescent="0.2"/>
    <row r="24731" ht="12.75" x14ac:dyDescent="0.2"/>
    <row r="24732" ht="12.75" x14ac:dyDescent="0.2"/>
    <row r="24733" ht="12.75" x14ac:dyDescent="0.2"/>
    <row r="24734" ht="12.75" x14ac:dyDescent="0.2"/>
    <row r="24735" ht="12.75" x14ac:dyDescent="0.2"/>
    <row r="24736" ht="12.75" x14ac:dyDescent="0.2"/>
    <row r="24737" ht="12.75" x14ac:dyDescent="0.2"/>
    <row r="24738" ht="12.75" x14ac:dyDescent="0.2"/>
    <row r="24739" ht="12.75" x14ac:dyDescent="0.2"/>
    <row r="24740" ht="12.75" x14ac:dyDescent="0.2"/>
    <row r="24741" ht="12.75" x14ac:dyDescent="0.2"/>
    <row r="24742" ht="12.75" x14ac:dyDescent="0.2"/>
    <row r="24743" ht="12.75" x14ac:dyDescent="0.2"/>
    <row r="24744" ht="12.75" x14ac:dyDescent="0.2"/>
    <row r="24745" ht="12.75" x14ac:dyDescent="0.2"/>
    <row r="24746" ht="12.75" x14ac:dyDescent="0.2"/>
    <row r="24747" ht="12.75" x14ac:dyDescent="0.2"/>
    <row r="24748" ht="12.75" x14ac:dyDescent="0.2"/>
    <row r="24749" ht="12.75" x14ac:dyDescent="0.2"/>
    <row r="24750" ht="12.75" x14ac:dyDescent="0.2"/>
    <row r="24751" ht="12.75" x14ac:dyDescent="0.2"/>
    <row r="24752" ht="12.75" x14ac:dyDescent="0.2"/>
    <row r="24753" ht="12.75" x14ac:dyDescent="0.2"/>
    <row r="24754" ht="12.75" x14ac:dyDescent="0.2"/>
    <row r="24755" ht="12.75" x14ac:dyDescent="0.2"/>
    <row r="24756" ht="12.75" x14ac:dyDescent="0.2"/>
    <row r="24757" ht="12.75" x14ac:dyDescent="0.2"/>
    <row r="24758" ht="12.75" x14ac:dyDescent="0.2"/>
    <row r="24759" ht="12.75" x14ac:dyDescent="0.2"/>
    <row r="24760" ht="12.75" x14ac:dyDescent="0.2"/>
    <row r="24761" ht="12.75" x14ac:dyDescent="0.2"/>
    <row r="24762" ht="12.75" x14ac:dyDescent="0.2"/>
    <row r="24763" ht="12.75" x14ac:dyDescent="0.2"/>
    <row r="24764" ht="12.75" x14ac:dyDescent="0.2"/>
    <row r="24765" ht="12.75" x14ac:dyDescent="0.2"/>
    <row r="24766" ht="12.75" x14ac:dyDescent="0.2"/>
    <row r="24767" ht="12.75" x14ac:dyDescent="0.2"/>
    <row r="24768" ht="12.75" x14ac:dyDescent="0.2"/>
    <row r="24769" ht="12.75" x14ac:dyDescent="0.2"/>
    <row r="24770" ht="12.75" x14ac:dyDescent="0.2"/>
    <row r="24771" ht="12.75" x14ac:dyDescent="0.2"/>
    <row r="24772" ht="12.75" x14ac:dyDescent="0.2"/>
    <row r="24773" ht="12.75" x14ac:dyDescent="0.2"/>
    <row r="24774" ht="12.75" x14ac:dyDescent="0.2"/>
    <row r="24775" ht="12.75" x14ac:dyDescent="0.2"/>
    <row r="24776" ht="12.75" x14ac:dyDescent="0.2"/>
    <row r="24777" ht="12.75" x14ac:dyDescent="0.2"/>
    <row r="24778" ht="12.75" x14ac:dyDescent="0.2"/>
    <row r="24779" ht="12.75" x14ac:dyDescent="0.2"/>
    <row r="24780" ht="12.75" x14ac:dyDescent="0.2"/>
    <row r="24781" ht="12.75" x14ac:dyDescent="0.2"/>
    <row r="24782" ht="12.75" x14ac:dyDescent="0.2"/>
    <row r="24783" ht="12.75" x14ac:dyDescent="0.2"/>
    <row r="24784" ht="12.75" x14ac:dyDescent="0.2"/>
    <row r="24785" ht="12.75" x14ac:dyDescent="0.2"/>
    <row r="24786" ht="12.75" x14ac:dyDescent="0.2"/>
    <row r="24787" ht="12.75" x14ac:dyDescent="0.2"/>
    <row r="24788" ht="12.75" x14ac:dyDescent="0.2"/>
    <row r="24789" ht="12.75" x14ac:dyDescent="0.2"/>
    <row r="24790" ht="12.75" x14ac:dyDescent="0.2"/>
    <row r="24791" ht="12.75" x14ac:dyDescent="0.2"/>
    <row r="24792" ht="12.75" x14ac:dyDescent="0.2"/>
    <row r="24793" ht="12.75" x14ac:dyDescent="0.2"/>
    <row r="24794" ht="12.75" x14ac:dyDescent="0.2"/>
    <row r="24795" ht="12.75" x14ac:dyDescent="0.2"/>
    <row r="24796" ht="12.75" x14ac:dyDescent="0.2"/>
    <row r="24797" ht="12.75" x14ac:dyDescent="0.2"/>
    <row r="24798" ht="12.75" x14ac:dyDescent="0.2"/>
    <row r="24799" ht="12.75" x14ac:dyDescent="0.2"/>
    <row r="24800" ht="12.75" x14ac:dyDescent="0.2"/>
    <row r="24801" ht="12.75" x14ac:dyDescent="0.2"/>
    <row r="24802" ht="12.75" x14ac:dyDescent="0.2"/>
    <row r="24803" ht="12.75" x14ac:dyDescent="0.2"/>
    <row r="24804" ht="12.75" x14ac:dyDescent="0.2"/>
    <row r="24805" ht="12.75" x14ac:dyDescent="0.2"/>
    <row r="24806" ht="12.75" x14ac:dyDescent="0.2"/>
    <row r="24807" ht="12.75" x14ac:dyDescent="0.2"/>
    <row r="24808" ht="12.75" x14ac:dyDescent="0.2"/>
    <row r="24809" ht="12.75" x14ac:dyDescent="0.2"/>
    <row r="24810" ht="12.75" x14ac:dyDescent="0.2"/>
    <row r="24811" ht="12.75" x14ac:dyDescent="0.2"/>
    <row r="24812" ht="12.75" x14ac:dyDescent="0.2"/>
    <row r="24813" ht="12.75" x14ac:dyDescent="0.2"/>
    <row r="24814" ht="12.75" x14ac:dyDescent="0.2"/>
    <row r="24815" ht="12.75" x14ac:dyDescent="0.2"/>
    <row r="24816" ht="12.75" x14ac:dyDescent="0.2"/>
    <row r="24817" ht="12.75" x14ac:dyDescent="0.2"/>
    <row r="24818" ht="12.75" x14ac:dyDescent="0.2"/>
    <row r="24819" ht="12.75" x14ac:dyDescent="0.2"/>
    <row r="24820" ht="12.75" x14ac:dyDescent="0.2"/>
    <row r="24821" ht="12.75" x14ac:dyDescent="0.2"/>
    <row r="24822" ht="12.75" x14ac:dyDescent="0.2"/>
    <row r="24823" ht="12.75" x14ac:dyDescent="0.2"/>
    <row r="24824" ht="12.75" x14ac:dyDescent="0.2"/>
    <row r="24825" ht="12.75" x14ac:dyDescent="0.2"/>
    <row r="24826" ht="12.75" x14ac:dyDescent="0.2"/>
    <row r="24827" ht="12.75" x14ac:dyDescent="0.2"/>
    <row r="24828" ht="12.75" x14ac:dyDescent="0.2"/>
    <row r="24829" ht="12.75" x14ac:dyDescent="0.2"/>
    <row r="24830" ht="12.75" x14ac:dyDescent="0.2"/>
    <row r="24831" ht="12.75" x14ac:dyDescent="0.2"/>
    <row r="24832" ht="12.75" x14ac:dyDescent="0.2"/>
    <row r="24833" ht="12.75" x14ac:dyDescent="0.2"/>
    <row r="24834" ht="12.75" x14ac:dyDescent="0.2"/>
    <row r="24835" ht="12.75" x14ac:dyDescent="0.2"/>
    <row r="24836" ht="12.75" x14ac:dyDescent="0.2"/>
    <row r="24837" ht="12.75" x14ac:dyDescent="0.2"/>
    <row r="24838" ht="12.75" x14ac:dyDescent="0.2"/>
    <row r="24839" ht="12.75" x14ac:dyDescent="0.2"/>
    <row r="24840" ht="12.75" x14ac:dyDescent="0.2"/>
    <row r="24841" ht="12.75" x14ac:dyDescent="0.2"/>
    <row r="24842" ht="12.75" x14ac:dyDescent="0.2"/>
    <row r="24843" ht="12.75" x14ac:dyDescent="0.2"/>
    <row r="24844" ht="12.75" x14ac:dyDescent="0.2"/>
    <row r="24845" ht="12.75" x14ac:dyDescent="0.2"/>
    <row r="24846" ht="12.75" x14ac:dyDescent="0.2"/>
    <row r="24847" ht="12.75" x14ac:dyDescent="0.2"/>
    <row r="24848" ht="12.75" x14ac:dyDescent="0.2"/>
    <row r="24849" ht="12.75" x14ac:dyDescent="0.2"/>
    <row r="24850" ht="12.75" x14ac:dyDescent="0.2"/>
    <row r="24851" ht="12.75" x14ac:dyDescent="0.2"/>
    <row r="24852" ht="12.75" x14ac:dyDescent="0.2"/>
    <row r="24853" ht="12.75" x14ac:dyDescent="0.2"/>
    <row r="24854" ht="12.75" x14ac:dyDescent="0.2"/>
    <row r="24855" ht="12.75" x14ac:dyDescent="0.2"/>
    <row r="24856" ht="12.75" x14ac:dyDescent="0.2"/>
    <row r="24857" ht="12.75" x14ac:dyDescent="0.2"/>
    <row r="24858" ht="12.75" x14ac:dyDescent="0.2"/>
    <row r="24859" ht="12.75" x14ac:dyDescent="0.2"/>
    <row r="24860" ht="12.75" x14ac:dyDescent="0.2"/>
    <row r="24861" ht="12.75" x14ac:dyDescent="0.2"/>
    <row r="24862" ht="12.75" x14ac:dyDescent="0.2"/>
    <row r="24863" ht="12.75" x14ac:dyDescent="0.2"/>
    <row r="24864" ht="12.75" x14ac:dyDescent="0.2"/>
    <row r="24865" ht="12.75" x14ac:dyDescent="0.2"/>
    <row r="24866" ht="12.75" x14ac:dyDescent="0.2"/>
    <row r="24867" ht="12.75" x14ac:dyDescent="0.2"/>
    <row r="24868" ht="12.75" x14ac:dyDescent="0.2"/>
    <row r="24869" ht="12.75" x14ac:dyDescent="0.2"/>
    <row r="24870" ht="12.75" x14ac:dyDescent="0.2"/>
    <row r="24871" ht="12.75" x14ac:dyDescent="0.2"/>
    <row r="24872" ht="12.75" x14ac:dyDescent="0.2"/>
    <row r="24873" ht="12.75" x14ac:dyDescent="0.2"/>
    <row r="24874" ht="12.75" x14ac:dyDescent="0.2"/>
    <row r="24875" ht="12.75" x14ac:dyDescent="0.2"/>
    <row r="24876" ht="12.75" x14ac:dyDescent="0.2"/>
    <row r="24877" ht="12.75" x14ac:dyDescent="0.2"/>
    <row r="24878" ht="12.75" x14ac:dyDescent="0.2"/>
    <row r="24879" ht="12.75" x14ac:dyDescent="0.2"/>
    <row r="24880" ht="12.75" x14ac:dyDescent="0.2"/>
    <row r="24881" ht="12.75" x14ac:dyDescent="0.2"/>
    <row r="24882" ht="12.75" x14ac:dyDescent="0.2"/>
    <row r="24883" ht="12.75" x14ac:dyDescent="0.2"/>
    <row r="24884" ht="12.75" x14ac:dyDescent="0.2"/>
    <row r="24885" ht="12.75" x14ac:dyDescent="0.2"/>
    <row r="24886" ht="12.75" x14ac:dyDescent="0.2"/>
    <row r="24887" ht="12.75" x14ac:dyDescent="0.2"/>
    <row r="24888" ht="12.75" x14ac:dyDescent="0.2"/>
    <row r="24889" ht="12.75" x14ac:dyDescent="0.2"/>
    <row r="24890" ht="12.75" x14ac:dyDescent="0.2"/>
    <row r="24891" ht="12.75" x14ac:dyDescent="0.2"/>
    <row r="24892" ht="12.75" x14ac:dyDescent="0.2"/>
    <row r="24893" ht="12.75" x14ac:dyDescent="0.2"/>
    <row r="24894" ht="12.75" x14ac:dyDescent="0.2"/>
    <row r="24895" ht="12.75" x14ac:dyDescent="0.2"/>
    <row r="24896" ht="12.75" x14ac:dyDescent="0.2"/>
    <row r="24897" ht="12.75" x14ac:dyDescent="0.2"/>
    <row r="24898" ht="12.75" x14ac:dyDescent="0.2"/>
    <row r="24899" ht="12.75" x14ac:dyDescent="0.2"/>
    <row r="24900" ht="12.75" x14ac:dyDescent="0.2"/>
    <row r="24901" ht="12.75" x14ac:dyDescent="0.2"/>
    <row r="24902" ht="12.75" x14ac:dyDescent="0.2"/>
    <row r="24903" ht="12.75" x14ac:dyDescent="0.2"/>
    <row r="24904" ht="12.75" x14ac:dyDescent="0.2"/>
    <row r="24905" ht="12.75" x14ac:dyDescent="0.2"/>
    <row r="24906" ht="12.75" x14ac:dyDescent="0.2"/>
    <row r="24907" ht="12.75" x14ac:dyDescent="0.2"/>
    <row r="24908" ht="12.75" x14ac:dyDescent="0.2"/>
    <row r="24909" ht="12.75" x14ac:dyDescent="0.2"/>
    <row r="24910" ht="12.75" x14ac:dyDescent="0.2"/>
    <row r="24911" ht="12.75" x14ac:dyDescent="0.2"/>
    <row r="24912" ht="12.75" x14ac:dyDescent="0.2"/>
    <row r="24913" ht="12.75" x14ac:dyDescent="0.2"/>
    <row r="24914" ht="12.75" x14ac:dyDescent="0.2"/>
    <row r="24915" ht="12.75" x14ac:dyDescent="0.2"/>
    <row r="24916" ht="12.75" x14ac:dyDescent="0.2"/>
    <row r="24917" ht="12.75" x14ac:dyDescent="0.2"/>
    <row r="24918" ht="12.75" x14ac:dyDescent="0.2"/>
    <row r="24919" ht="12.75" x14ac:dyDescent="0.2"/>
    <row r="24920" ht="12.75" x14ac:dyDescent="0.2"/>
    <row r="24921" ht="12.75" x14ac:dyDescent="0.2"/>
    <row r="24922" ht="12.75" x14ac:dyDescent="0.2"/>
    <row r="24923" ht="12.75" x14ac:dyDescent="0.2"/>
    <row r="24924" ht="12.75" x14ac:dyDescent="0.2"/>
    <row r="24925" ht="12.75" x14ac:dyDescent="0.2"/>
    <row r="24926" ht="12.75" x14ac:dyDescent="0.2"/>
    <row r="24927" ht="12.75" x14ac:dyDescent="0.2"/>
    <row r="24928" ht="12.75" x14ac:dyDescent="0.2"/>
    <row r="24929" ht="12.75" x14ac:dyDescent="0.2"/>
    <row r="24930" ht="12.75" x14ac:dyDescent="0.2"/>
    <row r="24931" ht="12.75" x14ac:dyDescent="0.2"/>
    <row r="24932" ht="12.75" x14ac:dyDescent="0.2"/>
    <row r="24933" ht="12.75" x14ac:dyDescent="0.2"/>
    <row r="24934" ht="12.75" x14ac:dyDescent="0.2"/>
    <row r="24935" ht="12.75" x14ac:dyDescent="0.2"/>
    <row r="24936" ht="12.75" x14ac:dyDescent="0.2"/>
    <row r="24937" ht="12.75" x14ac:dyDescent="0.2"/>
    <row r="24938" ht="12.75" x14ac:dyDescent="0.2"/>
    <row r="24939" ht="12.75" x14ac:dyDescent="0.2"/>
    <row r="24940" ht="12.75" x14ac:dyDescent="0.2"/>
    <row r="24941" ht="12.75" x14ac:dyDescent="0.2"/>
    <row r="24942" ht="12.75" x14ac:dyDescent="0.2"/>
    <row r="24943" ht="12.75" x14ac:dyDescent="0.2"/>
    <row r="24944" ht="12.75" x14ac:dyDescent="0.2"/>
    <row r="24945" ht="12.75" x14ac:dyDescent="0.2"/>
    <row r="24946" ht="12.75" x14ac:dyDescent="0.2"/>
    <row r="24947" ht="12.75" x14ac:dyDescent="0.2"/>
    <row r="24948" ht="12.75" x14ac:dyDescent="0.2"/>
    <row r="24949" ht="12.75" x14ac:dyDescent="0.2"/>
    <row r="24950" ht="12.75" x14ac:dyDescent="0.2"/>
    <row r="24951" ht="12.75" x14ac:dyDescent="0.2"/>
    <row r="24952" ht="12.75" x14ac:dyDescent="0.2"/>
    <row r="24953" ht="12.75" x14ac:dyDescent="0.2"/>
    <row r="24954" ht="12.75" x14ac:dyDescent="0.2"/>
    <row r="24955" ht="12.75" x14ac:dyDescent="0.2"/>
    <row r="24956" ht="12.75" x14ac:dyDescent="0.2"/>
    <row r="24957" ht="12.75" x14ac:dyDescent="0.2"/>
    <row r="24958" ht="12.75" x14ac:dyDescent="0.2"/>
    <row r="24959" ht="12.75" x14ac:dyDescent="0.2"/>
    <row r="24960" ht="12.75" x14ac:dyDescent="0.2"/>
    <row r="24961" ht="12.75" x14ac:dyDescent="0.2"/>
    <row r="24962" ht="12.75" x14ac:dyDescent="0.2"/>
    <row r="24963" ht="12.75" x14ac:dyDescent="0.2"/>
    <row r="24964" ht="12.75" x14ac:dyDescent="0.2"/>
    <row r="24965" ht="12.75" x14ac:dyDescent="0.2"/>
    <row r="24966" ht="12.75" x14ac:dyDescent="0.2"/>
    <row r="24967" ht="12.75" x14ac:dyDescent="0.2"/>
    <row r="24968" ht="12.75" x14ac:dyDescent="0.2"/>
    <row r="24969" ht="12.75" x14ac:dyDescent="0.2"/>
    <row r="24970" ht="12.75" x14ac:dyDescent="0.2"/>
    <row r="24971" ht="12.75" x14ac:dyDescent="0.2"/>
    <row r="24972" ht="12.75" x14ac:dyDescent="0.2"/>
    <row r="24973" ht="12.75" x14ac:dyDescent="0.2"/>
    <row r="24974" ht="12.75" x14ac:dyDescent="0.2"/>
    <row r="24975" ht="12.75" x14ac:dyDescent="0.2"/>
    <row r="24976" ht="12.75" x14ac:dyDescent="0.2"/>
    <row r="24977" ht="12.75" x14ac:dyDescent="0.2"/>
    <row r="24978" ht="12.75" x14ac:dyDescent="0.2"/>
    <row r="24979" ht="12.75" x14ac:dyDescent="0.2"/>
    <row r="24980" ht="12.75" x14ac:dyDescent="0.2"/>
    <row r="24981" ht="12.75" x14ac:dyDescent="0.2"/>
    <row r="24982" ht="12.75" x14ac:dyDescent="0.2"/>
    <row r="24983" ht="12.75" x14ac:dyDescent="0.2"/>
    <row r="24984" ht="12.75" x14ac:dyDescent="0.2"/>
    <row r="24985" ht="12.75" x14ac:dyDescent="0.2"/>
    <row r="24986" ht="12.75" x14ac:dyDescent="0.2"/>
    <row r="24987" ht="12.75" x14ac:dyDescent="0.2"/>
    <row r="24988" ht="12.75" x14ac:dyDescent="0.2"/>
    <row r="24989" ht="12.75" x14ac:dyDescent="0.2"/>
    <row r="24990" ht="12.75" x14ac:dyDescent="0.2"/>
    <row r="24991" ht="12.75" x14ac:dyDescent="0.2"/>
    <row r="24992" ht="12.75" x14ac:dyDescent="0.2"/>
    <row r="24993" ht="12.75" x14ac:dyDescent="0.2"/>
    <row r="24994" ht="12.75" x14ac:dyDescent="0.2"/>
    <row r="24995" ht="12.75" x14ac:dyDescent="0.2"/>
    <row r="24996" ht="12.75" x14ac:dyDescent="0.2"/>
    <row r="24997" ht="12.75" x14ac:dyDescent="0.2"/>
    <row r="24998" ht="12.75" x14ac:dyDescent="0.2"/>
    <row r="24999" ht="12.75" x14ac:dyDescent="0.2"/>
    <row r="25000" ht="12.75" x14ac:dyDescent="0.2"/>
    <row r="25001" ht="12.75" x14ac:dyDescent="0.2"/>
    <row r="25002" ht="12.75" x14ac:dyDescent="0.2"/>
    <row r="25003" ht="12.75" x14ac:dyDescent="0.2"/>
    <row r="25004" ht="12.75" x14ac:dyDescent="0.2"/>
    <row r="25005" ht="12.75" x14ac:dyDescent="0.2"/>
    <row r="25006" ht="12.75" x14ac:dyDescent="0.2"/>
    <row r="25007" ht="12.75" x14ac:dyDescent="0.2"/>
    <row r="25008" ht="12.75" x14ac:dyDescent="0.2"/>
    <row r="25009" ht="12.75" x14ac:dyDescent="0.2"/>
    <row r="25010" ht="12.75" x14ac:dyDescent="0.2"/>
    <row r="25011" ht="12.75" x14ac:dyDescent="0.2"/>
    <row r="25012" ht="12.75" x14ac:dyDescent="0.2"/>
    <row r="25013" ht="12.75" x14ac:dyDescent="0.2"/>
    <row r="25014" ht="12.75" x14ac:dyDescent="0.2"/>
    <row r="25015" ht="12.75" x14ac:dyDescent="0.2"/>
    <row r="25016" ht="12.75" x14ac:dyDescent="0.2"/>
    <row r="25017" ht="12.75" x14ac:dyDescent="0.2"/>
    <row r="25018" ht="12.75" x14ac:dyDescent="0.2"/>
    <row r="25019" ht="12.75" x14ac:dyDescent="0.2"/>
    <row r="25020" ht="12.75" x14ac:dyDescent="0.2"/>
    <row r="25021" ht="12.75" x14ac:dyDescent="0.2"/>
    <row r="25022" ht="12.75" x14ac:dyDescent="0.2"/>
    <row r="25023" ht="12.75" x14ac:dyDescent="0.2"/>
    <row r="25024" ht="12.75" x14ac:dyDescent="0.2"/>
    <row r="25025" ht="12.75" x14ac:dyDescent="0.2"/>
    <row r="25026" ht="12.75" x14ac:dyDescent="0.2"/>
    <row r="25027" ht="12.75" x14ac:dyDescent="0.2"/>
    <row r="25028" ht="12.75" x14ac:dyDescent="0.2"/>
    <row r="25029" ht="12.75" x14ac:dyDescent="0.2"/>
    <row r="25030" ht="12.75" x14ac:dyDescent="0.2"/>
    <row r="25031" ht="12.75" x14ac:dyDescent="0.2"/>
    <row r="25032" ht="12.75" x14ac:dyDescent="0.2"/>
    <row r="25033" ht="12.75" x14ac:dyDescent="0.2"/>
    <row r="25034" ht="12.75" x14ac:dyDescent="0.2"/>
    <row r="25035" ht="12.75" x14ac:dyDescent="0.2"/>
    <row r="25036" ht="12.75" x14ac:dyDescent="0.2"/>
    <row r="25037" ht="12.75" x14ac:dyDescent="0.2"/>
    <row r="25038" ht="12.75" x14ac:dyDescent="0.2"/>
    <row r="25039" ht="12.75" x14ac:dyDescent="0.2"/>
    <row r="25040" ht="12.75" x14ac:dyDescent="0.2"/>
    <row r="25041" ht="12.75" x14ac:dyDescent="0.2"/>
    <row r="25042" ht="12.75" x14ac:dyDescent="0.2"/>
    <row r="25043" ht="12.75" x14ac:dyDescent="0.2"/>
    <row r="25044" ht="12.75" x14ac:dyDescent="0.2"/>
    <row r="25045" ht="12.75" x14ac:dyDescent="0.2"/>
    <row r="25046" ht="12.75" x14ac:dyDescent="0.2"/>
    <row r="25047" ht="12.75" x14ac:dyDescent="0.2"/>
    <row r="25048" ht="12.75" x14ac:dyDescent="0.2"/>
    <row r="25049" ht="12.75" x14ac:dyDescent="0.2"/>
    <row r="25050" ht="12.75" x14ac:dyDescent="0.2"/>
    <row r="25051" ht="12.75" x14ac:dyDescent="0.2"/>
    <row r="25052" ht="12.75" x14ac:dyDescent="0.2"/>
    <row r="25053" ht="12.75" x14ac:dyDescent="0.2"/>
    <row r="25054" ht="12.75" x14ac:dyDescent="0.2"/>
    <row r="25055" ht="12.75" x14ac:dyDescent="0.2"/>
    <row r="25056" ht="12.75" x14ac:dyDescent="0.2"/>
    <row r="25057" ht="12.75" x14ac:dyDescent="0.2"/>
    <row r="25058" ht="12.75" x14ac:dyDescent="0.2"/>
    <row r="25059" ht="12.75" x14ac:dyDescent="0.2"/>
    <row r="25060" ht="12.75" x14ac:dyDescent="0.2"/>
    <row r="25061" ht="12.75" x14ac:dyDescent="0.2"/>
    <row r="25062" ht="12.75" x14ac:dyDescent="0.2"/>
    <row r="25063" ht="12.75" x14ac:dyDescent="0.2"/>
    <row r="25064" ht="12.75" x14ac:dyDescent="0.2"/>
    <row r="25065" ht="12.75" x14ac:dyDescent="0.2"/>
    <row r="25066" ht="12.75" x14ac:dyDescent="0.2"/>
    <row r="25067" ht="12.75" x14ac:dyDescent="0.2"/>
    <row r="25068" ht="12.75" x14ac:dyDescent="0.2"/>
    <row r="25069" ht="12.75" x14ac:dyDescent="0.2"/>
    <row r="25070" ht="12.75" x14ac:dyDescent="0.2"/>
    <row r="25071" ht="12.75" x14ac:dyDescent="0.2"/>
    <row r="25072" ht="12.75" x14ac:dyDescent="0.2"/>
    <row r="25073" ht="12.75" x14ac:dyDescent="0.2"/>
    <row r="25074" ht="12.75" x14ac:dyDescent="0.2"/>
    <row r="25075" ht="12.75" x14ac:dyDescent="0.2"/>
    <row r="25076" ht="12.75" x14ac:dyDescent="0.2"/>
    <row r="25077" ht="12.75" x14ac:dyDescent="0.2"/>
    <row r="25078" ht="12.75" x14ac:dyDescent="0.2"/>
    <row r="25079" ht="12.75" x14ac:dyDescent="0.2"/>
    <row r="25080" ht="12.75" x14ac:dyDescent="0.2"/>
    <row r="25081" ht="12.75" x14ac:dyDescent="0.2"/>
    <row r="25082" ht="12.75" x14ac:dyDescent="0.2"/>
    <row r="25083" ht="12.75" x14ac:dyDescent="0.2"/>
    <row r="25084" ht="12.75" x14ac:dyDescent="0.2"/>
    <row r="25085" ht="12.75" x14ac:dyDescent="0.2"/>
    <row r="25086" ht="12.75" x14ac:dyDescent="0.2"/>
    <row r="25087" ht="12.75" x14ac:dyDescent="0.2"/>
    <row r="25088" ht="12.75" x14ac:dyDescent="0.2"/>
    <row r="25089" ht="12.75" x14ac:dyDescent="0.2"/>
    <row r="25090" ht="12.75" x14ac:dyDescent="0.2"/>
    <row r="25091" ht="12.75" x14ac:dyDescent="0.2"/>
    <row r="25092" ht="12.75" x14ac:dyDescent="0.2"/>
    <row r="25093" ht="12.75" x14ac:dyDescent="0.2"/>
    <row r="25094" ht="12.75" x14ac:dyDescent="0.2"/>
    <row r="25095" ht="12.75" x14ac:dyDescent="0.2"/>
    <row r="25096" ht="12.75" x14ac:dyDescent="0.2"/>
    <row r="25097" ht="12.75" x14ac:dyDescent="0.2"/>
    <row r="25098" ht="12.75" x14ac:dyDescent="0.2"/>
    <row r="25099" ht="12.75" x14ac:dyDescent="0.2"/>
    <row r="25100" ht="12.75" x14ac:dyDescent="0.2"/>
    <row r="25101" ht="12.75" x14ac:dyDescent="0.2"/>
    <row r="25102" ht="12.75" x14ac:dyDescent="0.2"/>
    <row r="25103" ht="12.75" x14ac:dyDescent="0.2"/>
    <row r="25104" ht="12.75" x14ac:dyDescent="0.2"/>
    <row r="25105" ht="12.75" x14ac:dyDescent="0.2"/>
    <row r="25106" ht="12.75" x14ac:dyDescent="0.2"/>
    <row r="25107" ht="12.75" x14ac:dyDescent="0.2"/>
    <row r="25108" ht="12.75" x14ac:dyDescent="0.2"/>
    <row r="25109" ht="12.75" x14ac:dyDescent="0.2"/>
    <row r="25110" ht="12.75" x14ac:dyDescent="0.2"/>
    <row r="25111" ht="12.75" x14ac:dyDescent="0.2"/>
    <row r="25112" ht="12.75" x14ac:dyDescent="0.2"/>
    <row r="25113" ht="12.75" x14ac:dyDescent="0.2"/>
    <row r="25114" ht="12.75" x14ac:dyDescent="0.2"/>
    <row r="25115" ht="12.75" x14ac:dyDescent="0.2"/>
    <row r="25116" ht="12.75" x14ac:dyDescent="0.2"/>
    <row r="25117" ht="12.75" x14ac:dyDescent="0.2"/>
    <row r="25118" ht="12.75" x14ac:dyDescent="0.2"/>
    <row r="25119" ht="12.75" x14ac:dyDescent="0.2"/>
    <row r="25120" ht="12.75" x14ac:dyDescent="0.2"/>
    <row r="25121" ht="12.75" x14ac:dyDescent="0.2"/>
    <row r="25122" ht="12.75" x14ac:dyDescent="0.2"/>
    <row r="25123" ht="12.75" x14ac:dyDescent="0.2"/>
    <row r="25124" ht="12.75" x14ac:dyDescent="0.2"/>
    <row r="25125" ht="12.75" x14ac:dyDescent="0.2"/>
    <row r="25126" ht="12.75" x14ac:dyDescent="0.2"/>
    <row r="25127" ht="12.75" x14ac:dyDescent="0.2"/>
    <row r="25128" ht="12.75" x14ac:dyDescent="0.2"/>
    <row r="25129" ht="12.75" x14ac:dyDescent="0.2"/>
    <row r="25130" ht="12.75" x14ac:dyDescent="0.2"/>
    <row r="25131" ht="12.75" x14ac:dyDescent="0.2"/>
    <row r="25132" ht="12.75" x14ac:dyDescent="0.2"/>
    <row r="25133" ht="12.75" x14ac:dyDescent="0.2"/>
    <row r="25134" ht="12.75" x14ac:dyDescent="0.2"/>
    <row r="25135" ht="12.75" x14ac:dyDescent="0.2"/>
    <row r="25136" ht="12.75" x14ac:dyDescent="0.2"/>
    <row r="25137" ht="12.75" x14ac:dyDescent="0.2"/>
    <row r="25138" ht="12.75" x14ac:dyDescent="0.2"/>
    <row r="25139" ht="12.75" x14ac:dyDescent="0.2"/>
    <row r="25140" ht="12.75" x14ac:dyDescent="0.2"/>
    <row r="25141" ht="12.75" x14ac:dyDescent="0.2"/>
    <row r="25142" ht="12.75" x14ac:dyDescent="0.2"/>
    <row r="25143" ht="12.75" x14ac:dyDescent="0.2"/>
    <row r="25144" ht="12.75" x14ac:dyDescent="0.2"/>
    <row r="25145" ht="12.75" x14ac:dyDescent="0.2"/>
    <row r="25146" ht="12.75" x14ac:dyDescent="0.2"/>
    <row r="25147" ht="12.75" x14ac:dyDescent="0.2"/>
    <row r="25148" ht="12.75" x14ac:dyDescent="0.2"/>
    <row r="25149" ht="12.75" x14ac:dyDescent="0.2"/>
    <row r="25150" ht="12.75" x14ac:dyDescent="0.2"/>
    <row r="25151" ht="12.75" x14ac:dyDescent="0.2"/>
    <row r="25152" ht="12.75" x14ac:dyDescent="0.2"/>
    <row r="25153" ht="12.75" x14ac:dyDescent="0.2"/>
    <row r="25154" ht="12.75" x14ac:dyDescent="0.2"/>
    <row r="25155" ht="12.75" x14ac:dyDescent="0.2"/>
    <row r="25156" ht="12.75" x14ac:dyDescent="0.2"/>
    <row r="25157" ht="12.75" x14ac:dyDescent="0.2"/>
    <row r="25158" ht="12.75" x14ac:dyDescent="0.2"/>
    <row r="25159" ht="12.75" x14ac:dyDescent="0.2"/>
    <row r="25160" ht="12.75" x14ac:dyDescent="0.2"/>
    <row r="25161" ht="12.75" x14ac:dyDescent="0.2"/>
    <row r="25162" ht="12.75" x14ac:dyDescent="0.2"/>
    <row r="25163" ht="12.75" x14ac:dyDescent="0.2"/>
    <row r="25164" ht="12.75" x14ac:dyDescent="0.2"/>
    <row r="25165" ht="12.75" x14ac:dyDescent="0.2"/>
    <row r="25166" ht="12.75" x14ac:dyDescent="0.2"/>
    <row r="25167" ht="12.75" x14ac:dyDescent="0.2"/>
    <row r="25168" ht="12.75" x14ac:dyDescent="0.2"/>
    <row r="25169" ht="12.75" x14ac:dyDescent="0.2"/>
    <row r="25170" ht="12.75" x14ac:dyDescent="0.2"/>
    <row r="25171" ht="12.75" x14ac:dyDescent="0.2"/>
    <row r="25172" ht="12.75" x14ac:dyDescent="0.2"/>
    <row r="25173" ht="12.75" x14ac:dyDescent="0.2"/>
    <row r="25174" ht="12.75" x14ac:dyDescent="0.2"/>
    <row r="25175" ht="12.75" x14ac:dyDescent="0.2"/>
    <row r="25176" ht="12.75" x14ac:dyDescent="0.2"/>
    <row r="25177" ht="12.75" x14ac:dyDescent="0.2"/>
    <row r="25178" ht="12.75" x14ac:dyDescent="0.2"/>
    <row r="25179" ht="12.75" x14ac:dyDescent="0.2"/>
    <row r="25180" ht="12.75" x14ac:dyDescent="0.2"/>
    <row r="25181" ht="12.75" x14ac:dyDescent="0.2"/>
    <row r="25182" ht="12.75" x14ac:dyDescent="0.2"/>
    <row r="25183" ht="12.75" x14ac:dyDescent="0.2"/>
    <row r="25184" ht="12.75" x14ac:dyDescent="0.2"/>
    <row r="25185" ht="12.75" x14ac:dyDescent="0.2"/>
    <row r="25186" ht="12.75" x14ac:dyDescent="0.2"/>
    <row r="25187" ht="12.75" x14ac:dyDescent="0.2"/>
    <row r="25188" ht="12.75" x14ac:dyDescent="0.2"/>
    <row r="25189" ht="12.75" x14ac:dyDescent="0.2"/>
    <row r="25190" ht="12.75" x14ac:dyDescent="0.2"/>
    <row r="25191" ht="12.75" x14ac:dyDescent="0.2"/>
    <row r="25192" ht="12.75" x14ac:dyDescent="0.2"/>
    <row r="25193" ht="12.75" x14ac:dyDescent="0.2"/>
    <row r="25194" ht="12.75" x14ac:dyDescent="0.2"/>
    <row r="25195" ht="12.75" x14ac:dyDescent="0.2"/>
    <row r="25196" ht="12.75" x14ac:dyDescent="0.2"/>
    <row r="25197" ht="12.75" x14ac:dyDescent="0.2"/>
    <row r="25198" ht="12.75" x14ac:dyDescent="0.2"/>
    <row r="25199" ht="12.75" x14ac:dyDescent="0.2"/>
    <row r="25200" ht="12.75" x14ac:dyDescent="0.2"/>
    <row r="25201" ht="12.75" x14ac:dyDescent="0.2"/>
    <row r="25202" ht="12.75" x14ac:dyDescent="0.2"/>
    <row r="25203" ht="12.75" x14ac:dyDescent="0.2"/>
    <row r="25204" ht="12.75" x14ac:dyDescent="0.2"/>
    <row r="25205" ht="12.75" x14ac:dyDescent="0.2"/>
    <row r="25206" ht="12.75" x14ac:dyDescent="0.2"/>
    <row r="25207" ht="12.75" x14ac:dyDescent="0.2"/>
    <row r="25208" ht="12.75" x14ac:dyDescent="0.2"/>
    <row r="25209" ht="12.75" x14ac:dyDescent="0.2"/>
    <row r="25210" ht="12.75" x14ac:dyDescent="0.2"/>
    <row r="25211" ht="12.75" x14ac:dyDescent="0.2"/>
    <row r="25212" ht="12.75" x14ac:dyDescent="0.2"/>
    <row r="25213" ht="12.75" x14ac:dyDescent="0.2"/>
    <row r="25214" ht="12.75" x14ac:dyDescent="0.2"/>
    <row r="25215" ht="12.75" x14ac:dyDescent="0.2"/>
    <row r="25216" ht="12.75" x14ac:dyDescent="0.2"/>
    <row r="25217" ht="12.75" x14ac:dyDescent="0.2"/>
    <row r="25218" ht="12.75" x14ac:dyDescent="0.2"/>
    <row r="25219" ht="12.75" x14ac:dyDescent="0.2"/>
    <row r="25220" ht="12.75" x14ac:dyDescent="0.2"/>
    <row r="25221" ht="12.75" x14ac:dyDescent="0.2"/>
    <row r="25222" ht="12.75" x14ac:dyDescent="0.2"/>
    <row r="25223" ht="12.75" x14ac:dyDescent="0.2"/>
    <row r="25224" ht="12.75" x14ac:dyDescent="0.2"/>
    <row r="25225" ht="12.75" x14ac:dyDescent="0.2"/>
    <row r="25226" ht="12.75" x14ac:dyDescent="0.2"/>
    <row r="25227" ht="12.75" x14ac:dyDescent="0.2"/>
    <row r="25228" ht="12.75" x14ac:dyDescent="0.2"/>
    <row r="25229" ht="12.75" x14ac:dyDescent="0.2"/>
    <row r="25230" ht="12.75" x14ac:dyDescent="0.2"/>
    <row r="25231" ht="12.75" x14ac:dyDescent="0.2"/>
    <row r="25232" ht="12.75" x14ac:dyDescent="0.2"/>
    <row r="25233" ht="12.75" x14ac:dyDescent="0.2"/>
    <row r="25234" ht="12.75" x14ac:dyDescent="0.2"/>
    <row r="25235" ht="12.75" x14ac:dyDescent="0.2"/>
    <row r="25236" ht="12.75" x14ac:dyDescent="0.2"/>
    <row r="25237" ht="12.75" x14ac:dyDescent="0.2"/>
    <row r="25238" ht="12.75" x14ac:dyDescent="0.2"/>
    <row r="25239" ht="12.75" x14ac:dyDescent="0.2"/>
    <row r="25240" ht="12.75" x14ac:dyDescent="0.2"/>
    <row r="25241" ht="12.75" x14ac:dyDescent="0.2"/>
    <row r="25242" ht="12.75" x14ac:dyDescent="0.2"/>
    <row r="25243" ht="12.75" x14ac:dyDescent="0.2"/>
    <row r="25244" ht="12.75" x14ac:dyDescent="0.2"/>
    <row r="25245" ht="12.75" x14ac:dyDescent="0.2"/>
    <row r="25246" ht="12.75" x14ac:dyDescent="0.2"/>
    <row r="25247" ht="12.75" x14ac:dyDescent="0.2"/>
    <row r="25248" ht="12.75" x14ac:dyDescent="0.2"/>
    <row r="25249" ht="12.75" x14ac:dyDescent="0.2"/>
    <row r="25250" ht="12.75" x14ac:dyDescent="0.2"/>
    <row r="25251" ht="12.75" x14ac:dyDescent="0.2"/>
    <row r="25252" ht="12.75" x14ac:dyDescent="0.2"/>
    <row r="25253" ht="12.75" x14ac:dyDescent="0.2"/>
    <row r="25254" ht="12.75" x14ac:dyDescent="0.2"/>
    <row r="25255" ht="12.75" x14ac:dyDescent="0.2"/>
    <row r="25256" ht="12.75" x14ac:dyDescent="0.2"/>
    <row r="25257" ht="12.75" x14ac:dyDescent="0.2"/>
    <row r="25258" ht="12.75" x14ac:dyDescent="0.2"/>
    <row r="25259" ht="12.75" x14ac:dyDescent="0.2"/>
    <row r="25260" ht="12.75" x14ac:dyDescent="0.2"/>
    <row r="25261" ht="12.75" x14ac:dyDescent="0.2"/>
    <row r="25262" ht="12.75" x14ac:dyDescent="0.2"/>
    <row r="25263" ht="12.75" x14ac:dyDescent="0.2"/>
    <row r="25264" ht="12.75" x14ac:dyDescent="0.2"/>
    <row r="25265" ht="12.75" x14ac:dyDescent="0.2"/>
    <row r="25266" ht="12.75" x14ac:dyDescent="0.2"/>
    <row r="25267" ht="12.75" x14ac:dyDescent="0.2"/>
    <row r="25268" ht="12.75" x14ac:dyDescent="0.2"/>
    <row r="25269" ht="12.75" x14ac:dyDescent="0.2"/>
    <row r="25270" ht="12.75" x14ac:dyDescent="0.2"/>
    <row r="25271" ht="12.75" x14ac:dyDescent="0.2"/>
    <row r="25272" ht="12.75" x14ac:dyDescent="0.2"/>
    <row r="25273" ht="12.75" x14ac:dyDescent="0.2"/>
    <row r="25274" ht="12.75" x14ac:dyDescent="0.2"/>
    <row r="25275" ht="12.75" x14ac:dyDescent="0.2"/>
    <row r="25276" ht="12.75" x14ac:dyDescent="0.2"/>
    <row r="25277" ht="12.75" x14ac:dyDescent="0.2"/>
    <row r="25278" ht="12.75" x14ac:dyDescent="0.2"/>
    <row r="25279" ht="12.75" x14ac:dyDescent="0.2"/>
    <row r="25280" ht="12.75" x14ac:dyDescent="0.2"/>
    <row r="25281" ht="12.75" x14ac:dyDescent="0.2"/>
    <row r="25282" ht="12.75" x14ac:dyDescent="0.2"/>
    <row r="25283" ht="12.75" x14ac:dyDescent="0.2"/>
    <row r="25284" ht="12.75" x14ac:dyDescent="0.2"/>
    <row r="25285" ht="12.75" x14ac:dyDescent="0.2"/>
    <row r="25286" ht="12.75" x14ac:dyDescent="0.2"/>
    <row r="25287" ht="12.75" x14ac:dyDescent="0.2"/>
    <row r="25288" ht="12.75" x14ac:dyDescent="0.2"/>
    <row r="25289" ht="12.75" x14ac:dyDescent="0.2"/>
    <row r="25290" ht="12.75" x14ac:dyDescent="0.2"/>
    <row r="25291" ht="12.75" x14ac:dyDescent="0.2"/>
    <row r="25292" ht="12.75" x14ac:dyDescent="0.2"/>
    <row r="25293" ht="12.75" x14ac:dyDescent="0.2"/>
    <row r="25294" ht="12.75" x14ac:dyDescent="0.2"/>
    <row r="25295" ht="12.75" x14ac:dyDescent="0.2"/>
    <row r="25296" ht="12.75" x14ac:dyDescent="0.2"/>
    <row r="25297" ht="12.75" x14ac:dyDescent="0.2"/>
    <row r="25298" ht="12.75" x14ac:dyDescent="0.2"/>
    <row r="25299" ht="12.75" x14ac:dyDescent="0.2"/>
    <row r="25300" ht="12.75" x14ac:dyDescent="0.2"/>
    <row r="25301" ht="12.75" x14ac:dyDescent="0.2"/>
    <row r="25302" ht="12.75" x14ac:dyDescent="0.2"/>
    <row r="25303" ht="12.75" x14ac:dyDescent="0.2"/>
    <row r="25304" ht="12.75" x14ac:dyDescent="0.2"/>
    <row r="25305" ht="12.75" x14ac:dyDescent="0.2"/>
    <row r="25306" ht="12.75" x14ac:dyDescent="0.2"/>
    <row r="25307" ht="12.75" x14ac:dyDescent="0.2"/>
    <row r="25308" ht="12.75" x14ac:dyDescent="0.2"/>
    <row r="25309" ht="12.75" x14ac:dyDescent="0.2"/>
    <row r="25310" ht="12.75" x14ac:dyDescent="0.2"/>
    <row r="25311" ht="12.75" x14ac:dyDescent="0.2"/>
    <row r="25312" ht="12.75" x14ac:dyDescent="0.2"/>
    <row r="25313" ht="12.75" x14ac:dyDescent="0.2"/>
    <row r="25314" ht="12.75" x14ac:dyDescent="0.2"/>
    <row r="25315" ht="12.75" x14ac:dyDescent="0.2"/>
    <row r="25316" ht="12.75" x14ac:dyDescent="0.2"/>
    <row r="25317" ht="12.75" x14ac:dyDescent="0.2"/>
    <row r="25318" ht="12.75" x14ac:dyDescent="0.2"/>
    <row r="25319" ht="12.75" x14ac:dyDescent="0.2"/>
    <row r="25320" ht="12.75" x14ac:dyDescent="0.2"/>
    <row r="25321" ht="12.75" x14ac:dyDescent="0.2"/>
    <row r="25322" ht="12.75" x14ac:dyDescent="0.2"/>
    <row r="25323" ht="12.75" x14ac:dyDescent="0.2"/>
    <row r="25324" ht="12.75" x14ac:dyDescent="0.2"/>
    <row r="25325" ht="12.75" x14ac:dyDescent="0.2"/>
    <row r="25326" ht="12.75" x14ac:dyDescent="0.2"/>
    <row r="25327" ht="12.75" x14ac:dyDescent="0.2"/>
    <row r="25328" ht="12.75" x14ac:dyDescent="0.2"/>
    <row r="25329" ht="12.75" x14ac:dyDescent="0.2"/>
    <row r="25330" ht="12.75" x14ac:dyDescent="0.2"/>
    <row r="25331" ht="12.75" x14ac:dyDescent="0.2"/>
    <row r="25332" ht="12.75" x14ac:dyDescent="0.2"/>
    <row r="25333" ht="12.75" x14ac:dyDescent="0.2"/>
    <row r="25334" ht="12.75" x14ac:dyDescent="0.2"/>
    <row r="25335" ht="12.75" x14ac:dyDescent="0.2"/>
    <row r="25336" ht="12.75" x14ac:dyDescent="0.2"/>
    <row r="25337" ht="12.75" x14ac:dyDescent="0.2"/>
    <row r="25338" ht="12.75" x14ac:dyDescent="0.2"/>
    <row r="25339" ht="12.75" x14ac:dyDescent="0.2"/>
    <row r="25340" ht="12.75" x14ac:dyDescent="0.2"/>
    <row r="25341" ht="12.75" x14ac:dyDescent="0.2"/>
    <row r="25342" ht="12.75" x14ac:dyDescent="0.2"/>
    <row r="25343" ht="12.75" x14ac:dyDescent="0.2"/>
    <row r="25344" ht="12.75" x14ac:dyDescent="0.2"/>
    <row r="25345" ht="12.75" x14ac:dyDescent="0.2"/>
    <row r="25346" ht="12.75" x14ac:dyDescent="0.2"/>
    <row r="25347" ht="12.75" x14ac:dyDescent="0.2"/>
    <row r="25348" ht="12.75" x14ac:dyDescent="0.2"/>
    <row r="25349" ht="12.75" x14ac:dyDescent="0.2"/>
    <row r="25350" ht="12.75" x14ac:dyDescent="0.2"/>
    <row r="25351" ht="12.75" x14ac:dyDescent="0.2"/>
    <row r="25352" ht="12.75" x14ac:dyDescent="0.2"/>
    <row r="25353" ht="12.75" x14ac:dyDescent="0.2"/>
    <row r="25354" ht="12.75" x14ac:dyDescent="0.2"/>
    <row r="25355" ht="12.75" x14ac:dyDescent="0.2"/>
    <row r="25356" ht="12.75" x14ac:dyDescent="0.2"/>
    <row r="25357" ht="12.75" x14ac:dyDescent="0.2"/>
    <row r="25358" ht="12.75" x14ac:dyDescent="0.2"/>
    <row r="25359" ht="12.75" x14ac:dyDescent="0.2"/>
    <row r="25360" ht="12.75" x14ac:dyDescent="0.2"/>
    <row r="25361" ht="12.75" x14ac:dyDescent="0.2"/>
    <row r="25362" ht="12.75" x14ac:dyDescent="0.2"/>
    <row r="25363" ht="12.75" x14ac:dyDescent="0.2"/>
    <row r="25364" ht="12.75" x14ac:dyDescent="0.2"/>
    <row r="25365" ht="12.75" x14ac:dyDescent="0.2"/>
    <row r="25366" ht="12.75" x14ac:dyDescent="0.2"/>
    <row r="25367" ht="12.75" x14ac:dyDescent="0.2"/>
    <row r="25368" ht="12.75" x14ac:dyDescent="0.2"/>
    <row r="25369" ht="12.75" x14ac:dyDescent="0.2"/>
    <row r="25370" ht="12.75" x14ac:dyDescent="0.2"/>
    <row r="25371" ht="12.75" x14ac:dyDescent="0.2"/>
    <row r="25372" ht="12.75" x14ac:dyDescent="0.2"/>
    <row r="25373" ht="12.75" x14ac:dyDescent="0.2"/>
    <row r="25374" ht="12.75" x14ac:dyDescent="0.2"/>
    <row r="25375" ht="12.75" x14ac:dyDescent="0.2"/>
    <row r="25376" ht="12.75" x14ac:dyDescent="0.2"/>
    <row r="25377" ht="12.75" x14ac:dyDescent="0.2"/>
    <row r="25378" ht="12.75" x14ac:dyDescent="0.2"/>
    <row r="25379" ht="12.75" x14ac:dyDescent="0.2"/>
    <row r="25380" ht="12.75" x14ac:dyDescent="0.2"/>
    <row r="25381" ht="12.75" x14ac:dyDescent="0.2"/>
    <row r="25382" ht="12.75" x14ac:dyDescent="0.2"/>
    <row r="25383" ht="12.75" x14ac:dyDescent="0.2"/>
    <row r="25384" ht="12.75" x14ac:dyDescent="0.2"/>
    <row r="25385" ht="12.75" x14ac:dyDescent="0.2"/>
    <row r="25386" ht="12.75" x14ac:dyDescent="0.2"/>
    <row r="25387" ht="12.75" x14ac:dyDescent="0.2"/>
    <row r="25388" ht="12.75" x14ac:dyDescent="0.2"/>
    <row r="25389" ht="12.75" x14ac:dyDescent="0.2"/>
    <row r="25390" ht="12.75" x14ac:dyDescent="0.2"/>
    <row r="25391" ht="12.75" x14ac:dyDescent="0.2"/>
    <row r="25392" ht="12.75" x14ac:dyDescent="0.2"/>
    <row r="25393" ht="12.75" x14ac:dyDescent="0.2"/>
    <row r="25394" ht="12.75" x14ac:dyDescent="0.2"/>
    <row r="25395" ht="12.75" x14ac:dyDescent="0.2"/>
    <row r="25396" ht="12.75" x14ac:dyDescent="0.2"/>
    <row r="25397" ht="12.75" x14ac:dyDescent="0.2"/>
    <row r="25398" ht="12.75" x14ac:dyDescent="0.2"/>
    <row r="25399" ht="12.75" x14ac:dyDescent="0.2"/>
    <row r="25400" ht="12.75" x14ac:dyDescent="0.2"/>
    <row r="25401" ht="12.75" x14ac:dyDescent="0.2"/>
    <row r="25402" ht="12.75" x14ac:dyDescent="0.2"/>
    <row r="25403" ht="12.75" x14ac:dyDescent="0.2"/>
    <row r="25404" ht="12.75" x14ac:dyDescent="0.2"/>
    <row r="25405" ht="12.75" x14ac:dyDescent="0.2"/>
    <row r="25406" ht="12.75" x14ac:dyDescent="0.2"/>
    <row r="25407" ht="12.75" x14ac:dyDescent="0.2"/>
    <row r="25408" ht="12.75" x14ac:dyDescent="0.2"/>
    <row r="25409" ht="12.75" x14ac:dyDescent="0.2"/>
    <row r="25410" ht="12.75" x14ac:dyDescent="0.2"/>
    <row r="25411" ht="12.75" x14ac:dyDescent="0.2"/>
    <row r="25412" ht="12.75" x14ac:dyDescent="0.2"/>
    <row r="25413" ht="12.75" x14ac:dyDescent="0.2"/>
    <row r="25414" ht="12.75" x14ac:dyDescent="0.2"/>
    <row r="25415" ht="12.75" x14ac:dyDescent="0.2"/>
    <row r="25416" ht="12.75" x14ac:dyDescent="0.2"/>
    <row r="25417" ht="12.75" x14ac:dyDescent="0.2"/>
    <row r="25418" ht="12.75" x14ac:dyDescent="0.2"/>
    <row r="25419" ht="12.75" x14ac:dyDescent="0.2"/>
    <row r="25420" ht="12.75" x14ac:dyDescent="0.2"/>
    <row r="25421" ht="12.75" x14ac:dyDescent="0.2"/>
    <row r="25422" ht="12.75" x14ac:dyDescent="0.2"/>
    <row r="25423" ht="12.75" x14ac:dyDescent="0.2"/>
    <row r="25424" ht="12.75" x14ac:dyDescent="0.2"/>
    <row r="25425" ht="12.75" x14ac:dyDescent="0.2"/>
    <row r="25426" ht="12.75" x14ac:dyDescent="0.2"/>
    <row r="25427" ht="12.75" x14ac:dyDescent="0.2"/>
    <row r="25428" ht="12.75" x14ac:dyDescent="0.2"/>
    <row r="25429" ht="12.75" x14ac:dyDescent="0.2"/>
    <row r="25430" ht="12.75" x14ac:dyDescent="0.2"/>
    <row r="25431" ht="12.75" x14ac:dyDescent="0.2"/>
    <row r="25432" ht="12.75" x14ac:dyDescent="0.2"/>
    <row r="25433" ht="12.75" x14ac:dyDescent="0.2"/>
    <row r="25434" ht="12.75" x14ac:dyDescent="0.2"/>
    <row r="25435" ht="12.75" x14ac:dyDescent="0.2"/>
    <row r="25436" ht="12.75" x14ac:dyDescent="0.2"/>
    <row r="25437" ht="12.75" x14ac:dyDescent="0.2"/>
    <row r="25438" ht="12.75" x14ac:dyDescent="0.2"/>
    <row r="25439" ht="12.75" x14ac:dyDescent="0.2"/>
    <row r="25440" ht="12.75" x14ac:dyDescent="0.2"/>
    <row r="25441" ht="12.75" x14ac:dyDescent="0.2"/>
    <row r="25442" ht="12.75" x14ac:dyDescent="0.2"/>
    <row r="25443" ht="12.75" x14ac:dyDescent="0.2"/>
    <row r="25444" ht="12.75" x14ac:dyDescent="0.2"/>
    <row r="25445" ht="12.75" x14ac:dyDescent="0.2"/>
    <row r="25446" ht="12.75" x14ac:dyDescent="0.2"/>
    <row r="25447" ht="12.75" x14ac:dyDescent="0.2"/>
    <row r="25448" ht="12.75" x14ac:dyDescent="0.2"/>
    <row r="25449" ht="12.75" x14ac:dyDescent="0.2"/>
    <row r="25450" ht="12.75" x14ac:dyDescent="0.2"/>
    <row r="25451" ht="12.75" x14ac:dyDescent="0.2"/>
    <row r="25452" ht="12.75" x14ac:dyDescent="0.2"/>
    <row r="25453" ht="12.75" x14ac:dyDescent="0.2"/>
    <row r="25454" ht="12.75" x14ac:dyDescent="0.2"/>
    <row r="25455" ht="12.75" x14ac:dyDescent="0.2"/>
    <row r="25456" ht="12.75" x14ac:dyDescent="0.2"/>
    <row r="25457" ht="12.75" x14ac:dyDescent="0.2"/>
    <row r="25458" ht="12.75" x14ac:dyDescent="0.2"/>
    <row r="25459" ht="12.75" x14ac:dyDescent="0.2"/>
    <row r="25460" ht="12.75" x14ac:dyDescent="0.2"/>
    <row r="25461" ht="12.75" x14ac:dyDescent="0.2"/>
    <row r="25462" ht="12.75" x14ac:dyDescent="0.2"/>
    <row r="25463" ht="12.75" x14ac:dyDescent="0.2"/>
    <row r="25464" ht="12.75" x14ac:dyDescent="0.2"/>
    <row r="25465" ht="12.75" x14ac:dyDescent="0.2"/>
    <row r="25466" ht="12.75" x14ac:dyDescent="0.2"/>
    <row r="25467" ht="12.75" x14ac:dyDescent="0.2"/>
    <row r="25468" ht="12.75" x14ac:dyDescent="0.2"/>
    <row r="25469" ht="12.75" x14ac:dyDescent="0.2"/>
    <row r="25470" ht="12.75" x14ac:dyDescent="0.2"/>
    <row r="25471" ht="12.75" x14ac:dyDescent="0.2"/>
    <row r="25472" ht="12.75" x14ac:dyDescent="0.2"/>
    <row r="25473" ht="12.75" x14ac:dyDescent="0.2"/>
    <row r="25474" ht="12.75" x14ac:dyDescent="0.2"/>
    <row r="25475" ht="12.75" x14ac:dyDescent="0.2"/>
    <row r="25476" ht="12.75" x14ac:dyDescent="0.2"/>
    <row r="25477" ht="12.75" x14ac:dyDescent="0.2"/>
    <row r="25478" ht="12.75" x14ac:dyDescent="0.2"/>
    <row r="25479" ht="12.75" x14ac:dyDescent="0.2"/>
    <row r="25480" ht="12.75" x14ac:dyDescent="0.2"/>
    <row r="25481" ht="12.75" x14ac:dyDescent="0.2"/>
    <row r="25482" ht="12.75" x14ac:dyDescent="0.2"/>
    <row r="25483" ht="12.75" x14ac:dyDescent="0.2"/>
    <row r="25484" ht="12.75" x14ac:dyDescent="0.2"/>
    <row r="25485" ht="12.75" x14ac:dyDescent="0.2"/>
    <row r="25486" ht="12.75" x14ac:dyDescent="0.2"/>
    <row r="25487" ht="12.75" x14ac:dyDescent="0.2"/>
    <row r="25488" ht="12.75" x14ac:dyDescent="0.2"/>
    <row r="25489" ht="12.75" x14ac:dyDescent="0.2"/>
    <row r="25490" ht="12.75" x14ac:dyDescent="0.2"/>
    <row r="25491" ht="12.75" x14ac:dyDescent="0.2"/>
    <row r="25492" ht="12.75" x14ac:dyDescent="0.2"/>
    <row r="25493" ht="12.75" x14ac:dyDescent="0.2"/>
    <row r="25494" ht="12.75" x14ac:dyDescent="0.2"/>
    <row r="25495" ht="12.75" x14ac:dyDescent="0.2"/>
    <row r="25496" ht="12.75" x14ac:dyDescent="0.2"/>
    <row r="25497" ht="12.75" x14ac:dyDescent="0.2"/>
    <row r="25498" ht="12.75" x14ac:dyDescent="0.2"/>
    <row r="25499" ht="12.75" x14ac:dyDescent="0.2"/>
    <row r="25500" ht="12.75" x14ac:dyDescent="0.2"/>
    <row r="25501" ht="12.75" x14ac:dyDescent="0.2"/>
    <row r="25502" ht="12.75" x14ac:dyDescent="0.2"/>
    <row r="25503" ht="12.75" x14ac:dyDescent="0.2"/>
    <row r="25504" ht="12.75" x14ac:dyDescent="0.2"/>
    <row r="25505" ht="12.75" x14ac:dyDescent="0.2"/>
    <row r="25506" ht="12.75" x14ac:dyDescent="0.2"/>
    <row r="25507" ht="12.75" x14ac:dyDescent="0.2"/>
    <row r="25508" ht="12.75" x14ac:dyDescent="0.2"/>
    <row r="25509" ht="12.75" x14ac:dyDescent="0.2"/>
    <row r="25510" ht="12.75" x14ac:dyDescent="0.2"/>
    <row r="25511" ht="12.75" x14ac:dyDescent="0.2"/>
    <row r="25512" ht="12.75" x14ac:dyDescent="0.2"/>
    <row r="25513" ht="12.75" x14ac:dyDescent="0.2"/>
    <row r="25514" ht="12.75" x14ac:dyDescent="0.2"/>
    <row r="25515" ht="12.75" x14ac:dyDescent="0.2"/>
    <row r="25516" ht="12.75" x14ac:dyDescent="0.2"/>
    <row r="25517" ht="12.75" x14ac:dyDescent="0.2"/>
    <row r="25518" ht="12.75" x14ac:dyDescent="0.2"/>
    <row r="25519" ht="12.75" x14ac:dyDescent="0.2"/>
    <row r="25520" ht="12.75" x14ac:dyDescent="0.2"/>
    <row r="25521" ht="12.75" x14ac:dyDescent="0.2"/>
    <row r="25522" ht="12.75" x14ac:dyDescent="0.2"/>
    <row r="25523" ht="12.75" x14ac:dyDescent="0.2"/>
    <row r="25524" ht="12.75" x14ac:dyDescent="0.2"/>
    <row r="25525" ht="12.75" x14ac:dyDescent="0.2"/>
    <row r="25526" ht="12.75" x14ac:dyDescent="0.2"/>
    <row r="25527" ht="12.75" x14ac:dyDescent="0.2"/>
    <row r="25528" ht="12.75" x14ac:dyDescent="0.2"/>
    <row r="25529" ht="12.75" x14ac:dyDescent="0.2"/>
    <row r="25530" ht="12.75" x14ac:dyDescent="0.2"/>
    <row r="25531" ht="12.75" x14ac:dyDescent="0.2"/>
    <row r="25532" ht="12.75" x14ac:dyDescent="0.2"/>
    <row r="25533" ht="12.75" x14ac:dyDescent="0.2"/>
    <row r="25534" ht="12.75" x14ac:dyDescent="0.2"/>
    <row r="25535" ht="12.75" x14ac:dyDescent="0.2"/>
    <row r="25536" ht="12.75" x14ac:dyDescent="0.2"/>
    <row r="25537" ht="12.75" x14ac:dyDescent="0.2"/>
    <row r="25538" ht="12.75" x14ac:dyDescent="0.2"/>
    <row r="25539" ht="12.75" x14ac:dyDescent="0.2"/>
    <row r="25540" ht="12.75" x14ac:dyDescent="0.2"/>
    <row r="25541" ht="12.75" x14ac:dyDescent="0.2"/>
    <row r="25542" ht="12.75" x14ac:dyDescent="0.2"/>
    <row r="25543" ht="12.75" x14ac:dyDescent="0.2"/>
    <row r="25544" ht="12.75" x14ac:dyDescent="0.2"/>
    <row r="25545" ht="12.75" x14ac:dyDescent="0.2"/>
    <row r="25546" ht="12.75" x14ac:dyDescent="0.2"/>
    <row r="25547" ht="12.75" x14ac:dyDescent="0.2"/>
    <row r="25548" ht="12.75" x14ac:dyDescent="0.2"/>
    <row r="25549" ht="12.75" x14ac:dyDescent="0.2"/>
    <row r="25550" ht="12.75" x14ac:dyDescent="0.2"/>
    <row r="25551" ht="12.75" x14ac:dyDescent="0.2"/>
    <row r="25552" ht="12.75" x14ac:dyDescent="0.2"/>
    <row r="25553" ht="12.75" x14ac:dyDescent="0.2"/>
    <row r="25554" ht="12.75" x14ac:dyDescent="0.2"/>
    <row r="25555" ht="12.75" x14ac:dyDescent="0.2"/>
    <row r="25556" ht="12.75" x14ac:dyDescent="0.2"/>
    <row r="25557" ht="12.75" x14ac:dyDescent="0.2"/>
    <row r="25558" ht="12.75" x14ac:dyDescent="0.2"/>
    <row r="25559" ht="12.75" x14ac:dyDescent="0.2"/>
    <row r="25560" ht="12.75" x14ac:dyDescent="0.2"/>
    <row r="25561" ht="12.75" x14ac:dyDescent="0.2"/>
    <row r="25562" ht="12.75" x14ac:dyDescent="0.2"/>
    <row r="25563" ht="12.75" x14ac:dyDescent="0.2"/>
    <row r="25564" ht="12.75" x14ac:dyDescent="0.2"/>
    <row r="25565" ht="12.75" x14ac:dyDescent="0.2"/>
    <row r="25566" ht="12.75" x14ac:dyDescent="0.2"/>
    <row r="25567" ht="12.75" x14ac:dyDescent="0.2"/>
    <row r="25568" ht="12.75" x14ac:dyDescent="0.2"/>
    <row r="25569" ht="12.75" x14ac:dyDescent="0.2"/>
    <row r="25570" ht="12.75" x14ac:dyDescent="0.2"/>
    <row r="25571" ht="12.75" x14ac:dyDescent="0.2"/>
    <row r="25572" ht="12.75" x14ac:dyDescent="0.2"/>
    <row r="25573" ht="12.75" x14ac:dyDescent="0.2"/>
    <row r="25574" ht="12.75" x14ac:dyDescent="0.2"/>
    <row r="25575" ht="12.75" x14ac:dyDescent="0.2"/>
    <row r="25576" ht="12.75" x14ac:dyDescent="0.2"/>
    <row r="25577" ht="12.75" x14ac:dyDescent="0.2"/>
    <row r="25578" ht="12.75" x14ac:dyDescent="0.2"/>
    <row r="25579" ht="12.75" x14ac:dyDescent="0.2"/>
    <row r="25580" ht="12.75" x14ac:dyDescent="0.2"/>
    <row r="25581" ht="12.75" x14ac:dyDescent="0.2"/>
    <row r="25582" ht="12.75" x14ac:dyDescent="0.2"/>
    <row r="25583" ht="12.75" x14ac:dyDescent="0.2"/>
    <row r="25584" ht="12.75" x14ac:dyDescent="0.2"/>
    <row r="25585" ht="12.75" x14ac:dyDescent="0.2"/>
    <row r="25586" ht="12.75" x14ac:dyDescent="0.2"/>
    <row r="25587" ht="12.75" x14ac:dyDescent="0.2"/>
    <row r="25588" ht="12.75" x14ac:dyDescent="0.2"/>
    <row r="25589" ht="12.75" x14ac:dyDescent="0.2"/>
    <row r="25590" ht="12.75" x14ac:dyDescent="0.2"/>
    <row r="25591" ht="12.75" x14ac:dyDescent="0.2"/>
    <row r="25592" ht="12.75" x14ac:dyDescent="0.2"/>
    <row r="25593" ht="12.75" x14ac:dyDescent="0.2"/>
    <row r="25594" ht="12.75" x14ac:dyDescent="0.2"/>
    <row r="25595" ht="12.75" x14ac:dyDescent="0.2"/>
    <row r="25596" ht="12.75" x14ac:dyDescent="0.2"/>
    <row r="25597" ht="12.75" x14ac:dyDescent="0.2"/>
    <row r="25598" ht="12.75" x14ac:dyDescent="0.2"/>
    <row r="25599" ht="12.75" x14ac:dyDescent="0.2"/>
    <row r="25600" ht="12.75" x14ac:dyDescent="0.2"/>
    <row r="25601" ht="12.75" x14ac:dyDescent="0.2"/>
    <row r="25602" ht="12.75" x14ac:dyDescent="0.2"/>
    <row r="25603" ht="12.75" x14ac:dyDescent="0.2"/>
    <row r="25604" ht="12.75" x14ac:dyDescent="0.2"/>
    <row r="25605" ht="12.75" x14ac:dyDescent="0.2"/>
    <row r="25606" ht="12.75" x14ac:dyDescent="0.2"/>
    <row r="25607" ht="12.75" x14ac:dyDescent="0.2"/>
    <row r="25608" ht="12.75" x14ac:dyDescent="0.2"/>
    <row r="25609" ht="12.75" x14ac:dyDescent="0.2"/>
    <row r="25610" ht="12.75" x14ac:dyDescent="0.2"/>
    <row r="25611" ht="12.75" x14ac:dyDescent="0.2"/>
    <row r="25612" ht="12.75" x14ac:dyDescent="0.2"/>
    <row r="25613" ht="12.75" x14ac:dyDescent="0.2"/>
    <row r="25614" ht="12.75" x14ac:dyDescent="0.2"/>
    <row r="25615" ht="12.75" x14ac:dyDescent="0.2"/>
    <row r="25616" ht="12.75" x14ac:dyDescent="0.2"/>
    <row r="25617" ht="12.75" x14ac:dyDescent="0.2"/>
    <row r="25618" ht="12.75" x14ac:dyDescent="0.2"/>
    <row r="25619" ht="12.75" x14ac:dyDescent="0.2"/>
    <row r="25620" ht="12.75" x14ac:dyDescent="0.2"/>
    <row r="25621" ht="12.75" x14ac:dyDescent="0.2"/>
    <row r="25622" ht="12.75" x14ac:dyDescent="0.2"/>
    <row r="25623" ht="12.75" x14ac:dyDescent="0.2"/>
    <row r="25624" ht="12.75" x14ac:dyDescent="0.2"/>
    <row r="25625" ht="12.75" x14ac:dyDescent="0.2"/>
    <row r="25626" ht="12.75" x14ac:dyDescent="0.2"/>
    <row r="25627" ht="12.75" x14ac:dyDescent="0.2"/>
    <row r="25628" ht="12.75" x14ac:dyDescent="0.2"/>
    <row r="25629" ht="12.75" x14ac:dyDescent="0.2"/>
    <row r="25630" ht="12.75" x14ac:dyDescent="0.2"/>
    <row r="25631" ht="12.75" x14ac:dyDescent="0.2"/>
    <row r="25632" ht="12.75" x14ac:dyDescent="0.2"/>
    <row r="25633" ht="12.75" x14ac:dyDescent="0.2"/>
    <row r="25634" ht="12.75" x14ac:dyDescent="0.2"/>
    <row r="25635" ht="12.75" x14ac:dyDescent="0.2"/>
    <row r="25636" ht="12.75" x14ac:dyDescent="0.2"/>
    <row r="25637" ht="12.75" x14ac:dyDescent="0.2"/>
    <row r="25638" ht="12.75" x14ac:dyDescent="0.2"/>
    <row r="25639" ht="12.75" x14ac:dyDescent="0.2"/>
    <row r="25640" ht="12.75" x14ac:dyDescent="0.2"/>
    <row r="25641" ht="12.75" x14ac:dyDescent="0.2"/>
    <row r="25642" ht="12.75" x14ac:dyDescent="0.2"/>
    <row r="25643" ht="12.75" x14ac:dyDescent="0.2"/>
    <row r="25644" ht="12.75" x14ac:dyDescent="0.2"/>
    <row r="25645" ht="12.75" x14ac:dyDescent="0.2"/>
    <row r="25646" ht="12.75" x14ac:dyDescent="0.2"/>
    <row r="25647" ht="12.75" x14ac:dyDescent="0.2"/>
    <row r="25648" ht="12.75" x14ac:dyDescent="0.2"/>
    <row r="25649" ht="12.75" x14ac:dyDescent="0.2"/>
    <row r="25650" ht="12.75" x14ac:dyDescent="0.2"/>
    <row r="25651" ht="12.75" x14ac:dyDescent="0.2"/>
    <row r="25652" ht="12.75" x14ac:dyDescent="0.2"/>
    <row r="25653" ht="12.75" x14ac:dyDescent="0.2"/>
    <row r="25654" ht="12.75" x14ac:dyDescent="0.2"/>
    <row r="25655" ht="12.75" x14ac:dyDescent="0.2"/>
    <row r="25656" ht="12.75" x14ac:dyDescent="0.2"/>
    <row r="25657" ht="12.75" x14ac:dyDescent="0.2"/>
    <row r="25658" ht="12.75" x14ac:dyDescent="0.2"/>
    <row r="25659" ht="12.75" x14ac:dyDescent="0.2"/>
    <row r="25660" ht="12.75" x14ac:dyDescent="0.2"/>
    <row r="25661" ht="12.75" x14ac:dyDescent="0.2"/>
    <row r="25662" ht="12.75" x14ac:dyDescent="0.2"/>
    <row r="25663" ht="12.75" x14ac:dyDescent="0.2"/>
    <row r="25664" ht="12.75" x14ac:dyDescent="0.2"/>
    <row r="25665" ht="12.75" x14ac:dyDescent="0.2"/>
    <row r="25666" ht="12.75" x14ac:dyDescent="0.2"/>
    <row r="25667" ht="12.75" x14ac:dyDescent="0.2"/>
    <row r="25668" ht="12.75" x14ac:dyDescent="0.2"/>
    <row r="25669" ht="12.75" x14ac:dyDescent="0.2"/>
    <row r="25670" ht="12.75" x14ac:dyDescent="0.2"/>
    <row r="25671" ht="12.75" x14ac:dyDescent="0.2"/>
    <row r="25672" ht="12.75" x14ac:dyDescent="0.2"/>
    <row r="25673" ht="12.75" x14ac:dyDescent="0.2"/>
    <row r="25674" ht="12.75" x14ac:dyDescent="0.2"/>
    <row r="25675" ht="12.75" x14ac:dyDescent="0.2"/>
    <row r="25676" ht="12.75" x14ac:dyDescent="0.2"/>
    <row r="25677" ht="12.75" x14ac:dyDescent="0.2"/>
    <row r="25678" ht="12.75" x14ac:dyDescent="0.2"/>
    <row r="25679" ht="12.75" x14ac:dyDescent="0.2"/>
    <row r="25680" ht="12.75" x14ac:dyDescent="0.2"/>
    <row r="25681" ht="12.75" x14ac:dyDescent="0.2"/>
    <row r="25682" ht="12.75" x14ac:dyDescent="0.2"/>
    <row r="25683" ht="12.75" x14ac:dyDescent="0.2"/>
    <row r="25684" ht="12.75" x14ac:dyDescent="0.2"/>
    <row r="25685" ht="12.75" x14ac:dyDescent="0.2"/>
    <row r="25686" ht="12.75" x14ac:dyDescent="0.2"/>
    <row r="25687" ht="12.75" x14ac:dyDescent="0.2"/>
    <row r="25688" ht="12.75" x14ac:dyDescent="0.2"/>
    <row r="25689" ht="12.75" x14ac:dyDescent="0.2"/>
    <row r="25690" ht="12.75" x14ac:dyDescent="0.2"/>
    <row r="25691" ht="12.75" x14ac:dyDescent="0.2"/>
    <row r="25692" ht="12.75" x14ac:dyDescent="0.2"/>
    <row r="25693" ht="12.75" x14ac:dyDescent="0.2"/>
    <row r="25694" ht="12.75" x14ac:dyDescent="0.2"/>
    <row r="25695" ht="12.75" x14ac:dyDescent="0.2"/>
    <row r="25696" ht="12.75" x14ac:dyDescent="0.2"/>
    <row r="25697" ht="12.75" x14ac:dyDescent="0.2"/>
    <row r="25698" ht="12.75" x14ac:dyDescent="0.2"/>
    <row r="25699" ht="12.75" x14ac:dyDescent="0.2"/>
    <row r="25700" ht="12.75" x14ac:dyDescent="0.2"/>
    <row r="25701" ht="12.75" x14ac:dyDescent="0.2"/>
    <row r="25702" ht="12.75" x14ac:dyDescent="0.2"/>
    <row r="25703" ht="12.75" x14ac:dyDescent="0.2"/>
    <row r="25704" ht="12.75" x14ac:dyDescent="0.2"/>
    <row r="25705" ht="12.75" x14ac:dyDescent="0.2"/>
    <row r="25706" ht="12.75" x14ac:dyDescent="0.2"/>
    <row r="25707" ht="12.75" x14ac:dyDescent="0.2"/>
    <row r="25708" ht="12.75" x14ac:dyDescent="0.2"/>
    <row r="25709" ht="12.75" x14ac:dyDescent="0.2"/>
    <row r="25710" ht="12.75" x14ac:dyDescent="0.2"/>
    <row r="25711" ht="12.75" x14ac:dyDescent="0.2"/>
    <row r="25712" ht="12.75" x14ac:dyDescent="0.2"/>
    <row r="25713" ht="12.75" x14ac:dyDescent="0.2"/>
    <row r="25714" ht="12.75" x14ac:dyDescent="0.2"/>
    <row r="25715" ht="12.75" x14ac:dyDescent="0.2"/>
    <row r="25716" ht="12.75" x14ac:dyDescent="0.2"/>
    <row r="25717" ht="12.75" x14ac:dyDescent="0.2"/>
    <row r="25718" ht="12.75" x14ac:dyDescent="0.2"/>
    <row r="25719" ht="12.75" x14ac:dyDescent="0.2"/>
    <row r="25720" ht="12.75" x14ac:dyDescent="0.2"/>
    <row r="25721" ht="12.75" x14ac:dyDescent="0.2"/>
    <row r="25722" ht="12.75" x14ac:dyDescent="0.2"/>
    <row r="25723" ht="12.75" x14ac:dyDescent="0.2"/>
    <row r="25724" ht="12.75" x14ac:dyDescent="0.2"/>
    <row r="25725" ht="12.75" x14ac:dyDescent="0.2"/>
    <row r="25726" ht="12.75" x14ac:dyDescent="0.2"/>
    <row r="25727" ht="12.75" x14ac:dyDescent="0.2"/>
    <row r="25728" ht="12.75" x14ac:dyDescent="0.2"/>
    <row r="25729" ht="12.75" x14ac:dyDescent="0.2"/>
    <row r="25730" ht="12.75" x14ac:dyDescent="0.2"/>
    <row r="25731" ht="12.75" x14ac:dyDescent="0.2"/>
    <row r="25732" ht="12.75" x14ac:dyDescent="0.2"/>
    <row r="25733" ht="12.75" x14ac:dyDescent="0.2"/>
    <row r="25734" ht="12.75" x14ac:dyDescent="0.2"/>
    <row r="25735" ht="12.75" x14ac:dyDescent="0.2"/>
    <row r="25736" ht="12.75" x14ac:dyDescent="0.2"/>
    <row r="25737" ht="12.75" x14ac:dyDescent="0.2"/>
    <row r="25738" ht="12.75" x14ac:dyDescent="0.2"/>
    <row r="25739" ht="12.75" x14ac:dyDescent="0.2"/>
    <row r="25740" ht="12.75" x14ac:dyDescent="0.2"/>
    <row r="25741" ht="12.75" x14ac:dyDescent="0.2"/>
    <row r="25742" ht="12.75" x14ac:dyDescent="0.2"/>
    <row r="25743" ht="12.75" x14ac:dyDescent="0.2"/>
    <row r="25744" ht="12.75" x14ac:dyDescent="0.2"/>
    <row r="25745" ht="12.75" x14ac:dyDescent="0.2"/>
    <row r="25746" ht="12.75" x14ac:dyDescent="0.2"/>
    <row r="25747" ht="12.75" x14ac:dyDescent="0.2"/>
    <row r="25748" ht="12.75" x14ac:dyDescent="0.2"/>
    <row r="25749" ht="12.75" x14ac:dyDescent="0.2"/>
    <row r="25750" ht="12.75" x14ac:dyDescent="0.2"/>
    <row r="25751" ht="12.75" x14ac:dyDescent="0.2"/>
    <row r="25752" ht="12.75" x14ac:dyDescent="0.2"/>
    <row r="25753" ht="12.75" x14ac:dyDescent="0.2"/>
    <row r="25754" ht="12.75" x14ac:dyDescent="0.2"/>
    <row r="25755" ht="12.75" x14ac:dyDescent="0.2"/>
    <row r="25756" ht="12.75" x14ac:dyDescent="0.2"/>
    <row r="25757" ht="12.75" x14ac:dyDescent="0.2"/>
    <row r="25758" ht="12.75" x14ac:dyDescent="0.2"/>
    <row r="25759" ht="12.75" x14ac:dyDescent="0.2"/>
    <row r="25760" ht="12.75" x14ac:dyDescent="0.2"/>
    <row r="25761" ht="12.75" x14ac:dyDescent="0.2"/>
    <row r="25762" ht="12.75" x14ac:dyDescent="0.2"/>
    <row r="25763" ht="12.75" x14ac:dyDescent="0.2"/>
    <row r="25764" ht="12.75" x14ac:dyDescent="0.2"/>
    <row r="25765" ht="12.75" x14ac:dyDescent="0.2"/>
    <row r="25766" ht="12.75" x14ac:dyDescent="0.2"/>
    <row r="25767" ht="12.75" x14ac:dyDescent="0.2"/>
    <row r="25768" ht="12.75" x14ac:dyDescent="0.2"/>
    <row r="25769" ht="12.75" x14ac:dyDescent="0.2"/>
    <row r="25770" ht="12.75" x14ac:dyDescent="0.2"/>
    <row r="25771" ht="12.75" x14ac:dyDescent="0.2"/>
    <row r="25772" ht="12.75" x14ac:dyDescent="0.2"/>
    <row r="25773" ht="12.75" x14ac:dyDescent="0.2"/>
    <row r="25774" ht="12.75" x14ac:dyDescent="0.2"/>
    <row r="25775" ht="12.75" x14ac:dyDescent="0.2"/>
    <row r="25776" ht="12.75" x14ac:dyDescent="0.2"/>
    <row r="25777" ht="12.75" x14ac:dyDescent="0.2"/>
    <row r="25778" ht="12.75" x14ac:dyDescent="0.2"/>
    <row r="25779" ht="12.75" x14ac:dyDescent="0.2"/>
    <row r="25780" ht="12.75" x14ac:dyDescent="0.2"/>
    <row r="25781" ht="12.75" x14ac:dyDescent="0.2"/>
    <row r="25782" ht="12.75" x14ac:dyDescent="0.2"/>
    <row r="25783" ht="12.75" x14ac:dyDescent="0.2"/>
    <row r="25784" ht="12.75" x14ac:dyDescent="0.2"/>
    <row r="25785" ht="12.75" x14ac:dyDescent="0.2"/>
    <row r="25786" ht="12.75" x14ac:dyDescent="0.2"/>
    <row r="25787" ht="12.75" x14ac:dyDescent="0.2"/>
    <row r="25788" ht="12.75" x14ac:dyDescent="0.2"/>
    <row r="25789" ht="12.75" x14ac:dyDescent="0.2"/>
    <row r="25790" ht="12.75" x14ac:dyDescent="0.2"/>
    <row r="25791" ht="12.75" x14ac:dyDescent="0.2"/>
    <row r="25792" ht="12.75" x14ac:dyDescent="0.2"/>
    <row r="25793" ht="12.75" x14ac:dyDescent="0.2"/>
    <row r="25794" ht="12.75" x14ac:dyDescent="0.2"/>
    <row r="25795" ht="12.75" x14ac:dyDescent="0.2"/>
    <row r="25796" ht="12.75" x14ac:dyDescent="0.2"/>
    <row r="25797" ht="12.75" x14ac:dyDescent="0.2"/>
    <row r="25798" ht="12.75" x14ac:dyDescent="0.2"/>
    <row r="25799" ht="12.75" x14ac:dyDescent="0.2"/>
    <row r="25800" ht="12.75" x14ac:dyDescent="0.2"/>
    <row r="25801" ht="12.75" x14ac:dyDescent="0.2"/>
    <row r="25802" ht="12.75" x14ac:dyDescent="0.2"/>
    <row r="25803" ht="12.75" x14ac:dyDescent="0.2"/>
    <row r="25804" ht="12.75" x14ac:dyDescent="0.2"/>
    <row r="25805" ht="12.75" x14ac:dyDescent="0.2"/>
    <row r="25806" ht="12.75" x14ac:dyDescent="0.2"/>
    <row r="25807" ht="12.75" x14ac:dyDescent="0.2"/>
    <row r="25808" ht="12.75" x14ac:dyDescent="0.2"/>
    <row r="25809" ht="12.75" x14ac:dyDescent="0.2"/>
    <row r="25810" ht="12.75" x14ac:dyDescent="0.2"/>
    <row r="25811" ht="12.75" x14ac:dyDescent="0.2"/>
    <row r="25812" ht="12.75" x14ac:dyDescent="0.2"/>
    <row r="25813" ht="12.75" x14ac:dyDescent="0.2"/>
    <row r="25814" ht="12.75" x14ac:dyDescent="0.2"/>
    <row r="25815" ht="12.75" x14ac:dyDescent="0.2"/>
    <row r="25816" ht="12.75" x14ac:dyDescent="0.2"/>
    <row r="25817" ht="12.75" x14ac:dyDescent="0.2"/>
    <row r="25818" ht="12.75" x14ac:dyDescent="0.2"/>
    <row r="25819" ht="12.75" x14ac:dyDescent="0.2"/>
    <row r="25820" ht="12.75" x14ac:dyDescent="0.2"/>
    <row r="25821" ht="12.75" x14ac:dyDescent="0.2"/>
    <row r="25822" ht="12.75" x14ac:dyDescent="0.2"/>
    <row r="25823" ht="12.75" x14ac:dyDescent="0.2"/>
    <row r="25824" ht="12.75" x14ac:dyDescent="0.2"/>
    <row r="25825" ht="12.75" x14ac:dyDescent="0.2"/>
    <row r="25826" ht="12.75" x14ac:dyDescent="0.2"/>
    <row r="25827" ht="12.75" x14ac:dyDescent="0.2"/>
    <row r="25828" ht="12.75" x14ac:dyDescent="0.2"/>
    <row r="25829" ht="12.75" x14ac:dyDescent="0.2"/>
    <row r="25830" ht="12.75" x14ac:dyDescent="0.2"/>
    <row r="25831" ht="12.75" x14ac:dyDescent="0.2"/>
    <row r="25832" ht="12.75" x14ac:dyDescent="0.2"/>
    <row r="25833" ht="12.75" x14ac:dyDescent="0.2"/>
    <row r="25834" ht="12.75" x14ac:dyDescent="0.2"/>
    <row r="25835" ht="12.75" x14ac:dyDescent="0.2"/>
    <row r="25836" ht="12.75" x14ac:dyDescent="0.2"/>
    <row r="25837" ht="12.75" x14ac:dyDescent="0.2"/>
    <row r="25838" ht="12.75" x14ac:dyDescent="0.2"/>
    <row r="25839" ht="12.75" x14ac:dyDescent="0.2"/>
    <row r="25840" ht="12.75" x14ac:dyDescent="0.2"/>
    <row r="25841" ht="12.75" x14ac:dyDescent="0.2"/>
    <row r="25842" ht="12.75" x14ac:dyDescent="0.2"/>
    <row r="25843" ht="12.75" x14ac:dyDescent="0.2"/>
    <row r="25844" ht="12.75" x14ac:dyDescent="0.2"/>
    <row r="25845" ht="12.75" x14ac:dyDescent="0.2"/>
    <row r="25846" ht="12.75" x14ac:dyDescent="0.2"/>
    <row r="25847" ht="12.75" x14ac:dyDescent="0.2"/>
    <row r="25848" ht="12.75" x14ac:dyDescent="0.2"/>
    <row r="25849" ht="12.75" x14ac:dyDescent="0.2"/>
    <row r="25850" ht="12.75" x14ac:dyDescent="0.2"/>
    <row r="25851" ht="12.75" x14ac:dyDescent="0.2"/>
    <row r="25852" ht="12.75" x14ac:dyDescent="0.2"/>
    <row r="25853" ht="12.75" x14ac:dyDescent="0.2"/>
    <row r="25854" ht="12.75" x14ac:dyDescent="0.2"/>
    <row r="25855" ht="12.75" x14ac:dyDescent="0.2"/>
    <row r="25856" ht="12.75" x14ac:dyDescent="0.2"/>
    <row r="25857" ht="12.75" x14ac:dyDescent="0.2"/>
    <row r="25858" ht="12.75" x14ac:dyDescent="0.2"/>
    <row r="25859" ht="12.75" x14ac:dyDescent="0.2"/>
    <row r="25860" ht="12.75" x14ac:dyDescent="0.2"/>
    <row r="25861" ht="12.75" x14ac:dyDescent="0.2"/>
    <row r="25862" ht="12.75" x14ac:dyDescent="0.2"/>
    <row r="25863" ht="12.75" x14ac:dyDescent="0.2"/>
    <row r="25864" ht="12.75" x14ac:dyDescent="0.2"/>
    <row r="25865" ht="12.75" x14ac:dyDescent="0.2"/>
    <row r="25866" ht="12.75" x14ac:dyDescent="0.2"/>
    <row r="25867" ht="12.75" x14ac:dyDescent="0.2"/>
    <row r="25868" ht="12.75" x14ac:dyDescent="0.2"/>
    <row r="25869" ht="12.75" x14ac:dyDescent="0.2"/>
    <row r="25870" ht="12.75" x14ac:dyDescent="0.2"/>
    <row r="25871" ht="12.75" x14ac:dyDescent="0.2"/>
    <row r="25872" ht="12.75" x14ac:dyDescent="0.2"/>
    <row r="25873" ht="12.75" x14ac:dyDescent="0.2"/>
    <row r="25874" ht="12.75" x14ac:dyDescent="0.2"/>
    <row r="25875" ht="12.75" x14ac:dyDescent="0.2"/>
    <row r="25876" ht="12.75" x14ac:dyDescent="0.2"/>
    <row r="25877" ht="12.75" x14ac:dyDescent="0.2"/>
    <row r="25878" ht="12.75" x14ac:dyDescent="0.2"/>
    <row r="25879" ht="12.75" x14ac:dyDescent="0.2"/>
    <row r="25880" ht="12.75" x14ac:dyDescent="0.2"/>
    <row r="25881" ht="12.75" x14ac:dyDescent="0.2"/>
    <row r="25882" ht="12.75" x14ac:dyDescent="0.2"/>
    <row r="25883" ht="12.75" x14ac:dyDescent="0.2"/>
    <row r="25884" ht="12.75" x14ac:dyDescent="0.2"/>
    <row r="25885" ht="12.75" x14ac:dyDescent="0.2"/>
    <row r="25886" ht="12.75" x14ac:dyDescent="0.2"/>
    <row r="25887" ht="12.75" x14ac:dyDescent="0.2"/>
    <row r="25888" ht="12.75" x14ac:dyDescent="0.2"/>
    <row r="25889" ht="12.75" x14ac:dyDescent="0.2"/>
    <row r="25890" ht="12.75" x14ac:dyDescent="0.2"/>
    <row r="25891" ht="12.75" x14ac:dyDescent="0.2"/>
    <row r="25892" ht="12.75" x14ac:dyDescent="0.2"/>
    <row r="25893" ht="12.75" x14ac:dyDescent="0.2"/>
    <row r="25894" ht="12.75" x14ac:dyDescent="0.2"/>
    <row r="25895" ht="12.75" x14ac:dyDescent="0.2"/>
    <row r="25896" ht="12.75" x14ac:dyDescent="0.2"/>
    <row r="25897" ht="12.75" x14ac:dyDescent="0.2"/>
    <row r="25898" ht="12.75" x14ac:dyDescent="0.2"/>
    <row r="25899" ht="12.75" x14ac:dyDescent="0.2"/>
    <row r="25900" ht="12.75" x14ac:dyDescent="0.2"/>
    <row r="25901" ht="12.75" x14ac:dyDescent="0.2"/>
    <row r="25902" ht="12.75" x14ac:dyDescent="0.2"/>
    <row r="25903" ht="12.75" x14ac:dyDescent="0.2"/>
    <row r="25904" ht="12.75" x14ac:dyDescent="0.2"/>
    <row r="25905" ht="12.75" x14ac:dyDescent="0.2"/>
    <row r="25906" ht="12.75" x14ac:dyDescent="0.2"/>
    <row r="25907" ht="12.75" x14ac:dyDescent="0.2"/>
    <row r="25908" ht="12.75" x14ac:dyDescent="0.2"/>
    <row r="25909" ht="12.75" x14ac:dyDescent="0.2"/>
    <row r="25910" ht="12.75" x14ac:dyDescent="0.2"/>
    <row r="25911" ht="12.75" x14ac:dyDescent="0.2"/>
    <row r="25912" ht="12.75" x14ac:dyDescent="0.2"/>
    <row r="25913" ht="12.75" x14ac:dyDescent="0.2"/>
    <row r="25914" ht="12.75" x14ac:dyDescent="0.2"/>
    <row r="25915" ht="12.75" x14ac:dyDescent="0.2"/>
    <row r="25916" ht="12.75" x14ac:dyDescent="0.2"/>
    <row r="25917" ht="12.75" x14ac:dyDescent="0.2"/>
    <row r="25918" ht="12.75" x14ac:dyDescent="0.2"/>
    <row r="25919" ht="12.75" x14ac:dyDescent="0.2"/>
    <row r="25920" ht="12.75" x14ac:dyDescent="0.2"/>
    <row r="25921" ht="12.75" x14ac:dyDescent="0.2"/>
    <row r="25922" ht="12.75" x14ac:dyDescent="0.2"/>
    <row r="25923" ht="12.75" x14ac:dyDescent="0.2"/>
    <row r="25924" ht="12.75" x14ac:dyDescent="0.2"/>
    <row r="25925" ht="12.75" x14ac:dyDescent="0.2"/>
    <row r="25926" ht="12.75" x14ac:dyDescent="0.2"/>
    <row r="25927" ht="12.75" x14ac:dyDescent="0.2"/>
    <row r="25928" ht="12.75" x14ac:dyDescent="0.2"/>
    <row r="25929" ht="12.75" x14ac:dyDescent="0.2"/>
    <row r="25930" ht="12.75" x14ac:dyDescent="0.2"/>
    <row r="25931" ht="12.75" x14ac:dyDescent="0.2"/>
    <row r="25932" ht="12.75" x14ac:dyDescent="0.2"/>
    <row r="25933" ht="12.75" x14ac:dyDescent="0.2"/>
    <row r="25934" ht="12.75" x14ac:dyDescent="0.2"/>
    <row r="25935" ht="12.75" x14ac:dyDescent="0.2"/>
    <row r="25936" ht="12.75" x14ac:dyDescent="0.2"/>
    <row r="25937" ht="12.75" x14ac:dyDescent="0.2"/>
    <row r="25938" ht="12.75" x14ac:dyDescent="0.2"/>
    <row r="25939" ht="12.75" x14ac:dyDescent="0.2"/>
    <row r="25940" ht="12.75" x14ac:dyDescent="0.2"/>
    <row r="25941" ht="12.75" x14ac:dyDescent="0.2"/>
    <row r="25942" ht="12.75" x14ac:dyDescent="0.2"/>
    <row r="25943" ht="12.75" x14ac:dyDescent="0.2"/>
    <row r="25944" ht="12.75" x14ac:dyDescent="0.2"/>
    <row r="25945" ht="12.75" x14ac:dyDescent="0.2"/>
    <row r="25946" ht="12.75" x14ac:dyDescent="0.2"/>
    <row r="25947" ht="12.75" x14ac:dyDescent="0.2"/>
    <row r="25948" ht="12.75" x14ac:dyDescent="0.2"/>
    <row r="25949" ht="12.75" x14ac:dyDescent="0.2"/>
    <row r="25950" ht="12.75" x14ac:dyDescent="0.2"/>
    <row r="25951" ht="12.75" x14ac:dyDescent="0.2"/>
    <row r="25952" ht="12.75" x14ac:dyDescent="0.2"/>
    <row r="25953" ht="12.75" x14ac:dyDescent="0.2"/>
    <row r="25954" ht="12.75" x14ac:dyDescent="0.2"/>
    <row r="25955" ht="12.75" x14ac:dyDescent="0.2"/>
    <row r="25956" ht="12.75" x14ac:dyDescent="0.2"/>
    <row r="25957" ht="12.75" x14ac:dyDescent="0.2"/>
    <row r="25958" ht="12.75" x14ac:dyDescent="0.2"/>
    <row r="25959" ht="12.75" x14ac:dyDescent="0.2"/>
    <row r="25960" ht="12.75" x14ac:dyDescent="0.2"/>
    <row r="25961" ht="12.75" x14ac:dyDescent="0.2"/>
    <row r="25962" ht="12.75" x14ac:dyDescent="0.2"/>
    <row r="25963" ht="12.75" x14ac:dyDescent="0.2"/>
    <row r="25964" ht="12.75" x14ac:dyDescent="0.2"/>
    <row r="25965" ht="12.75" x14ac:dyDescent="0.2"/>
    <row r="25966" ht="12.75" x14ac:dyDescent="0.2"/>
    <row r="25967" ht="12.75" x14ac:dyDescent="0.2"/>
    <row r="25968" ht="12.75" x14ac:dyDescent="0.2"/>
    <row r="25969" ht="12.75" x14ac:dyDescent="0.2"/>
    <row r="25970" ht="12.75" x14ac:dyDescent="0.2"/>
    <row r="25971" ht="12.75" x14ac:dyDescent="0.2"/>
    <row r="25972" ht="12.75" x14ac:dyDescent="0.2"/>
    <row r="25973" ht="12.75" x14ac:dyDescent="0.2"/>
    <row r="25974" ht="12.75" x14ac:dyDescent="0.2"/>
    <row r="25975" ht="12.75" x14ac:dyDescent="0.2"/>
    <row r="25976" ht="12.75" x14ac:dyDescent="0.2"/>
    <row r="25977" ht="12.75" x14ac:dyDescent="0.2"/>
    <row r="25978" ht="12.75" x14ac:dyDescent="0.2"/>
    <row r="25979" ht="12.75" x14ac:dyDescent="0.2"/>
    <row r="25980" ht="12.75" x14ac:dyDescent="0.2"/>
    <row r="25981" ht="12.75" x14ac:dyDescent="0.2"/>
    <row r="25982" ht="12.75" x14ac:dyDescent="0.2"/>
    <row r="25983" ht="12.75" x14ac:dyDescent="0.2"/>
    <row r="25984" ht="12.75" x14ac:dyDescent="0.2"/>
    <row r="25985" ht="12.75" x14ac:dyDescent="0.2"/>
    <row r="25986" ht="12.75" x14ac:dyDescent="0.2"/>
    <row r="25987" ht="12.75" x14ac:dyDescent="0.2"/>
    <row r="25988" ht="12.75" x14ac:dyDescent="0.2"/>
    <row r="25989" ht="12.75" x14ac:dyDescent="0.2"/>
    <row r="25990" ht="12.75" x14ac:dyDescent="0.2"/>
    <row r="25991" ht="12.75" x14ac:dyDescent="0.2"/>
    <row r="25992" ht="12.75" x14ac:dyDescent="0.2"/>
    <row r="25993" ht="12.75" x14ac:dyDescent="0.2"/>
    <row r="25994" ht="12.75" x14ac:dyDescent="0.2"/>
    <row r="25995" ht="12.75" x14ac:dyDescent="0.2"/>
    <row r="25996" ht="12.75" x14ac:dyDescent="0.2"/>
    <row r="25997" ht="12.75" x14ac:dyDescent="0.2"/>
    <row r="25998" ht="12.75" x14ac:dyDescent="0.2"/>
    <row r="25999" ht="12.75" x14ac:dyDescent="0.2"/>
    <row r="26000" ht="12.75" x14ac:dyDescent="0.2"/>
    <row r="26001" ht="12.75" x14ac:dyDescent="0.2"/>
    <row r="26002" ht="12.75" x14ac:dyDescent="0.2"/>
    <row r="26003" ht="12.75" x14ac:dyDescent="0.2"/>
    <row r="26004" ht="12.75" x14ac:dyDescent="0.2"/>
    <row r="26005" ht="12.75" x14ac:dyDescent="0.2"/>
    <row r="26006" ht="12.75" x14ac:dyDescent="0.2"/>
    <row r="26007" ht="12.75" x14ac:dyDescent="0.2"/>
    <row r="26008" ht="12.75" x14ac:dyDescent="0.2"/>
    <row r="26009" ht="12.75" x14ac:dyDescent="0.2"/>
    <row r="26010" ht="12.75" x14ac:dyDescent="0.2"/>
    <row r="26011" ht="12.75" x14ac:dyDescent="0.2"/>
    <row r="26012" ht="12.75" x14ac:dyDescent="0.2"/>
    <row r="26013" ht="12.75" x14ac:dyDescent="0.2"/>
    <row r="26014" ht="12.75" x14ac:dyDescent="0.2"/>
    <row r="26015" ht="12.75" x14ac:dyDescent="0.2"/>
    <row r="26016" ht="12.75" x14ac:dyDescent="0.2"/>
    <row r="26017" ht="12.75" x14ac:dyDescent="0.2"/>
    <row r="26018" ht="12.75" x14ac:dyDescent="0.2"/>
    <row r="26019" ht="12.75" x14ac:dyDescent="0.2"/>
    <row r="26020" ht="12.75" x14ac:dyDescent="0.2"/>
    <row r="26021" ht="12.75" x14ac:dyDescent="0.2"/>
    <row r="26022" ht="12.75" x14ac:dyDescent="0.2"/>
    <row r="26023" ht="12.75" x14ac:dyDescent="0.2"/>
    <row r="26024" ht="12.75" x14ac:dyDescent="0.2"/>
    <row r="26025" ht="12.75" x14ac:dyDescent="0.2"/>
    <row r="26026" ht="12.75" x14ac:dyDescent="0.2"/>
    <row r="26027" ht="12.75" x14ac:dyDescent="0.2"/>
    <row r="26028" ht="12.75" x14ac:dyDescent="0.2"/>
    <row r="26029" ht="12.75" x14ac:dyDescent="0.2"/>
    <row r="26030" ht="12.75" x14ac:dyDescent="0.2"/>
    <row r="26031" ht="12.75" x14ac:dyDescent="0.2"/>
    <row r="26032" ht="12.75" x14ac:dyDescent="0.2"/>
    <row r="26033" ht="12.75" x14ac:dyDescent="0.2"/>
    <row r="26034" ht="12.75" x14ac:dyDescent="0.2"/>
    <row r="26035" ht="12.75" x14ac:dyDescent="0.2"/>
    <row r="26036" ht="12.75" x14ac:dyDescent="0.2"/>
    <row r="26037" ht="12.75" x14ac:dyDescent="0.2"/>
    <row r="26038" ht="12.75" x14ac:dyDescent="0.2"/>
    <row r="26039" ht="12.75" x14ac:dyDescent="0.2"/>
    <row r="26040" ht="12.75" x14ac:dyDescent="0.2"/>
    <row r="26041" ht="12.75" x14ac:dyDescent="0.2"/>
    <row r="26042" ht="12.75" x14ac:dyDescent="0.2"/>
    <row r="26043" ht="12.75" x14ac:dyDescent="0.2"/>
    <row r="26044" ht="12.75" x14ac:dyDescent="0.2"/>
    <row r="26045" ht="12.75" x14ac:dyDescent="0.2"/>
    <row r="26046" ht="12.75" x14ac:dyDescent="0.2"/>
    <row r="26047" ht="12.75" x14ac:dyDescent="0.2"/>
    <row r="26048" ht="12.75" x14ac:dyDescent="0.2"/>
    <row r="26049" ht="12.75" x14ac:dyDescent="0.2"/>
    <row r="26050" ht="12.75" x14ac:dyDescent="0.2"/>
    <row r="26051" ht="12.75" x14ac:dyDescent="0.2"/>
    <row r="26052" ht="12.75" x14ac:dyDescent="0.2"/>
    <row r="26053" ht="12.75" x14ac:dyDescent="0.2"/>
    <row r="26054" ht="12.75" x14ac:dyDescent="0.2"/>
    <row r="26055" ht="12.75" x14ac:dyDescent="0.2"/>
    <row r="26056" ht="12.75" x14ac:dyDescent="0.2"/>
    <row r="26057" ht="12.75" x14ac:dyDescent="0.2"/>
    <row r="26058" ht="12.75" x14ac:dyDescent="0.2"/>
    <row r="26059" ht="12.75" x14ac:dyDescent="0.2"/>
    <row r="26060" ht="12.75" x14ac:dyDescent="0.2"/>
    <row r="26061" ht="12.75" x14ac:dyDescent="0.2"/>
    <row r="26062" ht="12.75" x14ac:dyDescent="0.2"/>
    <row r="26063" ht="12.75" x14ac:dyDescent="0.2"/>
    <row r="26064" ht="12.75" x14ac:dyDescent="0.2"/>
    <row r="26065" ht="12.75" x14ac:dyDescent="0.2"/>
    <row r="26066" ht="12.75" x14ac:dyDescent="0.2"/>
    <row r="26067" ht="12.75" x14ac:dyDescent="0.2"/>
    <row r="26068" ht="12.75" x14ac:dyDescent="0.2"/>
    <row r="26069" ht="12.75" x14ac:dyDescent="0.2"/>
    <row r="26070" ht="12.75" x14ac:dyDescent="0.2"/>
    <row r="26071" ht="12.75" x14ac:dyDescent="0.2"/>
    <row r="26072" ht="12.75" x14ac:dyDescent="0.2"/>
    <row r="26073" ht="12.75" x14ac:dyDescent="0.2"/>
    <row r="26074" ht="12.75" x14ac:dyDescent="0.2"/>
    <row r="26075" ht="12.75" x14ac:dyDescent="0.2"/>
    <row r="26076" ht="12.75" x14ac:dyDescent="0.2"/>
    <row r="26077" ht="12.75" x14ac:dyDescent="0.2"/>
    <row r="26078" ht="12.75" x14ac:dyDescent="0.2"/>
    <row r="26079" ht="12.75" x14ac:dyDescent="0.2"/>
    <row r="26080" ht="12.75" x14ac:dyDescent="0.2"/>
    <row r="26081" ht="12.75" x14ac:dyDescent="0.2"/>
    <row r="26082" ht="12.75" x14ac:dyDescent="0.2"/>
    <row r="26083" ht="12.75" x14ac:dyDescent="0.2"/>
    <row r="26084" ht="12.75" x14ac:dyDescent="0.2"/>
    <row r="26085" ht="12.75" x14ac:dyDescent="0.2"/>
    <row r="26086" ht="12.75" x14ac:dyDescent="0.2"/>
    <row r="26087" ht="12.75" x14ac:dyDescent="0.2"/>
    <row r="26088" ht="12.75" x14ac:dyDescent="0.2"/>
    <row r="26089" ht="12.75" x14ac:dyDescent="0.2"/>
    <row r="26090" ht="12.75" x14ac:dyDescent="0.2"/>
    <row r="26091" ht="12.75" x14ac:dyDescent="0.2"/>
    <row r="26092" ht="12.75" x14ac:dyDescent="0.2"/>
    <row r="26093" ht="12.75" x14ac:dyDescent="0.2"/>
    <row r="26094" ht="12.75" x14ac:dyDescent="0.2"/>
    <row r="26095" ht="12.75" x14ac:dyDescent="0.2"/>
    <row r="26096" ht="12.75" x14ac:dyDescent="0.2"/>
    <row r="26097" ht="12.75" x14ac:dyDescent="0.2"/>
    <row r="26098" ht="12.75" x14ac:dyDescent="0.2"/>
    <row r="26099" ht="12.75" x14ac:dyDescent="0.2"/>
    <row r="26100" ht="12.75" x14ac:dyDescent="0.2"/>
    <row r="26101" ht="12.75" x14ac:dyDescent="0.2"/>
    <row r="26102" ht="12.75" x14ac:dyDescent="0.2"/>
    <row r="26103" ht="12.75" x14ac:dyDescent="0.2"/>
    <row r="26104" ht="12.75" x14ac:dyDescent="0.2"/>
    <row r="26105" ht="12.75" x14ac:dyDescent="0.2"/>
    <row r="26106" ht="12.75" x14ac:dyDescent="0.2"/>
    <row r="26107" ht="12.75" x14ac:dyDescent="0.2"/>
    <row r="26108" ht="12.75" x14ac:dyDescent="0.2"/>
    <row r="26109" ht="12.75" x14ac:dyDescent="0.2"/>
    <row r="26110" ht="12.75" x14ac:dyDescent="0.2"/>
    <row r="26111" ht="12.75" x14ac:dyDescent="0.2"/>
    <row r="26112" ht="12.75" x14ac:dyDescent="0.2"/>
    <row r="26113" ht="12.75" x14ac:dyDescent="0.2"/>
    <row r="26114" ht="12.75" x14ac:dyDescent="0.2"/>
    <row r="26115" ht="12.75" x14ac:dyDescent="0.2"/>
    <row r="26116" ht="12.75" x14ac:dyDescent="0.2"/>
    <row r="26117" ht="12.75" x14ac:dyDescent="0.2"/>
    <row r="26118" ht="12.75" x14ac:dyDescent="0.2"/>
    <row r="26119" ht="12.75" x14ac:dyDescent="0.2"/>
    <row r="26120" ht="12.75" x14ac:dyDescent="0.2"/>
    <row r="26121" ht="12.75" x14ac:dyDescent="0.2"/>
    <row r="26122" ht="12.75" x14ac:dyDescent="0.2"/>
    <row r="26123" ht="12.75" x14ac:dyDescent="0.2"/>
    <row r="26124" ht="12.75" x14ac:dyDescent="0.2"/>
    <row r="26125" ht="12.75" x14ac:dyDescent="0.2"/>
    <row r="26126" ht="12.75" x14ac:dyDescent="0.2"/>
    <row r="26127" ht="12.75" x14ac:dyDescent="0.2"/>
    <row r="26128" ht="12.75" x14ac:dyDescent="0.2"/>
    <row r="26129" ht="12.75" x14ac:dyDescent="0.2"/>
    <row r="26130" ht="12.75" x14ac:dyDescent="0.2"/>
    <row r="26131" ht="12.75" x14ac:dyDescent="0.2"/>
    <row r="26132" ht="12.75" x14ac:dyDescent="0.2"/>
    <row r="26133" ht="12.75" x14ac:dyDescent="0.2"/>
    <row r="26134" ht="12.75" x14ac:dyDescent="0.2"/>
    <row r="26135" ht="12.75" x14ac:dyDescent="0.2"/>
    <row r="26136" ht="12.75" x14ac:dyDescent="0.2"/>
    <row r="26137" ht="12.75" x14ac:dyDescent="0.2"/>
    <row r="26138" ht="12.75" x14ac:dyDescent="0.2"/>
    <row r="26139" ht="12.75" x14ac:dyDescent="0.2"/>
    <row r="26140" ht="12.75" x14ac:dyDescent="0.2"/>
    <row r="26141" ht="12.75" x14ac:dyDescent="0.2"/>
    <row r="26142" ht="12.75" x14ac:dyDescent="0.2"/>
    <row r="26143" ht="12.75" x14ac:dyDescent="0.2"/>
    <row r="26144" ht="12.75" x14ac:dyDescent="0.2"/>
    <row r="26145" ht="12.75" x14ac:dyDescent="0.2"/>
    <row r="26146" ht="12.75" x14ac:dyDescent="0.2"/>
    <row r="26147" ht="12.75" x14ac:dyDescent="0.2"/>
    <row r="26148" ht="12.75" x14ac:dyDescent="0.2"/>
    <row r="26149" ht="12.75" x14ac:dyDescent="0.2"/>
    <row r="26150" ht="12.75" x14ac:dyDescent="0.2"/>
    <row r="26151" ht="12.75" x14ac:dyDescent="0.2"/>
    <row r="26152" ht="12.75" x14ac:dyDescent="0.2"/>
    <row r="26153" ht="12.75" x14ac:dyDescent="0.2"/>
    <row r="26154" ht="12.75" x14ac:dyDescent="0.2"/>
    <row r="26155" ht="12.75" x14ac:dyDescent="0.2"/>
    <row r="26156" ht="12.75" x14ac:dyDescent="0.2"/>
    <row r="26157" ht="12.75" x14ac:dyDescent="0.2"/>
    <row r="26158" ht="12.75" x14ac:dyDescent="0.2"/>
    <row r="26159" ht="12.75" x14ac:dyDescent="0.2"/>
    <row r="26160" ht="12.75" x14ac:dyDescent="0.2"/>
    <row r="26161" ht="12.75" x14ac:dyDescent="0.2"/>
    <row r="26162" ht="12.75" x14ac:dyDescent="0.2"/>
    <row r="26163" ht="12.75" x14ac:dyDescent="0.2"/>
    <row r="26164" ht="12.75" x14ac:dyDescent="0.2"/>
    <row r="26165" ht="12.75" x14ac:dyDescent="0.2"/>
    <row r="26166" ht="12.75" x14ac:dyDescent="0.2"/>
    <row r="26167" ht="12.75" x14ac:dyDescent="0.2"/>
    <row r="26168" ht="12.75" x14ac:dyDescent="0.2"/>
    <row r="26169" ht="12.75" x14ac:dyDescent="0.2"/>
    <row r="26170" ht="12.75" x14ac:dyDescent="0.2"/>
    <row r="26171" ht="12.75" x14ac:dyDescent="0.2"/>
    <row r="26172" ht="12.75" x14ac:dyDescent="0.2"/>
    <row r="26173" ht="12.75" x14ac:dyDescent="0.2"/>
    <row r="26174" ht="12.75" x14ac:dyDescent="0.2"/>
    <row r="26175" ht="12.75" x14ac:dyDescent="0.2"/>
    <row r="26176" ht="12.75" x14ac:dyDescent="0.2"/>
    <row r="26177" ht="12.75" x14ac:dyDescent="0.2"/>
    <row r="26178" ht="12.75" x14ac:dyDescent="0.2"/>
    <row r="26179" ht="12.75" x14ac:dyDescent="0.2"/>
    <row r="26180" ht="12.75" x14ac:dyDescent="0.2"/>
    <row r="26181" ht="12.75" x14ac:dyDescent="0.2"/>
    <row r="26182" ht="12.75" x14ac:dyDescent="0.2"/>
    <row r="26183" ht="12.75" x14ac:dyDescent="0.2"/>
    <row r="26184" ht="12.75" x14ac:dyDescent="0.2"/>
    <row r="26185" ht="12.75" x14ac:dyDescent="0.2"/>
    <row r="26186" ht="12.75" x14ac:dyDescent="0.2"/>
    <row r="26187" ht="12.75" x14ac:dyDescent="0.2"/>
    <row r="26188" ht="12.75" x14ac:dyDescent="0.2"/>
    <row r="26189" ht="12.75" x14ac:dyDescent="0.2"/>
    <row r="26190" ht="12.75" x14ac:dyDescent="0.2"/>
    <row r="26191" ht="12.75" x14ac:dyDescent="0.2"/>
    <row r="26192" ht="12.75" x14ac:dyDescent="0.2"/>
    <row r="26193" ht="12.75" x14ac:dyDescent="0.2"/>
    <row r="26194" ht="12.75" x14ac:dyDescent="0.2"/>
    <row r="26195" ht="12.75" x14ac:dyDescent="0.2"/>
    <row r="26196" ht="12.75" x14ac:dyDescent="0.2"/>
    <row r="26197" ht="12.75" x14ac:dyDescent="0.2"/>
    <row r="26198" ht="12.75" x14ac:dyDescent="0.2"/>
    <row r="26199" ht="12.75" x14ac:dyDescent="0.2"/>
    <row r="26200" ht="12.75" x14ac:dyDescent="0.2"/>
    <row r="26201" ht="12.75" x14ac:dyDescent="0.2"/>
    <row r="26202" ht="12.75" x14ac:dyDescent="0.2"/>
    <row r="26203" ht="12.75" x14ac:dyDescent="0.2"/>
    <row r="26204" ht="12.75" x14ac:dyDescent="0.2"/>
    <row r="26205" ht="12.75" x14ac:dyDescent="0.2"/>
    <row r="26206" ht="12.75" x14ac:dyDescent="0.2"/>
    <row r="26207" ht="12.75" x14ac:dyDescent="0.2"/>
    <row r="26208" ht="12.75" x14ac:dyDescent="0.2"/>
    <row r="26209" ht="12.75" x14ac:dyDescent="0.2"/>
    <row r="26210" ht="12.75" x14ac:dyDescent="0.2"/>
    <row r="26211" ht="12.75" x14ac:dyDescent="0.2"/>
    <row r="26212" ht="12.75" x14ac:dyDescent="0.2"/>
    <row r="26213" ht="12.75" x14ac:dyDescent="0.2"/>
    <row r="26214" ht="12.75" x14ac:dyDescent="0.2"/>
    <row r="26215" ht="12.75" x14ac:dyDescent="0.2"/>
    <row r="26216" ht="12.75" x14ac:dyDescent="0.2"/>
    <row r="26217" ht="12.75" x14ac:dyDescent="0.2"/>
    <row r="26218" ht="12.75" x14ac:dyDescent="0.2"/>
    <row r="26219" ht="12.75" x14ac:dyDescent="0.2"/>
    <row r="26220" ht="12.75" x14ac:dyDescent="0.2"/>
    <row r="26221" ht="12.75" x14ac:dyDescent="0.2"/>
    <row r="26222" ht="12.75" x14ac:dyDescent="0.2"/>
    <row r="26223" ht="12.75" x14ac:dyDescent="0.2"/>
    <row r="26224" ht="12.75" x14ac:dyDescent="0.2"/>
    <row r="26225" ht="12.75" x14ac:dyDescent="0.2"/>
    <row r="26226" ht="12.75" x14ac:dyDescent="0.2"/>
    <row r="26227" ht="12.75" x14ac:dyDescent="0.2"/>
    <row r="26228" ht="12.75" x14ac:dyDescent="0.2"/>
    <row r="26229" ht="12.75" x14ac:dyDescent="0.2"/>
    <row r="26230" ht="12.75" x14ac:dyDescent="0.2"/>
    <row r="26231" ht="12.75" x14ac:dyDescent="0.2"/>
    <row r="26232" ht="12.75" x14ac:dyDescent="0.2"/>
    <row r="26233" ht="12.75" x14ac:dyDescent="0.2"/>
    <row r="26234" ht="12.75" x14ac:dyDescent="0.2"/>
    <row r="26235" ht="12.75" x14ac:dyDescent="0.2"/>
    <row r="26236" ht="12.75" x14ac:dyDescent="0.2"/>
    <row r="26237" ht="12.75" x14ac:dyDescent="0.2"/>
    <row r="26238" ht="12.75" x14ac:dyDescent="0.2"/>
    <row r="26239" ht="12.75" x14ac:dyDescent="0.2"/>
    <row r="26240" ht="12.75" x14ac:dyDescent="0.2"/>
    <row r="26241" ht="12.75" x14ac:dyDescent="0.2"/>
    <row r="26242" ht="12.75" x14ac:dyDescent="0.2"/>
    <row r="26243" ht="12.75" x14ac:dyDescent="0.2"/>
    <row r="26244" ht="12.75" x14ac:dyDescent="0.2"/>
    <row r="26245" ht="12.75" x14ac:dyDescent="0.2"/>
    <row r="26246" ht="12.75" x14ac:dyDescent="0.2"/>
    <row r="26247" ht="12.75" x14ac:dyDescent="0.2"/>
    <row r="26248" ht="12.75" x14ac:dyDescent="0.2"/>
    <row r="26249" ht="12.75" x14ac:dyDescent="0.2"/>
    <row r="26250" ht="12.75" x14ac:dyDescent="0.2"/>
    <row r="26251" ht="12.75" x14ac:dyDescent="0.2"/>
    <row r="26252" ht="12.75" x14ac:dyDescent="0.2"/>
    <row r="26253" ht="12.75" x14ac:dyDescent="0.2"/>
    <row r="26254" ht="12.75" x14ac:dyDescent="0.2"/>
    <row r="26255" ht="12.75" x14ac:dyDescent="0.2"/>
    <row r="26256" ht="12.75" x14ac:dyDescent="0.2"/>
    <row r="26257" ht="12.75" x14ac:dyDescent="0.2"/>
    <row r="26258" ht="12.75" x14ac:dyDescent="0.2"/>
    <row r="26259" ht="12.75" x14ac:dyDescent="0.2"/>
    <row r="26260" ht="12.75" x14ac:dyDescent="0.2"/>
    <row r="26261" ht="12.75" x14ac:dyDescent="0.2"/>
    <row r="26262" ht="12.75" x14ac:dyDescent="0.2"/>
    <row r="26263" ht="12.75" x14ac:dyDescent="0.2"/>
    <row r="26264" ht="12.75" x14ac:dyDescent="0.2"/>
    <row r="26265" ht="12.75" x14ac:dyDescent="0.2"/>
    <row r="26266" ht="12.75" x14ac:dyDescent="0.2"/>
    <row r="26267" ht="12.75" x14ac:dyDescent="0.2"/>
    <row r="26268" ht="12.75" x14ac:dyDescent="0.2"/>
    <row r="26269" ht="12.75" x14ac:dyDescent="0.2"/>
    <row r="26270" ht="12.75" x14ac:dyDescent="0.2"/>
    <row r="26271" ht="12.75" x14ac:dyDescent="0.2"/>
    <row r="26272" ht="12.75" x14ac:dyDescent="0.2"/>
    <row r="26273" ht="12.75" x14ac:dyDescent="0.2"/>
    <row r="26274" ht="12.75" x14ac:dyDescent="0.2"/>
    <row r="26275" ht="12.75" x14ac:dyDescent="0.2"/>
    <row r="26276" ht="12.75" x14ac:dyDescent="0.2"/>
    <row r="26277" ht="12.75" x14ac:dyDescent="0.2"/>
    <row r="26278" ht="12.75" x14ac:dyDescent="0.2"/>
    <row r="26279" ht="12.75" x14ac:dyDescent="0.2"/>
    <row r="26280" ht="12.75" x14ac:dyDescent="0.2"/>
    <row r="26281" ht="12.75" x14ac:dyDescent="0.2"/>
    <row r="26282" ht="12.75" x14ac:dyDescent="0.2"/>
    <row r="26283" ht="12.75" x14ac:dyDescent="0.2"/>
    <row r="26284" ht="12.75" x14ac:dyDescent="0.2"/>
    <row r="26285" ht="12.75" x14ac:dyDescent="0.2"/>
    <row r="26286" ht="12.75" x14ac:dyDescent="0.2"/>
    <row r="26287" ht="12.75" x14ac:dyDescent="0.2"/>
    <row r="26288" ht="12.75" x14ac:dyDescent="0.2"/>
    <row r="26289" ht="12.75" x14ac:dyDescent="0.2"/>
    <row r="26290" ht="12.75" x14ac:dyDescent="0.2"/>
    <row r="26291" ht="12.75" x14ac:dyDescent="0.2"/>
    <row r="26292" ht="12.75" x14ac:dyDescent="0.2"/>
    <row r="26293" ht="12.75" x14ac:dyDescent="0.2"/>
    <row r="26294" ht="12.75" x14ac:dyDescent="0.2"/>
    <row r="26295" ht="12.75" x14ac:dyDescent="0.2"/>
    <row r="26296" ht="12.75" x14ac:dyDescent="0.2"/>
    <row r="26297" ht="12.75" x14ac:dyDescent="0.2"/>
    <row r="26298" ht="12.75" x14ac:dyDescent="0.2"/>
    <row r="26299" ht="12.75" x14ac:dyDescent="0.2"/>
    <row r="26300" ht="12.75" x14ac:dyDescent="0.2"/>
    <row r="26301" ht="12.75" x14ac:dyDescent="0.2"/>
    <row r="26302" ht="12.75" x14ac:dyDescent="0.2"/>
    <row r="26303" ht="12.75" x14ac:dyDescent="0.2"/>
    <row r="26304" ht="12.75" x14ac:dyDescent="0.2"/>
    <row r="26305" ht="12.75" x14ac:dyDescent="0.2"/>
    <row r="26306" ht="12.75" x14ac:dyDescent="0.2"/>
    <row r="26307" ht="12.75" x14ac:dyDescent="0.2"/>
    <row r="26308" ht="12.75" x14ac:dyDescent="0.2"/>
    <row r="26309" ht="12.75" x14ac:dyDescent="0.2"/>
    <row r="26310" ht="12.75" x14ac:dyDescent="0.2"/>
    <row r="26311" ht="12.75" x14ac:dyDescent="0.2"/>
    <row r="26312" ht="12.75" x14ac:dyDescent="0.2"/>
    <row r="26313" ht="12.75" x14ac:dyDescent="0.2"/>
    <row r="26314" ht="12.75" x14ac:dyDescent="0.2"/>
    <row r="26315" ht="12.75" x14ac:dyDescent="0.2"/>
    <row r="26316" ht="12.75" x14ac:dyDescent="0.2"/>
    <row r="26317" ht="12.75" x14ac:dyDescent="0.2"/>
    <row r="26318" ht="12.75" x14ac:dyDescent="0.2"/>
    <row r="26319" ht="12.75" x14ac:dyDescent="0.2"/>
    <row r="26320" ht="12.75" x14ac:dyDescent="0.2"/>
    <row r="26321" ht="12.75" x14ac:dyDescent="0.2"/>
    <row r="26322" ht="12.75" x14ac:dyDescent="0.2"/>
    <row r="26323" ht="12.75" x14ac:dyDescent="0.2"/>
    <row r="26324" ht="12.75" x14ac:dyDescent="0.2"/>
    <row r="26325" ht="12.75" x14ac:dyDescent="0.2"/>
    <row r="26326" ht="12.75" x14ac:dyDescent="0.2"/>
    <row r="26327" ht="12.75" x14ac:dyDescent="0.2"/>
    <row r="26328" ht="12.75" x14ac:dyDescent="0.2"/>
    <row r="26329" ht="12.75" x14ac:dyDescent="0.2"/>
    <row r="26330" ht="12.75" x14ac:dyDescent="0.2"/>
    <row r="26331" ht="12.75" x14ac:dyDescent="0.2"/>
    <row r="26332" ht="12.75" x14ac:dyDescent="0.2"/>
    <row r="26333" ht="12.75" x14ac:dyDescent="0.2"/>
    <row r="26334" ht="12.75" x14ac:dyDescent="0.2"/>
    <row r="26335" ht="12.75" x14ac:dyDescent="0.2"/>
    <row r="26336" ht="12.75" x14ac:dyDescent="0.2"/>
    <row r="26337" ht="12.75" x14ac:dyDescent="0.2"/>
    <row r="26338" ht="12.75" x14ac:dyDescent="0.2"/>
    <row r="26339" ht="12.75" x14ac:dyDescent="0.2"/>
    <row r="26340" ht="12.75" x14ac:dyDescent="0.2"/>
    <row r="26341" ht="12.75" x14ac:dyDescent="0.2"/>
    <row r="26342" ht="12.75" x14ac:dyDescent="0.2"/>
    <row r="26343" ht="12.75" x14ac:dyDescent="0.2"/>
    <row r="26344" ht="12.75" x14ac:dyDescent="0.2"/>
    <row r="26345" ht="12.75" x14ac:dyDescent="0.2"/>
    <row r="26346" ht="12.75" x14ac:dyDescent="0.2"/>
    <row r="26347" ht="12.75" x14ac:dyDescent="0.2"/>
    <row r="26348" ht="12.75" x14ac:dyDescent="0.2"/>
    <row r="26349" ht="12.75" x14ac:dyDescent="0.2"/>
    <row r="26350" ht="12.75" x14ac:dyDescent="0.2"/>
    <row r="26351" ht="12.75" x14ac:dyDescent="0.2"/>
    <row r="26352" ht="12.75" x14ac:dyDescent="0.2"/>
    <row r="26353" ht="12.75" x14ac:dyDescent="0.2"/>
    <row r="26354" ht="12.75" x14ac:dyDescent="0.2"/>
    <row r="26355" ht="12.75" x14ac:dyDescent="0.2"/>
    <row r="26356" ht="12.75" x14ac:dyDescent="0.2"/>
    <row r="26357" ht="12.75" x14ac:dyDescent="0.2"/>
    <row r="26358" ht="12.75" x14ac:dyDescent="0.2"/>
    <row r="26359" ht="12.75" x14ac:dyDescent="0.2"/>
    <row r="26360" ht="12.75" x14ac:dyDescent="0.2"/>
    <row r="26361" ht="12.75" x14ac:dyDescent="0.2"/>
    <row r="26362" ht="12.75" x14ac:dyDescent="0.2"/>
    <row r="26363" ht="12.75" x14ac:dyDescent="0.2"/>
    <row r="26364" ht="12.75" x14ac:dyDescent="0.2"/>
    <row r="26365" ht="12.75" x14ac:dyDescent="0.2"/>
    <row r="26366" ht="12.75" x14ac:dyDescent="0.2"/>
    <row r="26367" ht="12.75" x14ac:dyDescent="0.2"/>
    <row r="26368" ht="12.75" x14ac:dyDescent="0.2"/>
    <row r="26369" ht="12.75" x14ac:dyDescent="0.2"/>
    <row r="26370" ht="12.75" x14ac:dyDescent="0.2"/>
    <row r="26371" ht="12.75" x14ac:dyDescent="0.2"/>
    <row r="26372" ht="12.75" x14ac:dyDescent="0.2"/>
    <row r="26373" ht="12.75" x14ac:dyDescent="0.2"/>
    <row r="26374" ht="12.75" x14ac:dyDescent="0.2"/>
    <row r="26375" ht="12.75" x14ac:dyDescent="0.2"/>
    <row r="26376" ht="12.75" x14ac:dyDescent="0.2"/>
    <row r="26377" ht="12.75" x14ac:dyDescent="0.2"/>
    <row r="26378" ht="12.75" x14ac:dyDescent="0.2"/>
    <row r="26379" ht="12.75" x14ac:dyDescent="0.2"/>
    <row r="26380" ht="12.75" x14ac:dyDescent="0.2"/>
    <row r="26381" ht="12.75" x14ac:dyDescent="0.2"/>
    <row r="26382" ht="12.75" x14ac:dyDescent="0.2"/>
    <row r="26383" ht="12.75" x14ac:dyDescent="0.2"/>
    <row r="26384" ht="12.75" x14ac:dyDescent="0.2"/>
    <row r="26385" ht="12.75" x14ac:dyDescent="0.2"/>
    <row r="26386" ht="12.75" x14ac:dyDescent="0.2"/>
    <row r="26387" ht="12.75" x14ac:dyDescent="0.2"/>
    <row r="26388" ht="12.75" x14ac:dyDescent="0.2"/>
    <row r="26389" ht="12.75" x14ac:dyDescent="0.2"/>
    <row r="26390" ht="12.75" x14ac:dyDescent="0.2"/>
    <row r="26391" ht="12.75" x14ac:dyDescent="0.2"/>
    <row r="26392" ht="12.75" x14ac:dyDescent="0.2"/>
    <row r="26393" ht="12.75" x14ac:dyDescent="0.2"/>
    <row r="26394" ht="12.75" x14ac:dyDescent="0.2"/>
    <row r="26395" ht="12.75" x14ac:dyDescent="0.2"/>
    <row r="26396" ht="12.75" x14ac:dyDescent="0.2"/>
    <row r="26397" ht="12.75" x14ac:dyDescent="0.2"/>
    <row r="26398" ht="12.75" x14ac:dyDescent="0.2"/>
    <row r="26399" ht="12.75" x14ac:dyDescent="0.2"/>
    <row r="26400" ht="12.75" x14ac:dyDescent="0.2"/>
    <row r="26401" ht="12.75" x14ac:dyDescent="0.2"/>
    <row r="26402" ht="12.75" x14ac:dyDescent="0.2"/>
    <row r="26403" ht="12.75" x14ac:dyDescent="0.2"/>
    <row r="26404" ht="12.75" x14ac:dyDescent="0.2"/>
    <row r="26405" ht="12.75" x14ac:dyDescent="0.2"/>
    <row r="26406" ht="12.75" x14ac:dyDescent="0.2"/>
    <row r="26407" ht="12.75" x14ac:dyDescent="0.2"/>
    <row r="26408" ht="12.75" x14ac:dyDescent="0.2"/>
    <row r="26409" ht="12.75" x14ac:dyDescent="0.2"/>
    <row r="26410" ht="12.75" x14ac:dyDescent="0.2"/>
    <row r="26411" ht="12.75" x14ac:dyDescent="0.2"/>
    <row r="26412" ht="12.75" x14ac:dyDescent="0.2"/>
    <row r="26413" ht="12.75" x14ac:dyDescent="0.2"/>
    <row r="26414" ht="12.75" x14ac:dyDescent="0.2"/>
    <row r="26415" ht="12.75" x14ac:dyDescent="0.2"/>
    <row r="26416" ht="12.75" x14ac:dyDescent="0.2"/>
    <row r="26417" ht="12.75" x14ac:dyDescent="0.2"/>
    <row r="26418" ht="12.75" x14ac:dyDescent="0.2"/>
    <row r="26419" ht="12.75" x14ac:dyDescent="0.2"/>
    <row r="26420" ht="12.75" x14ac:dyDescent="0.2"/>
    <row r="26421" ht="12.75" x14ac:dyDescent="0.2"/>
    <row r="26422" ht="12.75" x14ac:dyDescent="0.2"/>
    <row r="26423" ht="12.75" x14ac:dyDescent="0.2"/>
    <row r="26424" ht="12.75" x14ac:dyDescent="0.2"/>
    <row r="26425" ht="12.75" x14ac:dyDescent="0.2"/>
    <row r="26426" ht="12.75" x14ac:dyDescent="0.2"/>
    <row r="26427" ht="12.75" x14ac:dyDescent="0.2"/>
    <row r="26428" ht="12.75" x14ac:dyDescent="0.2"/>
    <row r="26429" ht="12.75" x14ac:dyDescent="0.2"/>
    <row r="26430" ht="12.75" x14ac:dyDescent="0.2"/>
    <row r="26431" ht="12.75" x14ac:dyDescent="0.2"/>
    <row r="26432" ht="12.75" x14ac:dyDescent="0.2"/>
    <row r="26433" ht="12.75" x14ac:dyDescent="0.2"/>
    <row r="26434" ht="12.75" x14ac:dyDescent="0.2"/>
    <row r="26435" ht="12.75" x14ac:dyDescent="0.2"/>
    <row r="26436" ht="12.75" x14ac:dyDescent="0.2"/>
    <row r="26437" ht="12.75" x14ac:dyDescent="0.2"/>
    <row r="26438" ht="12.75" x14ac:dyDescent="0.2"/>
    <row r="26439" ht="12.75" x14ac:dyDescent="0.2"/>
    <row r="26440" ht="12.75" x14ac:dyDescent="0.2"/>
    <row r="26441" ht="12.75" x14ac:dyDescent="0.2"/>
    <row r="26442" ht="12.75" x14ac:dyDescent="0.2"/>
    <row r="26443" ht="12.75" x14ac:dyDescent="0.2"/>
    <row r="26444" ht="12.75" x14ac:dyDescent="0.2"/>
    <row r="26445" ht="12.75" x14ac:dyDescent="0.2"/>
    <row r="26446" ht="12.75" x14ac:dyDescent="0.2"/>
    <row r="26447" ht="12.75" x14ac:dyDescent="0.2"/>
    <row r="26448" ht="12.75" x14ac:dyDescent="0.2"/>
    <row r="26449" ht="12.75" x14ac:dyDescent="0.2"/>
    <row r="26450" ht="12.75" x14ac:dyDescent="0.2"/>
    <row r="26451" ht="12.75" x14ac:dyDescent="0.2"/>
    <row r="26452" ht="12.75" x14ac:dyDescent="0.2"/>
    <row r="26453" ht="12.75" x14ac:dyDescent="0.2"/>
    <row r="26454" ht="12.75" x14ac:dyDescent="0.2"/>
    <row r="26455" ht="12.75" x14ac:dyDescent="0.2"/>
    <row r="26456" ht="12.75" x14ac:dyDescent="0.2"/>
    <row r="26457" ht="12.75" x14ac:dyDescent="0.2"/>
    <row r="26458" ht="12.75" x14ac:dyDescent="0.2"/>
    <row r="26459" ht="12.75" x14ac:dyDescent="0.2"/>
    <row r="26460" ht="12.75" x14ac:dyDescent="0.2"/>
    <row r="26461" ht="12.75" x14ac:dyDescent="0.2"/>
    <row r="26462" ht="12.75" x14ac:dyDescent="0.2"/>
    <row r="26463" ht="12.75" x14ac:dyDescent="0.2"/>
    <row r="26464" ht="12.75" x14ac:dyDescent="0.2"/>
    <row r="26465" ht="12.75" x14ac:dyDescent="0.2"/>
    <row r="26466" ht="12.75" x14ac:dyDescent="0.2"/>
    <row r="26467" ht="12.75" x14ac:dyDescent="0.2"/>
    <row r="26468" ht="12.75" x14ac:dyDescent="0.2"/>
    <row r="26469" ht="12.75" x14ac:dyDescent="0.2"/>
    <row r="26470" ht="12.75" x14ac:dyDescent="0.2"/>
    <row r="26471" ht="12.75" x14ac:dyDescent="0.2"/>
    <row r="26472" ht="12.75" x14ac:dyDescent="0.2"/>
    <row r="26473" ht="12.75" x14ac:dyDescent="0.2"/>
    <row r="26474" ht="12.75" x14ac:dyDescent="0.2"/>
    <row r="26475" ht="12.75" x14ac:dyDescent="0.2"/>
    <row r="26476" ht="12.75" x14ac:dyDescent="0.2"/>
    <row r="26477" ht="12.75" x14ac:dyDescent="0.2"/>
    <row r="26478" ht="12.75" x14ac:dyDescent="0.2"/>
    <row r="26479" ht="12.75" x14ac:dyDescent="0.2"/>
    <row r="26480" ht="12.75" x14ac:dyDescent="0.2"/>
    <row r="26481" ht="12.75" x14ac:dyDescent="0.2"/>
    <row r="26482" ht="12.75" x14ac:dyDescent="0.2"/>
    <row r="26483" ht="12.75" x14ac:dyDescent="0.2"/>
    <row r="26484" ht="12.75" x14ac:dyDescent="0.2"/>
    <row r="26485" ht="12.75" x14ac:dyDescent="0.2"/>
    <row r="26486" ht="12.75" x14ac:dyDescent="0.2"/>
    <row r="26487" ht="12.75" x14ac:dyDescent="0.2"/>
    <row r="26488" ht="12.75" x14ac:dyDescent="0.2"/>
    <row r="26489" ht="12.75" x14ac:dyDescent="0.2"/>
    <row r="26490" ht="12.75" x14ac:dyDescent="0.2"/>
    <row r="26491" ht="12.75" x14ac:dyDescent="0.2"/>
    <row r="26492" ht="12.75" x14ac:dyDescent="0.2"/>
    <row r="26493" ht="12.75" x14ac:dyDescent="0.2"/>
    <row r="26494" ht="12.75" x14ac:dyDescent="0.2"/>
    <row r="26495" ht="12.75" x14ac:dyDescent="0.2"/>
    <row r="26496" ht="12.75" x14ac:dyDescent="0.2"/>
    <row r="26497" ht="12.75" x14ac:dyDescent="0.2"/>
    <row r="26498" ht="12.75" x14ac:dyDescent="0.2"/>
    <row r="26499" ht="12.75" x14ac:dyDescent="0.2"/>
    <row r="26500" ht="12.75" x14ac:dyDescent="0.2"/>
    <row r="26501" ht="12.75" x14ac:dyDescent="0.2"/>
    <row r="26502" ht="12.75" x14ac:dyDescent="0.2"/>
    <row r="26503" ht="12.75" x14ac:dyDescent="0.2"/>
    <row r="26504" ht="12.75" x14ac:dyDescent="0.2"/>
    <row r="26505" ht="12.75" x14ac:dyDescent="0.2"/>
    <row r="26506" ht="12.75" x14ac:dyDescent="0.2"/>
    <row r="26507" ht="12.75" x14ac:dyDescent="0.2"/>
    <row r="26508" ht="12.75" x14ac:dyDescent="0.2"/>
    <row r="26509" ht="12.75" x14ac:dyDescent="0.2"/>
    <row r="26510" ht="12.75" x14ac:dyDescent="0.2"/>
    <row r="26511" ht="12.75" x14ac:dyDescent="0.2"/>
    <row r="26512" ht="12.75" x14ac:dyDescent="0.2"/>
    <row r="26513" ht="12.75" x14ac:dyDescent="0.2"/>
    <row r="26514" ht="12.75" x14ac:dyDescent="0.2"/>
    <row r="26515" ht="12.75" x14ac:dyDescent="0.2"/>
    <row r="26516" ht="12.75" x14ac:dyDescent="0.2"/>
    <row r="26517" ht="12.75" x14ac:dyDescent="0.2"/>
    <row r="26518" ht="12.75" x14ac:dyDescent="0.2"/>
    <row r="26519" ht="12.75" x14ac:dyDescent="0.2"/>
    <row r="26520" ht="12.75" x14ac:dyDescent="0.2"/>
    <row r="26521" ht="12.75" x14ac:dyDescent="0.2"/>
    <row r="26522" ht="12.75" x14ac:dyDescent="0.2"/>
    <row r="26523" ht="12.75" x14ac:dyDescent="0.2"/>
    <row r="26524" ht="12.75" x14ac:dyDescent="0.2"/>
    <row r="26525" ht="12.75" x14ac:dyDescent="0.2"/>
    <row r="26526" ht="12.75" x14ac:dyDescent="0.2"/>
    <row r="26527" ht="12.75" x14ac:dyDescent="0.2"/>
    <row r="26528" ht="12.75" x14ac:dyDescent="0.2"/>
    <row r="26529" ht="12.75" x14ac:dyDescent="0.2"/>
    <row r="26530" ht="12.75" x14ac:dyDescent="0.2"/>
    <row r="26531" ht="12.75" x14ac:dyDescent="0.2"/>
    <row r="26532" ht="12.75" x14ac:dyDescent="0.2"/>
    <row r="26533" ht="12.75" x14ac:dyDescent="0.2"/>
    <row r="26534" ht="12.75" x14ac:dyDescent="0.2"/>
    <row r="26535" ht="12.75" x14ac:dyDescent="0.2"/>
    <row r="26536" ht="12.75" x14ac:dyDescent="0.2"/>
    <row r="26537" ht="12.75" x14ac:dyDescent="0.2"/>
    <row r="26538" ht="12.75" x14ac:dyDescent="0.2"/>
    <row r="26539" ht="12.75" x14ac:dyDescent="0.2"/>
    <row r="26540" ht="12.75" x14ac:dyDescent="0.2"/>
    <row r="26541" ht="12.75" x14ac:dyDescent="0.2"/>
    <row r="26542" ht="12.75" x14ac:dyDescent="0.2"/>
    <row r="26543" ht="12.75" x14ac:dyDescent="0.2"/>
    <row r="26544" ht="12.75" x14ac:dyDescent="0.2"/>
    <row r="26545" ht="12.75" x14ac:dyDescent="0.2"/>
    <row r="26546" ht="12.75" x14ac:dyDescent="0.2"/>
    <row r="26547" ht="12.75" x14ac:dyDescent="0.2"/>
    <row r="26548" ht="12.75" x14ac:dyDescent="0.2"/>
    <row r="26549" ht="12.75" x14ac:dyDescent="0.2"/>
    <row r="26550" ht="12.75" x14ac:dyDescent="0.2"/>
    <row r="26551" ht="12.75" x14ac:dyDescent="0.2"/>
    <row r="26552" ht="12.75" x14ac:dyDescent="0.2"/>
    <row r="26553" ht="12.75" x14ac:dyDescent="0.2"/>
    <row r="26554" ht="12.75" x14ac:dyDescent="0.2"/>
    <row r="26555" ht="12.75" x14ac:dyDescent="0.2"/>
    <row r="26556" ht="12.75" x14ac:dyDescent="0.2"/>
    <row r="26557" ht="12.75" x14ac:dyDescent="0.2"/>
    <row r="26558" ht="12.75" x14ac:dyDescent="0.2"/>
    <row r="26559" ht="12.75" x14ac:dyDescent="0.2"/>
    <row r="26560" ht="12.75" x14ac:dyDescent="0.2"/>
    <row r="26561" ht="12.75" x14ac:dyDescent="0.2"/>
    <row r="26562" ht="12.75" x14ac:dyDescent="0.2"/>
    <row r="26563" ht="12.75" x14ac:dyDescent="0.2"/>
    <row r="26564" ht="12.75" x14ac:dyDescent="0.2"/>
    <row r="26565" ht="12.75" x14ac:dyDescent="0.2"/>
    <row r="26566" ht="12.75" x14ac:dyDescent="0.2"/>
    <row r="26567" ht="12.75" x14ac:dyDescent="0.2"/>
    <row r="26568" ht="12.75" x14ac:dyDescent="0.2"/>
    <row r="26569" ht="12.75" x14ac:dyDescent="0.2"/>
    <row r="26570" ht="12.75" x14ac:dyDescent="0.2"/>
    <row r="26571" ht="12.75" x14ac:dyDescent="0.2"/>
    <row r="26572" ht="12.75" x14ac:dyDescent="0.2"/>
    <row r="26573" ht="12.75" x14ac:dyDescent="0.2"/>
    <row r="26574" ht="12.75" x14ac:dyDescent="0.2"/>
    <row r="26575" ht="12.75" x14ac:dyDescent="0.2"/>
    <row r="26576" ht="12.75" x14ac:dyDescent="0.2"/>
    <row r="26577" ht="12.75" x14ac:dyDescent="0.2"/>
    <row r="26578" ht="12.75" x14ac:dyDescent="0.2"/>
    <row r="26579" ht="12.75" x14ac:dyDescent="0.2"/>
    <row r="26580" ht="12.75" x14ac:dyDescent="0.2"/>
    <row r="26581" ht="12.75" x14ac:dyDescent="0.2"/>
    <row r="26582" ht="12.75" x14ac:dyDescent="0.2"/>
    <row r="26583" ht="12.75" x14ac:dyDescent="0.2"/>
    <row r="26584" ht="12.75" x14ac:dyDescent="0.2"/>
    <row r="26585" ht="12.75" x14ac:dyDescent="0.2"/>
    <row r="26586" ht="12.75" x14ac:dyDescent="0.2"/>
    <row r="26587" ht="12.75" x14ac:dyDescent="0.2"/>
    <row r="26588" ht="12.75" x14ac:dyDescent="0.2"/>
    <row r="26589" ht="12.75" x14ac:dyDescent="0.2"/>
    <row r="26590" ht="12.75" x14ac:dyDescent="0.2"/>
    <row r="26591" ht="12.75" x14ac:dyDescent="0.2"/>
    <row r="26592" ht="12.75" x14ac:dyDescent="0.2"/>
    <row r="26593" ht="12.75" x14ac:dyDescent="0.2"/>
    <row r="26594" ht="12.75" x14ac:dyDescent="0.2"/>
    <row r="26595" ht="12.75" x14ac:dyDescent="0.2"/>
    <row r="26596" ht="12.75" x14ac:dyDescent="0.2"/>
    <row r="26597" ht="12.75" x14ac:dyDescent="0.2"/>
    <row r="26598" ht="12.75" x14ac:dyDescent="0.2"/>
    <row r="26599" ht="12.75" x14ac:dyDescent="0.2"/>
    <row r="26600" ht="12.75" x14ac:dyDescent="0.2"/>
    <row r="26601" ht="12.75" x14ac:dyDescent="0.2"/>
    <row r="26602" ht="12.75" x14ac:dyDescent="0.2"/>
    <row r="26603" ht="12.75" x14ac:dyDescent="0.2"/>
    <row r="26604" ht="12.75" x14ac:dyDescent="0.2"/>
    <row r="26605" ht="12.75" x14ac:dyDescent="0.2"/>
    <row r="26606" ht="12.75" x14ac:dyDescent="0.2"/>
    <row r="26607" ht="12.75" x14ac:dyDescent="0.2"/>
    <row r="26608" ht="12.75" x14ac:dyDescent="0.2"/>
    <row r="26609" ht="12.75" x14ac:dyDescent="0.2"/>
    <row r="26610" ht="12.75" x14ac:dyDescent="0.2"/>
    <row r="26611" ht="12.75" x14ac:dyDescent="0.2"/>
    <row r="26612" ht="12.75" x14ac:dyDescent="0.2"/>
    <row r="26613" ht="12.75" x14ac:dyDescent="0.2"/>
    <row r="26614" ht="12.75" x14ac:dyDescent="0.2"/>
    <row r="26615" ht="12.75" x14ac:dyDescent="0.2"/>
    <row r="26616" ht="12.75" x14ac:dyDescent="0.2"/>
    <row r="26617" ht="12.75" x14ac:dyDescent="0.2"/>
    <row r="26618" ht="12.75" x14ac:dyDescent="0.2"/>
    <row r="26619" ht="12.75" x14ac:dyDescent="0.2"/>
    <row r="26620" ht="12.75" x14ac:dyDescent="0.2"/>
    <row r="26621" ht="12.75" x14ac:dyDescent="0.2"/>
    <row r="26622" ht="12.75" x14ac:dyDescent="0.2"/>
    <row r="26623" ht="12.75" x14ac:dyDescent="0.2"/>
    <row r="26624" ht="12.75" x14ac:dyDescent="0.2"/>
    <row r="26625" ht="12.75" x14ac:dyDescent="0.2"/>
    <row r="26626" ht="12.75" x14ac:dyDescent="0.2"/>
    <row r="26627" ht="12.75" x14ac:dyDescent="0.2"/>
    <row r="26628" ht="12.75" x14ac:dyDescent="0.2"/>
    <row r="26629" ht="12.75" x14ac:dyDescent="0.2"/>
    <row r="26630" ht="12.75" x14ac:dyDescent="0.2"/>
    <row r="26631" ht="12.75" x14ac:dyDescent="0.2"/>
    <row r="26632" ht="12.75" x14ac:dyDescent="0.2"/>
    <row r="26633" ht="12.75" x14ac:dyDescent="0.2"/>
    <row r="26634" ht="12.75" x14ac:dyDescent="0.2"/>
    <row r="26635" ht="12.75" x14ac:dyDescent="0.2"/>
    <row r="26636" ht="12.75" x14ac:dyDescent="0.2"/>
    <row r="26637" ht="12.75" x14ac:dyDescent="0.2"/>
    <row r="26638" ht="12.75" x14ac:dyDescent="0.2"/>
    <row r="26639" ht="12.75" x14ac:dyDescent="0.2"/>
    <row r="26640" ht="12.75" x14ac:dyDescent="0.2"/>
    <row r="26641" ht="12.75" x14ac:dyDescent="0.2"/>
    <row r="26642" ht="12.75" x14ac:dyDescent="0.2"/>
    <row r="26643" ht="12.75" x14ac:dyDescent="0.2"/>
    <row r="26644" ht="12.75" x14ac:dyDescent="0.2"/>
    <row r="26645" ht="12.75" x14ac:dyDescent="0.2"/>
    <row r="26646" ht="12.75" x14ac:dyDescent="0.2"/>
    <row r="26647" ht="12.75" x14ac:dyDescent="0.2"/>
    <row r="26648" ht="12.75" x14ac:dyDescent="0.2"/>
    <row r="26649" ht="12.75" x14ac:dyDescent="0.2"/>
    <row r="26650" ht="12.75" x14ac:dyDescent="0.2"/>
    <row r="26651" ht="12.75" x14ac:dyDescent="0.2"/>
    <row r="26652" ht="12.75" x14ac:dyDescent="0.2"/>
    <row r="26653" ht="12.75" x14ac:dyDescent="0.2"/>
    <row r="26654" ht="12.75" x14ac:dyDescent="0.2"/>
    <row r="26655" ht="12.75" x14ac:dyDescent="0.2"/>
    <row r="26656" ht="12.75" x14ac:dyDescent="0.2"/>
    <row r="26657" ht="12.75" x14ac:dyDescent="0.2"/>
    <row r="26658" ht="12.75" x14ac:dyDescent="0.2"/>
    <row r="26659" ht="12.75" x14ac:dyDescent="0.2"/>
    <row r="26660" ht="12.75" x14ac:dyDescent="0.2"/>
    <row r="26661" ht="12.75" x14ac:dyDescent="0.2"/>
    <row r="26662" ht="12.75" x14ac:dyDescent="0.2"/>
    <row r="26663" ht="12.75" x14ac:dyDescent="0.2"/>
    <row r="26664" ht="12.75" x14ac:dyDescent="0.2"/>
    <row r="26665" ht="12.75" x14ac:dyDescent="0.2"/>
    <row r="26666" ht="12.75" x14ac:dyDescent="0.2"/>
    <row r="26667" ht="12.75" x14ac:dyDescent="0.2"/>
    <row r="26668" ht="12.75" x14ac:dyDescent="0.2"/>
    <row r="26669" ht="12.75" x14ac:dyDescent="0.2"/>
    <row r="26670" ht="12.75" x14ac:dyDescent="0.2"/>
    <row r="26671" ht="12.75" x14ac:dyDescent="0.2"/>
    <row r="26672" ht="12.75" x14ac:dyDescent="0.2"/>
    <row r="26673" ht="12.75" x14ac:dyDescent="0.2"/>
    <row r="26674" ht="12.75" x14ac:dyDescent="0.2"/>
    <row r="26675" ht="12.75" x14ac:dyDescent="0.2"/>
    <row r="26676" ht="12.75" x14ac:dyDescent="0.2"/>
    <row r="26677" ht="12.75" x14ac:dyDescent="0.2"/>
    <row r="26678" ht="12.75" x14ac:dyDescent="0.2"/>
    <row r="26679" ht="12.75" x14ac:dyDescent="0.2"/>
    <row r="26680" ht="12.75" x14ac:dyDescent="0.2"/>
    <row r="26681" ht="12.75" x14ac:dyDescent="0.2"/>
    <row r="26682" ht="12.75" x14ac:dyDescent="0.2"/>
    <row r="26683" ht="12.75" x14ac:dyDescent="0.2"/>
    <row r="26684" ht="12.75" x14ac:dyDescent="0.2"/>
    <row r="26685" ht="12.75" x14ac:dyDescent="0.2"/>
    <row r="26686" ht="12.75" x14ac:dyDescent="0.2"/>
    <row r="26687" ht="12.75" x14ac:dyDescent="0.2"/>
    <row r="26688" ht="12.75" x14ac:dyDescent="0.2"/>
    <row r="26689" ht="12.75" x14ac:dyDescent="0.2"/>
    <row r="26690" ht="12.75" x14ac:dyDescent="0.2"/>
    <row r="26691" ht="12.75" x14ac:dyDescent="0.2"/>
    <row r="26692" ht="12.75" x14ac:dyDescent="0.2"/>
    <row r="26693" ht="12.75" x14ac:dyDescent="0.2"/>
    <row r="26694" ht="12.75" x14ac:dyDescent="0.2"/>
    <row r="26695" ht="12.75" x14ac:dyDescent="0.2"/>
    <row r="26696" ht="12.75" x14ac:dyDescent="0.2"/>
    <row r="26697" ht="12.75" x14ac:dyDescent="0.2"/>
    <row r="26698" ht="12.75" x14ac:dyDescent="0.2"/>
    <row r="26699" ht="12.75" x14ac:dyDescent="0.2"/>
    <row r="26700" ht="12.75" x14ac:dyDescent="0.2"/>
    <row r="26701" ht="12.75" x14ac:dyDescent="0.2"/>
    <row r="26702" ht="12.75" x14ac:dyDescent="0.2"/>
    <row r="26703" ht="12.75" x14ac:dyDescent="0.2"/>
    <row r="26704" ht="12.75" x14ac:dyDescent="0.2"/>
    <row r="26705" ht="12.75" x14ac:dyDescent="0.2"/>
    <row r="26706" ht="12.75" x14ac:dyDescent="0.2"/>
    <row r="26707" ht="12.75" x14ac:dyDescent="0.2"/>
    <row r="26708" ht="12.75" x14ac:dyDescent="0.2"/>
    <row r="26709" ht="12.75" x14ac:dyDescent="0.2"/>
    <row r="26710" ht="12.75" x14ac:dyDescent="0.2"/>
    <row r="26711" ht="12.75" x14ac:dyDescent="0.2"/>
    <row r="26712" ht="12.75" x14ac:dyDescent="0.2"/>
    <row r="26713" ht="12.75" x14ac:dyDescent="0.2"/>
    <row r="26714" ht="12.75" x14ac:dyDescent="0.2"/>
    <row r="26715" ht="12.75" x14ac:dyDescent="0.2"/>
    <row r="26716" ht="12.75" x14ac:dyDescent="0.2"/>
    <row r="26717" ht="12.75" x14ac:dyDescent="0.2"/>
    <row r="26718" ht="12.75" x14ac:dyDescent="0.2"/>
    <row r="26719" ht="12.75" x14ac:dyDescent="0.2"/>
    <row r="26720" ht="12.75" x14ac:dyDescent="0.2"/>
    <row r="26721" ht="12.75" x14ac:dyDescent="0.2"/>
    <row r="26722" ht="12.75" x14ac:dyDescent="0.2"/>
    <row r="26723" ht="12.75" x14ac:dyDescent="0.2"/>
    <row r="26724" ht="12.75" x14ac:dyDescent="0.2"/>
    <row r="26725" ht="12.75" x14ac:dyDescent="0.2"/>
    <row r="26726" ht="12.75" x14ac:dyDescent="0.2"/>
    <row r="26727" ht="12.75" x14ac:dyDescent="0.2"/>
    <row r="26728" ht="12.75" x14ac:dyDescent="0.2"/>
    <row r="26729" ht="12.75" x14ac:dyDescent="0.2"/>
    <row r="26730" ht="12.75" x14ac:dyDescent="0.2"/>
    <row r="26731" ht="12.75" x14ac:dyDescent="0.2"/>
    <row r="26732" ht="12.75" x14ac:dyDescent="0.2"/>
    <row r="26733" ht="12.75" x14ac:dyDescent="0.2"/>
    <row r="26734" ht="12.75" x14ac:dyDescent="0.2"/>
    <row r="26735" ht="12.75" x14ac:dyDescent="0.2"/>
    <row r="26736" ht="12.75" x14ac:dyDescent="0.2"/>
    <row r="26737" ht="12.75" x14ac:dyDescent="0.2"/>
    <row r="26738" ht="12.75" x14ac:dyDescent="0.2"/>
    <row r="26739" ht="12.75" x14ac:dyDescent="0.2"/>
    <row r="26740" ht="12.75" x14ac:dyDescent="0.2"/>
    <row r="26741" ht="12.75" x14ac:dyDescent="0.2"/>
    <row r="26742" ht="12.75" x14ac:dyDescent="0.2"/>
    <row r="26743" ht="12.75" x14ac:dyDescent="0.2"/>
    <row r="26744" ht="12.75" x14ac:dyDescent="0.2"/>
    <row r="26745" ht="12.75" x14ac:dyDescent="0.2"/>
    <row r="26746" ht="12.75" x14ac:dyDescent="0.2"/>
    <row r="26747" ht="12.75" x14ac:dyDescent="0.2"/>
    <row r="26748" ht="12.75" x14ac:dyDescent="0.2"/>
    <row r="26749" ht="12.75" x14ac:dyDescent="0.2"/>
    <row r="26750" ht="12.75" x14ac:dyDescent="0.2"/>
    <row r="26751" ht="12.75" x14ac:dyDescent="0.2"/>
    <row r="26752" ht="12.75" x14ac:dyDescent="0.2"/>
    <row r="26753" ht="12.75" x14ac:dyDescent="0.2"/>
    <row r="26754" ht="12.75" x14ac:dyDescent="0.2"/>
    <row r="26755" ht="12.75" x14ac:dyDescent="0.2"/>
    <row r="26756" ht="12.75" x14ac:dyDescent="0.2"/>
    <row r="26757" ht="12.75" x14ac:dyDescent="0.2"/>
    <row r="26758" ht="12.75" x14ac:dyDescent="0.2"/>
    <row r="26759" ht="12.75" x14ac:dyDescent="0.2"/>
    <row r="26760" ht="12.75" x14ac:dyDescent="0.2"/>
    <row r="26761" ht="12.75" x14ac:dyDescent="0.2"/>
    <row r="26762" ht="12.75" x14ac:dyDescent="0.2"/>
    <row r="26763" ht="12.75" x14ac:dyDescent="0.2"/>
    <row r="26764" ht="12.75" x14ac:dyDescent="0.2"/>
    <row r="26765" ht="12.75" x14ac:dyDescent="0.2"/>
    <row r="26766" ht="12.75" x14ac:dyDescent="0.2"/>
    <row r="26767" ht="12.75" x14ac:dyDescent="0.2"/>
    <row r="26768" ht="12.75" x14ac:dyDescent="0.2"/>
    <row r="26769" ht="12.75" x14ac:dyDescent="0.2"/>
    <row r="26770" ht="12.75" x14ac:dyDescent="0.2"/>
    <row r="26771" ht="12.75" x14ac:dyDescent="0.2"/>
    <row r="26772" ht="12.75" x14ac:dyDescent="0.2"/>
    <row r="26773" ht="12.75" x14ac:dyDescent="0.2"/>
    <row r="26774" ht="12.75" x14ac:dyDescent="0.2"/>
    <row r="26775" ht="12.75" x14ac:dyDescent="0.2"/>
    <row r="26776" ht="12.75" x14ac:dyDescent="0.2"/>
    <row r="26777" ht="12.75" x14ac:dyDescent="0.2"/>
    <row r="26778" ht="12.75" x14ac:dyDescent="0.2"/>
    <row r="26779" ht="12.75" x14ac:dyDescent="0.2"/>
    <row r="26780" ht="12.75" x14ac:dyDescent="0.2"/>
    <row r="26781" ht="12.75" x14ac:dyDescent="0.2"/>
    <row r="26782" ht="12.75" x14ac:dyDescent="0.2"/>
    <row r="26783" ht="12.75" x14ac:dyDescent="0.2"/>
    <row r="26784" ht="12.75" x14ac:dyDescent="0.2"/>
    <row r="26785" ht="12.75" x14ac:dyDescent="0.2"/>
    <row r="26786" ht="12.75" x14ac:dyDescent="0.2"/>
    <row r="26787" ht="12.75" x14ac:dyDescent="0.2"/>
    <row r="26788" ht="12.75" x14ac:dyDescent="0.2"/>
    <row r="26789" ht="12.75" x14ac:dyDescent="0.2"/>
    <row r="26790" ht="12.75" x14ac:dyDescent="0.2"/>
    <row r="26791" ht="12.75" x14ac:dyDescent="0.2"/>
    <row r="26792" ht="12.75" x14ac:dyDescent="0.2"/>
    <row r="26793" ht="12.75" x14ac:dyDescent="0.2"/>
    <row r="26794" ht="12.75" x14ac:dyDescent="0.2"/>
    <row r="26795" ht="12.75" x14ac:dyDescent="0.2"/>
    <row r="26796" ht="12.75" x14ac:dyDescent="0.2"/>
    <row r="26797" ht="12.75" x14ac:dyDescent="0.2"/>
    <row r="26798" ht="12.75" x14ac:dyDescent="0.2"/>
    <row r="26799" ht="12.75" x14ac:dyDescent="0.2"/>
    <row r="26800" ht="12.75" x14ac:dyDescent="0.2"/>
    <row r="26801" ht="12.75" x14ac:dyDescent="0.2"/>
    <row r="26802" ht="12.75" x14ac:dyDescent="0.2"/>
    <row r="26803" ht="12.75" x14ac:dyDescent="0.2"/>
    <row r="26804" ht="12.75" x14ac:dyDescent="0.2"/>
    <row r="26805" ht="12.75" x14ac:dyDescent="0.2"/>
    <row r="26806" ht="12.75" x14ac:dyDescent="0.2"/>
    <row r="26807" ht="12.75" x14ac:dyDescent="0.2"/>
    <row r="26808" ht="12.75" x14ac:dyDescent="0.2"/>
    <row r="26809" ht="12.75" x14ac:dyDescent="0.2"/>
    <row r="26810" ht="12.75" x14ac:dyDescent="0.2"/>
    <row r="26811" ht="12.75" x14ac:dyDescent="0.2"/>
    <row r="26812" ht="12.75" x14ac:dyDescent="0.2"/>
    <row r="26813" ht="12.75" x14ac:dyDescent="0.2"/>
    <row r="26814" ht="12.75" x14ac:dyDescent="0.2"/>
    <row r="26815" ht="12.75" x14ac:dyDescent="0.2"/>
    <row r="26816" ht="12.75" x14ac:dyDescent="0.2"/>
    <row r="26817" ht="12.75" x14ac:dyDescent="0.2"/>
    <row r="26818" ht="12.75" x14ac:dyDescent="0.2"/>
    <row r="26819" ht="12.75" x14ac:dyDescent="0.2"/>
    <row r="26820" ht="12.75" x14ac:dyDescent="0.2"/>
    <row r="26821" ht="12.75" x14ac:dyDescent="0.2"/>
    <row r="26822" ht="12.75" x14ac:dyDescent="0.2"/>
    <row r="26823" ht="12.75" x14ac:dyDescent="0.2"/>
    <row r="26824" ht="12.75" x14ac:dyDescent="0.2"/>
    <row r="26825" ht="12.75" x14ac:dyDescent="0.2"/>
    <row r="26826" ht="12.75" x14ac:dyDescent="0.2"/>
    <row r="26827" ht="12.75" x14ac:dyDescent="0.2"/>
    <row r="26828" ht="12.75" x14ac:dyDescent="0.2"/>
    <row r="26829" ht="12.75" x14ac:dyDescent="0.2"/>
    <row r="26830" ht="12.75" x14ac:dyDescent="0.2"/>
    <row r="26831" ht="12.75" x14ac:dyDescent="0.2"/>
    <row r="26832" ht="12.75" x14ac:dyDescent="0.2"/>
    <row r="26833" ht="12.75" x14ac:dyDescent="0.2"/>
    <row r="26834" ht="12.75" x14ac:dyDescent="0.2"/>
    <row r="26835" ht="12.75" x14ac:dyDescent="0.2"/>
    <row r="26836" ht="12.75" x14ac:dyDescent="0.2"/>
    <row r="26837" ht="12.75" x14ac:dyDescent="0.2"/>
    <row r="26838" ht="12.75" x14ac:dyDescent="0.2"/>
    <row r="26839" ht="12.75" x14ac:dyDescent="0.2"/>
    <row r="26840" ht="12.75" x14ac:dyDescent="0.2"/>
    <row r="26841" ht="12.75" x14ac:dyDescent="0.2"/>
    <row r="26842" ht="12.75" x14ac:dyDescent="0.2"/>
    <row r="26843" ht="12.75" x14ac:dyDescent="0.2"/>
    <row r="26844" ht="12.75" x14ac:dyDescent="0.2"/>
    <row r="26845" ht="12.75" x14ac:dyDescent="0.2"/>
    <row r="26846" ht="12.75" x14ac:dyDescent="0.2"/>
    <row r="26847" ht="12.75" x14ac:dyDescent="0.2"/>
    <row r="26848" ht="12.75" x14ac:dyDescent="0.2"/>
    <row r="26849" ht="12.75" x14ac:dyDescent="0.2"/>
    <row r="26850" ht="12.75" x14ac:dyDescent="0.2"/>
    <row r="26851" ht="12.75" x14ac:dyDescent="0.2"/>
    <row r="26852" ht="12.75" x14ac:dyDescent="0.2"/>
    <row r="26853" ht="12.75" x14ac:dyDescent="0.2"/>
    <row r="26854" ht="12.75" x14ac:dyDescent="0.2"/>
    <row r="26855" ht="12.75" x14ac:dyDescent="0.2"/>
    <row r="26856" ht="12.75" x14ac:dyDescent="0.2"/>
    <row r="26857" ht="12.75" x14ac:dyDescent="0.2"/>
    <row r="26858" ht="12.75" x14ac:dyDescent="0.2"/>
    <row r="26859" ht="12.75" x14ac:dyDescent="0.2"/>
    <row r="26860" ht="12.75" x14ac:dyDescent="0.2"/>
    <row r="26861" ht="12.75" x14ac:dyDescent="0.2"/>
    <row r="26862" ht="12.75" x14ac:dyDescent="0.2"/>
    <row r="26863" ht="12.75" x14ac:dyDescent="0.2"/>
    <row r="26864" ht="12.75" x14ac:dyDescent="0.2"/>
    <row r="26865" ht="12.75" x14ac:dyDescent="0.2"/>
    <row r="26866" ht="12.75" x14ac:dyDescent="0.2"/>
    <row r="26867" ht="12.75" x14ac:dyDescent="0.2"/>
    <row r="26868" ht="12.75" x14ac:dyDescent="0.2"/>
    <row r="26869" ht="12.75" x14ac:dyDescent="0.2"/>
    <row r="26870" ht="12.75" x14ac:dyDescent="0.2"/>
    <row r="26871" ht="12.75" x14ac:dyDescent="0.2"/>
    <row r="26872" ht="12.75" x14ac:dyDescent="0.2"/>
    <row r="26873" ht="12.75" x14ac:dyDescent="0.2"/>
    <row r="26874" ht="12.75" x14ac:dyDescent="0.2"/>
    <row r="26875" ht="12.75" x14ac:dyDescent="0.2"/>
    <row r="26876" ht="12.75" x14ac:dyDescent="0.2"/>
    <row r="26877" ht="12.75" x14ac:dyDescent="0.2"/>
    <row r="26878" ht="12.75" x14ac:dyDescent="0.2"/>
    <row r="26879" ht="12.75" x14ac:dyDescent="0.2"/>
    <row r="26880" ht="12.75" x14ac:dyDescent="0.2"/>
    <row r="26881" ht="12.75" x14ac:dyDescent="0.2"/>
    <row r="26882" ht="12.75" x14ac:dyDescent="0.2"/>
    <row r="26883" ht="12.75" x14ac:dyDescent="0.2"/>
    <row r="26884" ht="12.75" x14ac:dyDescent="0.2"/>
    <row r="26885" ht="12.75" x14ac:dyDescent="0.2"/>
    <row r="26886" ht="12.75" x14ac:dyDescent="0.2"/>
    <row r="26887" ht="12.75" x14ac:dyDescent="0.2"/>
    <row r="26888" ht="12.75" x14ac:dyDescent="0.2"/>
    <row r="26889" ht="12.75" x14ac:dyDescent="0.2"/>
    <row r="26890" ht="12.75" x14ac:dyDescent="0.2"/>
    <row r="26891" ht="12.75" x14ac:dyDescent="0.2"/>
    <row r="26892" ht="12.75" x14ac:dyDescent="0.2"/>
    <row r="26893" ht="12.75" x14ac:dyDescent="0.2"/>
    <row r="26894" ht="12.75" x14ac:dyDescent="0.2"/>
    <row r="26895" ht="12.75" x14ac:dyDescent="0.2"/>
    <row r="26896" ht="12.75" x14ac:dyDescent="0.2"/>
    <row r="26897" ht="12.75" x14ac:dyDescent="0.2"/>
    <row r="26898" ht="12.75" x14ac:dyDescent="0.2"/>
    <row r="26899" ht="12.75" x14ac:dyDescent="0.2"/>
    <row r="26900" ht="12.75" x14ac:dyDescent="0.2"/>
    <row r="26901" ht="12.75" x14ac:dyDescent="0.2"/>
    <row r="26902" ht="12.75" x14ac:dyDescent="0.2"/>
    <row r="26903" ht="12.75" x14ac:dyDescent="0.2"/>
    <row r="26904" ht="12.75" x14ac:dyDescent="0.2"/>
    <row r="26905" ht="12.75" x14ac:dyDescent="0.2"/>
    <row r="26906" ht="12.75" x14ac:dyDescent="0.2"/>
    <row r="26907" ht="12.75" x14ac:dyDescent="0.2"/>
    <row r="26908" ht="12.75" x14ac:dyDescent="0.2"/>
    <row r="26909" ht="12.75" x14ac:dyDescent="0.2"/>
    <row r="26910" ht="12.75" x14ac:dyDescent="0.2"/>
    <row r="26911" ht="12.75" x14ac:dyDescent="0.2"/>
    <row r="26912" ht="12.75" x14ac:dyDescent="0.2"/>
    <row r="26913" ht="12.75" x14ac:dyDescent="0.2"/>
    <row r="26914" ht="12.75" x14ac:dyDescent="0.2"/>
    <row r="26915" ht="12.75" x14ac:dyDescent="0.2"/>
    <row r="26916" ht="12.75" x14ac:dyDescent="0.2"/>
    <row r="26917" ht="12.75" x14ac:dyDescent="0.2"/>
    <row r="26918" ht="12.75" x14ac:dyDescent="0.2"/>
    <row r="26919" ht="12.75" x14ac:dyDescent="0.2"/>
    <row r="26920" ht="12.75" x14ac:dyDescent="0.2"/>
    <row r="26921" ht="12.75" x14ac:dyDescent="0.2"/>
    <row r="26922" ht="12.75" x14ac:dyDescent="0.2"/>
    <row r="26923" ht="12.75" x14ac:dyDescent="0.2"/>
    <row r="26924" ht="12.75" x14ac:dyDescent="0.2"/>
    <row r="26925" ht="12.75" x14ac:dyDescent="0.2"/>
    <row r="26926" ht="12.75" x14ac:dyDescent="0.2"/>
    <row r="26927" ht="12.75" x14ac:dyDescent="0.2"/>
    <row r="26928" ht="12.75" x14ac:dyDescent="0.2"/>
    <row r="26929" ht="12.75" x14ac:dyDescent="0.2"/>
    <row r="26930" ht="12.75" x14ac:dyDescent="0.2"/>
    <row r="26931" ht="12.75" x14ac:dyDescent="0.2"/>
    <row r="26932" ht="12.75" x14ac:dyDescent="0.2"/>
    <row r="26933" ht="12.75" x14ac:dyDescent="0.2"/>
    <row r="26934" ht="12.75" x14ac:dyDescent="0.2"/>
    <row r="26935" ht="12.75" x14ac:dyDescent="0.2"/>
    <row r="26936" ht="12.75" x14ac:dyDescent="0.2"/>
    <row r="26937" ht="12.75" x14ac:dyDescent="0.2"/>
    <row r="26938" ht="12.75" x14ac:dyDescent="0.2"/>
    <row r="26939" ht="12.75" x14ac:dyDescent="0.2"/>
    <row r="26940" ht="12.75" x14ac:dyDescent="0.2"/>
    <row r="26941" ht="12.75" x14ac:dyDescent="0.2"/>
    <row r="26942" ht="12.75" x14ac:dyDescent="0.2"/>
    <row r="26943" ht="12.75" x14ac:dyDescent="0.2"/>
    <row r="26944" ht="12.75" x14ac:dyDescent="0.2"/>
    <row r="26945" ht="12.75" x14ac:dyDescent="0.2"/>
    <row r="26946" ht="12.75" x14ac:dyDescent="0.2"/>
    <row r="26947" ht="12.75" x14ac:dyDescent="0.2"/>
    <row r="26948" ht="12.75" x14ac:dyDescent="0.2"/>
    <row r="26949" ht="12.75" x14ac:dyDescent="0.2"/>
    <row r="26950" ht="12.75" x14ac:dyDescent="0.2"/>
    <row r="26951" ht="12.75" x14ac:dyDescent="0.2"/>
    <row r="26952" ht="12.75" x14ac:dyDescent="0.2"/>
    <row r="26953" ht="12.75" x14ac:dyDescent="0.2"/>
    <row r="26954" ht="12.75" x14ac:dyDescent="0.2"/>
    <row r="26955" ht="12.75" x14ac:dyDescent="0.2"/>
    <row r="26956" ht="12.75" x14ac:dyDescent="0.2"/>
    <row r="26957" ht="12.75" x14ac:dyDescent="0.2"/>
    <row r="26958" ht="12.75" x14ac:dyDescent="0.2"/>
    <row r="26959" ht="12.75" x14ac:dyDescent="0.2"/>
    <row r="26960" ht="12.75" x14ac:dyDescent="0.2"/>
    <row r="26961" ht="12.75" x14ac:dyDescent="0.2"/>
    <row r="26962" ht="12.75" x14ac:dyDescent="0.2"/>
    <row r="26963" ht="12.75" x14ac:dyDescent="0.2"/>
    <row r="26964" ht="12.75" x14ac:dyDescent="0.2"/>
    <row r="26965" ht="12.75" x14ac:dyDescent="0.2"/>
    <row r="26966" ht="12.75" x14ac:dyDescent="0.2"/>
    <row r="26967" ht="12.75" x14ac:dyDescent="0.2"/>
    <row r="26968" ht="12.75" x14ac:dyDescent="0.2"/>
    <row r="26969" ht="12.75" x14ac:dyDescent="0.2"/>
    <row r="26970" ht="12.75" x14ac:dyDescent="0.2"/>
    <row r="26971" ht="12.75" x14ac:dyDescent="0.2"/>
    <row r="26972" ht="12.75" x14ac:dyDescent="0.2"/>
    <row r="26973" ht="12.75" x14ac:dyDescent="0.2"/>
    <row r="26974" ht="12.75" x14ac:dyDescent="0.2"/>
    <row r="26975" ht="12.75" x14ac:dyDescent="0.2"/>
    <row r="26976" ht="12.75" x14ac:dyDescent="0.2"/>
    <row r="26977" ht="12.75" x14ac:dyDescent="0.2"/>
    <row r="26978" ht="12.75" x14ac:dyDescent="0.2"/>
    <row r="26979" ht="12.75" x14ac:dyDescent="0.2"/>
    <row r="26980" ht="12.75" x14ac:dyDescent="0.2"/>
    <row r="26981" ht="12.75" x14ac:dyDescent="0.2"/>
    <row r="26982" ht="12.75" x14ac:dyDescent="0.2"/>
    <row r="26983" ht="12.75" x14ac:dyDescent="0.2"/>
    <row r="26984" ht="12.75" x14ac:dyDescent="0.2"/>
    <row r="26985" ht="12.75" x14ac:dyDescent="0.2"/>
    <row r="26986" ht="12.75" x14ac:dyDescent="0.2"/>
    <row r="26987" ht="12.75" x14ac:dyDescent="0.2"/>
    <row r="26988" ht="12.75" x14ac:dyDescent="0.2"/>
    <row r="26989" ht="12.75" x14ac:dyDescent="0.2"/>
    <row r="26990" ht="12.75" x14ac:dyDescent="0.2"/>
    <row r="26991" ht="12.75" x14ac:dyDescent="0.2"/>
    <row r="26992" ht="12.75" x14ac:dyDescent="0.2"/>
    <row r="26993" ht="12.75" x14ac:dyDescent="0.2"/>
    <row r="26994" ht="12.75" x14ac:dyDescent="0.2"/>
    <row r="26995" ht="12.75" x14ac:dyDescent="0.2"/>
    <row r="26996" ht="12.75" x14ac:dyDescent="0.2"/>
    <row r="26997" ht="12.75" x14ac:dyDescent="0.2"/>
    <row r="26998" ht="12.75" x14ac:dyDescent="0.2"/>
    <row r="26999" ht="12.75" x14ac:dyDescent="0.2"/>
    <row r="27000" ht="12.75" x14ac:dyDescent="0.2"/>
    <row r="27001" ht="12.75" x14ac:dyDescent="0.2"/>
    <row r="27002" ht="12.75" x14ac:dyDescent="0.2"/>
    <row r="27003" ht="12.75" x14ac:dyDescent="0.2"/>
    <row r="27004" ht="12.75" x14ac:dyDescent="0.2"/>
    <row r="27005" ht="12.75" x14ac:dyDescent="0.2"/>
    <row r="27006" ht="12.75" x14ac:dyDescent="0.2"/>
    <row r="27007" ht="12.75" x14ac:dyDescent="0.2"/>
    <row r="27008" ht="12.75" x14ac:dyDescent="0.2"/>
    <row r="27009" ht="12.75" x14ac:dyDescent="0.2"/>
    <row r="27010" ht="12.75" x14ac:dyDescent="0.2"/>
    <row r="27011" ht="12.75" x14ac:dyDescent="0.2"/>
    <row r="27012" ht="12.75" x14ac:dyDescent="0.2"/>
    <row r="27013" ht="12.75" x14ac:dyDescent="0.2"/>
    <row r="27014" ht="12.75" x14ac:dyDescent="0.2"/>
    <row r="27015" ht="12.75" x14ac:dyDescent="0.2"/>
    <row r="27016" ht="12.75" x14ac:dyDescent="0.2"/>
    <row r="27017" ht="12.75" x14ac:dyDescent="0.2"/>
    <row r="27018" ht="12.75" x14ac:dyDescent="0.2"/>
    <row r="27019" ht="12.75" x14ac:dyDescent="0.2"/>
    <row r="27020" ht="12.75" x14ac:dyDescent="0.2"/>
    <row r="27021" ht="12.75" x14ac:dyDescent="0.2"/>
    <row r="27022" ht="12.75" x14ac:dyDescent="0.2"/>
    <row r="27023" ht="12.75" x14ac:dyDescent="0.2"/>
    <row r="27024" ht="12.75" x14ac:dyDescent="0.2"/>
    <row r="27025" ht="12.75" x14ac:dyDescent="0.2"/>
    <row r="27026" ht="12.75" x14ac:dyDescent="0.2"/>
    <row r="27027" ht="12.75" x14ac:dyDescent="0.2"/>
    <row r="27028" ht="12.75" x14ac:dyDescent="0.2"/>
    <row r="27029" ht="12.75" x14ac:dyDescent="0.2"/>
    <row r="27030" ht="12.75" x14ac:dyDescent="0.2"/>
    <row r="27031" ht="12.75" x14ac:dyDescent="0.2"/>
    <row r="27032" ht="12.75" x14ac:dyDescent="0.2"/>
    <row r="27033" ht="12.75" x14ac:dyDescent="0.2"/>
    <row r="27034" ht="12.75" x14ac:dyDescent="0.2"/>
    <row r="27035" ht="12.75" x14ac:dyDescent="0.2"/>
    <row r="27036" ht="12.75" x14ac:dyDescent="0.2"/>
    <row r="27037" ht="12.75" x14ac:dyDescent="0.2"/>
    <row r="27038" ht="12.75" x14ac:dyDescent="0.2"/>
    <row r="27039" ht="12.75" x14ac:dyDescent="0.2"/>
    <row r="27040" ht="12.75" x14ac:dyDescent="0.2"/>
    <row r="27041" ht="12.75" x14ac:dyDescent="0.2"/>
    <row r="27042" ht="12.75" x14ac:dyDescent="0.2"/>
    <row r="27043" ht="12.75" x14ac:dyDescent="0.2"/>
    <row r="27044" ht="12.75" x14ac:dyDescent="0.2"/>
    <row r="27045" ht="12.75" x14ac:dyDescent="0.2"/>
    <row r="27046" ht="12.75" x14ac:dyDescent="0.2"/>
    <row r="27047" ht="12.75" x14ac:dyDescent="0.2"/>
    <row r="27048" ht="12.75" x14ac:dyDescent="0.2"/>
    <row r="27049" ht="12.75" x14ac:dyDescent="0.2"/>
    <row r="27050" ht="12.75" x14ac:dyDescent="0.2"/>
    <row r="27051" ht="12.75" x14ac:dyDescent="0.2"/>
    <row r="27052" ht="12.75" x14ac:dyDescent="0.2"/>
    <row r="27053" ht="12.75" x14ac:dyDescent="0.2"/>
    <row r="27054" ht="12.75" x14ac:dyDescent="0.2"/>
    <row r="27055" ht="12.75" x14ac:dyDescent="0.2"/>
    <row r="27056" ht="12.75" x14ac:dyDescent="0.2"/>
    <row r="27057" ht="12.75" x14ac:dyDescent="0.2"/>
    <row r="27058" ht="12.75" x14ac:dyDescent="0.2"/>
    <row r="27059" ht="12.75" x14ac:dyDescent="0.2"/>
    <row r="27060" ht="12.75" x14ac:dyDescent="0.2"/>
    <row r="27061" ht="12.75" x14ac:dyDescent="0.2"/>
    <row r="27062" ht="12.75" x14ac:dyDescent="0.2"/>
    <row r="27063" ht="12.75" x14ac:dyDescent="0.2"/>
    <row r="27064" ht="12.75" x14ac:dyDescent="0.2"/>
    <row r="27065" ht="12.75" x14ac:dyDescent="0.2"/>
    <row r="27066" ht="12.75" x14ac:dyDescent="0.2"/>
    <row r="27067" ht="12.75" x14ac:dyDescent="0.2"/>
    <row r="27068" ht="12.75" x14ac:dyDescent="0.2"/>
    <row r="27069" ht="12.75" x14ac:dyDescent="0.2"/>
    <row r="27070" ht="12.75" x14ac:dyDescent="0.2"/>
    <row r="27071" ht="12.75" x14ac:dyDescent="0.2"/>
    <row r="27072" ht="12.75" x14ac:dyDescent="0.2"/>
    <row r="27073" ht="12.75" x14ac:dyDescent="0.2"/>
    <row r="27074" ht="12.75" x14ac:dyDescent="0.2"/>
    <row r="27075" ht="12.75" x14ac:dyDescent="0.2"/>
    <row r="27076" ht="12.75" x14ac:dyDescent="0.2"/>
    <row r="27077" ht="12.75" x14ac:dyDescent="0.2"/>
    <row r="27078" ht="12.75" x14ac:dyDescent="0.2"/>
    <row r="27079" ht="12.75" x14ac:dyDescent="0.2"/>
    <row r="27080" ht="12.75" x14ac:dyDescent="0.2"/>
    <row r="27081" ht="12.75" x14ac:dyDescent="0.2"/>
    <row r="27082" ht="12.75" x14ac:dyDescent="0.2"/>
    <row r="27083" ht="12.75" x14ac:dyDescent="0.2"/>
    <row r="27084" ht="12.75" x14ac:dyDescent="0.2"/>
    <row r="27085" ht="12.75" x14ac:dyDescent="0.2"/>
    <row r="27086" ht="12.75" x14ac:dyDescent="0.2"/>
    <row r="27087" ht="12.75" x14ac:dyDescent="0.2"/>
    <row r="27088" ht="12.75" x14ac:dyDescent="0.2"/>
    <row r="27089" ht="12.75" x14ac:dyDescent="0.2"/>
    <row r="27090" ht="12.75" x14ac:dyDescent="0.2"/>
    <row r="27091" ht="12.75" x14ac:dyDescent="0.2"/>
    <row r="27092" ht="12.75" x14ac:dyDescent="0.2"/>
    <row r="27093" ht="12.75" x14ac:dyDescent="0.2"/>
    <row r="27094" ht="12.75" x14ac:dyDescent="0.2"/>
    <row r="27095" ht="12.75" x14ac:dyDescent="0.2"/>
    <row r="27096" ht="12.75" x14ac:dyDescent="0.2"/>
    <row r="27097" ht="12.75" x14ac:dyDescent="0.2"/>
    <row r="27098" ht="12.75" x14ac:dyDescent="0.2"/>
    <row r="27099" ht="12.75" x14ac:dyDescent="0.2"/>
    <row r="27100" ht="12.75" x14ac:dyDescent="0.2"/>
    <row r="27101" ht="12.75" x14ac:dyDescent="0.2"/>
    <row r="27102" ht="12.75" x14ac:dyDescent="0.2"/>
    <row r="27103" ht="12.75" x14ac:dyDescent="0.2"/>
    <row r="27104" ht="12.75" x14ac:dyDescent="0.2"/>
    <row r="27105" ht="12.75" x14ac:dyDescent="0.2"/>
    <row r="27106" ht="12.75" x14ac:dyDescent="0.2"/>
    <row r="27107" ht="12.75" x14ac:dyDescent="0.2"/>
    <row r="27108" ht="12.75" x14ac:dyDescent="0.2"/>
    <row r="27109" ht="12.75" x14ac:dyDescent="0.2"/>
    <row r="27110" ht="12.75" x14ac:dyDescent="0.2"/>
    <row r="27111" ht="12.75" x14ac:dyDescent="0.2"/>
    <row r="27112" ht="12.75" x14ac:dyDescent="0.2"/>
    <row r="27113" ht="12.75" x14ac:dyDescent="0.2"/>
    <row r="27114" ht="12.75" x14ac:dyDescent="0.2"/>
    <row r="27115" ht="12.75" x14ac:dyDescent="0.2"/>
    <row r="27116" ht="12.75" x14ac:dyDescent="0.2"/>
    <row r="27117" ht="12.75" x14ac:dyDescent="0.2"/>
    <row r="27118" ht="12.75" x14ac:dyDescent="0.2"/>
    <row r="27119" ht="12.75" x14ac:dyDescent="0.2"/>
    <row r="27120" ht="12.75" x14ac:dyDescent="0.2"/>
    <row r="27121" ht="12.75" x14ac:dyDescent="0.2"/>
    <row r="27122" ht="12.75" x14ac:dyDescent="0.2"/>
    <row r="27123" ht="12.75" x14ac:dyDescent="0.2"/>
    <row r="27124" ht="12.75" x14ac:dyDescent="0.2"/>
    <row r="27125" ht="12.75" x14ac:dyDescent="0.2"/>
    <row r="27126" ht="12.75" x14ac:dyDescent="0.2"/>
    <row r="27127" ht="12.75" x14ac:dyDescent="0.2"/>
    <row r="27128" ht="12.75" x14ac:dyDescent="0.2"/>
    <row r="27129" ht="12.75" x14ac:dyDescent="0.2"/>
    <row r="27130" ht="12.75" x14ac:dyDescent="0.2"/>
    <row r="27131" ht="12.75" x14ac:dyDescent="0.2"/>
    <row r="27132" ht="12.75" x14ac:dyDescent="0.2"/>
    <row r="27133" ht="12.75" x14ac:dyDescent="0.2"/>
    <row r="27134" ht="12.75" x14ac:dyDescent="0.2"/>
    <row r="27135" ht="12.75" x14ac:dyDescent="0.2"/>
    <row r="27136" ht="12.75" x14ac:dyDescent="0.2"/>
    <row r="27137" ht="12.75" x14ac:dyDescent="0.2"/>
    <row r="27138" ht="12.75" x14ac:dyDescent="0.2"/>
    <row r="27139" ht="12.75" x14ac:dyDescent="0.2"/>
    <row r="27140" ht="12.75" x14ac:dyDescent="0.2"/>
    <row r="27141" ht="12.75" x14ac:dyDescent="0.2"/>
    <row r="27142" ht="12.75" x14ac:dyDescent="0.2"/>
    <row r="27143" ht="12.75" x14ac:dyDescent="0.2"/>
    <row r="27144" ht="12.75" x14ac:dyDescent="0.2"/>
    <row r="27145" ht="12.75" x14ac:dyDescent="0.2"/>
    <row r="27146" ht="12.75" x14ac:dyDescent="0.2"/>
    <row r="27147" ht="12.75" x14ac:dyDescent="0.2"/>
    <row r="27148" ht="12.75" x14ac:dyDescent="0.2"/>
    <row r="27149" ht="12.75" x14ac:dyDescent="0.2"/>
    <row r="27150" ht="12.75" x14ac:dyDescent="0.2"/>
    <row r="27151" ht="12.75" x14ac:dyDescent="0.2"/>
    <row r="27152" ht="12.75" x14ac:dyDescent="0.2"/>
    <row r="27153" ht="12.75" x14ac:dyDescent="0.2"/>
    <row r="27154" ht="12.75" x14ac:dyDescent="0.2"/>
    <row r="27155" ht="12.75" x14ac:dyDescent="0.2"/>
    <row r="27156" ht="12.75" x14ac:dyDescent="0.2"/>
    <row r="27157" ht="12.75" x14ac:dyDescent="0.2"/>
    <row r="27158" ht="12.75" x14ac:dyDescent="0.2"/>
    <row r="27159" ht="12.75" x14ac:dyDescent="0.2"/>
    <row r="27160" ht="12.75" x14ac:dyDescent="0.2"/>
    <row r="27161" ht="12.75" x14ac:dyDescent="0.2"/>
    <row r="27162" ht="12.75" x14ac:dyDescent="0.2"/>
    <row r="27163" ht="12.75" x14ac:dyDescent="0.2"/>
    <row r="27164" ht="12.75" x14ac:dyDescent="0.2"/>
    <row r="27165" ht="12.75" x14ac:dyDescent="0.2"/>
    <row r="27166" ht="12.75" x14ac:dyDescent="0.2"/>
    <row r="27167" ht="12.75" x14ac:dyDescent="0.2"/>
    <row r="27168" ht="12.75" x14ac:dyDescent="0.2"/>
    <row r="27169" ht="12.75" x14ac:dyDescent="0.2"/>
    <row r="27170" ht="12.75" x14ac:dyDescent="0.2"/>
    <row r="27171" ht="12.75" x14ac:dyDescent="0.2"/>
    <row r="27172" ht="12.75" x14ac:dyDescent="0.2"/>
    <row r="27173" ht="12.75" x14ac:dyDescent="0.2"/>
    <row r="27174" ht="12.75" x14ac:dyDescent="0.2"/>
    <row r="27175" ht="12.75" x14ac:dyDescent="0.2"/>
    <row r="27176" ht="12.75" x14ac:dyDescent="0.2"/>
    <row r="27177" ht="12.75" x14ac:dyDescent="0.2"/>
    <row r="27178" ht="12.75" x14ac:dyDescent="0.2"/>
    <row r="27179" ht="12.75" x14ac:dyDescent="0.2"/>
    <row r="27180" ht="12.75" x14ac:dyDescent="0.2"/>
    <row r="27181" ht="12.75" x14ac:dyDescent="0.2"/>
    <row r="27182" ht="12.75" x14ac:dyDescent="0.2"/>
    <row r="27183" ht="12.75" x14ac:dyDescent="0.2"/>
    <row r="27184" ht="12.75" x14ac:dyDescent="0.2"/>
    <row r="27185" ht="12.75" x14ac:dyDescent="0.2"/>
    <row r="27186" ht="12.75" x14ac:dyDescent="0.2"/>
    <row r="27187" ht="12.75" x14ac:dyDescent="0.2"/>
    <row r="27188" ht="12.75" x14ac:dyDescent="0.2"/>
    <row r="27189" ht="12.75" x14ac:dyDescent="0.2"/>
    <row r="27190" ht="12.75" x14ac:dyDescent="0.2"/>
    <row r="27191" ht="12.75" x14ac:dyDescent="0.2"/>
    <row r="27192" ht="12.75" x14ac:dyDescent="0.2"/>
    <row r="27193" ht="12.75" x14ac:dyDescent="0.2"/>
    <row r="27194" ht="12.75" x14ac:dyDescent="0.2"/>
    <row r="27195" ht="12.75" x14ac:dyDescent="0.2"/>
    <row r="27196" ht="12.75" x14ac:dyDescent="0.2"/>
    <row r="27197" ht="12.75" x14ac:dyDescent="0.2"/>
    <row r="27198" ht="12.75" x14ac:dyDescent="0.2"/>
    <row r="27199" ht="12.75" x14ac:dyDescent="0.2"/>
    <row r="27200" ht="12.75" x14ac:dyDescent="0.2"/>
    <row r="27201" ht="12.75" x14ac:dyDescent="0.2"/>
    <row r="27202" ht="12.75" x14ac:dyDescent="0.2"/>
    <row r="27203" ht="12.75" x14ac:dyDescent="0.2"/>
    <row r="27204" ht="12.75" x14ac:dyDescent="0.2"/>
    <row r="27205" ht="12.75" x14ac:dyDescent="0.2"/>
    <row r="27206" ht="12.75" x14ac:dyDescent="0.2"/>
    <row r="27207" ht="12.75" x14ac:dyDescent="0.2"/>
    <row r="27208" ht="12.75" x14ac:dyDescent="0.2"/>
    <row r="27209" ht="12.75" x14ac:dyDescent="0.2"/>
    <row r="27210" ht="12.75" x14ac:dyDescent="0.2"/>
    <row r="27211" ht="12.75" x14ac:dyDescent="0.2"/>
    <row r="27212" ht="12.75" x14ac:dyDescent="0.2"/>
    <row r="27213" ht="12.75" x14ac:dyDescent="0.2"/>
    <row r="27214" ht="12.75" x14ac:dyDescent="0.2"/>
    <row r="27215" ht="12.75" x14ac:dyDescent="0.2"/>
    <row r="27216" ht="12.75" x14ac:dyDescent="0.2"/>
    <row r="27217" ht="12.75" x14ac:dyDescent="0.2"/>
    <row r="27218" ht="12.75" x14ac:dyDescent="0.2"/>
    <row r="27219" ht="12.75" x14ac:dyDescent="0.2"/>
    <row r="27220" ht="12.75" x14ac:dyDescent="0.2"/>
    <row r="27221" ht="12.75" x14ac:dyDescent="0.2"/>
    <row r="27222" ht="12.75" x14ac:dyDescent="0.2"/>
    <row r="27223" ht="12.75" x14ac:dyDescent="0.2"/>
    <row r="27224" ht="12.75" x14ac:dyDescent="0.2"/>
    <row r="27225" ht="12.75" x14ac:dyDescent="0.2"/>
    <row r="27226" ht="12.75" x14ac:dyDescent="0.2"/>
    <row r="27227" ht="12.75" x14ac:dyDescent="0.2"/>
    <row r="27228" ht="12.75" x14ac:dyDescent="0.2"/>
    <row r="27229" ht="12.75" x14ac:dyDescent="0.2"/>
    <row r="27230" ht="12.75" x14ac:dyDescent="0.2"/>
    <row r="27231" ht="12.75" x14ac:dyDescent="0.2"/>
    <row r="27232" ht="12.75" x14ac:dyDescent="0.2"/>
    <row r="27233" ht="12.75" x14ac:dyDescent="0.2"/>
    <row r="27234" ht="12.75" x14ac:dyDescent="0.2"/>
    <row r="27235" ht="12.75" x14ac:dyDescent="0.2"/>
    <row r="27236" ht="12.75" x14ac:dyDescent="0.2"/>
    <row r="27237" ht="12.75" x14ac:dyDescent="0.2"/>
    <row r="27238" ht="12.75" x14ac:dyDescent="0.2"/>
    <row r="27239" ht="12.75" x14ac:dyDescent="0.2"/>
    <row r="27240" ht="12.75" x14ac:dyDescent="0.2"/>
    <row r="27241" ht="12.75" x14ac:dyDescent="0.2"/>
    <row r="27242" ht="12.75" x14ac:dyDescent="0.2"/>
    <row r="27243" ht="12.75" x14ac:dyDescent="0.2"/>
    <row r="27244" ht="12.75" x14ac:dyDescent="0.2"/>
    <row r="27245" ht="12.75" x14ac:dyDescent="0.2"/>
    <row r="27246" ht="12.75" x14ac:dyDescent="0.2"/>
    <row r="27247" ht="12.75" x14ac:dyDescent="0.2"/>
    <row r="27248" ht="12.75" x14ac:dyDescent="0.2"/>
    <row r="27249" ht="12.75" x14ac:dyDescent="0.2"/>
    <row r="27250" ht="12.75" x14ac:dyDescent="0.2"/>
    <row r="27251" ht="12.75" x14ac:dyDescent="0.2"/>
    <row r="27252" ht="12.75" x14ac:dyDescent="0.2"/>
    <row r="27253" ht="12.75" x14ac:dyDescent="0.2"/>
    <row r="27254" ht="12.75" x14ac:dyDescent="0.2"/>
    <row r="27255" ht="12.75" x14ac:dyDescent="0.2"/>
    <row r="27256" ht="12.75" x14ac:dyDescent="0.2"/>
    <row r="27257" ht="12.75" x14ac:dyDescent="0.2"/>
    <row r="27258" ht="12.75" x14ac:dyDescent="0.2"/>
    <row r="27259" ht="12.75" x14ac:dyDescent="0.2"/>
    <row r="27260" ht="12.75" x14ac:dyDescent="0.2"/>
    <row r="27261" ht="12.75" x14ac:dyDescent="0.2"/>
    <row r="27262" ht="12.75" x14ac:dyDescent="0.2"/>
    <row r="27263" ht="12.75" x14ac:dyDescent="0.2"/>
    <row r="27264" ht="12.75" x14ac:dyDescent="0.2"/>
    <row r="27265" ht="12.75" x14ac:dyDescent="0.2"/>
    <row r="27266" ht="12.75" x14ac:dyDescent="0.2"/>
    <row r="27267" ht="12.75" x14ac:dyDescent="0.2"/>
    <row r="27268" ht="12.75" x14ac:dyDescent="0.2"/>
    <row r="27269" ht="12.75" x14ac:dyDescent="0.2"/>
    <row r="27270" ht="12.75" x14ac:dyDescent="0.2"/>
    <row r="27271" ht="12.75" x14ac:dyDescent="0.2"/>
    <row r="27272" ht="12.75" x14ac:dyDescent="0.2"/>
    <row r="27273" ht="12.75" x14ac:dyDescent="0.2"/>
    <row r="27274" ht="12.75" x14ac:dyDescent="0.2"/>
    <row r="27275" ht="12.75" x14ac:dyDescent="0.2"/>
    <row r="27276" ht="12.75" x14ac:dyDescent="0.2"/>
    <row r="27277" ht="12.75" x14ac:dyDescent="0.2"/>
    <row r="27278" ht="12.75" x14ac:dyDescent="0.2"/>
    <row r="27279" ht="12.75" x14ac:dyDescent="0.2"/>
    <row r="27280" ht="12.75" x14ac:dyDescent="0.2"/>
    <row r="27281" ht="12.75" x14ac:dyDescent="0.2"/>
    <row r="27282" ht="12.75" x14ac:dyDescent="0.2"/>
    <row r="27283" ht="12.75" x14ac:dyDescent="0.2"/>
    <row r="27284" ht="12.75" x14ac:dyDescent="0.2"/>
    <row r="27285" ht="12.75" x14ac:dyDescent="0.2"/>
    <row r="27286" ht="12.75" x14ac:dyDescent="0.2"/>
    <row r="27287" ht="12.75" x14ac:dyDescent="0.2"/>
    <row r="27288" ht="12.75" x14ac:dyDescent="0.2"/>
    <row r="27289" ht="12.75" x14ac:dyDescent="0.2"/>
    <row r="27290" ht="12.75" x14ac:dyDescent="0.2"/>
    <row r="27291" ht="12.75" x14ac:dyDescent="0.2"/>
    <row r="27292" ht="12.75" x14ac:dyDescent="0.2"/>
    <row r="27293" ht="12.75" x14ac:dyDescent="0.2"/>
    <row r="27294" ht="12.75" x14ac:dyDescent="0.2"/>
    <row r="27295" ht="12.75" x14ac:dyDescent="0.2"/>
    <row r="27296" ht="12.75" x14ac:dyDescent="0.2"/>
    <row r="27297" ht="12.75" x14ac:dyDescent="0.2"/>
    <row r="27298" ht="12.75" x14ac:dyDescent="0.2"/>
    <row r="27299" ht="12.75" x14ac:dyDescent="0.2"/>
    <row r="27300" ht="12.75" x14ac:dyDescent="0.2"/>
    <row r="27301" ht="12.75" x14ac:dyDescent="0.2"/>
    <row r="27302" ht="12.75" x14ac:dyDescent="0.2"/>
    <row r="27303" ht="12.75" x14ac:dyDescent="0.2"/>
    <row r="27304" ht="12.75" x14ac:dyDescent="0.2"/>
    <row r="27305" ht="12.75" x14ac:dyDescent="0.2"/>
    <row r="27306" ht="12.75" x14ac:dyDescent="0.2"/>
    <row r="27307" ht="12.75" x14ac:dyDescent="0.2"/>
    <row r="27308" ht="12.75" x14ac:dyDescent="0.2"/>
    <row r="27309" ht="12.75" x14ac:dyDescent="0.2"/>
    <row r="27310" ht="12.75" x14ac:dyDescent="0.2"/>
    <row r="27311" ht="12.75" x14ac:dyDescent="0.2"/>
    <row r="27312" ht="12.75" x14ac:dyDescent="0.2"/>
    <row r="27313" ht="12.75" x14ac:dyDescent="0.2"/>
    <row r="27314" ht="12.75" x14ac:dyDescent="0.2"/>
    <row r="27315" ht="12.75" x14ac:dyDescent="0.2"/>
    <row r="27316" ht="12.75" x14ac:dyDescent="0.2"/>
    <row r="27317" ht="12.75" x14ac:dyDescent="0.2"/>
    <row r="27318" ht="12.75" x14ac:dyDescent="0.2"/>
    <row r="27319" ht="12.75" x14ac:dyDescent="0.2"/>
    <row r="27320" ht="12.75" x14ac:dyDescent="0.2"/>
    <row r="27321" ht="12.75" x14ac:dyDescent="0.2"/>
    <row r="27322" ht="12.75" x14ac:dyDescent="0.2"/>
    <row r="27323" ht="12.75" x14ac:dyDescent="0.2"/>
    <row r="27324" ht="12.75" x14ac:dyDescent="0.2"/>
    <row r="27325" ht="12.75" x14ac:dyDescent="0.2"/>
    <row r="27326" ht="12.75" x14ac:dyDescent="0.2"/>
    <row r="27327" ht="12.75" x14ac:dyDescent="0.2"/>
    <row r="27328" ht="12.75" x14ac:dyDescent="0.2"/>
    <row r="27329" ht="12.75" x14ac:dyDescent="0.2"/>
    <row r="27330" ht="12.75" x14ac:dyDescent="0.2"/>
    <row r="27331" ht="12.75" x14ac:dyDescent="0.2"/>
    <row r="27332" ht="12.75" x14ac:dyDescent="0.2"/>
    <row r="27333" ht="12.75" x14ac:dyDescent="0.2"/>
    <row r="27334" ht="12.75" x14ac:dyDescent="0.2"/>
    <row r="27335" ht="12.75" x14ac:dyDescent="0.2"/>
    <row r="27336" ht="12.75" x14ac:dyDescent="0.2"/>
    <row r="27337" ht="12.75" x14ac:dyDescent="0.2"/>
    <row r="27338" ht="12.75" x14ac:dyDescent="0.2"/>
    <row r="27339" ht="12.75" x14ac:dyDescent="0.2"/>
    <row r="27340" ht="12.75" x14ac:dyDescent="0.2"/>
    <row r="27341" ht="12.75" x14ac:dyDescent="0.2"/>
    <row r="27342" ht="12.75" x14ac:dyDescent="0.2"/>
    <row r="27343" ht="12.75" x14ac:dyDescent="0.2"/>
    <row r="27344" ht="12.75" x14ac:dyDescent="0.2"/>
    <row r="27345" ht="12.75" x14ac:dyDescent="0.2"/>
    <row r="27346" ht="12.75" x14ac:dyDescent="0.2"/>
    <row r="27347" ht="12.75" x14ac:dyDescent="0.2"/>
    <row r="27348" ht="12.75" x14ac:dyDescent="0.2"/>
    <row r="27349" ht="12.75" x14ac:dyDescent="0.2"/>
    <row r="27350" ht="12.75" x14ac:dyDescent="0.2"/>
    <row r="27351" ht="12.75" x14ac:dyDescent="0.2"/>
    <row r="27352" ht="12.75" x14ac:dyDescent="0.2"/>
    <row r="27353" ht="12.75" x14ac:dyDescent="0.2"/>
    <row r="27354" ht="12.75" x14ac:dyDescent="0.2"/>
    <row r="27355" ht="12.75" x14ac:dyDescent="0.2"/>
    <row r="27356" ht="12.75" x14ac:dyDescent="0.2"/>
    <row r="27357" ht="12.75" x14ac:dyDescent="0.2"/>
    <row r="27358" ht="12.75" x14ac:dyDescent="0.2"/>
    <row r="27359" ht="12.75" x14ac:dyDescent="0.2"/>
    <row r="27360" ht="12.75" x14ac:dyDescent="0.2"/>
    <row r="27361" ht="12.75" x14ac:dyDescent="0.2"/>
    <row r="27362" ht="12.75" x14ac:dyDescent="0.2"/>
    <row r="27363" ht="12.75" x14ac:dyDescent="0.2"/>
    <row r="27364" ht="12.75" x14ac:dyDescent="0.2"/>
    <row r="27365" ht="12.75" x14ac:dyDescent="0.2"/>
    <row r="27366" ht="12.75" x14ac:dyDescent="0.2"/>
    <row r="27367" ht="12.75" x14ac:dyDescent="0.2"/>
    <row r="27368" ht="12.75" x14ac:dyDescent="0.2"/>
    <row r="27369" ht="12.75" x14ac:dyDescent="0.2"/>
    <row r="27370" ht="12.75" x14ac:dyDescent="0.2"/>
    <row r="27371" ht="12.75" x14ac:dyDescent="0.2"/>
    <row r="27372" ht="12.75" x14ac:dyDescent="0.2"/>
    <row r="27373" ht="12.75" x14ac:dyDescent="0.2"/>
    <row r="27374" ht="12.75" x14ac:dyDescent="0.2"/>
    <row r="27375" ht="12.75" x14ac:dyDescent="0.2"/>
    <row r="27376" ht="12.75" x14ac:dyDescent="0.2"/>
    <row r="27377" ht="12.75" x14ac:dyDescent="0.2"/>
    <row r="27378" ht="12.75" x14ac:dyDescent="0.2"/>
    <row r="27379" ht="12.75" x14ac:dyDescent="0.2"/>
    <row r="27380" ht="12.75" x14ac:dyDescent="0.2"/>
    <row r="27381" ht="12.75" x14ac:dyDescent="0.2"/>
    <row r="27382" ht="12.75" x14ac:dyDescent="0.2"/>
    <row r="27383" ht="12.75" x14ac:dyDescent="0.2"/>
    <row r="27384" ht="12.75" x14ac:dyDescent="0.2"/>
    <row r="27385" ht="12.75" x14ac:dyDescent="0.2"/>
    <row r="27386" ht="12.75" x14ac:dyDescent="0.2"/>
    <row r="27387" ht="12.75" x14ac:dyDescent="0.2"/>
    <row r="27388" ht="12.75" x14ac:dyDescent="0.2"/>
    <row r="27389" ht="12.75" x14ac:dyDescent="0.2"/>
    <row r="27390" ht="12.75" x14ac:dyDescent="0.2"/>
    <row r="27391" ht="12.75" x14ac:dyDescent="0.2"/>
    <row r="27392" ht="12.75" x14ac:dyDescent="0.2"/>
    <row r="27393" ht="12.75" x14ac:dyDescent="0.2"/>
    <row r="27394" ht="12.75" x14ac:dyDescent="0.2"/>
    <row r="27395" ht="12.75" x14ac:dyDescent="0.2"/>
    <row r="27396" ht="12.75" x14ac:dyDescent="0.2"/>
    <row r="27397" ht="12.75" x14ac:dyDescent="0.2"/>
    <row r="27398" ht="12.75" x14ac:dyDescent="0.2"/>
    <row r="27399" ht="12.75" x14ac:dyDescent="0.2"/>
    <row r="27400" ht="12.75" x14ac:dyDescent="0.2"/>
    <row r="27401" ht="12.75" x14ac:dyDescent="0.2"/>
    <row r="27402" ht="12.75" x14ac:dyDescent="0.2"/>
    <row r="27403" ht="12.75" x14ac:dyDescent="0.2"/>
    <row r="27404" ht="12.75" x14ac:dyDescent="0.2"/>
    <row r="27405" ht="12.75" x14ac:dyDescent="0.2"/>
    <row r="27406" ht="12.75" x14ac:dyDescent="0.2"/>
    <row r="27407" ht="12.75" x14ac:dyDescent="0.2"/>
    <row r="27408" ht="12.75" x14ac:dyDescent="0.2"/>
    <row r="27409" ht="12.75" x14ac:dyDescent="0.2"/>
    <row r="27410" ht="12.75" x14ac:dyDescent="0.2"/>
    <row r="27411" ht="12.75" x14ac:dyDescent="0.2"/>
    <row r="27412" ht="12.75" x14ac:dyDescent="0.2"/>
    <row r="27413" ht="12.75" x14ac:dyDescent="0.2"/>
    <row r="27414" ht="12.75" x14ac:dyDescent="0.2"/>
    <row r="27415" ht="12.75" x14ac:dyDescent="0.2"/>
    <row r="27416" ht="12.75" x14ac:dyDescent="0.2"/>
    <row r="27417" ht="12.75" x14ac:dyDescent="0.2"/>
    <row r="27418" ht="12.75" x14ac:dyDescent="0.2"/>
    <row r="27419" ht="12.75" x14ac:dyDescent="0.2"/>
    <row r="27420" ht="12.75" x14ac:dyDescent="0.2"/>
    <row r="27421" ht="12.75" x14ac:dyDescent="0.2"/>
    <row r="27422" ht="12.75" x14ac:dyDescent="0.2"/>
    <row r="27423" ht="12.75" x14ac:dyDescent="0.2"/>
    <row r="27424" ht="12.75" x14ac:dyDescent="0.2"/>
    <row r="27425" ht="12.75" x14ac:dyDescent="0.2"/>
    <row r="27426" ht="12.75" x14ac:dyDescent="0.2"/>
    <row r="27427" ht="12.75" x14ac:dyDescent="0.2"/>
    <row r="27428" ht="12.75" x14ac:dyDescent="0.2"/>
    <row r="27429" ht="12.75" x14ac:dyDescent="0.2"/>
    <row r="27430" ht="12.75" x14ac:dyDescent="0.2"/>
    <row r="27431" ht="12.75" x14ac:dyDescent="0.2"/>
    <row r="27432" ht="12.75" x14ac:dyDescent="0.2"/>
    <row r="27433" ht="12.75" x14ac:dyDescent="0.2"/>
    <row r="27434" ht="12.75" x14ac:dyDescent="0.2"/>
    <row r="27435" ht="12.75" x14ac:dyDescent="0.2"/>
    <row r="27436" ht="12.75" x14ac:dyDescent="0.2"/>
    <row r="27437" ht="12.75" x14ac:dyDescent="0.2"/>
    <row r="27438" ht="12.75" x14ac:dyDescent="0.2"/>
    <row r="27439" ht="12.75" x14ac:dyDescent="0.2"/>
    <row r="27440" ht="12.75" x14ac:dyDescent="0.2"/>
    <row r="27441" ht="12.75" x14ac:dyDescent="0.2"/>
    <row r="27442" ht="12.75" x14ac:dyDescent="0.2"/>
    <row r="27443" ht="12.75" x14ac:dyDescent="0.2"/>
    <row r="27444" ht="12.75" x14ac:dyDescent="0.2"/>
    <row r="27445" ht="12.75" x14ac:dyDescent="0.2"/>
    <row r="27446" ht="12.75" x14ac:dyDescent="0.2"/>
    <row r="27447" ht="12.75" x14ac:dyDescent="0.2"/>
    <row r="27448" ht="12.75" x14ac:dyDescent="0.2"/>
    <row r="27449" ht="12.75" x14ac:dyDescent="0.2"/>
    <row r="27450" ht="12.75" x14ac:dyDescent="0.2"/>
    <row r="27451" ht="12.75" x14ac:dyDescent="0.2"/>
    <row r="27452" ht="12.75" x14ac:dyDescent="0.2"/>
    <row r="27453" ht="12.75" x14ac:dyDescent="0.2"/>
    <row r="27454" ht="12.75" x14ac:dyDescent="0.2"/>
    <row r="27455" ht="12.75" x14ac:dyDescent="0.2"/>
    <row r="27456" ht="12.75" x14ac:dyDescent="0.2"/>
    <row r="27457" ht="12.75" x14ac:dyDescent="0.2"/>
    <row r="27458" ht="12.75" x14ac:dyDescent="0.2"/>
    <row r="27459" ht="12.75" x14ac:dyDescent="0.2"/>
    <row r="27460" ht="12.75" x14ac:dyDescent="0.2"/>
    <row r="27461" ht="12.75" x14ac:dyDescent="0.2"/>
    <row r="27462" ht="12.75" x14ac:dyDescent="0.2"/>
    <row r="27463" ht="12.75" x14ac:dyDescent="0.2"/>
    <row r="27464" ht="12.75" x14ac:dyDescent="0.2"/>
    <row r="27465" ht="12.75" x14ac:dyDescent="0.2"/>
    <row r="27466" ht="12.75" x14ac:dyDescent="0.2"/>
    <row r="27467" ht="12.75" x14ac:dyDescent="0.2"/>
    <row r="27468" ht="12.75" x14ac:dyDescent="0.2"/>
    <row r="27469" ht="12.75" x14ac:dyDescent="0.2"/>
    <row r="27470" ht="12.75" x14ac:dyDescent="0.2"/>
    <row r="27471" ht="12.75" x14ac:dyDescent="0.2"/>
    <row r="27472" ht="12.75" x14ac:dyDescent="0.2"/>
    <row r="27473" ht="12.75" x14ac:dyDescent="0.2"/>
    <row r="27474" ht="12.75" x14ac:dyDescent="0.2"/>
    <row r="27475" ht="12.75" x14ac:dyDescent="0.2"/>
    <row r="27476" ht="12.75" x14ac:dyDescent="0.2"/>
    <row r="27477" ht="12.75" x14ac:dyDescent="0.2"/>
    <row r="27478" ht="12.75" x14ac:dyDescent="0.2"/>
    <row r="27479" ht="12.75" x14ac:dyDescent="0.2"/>
    <row r="27480" ht="12.75" x14ac:dyDescent="0.2"/>
    <row r="27481" ht="12.75" x14ac:dyDescent="0.2"/>
    <row r="27482" ht="12.75" x14ac:dyDescent="0.2"/>
    <row r="27483" ht="12.75" x14ac:dyDescent="0.2"/>
    <row r="27484" ht="12.75" x14ac:dyDescent="0.2"/>
    <row r="27485" ht="12.75" x14ac:dyDescent="0.2"/>
    <row r="27486" ht="12.75" x14ac:dyDescent="0.2"/>
    <row r="27487" ht="12.75" x14ac:dyDescent="0.2"/>
    <row r="27488" ht="12.75" x14ac:dyDescent="0.2"/>
    <row r="27489" ht="12.75" x14ac:dyDescent="0.2"/>
    <row r="27490" ht="12.75" x14ac:dyDescent="0.2"/>
    <row r="27491" ht="12.75" x14ac:dyDescent="0.2"/>
    <row r="27492" ht="12.75" x14ac:dyDescent="0.2"/>
    <row r="27493" ht="12.75" x14ac:dyDescent="0.2"/>
    <row r="27494" ht="12.75" x14ac:dyDescent="0.2"/>
    <row r="27495" ht="12.75" x14ac:dyDescent="0.2"/>
    <row r="27496" ht="12.75" x14ac:dyDescent="0.2"/>
    <row r="27497" ht="12.75" x14ac:dyDescent="0.2"/>
    <row r="27498" ht="12.75" x14ac:dyDescent="0.2"/>
    <row r="27499" ht="12.75" x14ac:dyDescent="0.2"/>
    <row r="27500" ht="12.75" x14ac:dyDescent="0.2"/>
    <row r="27501" ht="12.75" x14ac:dyDescent="0.2"/>
    <row r="27502" ht="12.75" x14ac:dyDescent="0.2"/>
    <row r="27503" ht="12.75" x14ac:dyDescent="0.2"/>
    <row r="27504" ht="12.75" x14ac:dyDescent="0.2"/>
    <row r="27505" ht="12.75" x14ac:dyDescent="0.2"/>
    <row r="27506" ht="12.75" x14ac:dyDescent="0.2"/>
    <row r="27507" ht="12.75" x14ac:dyDescent="0.2"/>
    <row r="27508" ht="12.75" x14ac:dyDescent="0.2"/>
    <row r="27509" ht="12.75" x14ac:dyDescent="0.2"/>
    <row r="27510" ht="12.75" x14ac:dyDescent="0.2"/>
    <row r="27511" ht="12.75" x14ac:dyDescent="0.2"/>
    <row r="27512" ht="12.75" x14ac:dyDescent="0.2"/>
    <row r="27513" ht="12.75" x14ac:dyDescent="0.2"/>
    <row r="27514" ht="12.75" x14ac:dyDescent="0.2"/>
    <row r="27515" ht="12.75" x14ac:dyDescent="0.2"/>
    <row r="27516" ht="12.75" x14ac:dyDescent="0.2"/>
    <row r="27517" ht="12.75" x14ac:dyDescent="0.2"/>
    <row r="27518" ht="12.75" x14ac:dyDescent="0.2"/>
    <row r="27519" ht="12.75" x14ac:dyDescent="0.2"/>
    <row r="27520" ht="12.75" x14ac:dyDescent="0.2"/>
    <row r="27521" ht="12.75" x14ac:dyDescent="0.2"/>
    <row r="27522" ht="12.75" x14ac:dyDescent="0.2"/>
    <row r="27523" ht="12.75" x14ac:dyDescent="0.2"/>
    <row r="27524" ht="12.75" x14ac:dyDescent="0.2"/>
    <row r="27525" ht="12.75" x14ac:dyDescent="0.2"/>
    <row r="27526" ht="12.75" x14ac:dyDescent="0.2"/>
    <row r="27527" ht="12.75" x14ac:dyDescent="0.2"/>
    <row r="27528" ht="12.75" x14ac:dyDescent="0.2"/>
    <row r="27529" ht="12.75" x14ac:dyDescent="0.2"/>
    <row r="27530" ht="12.75" x14ac:dyDescent="0.2"/>
    <row r="27531" ht="12.75" x14ac:dyDescent="0.2"/>
    <row r="27532" ht="12.75" x14ac:dyDescent="0.2"/>
    <row r="27533" ht="12.75" x14ac:dyDescent="0.2"/>
    <row r="27534" ht="12.75" x14ac:dyDescent="0.2"/>
    <row r="27535" ht="12.75" x14ac:dyDescent="0.2"/>
    <row r="27536" ht="12.75" x14ac:dyDescent="0.2"/>
    <row r="27537" ht="12.75" x14ac:dyDescent="0.2"/>
    <row r="27538" ht="12.75" x14ac:dyDescent="0.2"/>
    <row r="27539" ht="12.75" x14ac:dyDescent="0.2"/>
    <row r="27540" ht="12.75" x14ac:dyDescent="0.2"/>
    <row r="27541" ht="12.75" x14ac:dyDescent="0.2"/>
    <row r="27542" ht="12.75" x14ac:dyDescent="0.2"/>
    <row r="27543" ht="12.75" x14ac:dyDescent="0.2"/>
    <row r="27544" ht="12.75" x14ac:dyDescent="0.2"/>
    <row r="27545" ht="12.75" x14ac:dyDescent="0.2"/>
    <row r="27546" ht="12.75" x14ac:dyDescent="0.2"/>
    <row r="27547" ht="12.75" x14ac:dyDescent="0.2"/>
    <row r="27548" ht="12.75" x14ac:dyDescent="0.2"/>
    <row r="27549" ht="12.75" x14ac:dyDescent="0.2"/>
    <row r="27550" ht="12.75" x14ac:dyDescent="0.2"/>
    <row r="27551" ht="12.75" x14ac:dyDescent="0.2"/>
    <row r="27552" ht="12.75" x14ac:dyDescent="0.2"/>
    <row r="27553" ht="12.75" x14ac:dyDescent="0.2"/>
    <row r="27554" ht="12.75" x14ac:dyDescent="0.2"/>
    <row r="27555" ht="12.75" x14ac:dyDescent="0.2"/>
    <row r="27556" ht="12.75" x14ac:dyDescent="0.2"/>
    <row r="27557" ht="12.75" x14ac:dyDescent="0.2"/>
    <row r="27558" ht="12.75" x14ac:dyDescent="0.2"/>
    <row r="27559" ht="12.75" x14ac:dyDescent="0.2"/>
    <row r="27560" ht="12.75" x14ac:dyDescent="0.2"/>
    <row r="27561" ht="12.75" x14ac:dyDescent="0.2"/>
    <row r="27562" ht="12.75" x14ac:dyDescent="0.2"/>
    <row r="27563" ht="12.75" x14ac:dyDescent="0.2"/>
    <row r="27564" ht="12.75" x14ac:dyDescent="0.2"/>
    <row r="27565" ht="12.75" x14ac:dyDescent="0.2"/>
    <row r="27566" ht="12.75" x14ac:dyDescent="0.2"/>
    <row r="27567" ht="12.75" x14ac:dyDescent="0.2"/>
    <row r="27568" ht="12.75" x14ac:dyDescent="0.2"/>
    <row r="27569" ht="12.75" x14ac:dyDescent="0.2"/>
    <row r="27570" ht="12.75" x14ac:dyDescent="0.2"/>
    <row r="27571" ht="12.75" x14ac:dyDescent="0.2"/>
    <row r="27572" ht="12.75" x14ac:dyDescent="0.2"/>
    <row r="27573" ht="12.75" x14ac:dyDescent="0.2"/>
    <row r="27574" ht="12.75" x14ac:dyDescent="0.2"/>
    <row r="27575" ht="12.75" x14ac:dyDescent="0.2"/>
    <row r="27576" ht="12.75" x14ac:dyDescent="0.2"/>
    <row r="27577" ht="12.75" x14ac:dyDescent="0.2"/>
    <row r="27578" ht="12.75" x14ac:dyDescent="0.2"/>
    <row r="27579" ht="12.75" x14ac:dyDescent="0.2"/>
    <row r="27580" ht="12.75" x14ac:dyDescent="0.2"/>
    <row r="27581" ht="12.75" x14ac:dyDescent="0.2"/>
    <row r="27582" ht="12.75" x14ac:dyDescent="0.2"/>
    <row r="27583" ht="12.75" x14ac:dyDescent="0.2"/>
    <row r="27584" ht="12.75" x14ac:dyDescent="0.2"/>
    <row r="27585" ht="12.75" x14ac:dyDescent="0.2"/>
    <row r="27586" ht="12.75" x14ac:dyDescent="0.2"/>
    <row r="27587" ht="12.75" x14ac:dyDescent="0.2"/>
    <row r="27588" ht="12.75" x14ac:dyDescent="0.2"/>
    <row r="27589" ht="12.75" x14ac:dyDescent="0.2"/>
    <row r="27590" ht="12.75" x14ac:dyDescent="0.2"/>
    <row r="27591" ht="12.75" x14ac:dyDescent="0.2"/>
    <row r="27592" ht="12.75" x14ac:dyDescent="0.2"/>
    <row r="27593" ht="12.75" x14ac:dyDescent="0.2"/>
    <row r="27594" ht="12.75" x14ac:dyDescent="0.2"/>
    <row r="27595" ht="12.75" x14ac:dyDescent="0.2"/>
    <row r="27596" ht="12.75" x14ac:dyDescent="0.2"/>
    <row r="27597" ht="12.75" x14ac:dyDescent="0.2"/>
    <row r="27598" ht="12.75" x14ac:dyDescent="0.2"/>
    <row r="27599" ht="12.75" x14ac:dyDescent="0.2"/>
    <row r="27600" ht="12.75" x14ac:dyDescent="0.2"/>
    <row r="27601" ht="12.75" x14ac:dyDescent="0.2"/>
    <row r="27602" ht="12.75" x14ac:dyDescent="0.2"/>
    <row r="27603" ht="12.75" x14ac:dyDescent="0.2"/>
    <row r="27604" ht="12.75" x14ac:dyDescent="0.2"/>
    <row r="27605" ht="12.75" x14ac:dyDescent="0.2"/>
    <row r="27606" ht="12.75" x14ac:dyDescent="0.2"/>
    <row r="27607" ht="12.75" x14ac:dyDescent="0.2"/>
    <row r="27608" ht="12.75" x14ac:dyDescent="0.2"/>
    <row r="27609" ht="12.75" x14ac:dyDescent="0.2"/>
    <row r="27610" ht="12.75" x14ac:dyDescent="0.2"/>
    <row r="27611" ht="12.75" x14ac:dyDescent="0.2"/>
    <row r="27612" ht="12.75" x14ac:dyDescent="0.2"/>
    <row r="27613" ht="12.75" x14ac:dyDescent="0.2"/>
    <row r="27614" ht="12.75" x14ac:dyDescent="0.2"/>
    <row r="27615" ht="12.75" x14ac:dyDescent="0.2"/>
    <row r="27616" ht="12.75" x14ac:dyDescent="0.2"/>
    <row r="27617" ht="12.75" x14ac:dyDescent="0.2"/>
    <row r="27618" ht="12.75" x14ac:dyDescent="0.2"/>
    <row r="27619" ht="12.75" x14ac:dyDescent="0.2"/>
    <row r="27620" ht="12.75" x14ac:dyDescent="0.2"/>
    <row r="27621" ht="12.75" x14ac:dyDescent="0.2"/>
    <row r="27622" ht="12.75" x14ac:dyDescent="0.2"/>
    <row r="27623" ht="12.75" x14ac:dyDescent="0.2"/>
    <row r="27624" ht="12.75" x14ac:dyDescent="0.2"/>
    <row r="27625" ht="12.75" x14ac:dyDescent="0.2"/>
    <row r="27626" ht="12.75" x14ac:dyDescent="0.2"/>
    <row r="27627" ht="12.75" x14ac:dyDescent="0.2"/>
    <row r="27628" ht="12.75" x14ac:dyDescent="0.2"/>
    <row r="27629" ht="12.75" x14ac:dyDescent="0.2"/>
    <row r="27630" ht="12.75" x14ac:dyDescent="0.2"/>
    <row r="27631" ht="12.75" x14ac:dyDescent="0.2"/>
    <row r="27632" ht="12.75" x14ac:dyDescent="0.2"/>
    <row r="27633" ht="12.75" x14ac:dyDescent="0.2"/>
    <row r="27634" ht="12.75" x14ac:dyDescent="0.2"/>
    <row r="27635" ht="12.75" x14ac:dyDescent="0.2"/>
    <row r="27636" ht="12.75" x14ac:dyDescent="0.2"/>
    <row r="27637" ht="12.75" x14ac:dyDescent="0.2"/>
    <row r="27638" ht="12.75" x14ac:dyDescent="0.2"/>
    <row r="27639" ht="12.75" x14ac:dyDescent="0.2"/>
    <row r="27640" ht="12.75" x14ac:dyDescent="0.2"/>
    <row r="27641" ht="12.75" x14ac:dyDescent="0.2"/>
    <row r="27642" ht="12.75" x14ac:dyDescent="0.2"/>
    <row r="27643" ht="12.75" x14ac:dyDescent="0.2"/>
    <row r="27644" ht="12.75" x14ac:dyDescent="0.2"/>
    <row r="27645" ht="12.75" x14ac:dyDescent="0.2"/>
    <row r="27646" ht="12.75" x14ac:dyDescent="0.2"/>
    <row r="27647" ht="12.75" x14ac:dyDescent="0.2"/>
    <row r="27648" ht="12.75" x14ac:dyDescent="0.2"/>
    <row r="27649" ht="12.75" x14ac:dyDescent="0.2"/>
    <row r="27650" ht="12.75" x14ac:dyDescent="0.2"/>
    <row r="27651" ht="12.75" x14ac:dyDescent="0.2"/>
    <row r="27652" ht="12.75" x14ac:dyDescent="0.2"/>
    <row r="27653" ht="12.75" x14ac:dyDescent="0.2"/>
    <row r="27654" ht="12.75" x14ac:dyDescent="0.2"/>
    <row r="27655" ht="12.75" x14ac:dyDescent="0.2"/>
    <row r="27656" ht="12.75" x14ac:dyDescent="0.2"/>
    <row r="27657" ht="12.75" x14ac:dyDescent="0.2"/>
    <row r="27658" ht="12.75" x14ac:dyDescent="0.2"/>
    <row r="27659" ht="12.75" x14ac:dyDescent="0.2"/>
    <row r="27660" ht="12.75" x14ac:dyDescent="0.2"/>
    <row r="27661" ht="12.75" x14ac:dyDescent="0.2"/>
    <row r="27662" ht="12.75" x14ac:dyDescent="0.2"/>
    <row r="27663" ht="12.75" x14ac:dyDescent="0.2"/>
    <row r="27664" ht="12.75" x14ac:dyDescent="0.2"/>
    <row r="27665" ht="12.75" x14ac:dyDescent="0.2"/>
    <row r="27666" ht="12.75" x14ac:dyDescent="0.2"/>
    <row r="27667" ht="12.75" x14ac:dyDescent="0.2"/>
    <row r="27668" ht="12.75" x14ac:dyDescent="0.2"/>
    <row r="27669" ht="12.75" x14ac:dyDescent="0.2"/>
    <row r="27670" ht="12.75" x14ac:dyDescent="0.2"/>
    <row r="27671" ht="12.75" x14ac:dyDescent="0.2"/>
    <row r="27672" ht="12.75" x14ac:dyDescent="0.2"/>
    <row r="27673" ht="12.75" x14ac:dyDescent="0.2"/>
    <row r="27674" ht="12.75" x14ac:dyDescent="0.2"/>
    <row r="27675" ht="12.75" x14ac:dyDescent="0.2"/>
    <row r="27676" ht="12.75" x14ac:dyDescent="0.2"/>
    <row r="27677" ht="12.75" x14ac:dyDescent="0.2"/>
    <row r="27678" ht="12.75" x14ac:dyDescent="0.2"/>
    <row r="27679" ht="12.75" x14ac:dyDescent="0.2"/>
    <row r="27680" ht="12.75" x14ac:dyDescent="0.2"/>
    <row r="27681" ht="12.75" x14ac:dyDescent="0.2"/>
    <row r="27682" ht="12.75" x14ac:dyDescent="0.2"/>
    <row r="27683" ht="12.75" x14ac:dyDescent="0.2"/>
    <row r="27684" ht="12.75" x14ac:dyDescent="0.2"/>
    <row r="27685" ht="12.75" x14ac:dyDescent="0.2"/>
    <row r="27686" ht="12.75" x14ac:dyDescent="0.2"/>
    <row r="27687" ht="12.75" x14ac:dyDescent="0.2"/>
    <row r="27688" ht="12.75" x14ac:dyDescent="0.2"/>
    <row r="27689" ht="12.75" x14ac:dyDescent="0.2"/>
    <row r="27690" ht="12.75" x14ac:dyDescent="0.2"/>
    <row r="27691" ht="12.75" x14ac:dyDescent="0.2"/>
    <row r="27692" ht="12.75" x14ac:dyDescent="0.2"/>
    <row r="27693" ht="12.75" x14ac:dyDescent="0.2"/>
    <row r="27694" ht="12.75" x14ac:dyDescent="0.2"/>
    <row r="27695" ht="12.75" x14ac:dyDescent="0.2"/>
    <row r="27696" ht="12.75" x14ac:dyDescent="0.2"/>
    <row r="27697" ht="12.75" x14ac:dyDescent="0.2"/>
    <row r="27698" ht="12.75" x14ac:dyDescent="0.2"/>
    <row r="27699" ht="12.75" x14ac:dyDescent="0.2"/>
    <row r="27700" ht="12.75" x14ac:dyDescent="0.2"/>
    <row r="27701" ht="12.75" x14ac:dyDescent="0.2"/>
    <row r="27702" ht="12.75" x14ac:dyDescent="0.2"/>
    <row r="27703" ht="12.75" x14ac:dyDescent="0.2"/>
    <row r="27704" ht="12.75" x14ac:dyDescent="0.2"/>
    <row r="27705" ht="12.75" x14ac:dyDescent="0.2"/>
    <row r="27706" ht="12.75" x14ac:dyDescent="0.2"/>
    <row r="27707" ht="12.75" x14ac:dyDescent="0.2"/>
    <row r="27708" ht="12.75" x14ac:dyDescent="0.2"/>
    <row r="27709" ht="12.75" x14ac:dyDescent="0.2"/>
    <row r="27710" ht="12.75" x14ac:dyDescent="0.2"/>
    <row r="27711" ht="12.75" x14ac:dyDescent="0.2"/>
    <row r="27712" ht="12.75" x14ac:dyDescent="0.2"/>
    <row r="27713" ht="12.75" x14ac:dyDescent="0.2"/>
    <row r="27714" ht="12.75" x14ac:dyDescent="0.2"/>
    <row r="27715" ht="12.75" x14ac:dyDescent="0.2"/>
    <row r="27716" ht="12.75" x14ac:dyDescent="0.2"/>
    <row r="27717" ht="12.75" x14ac:dyDescent="0.2"/>
    <row r="27718" ht="12.75" x14ac:dyDescent="0.2"/>
    <row r="27719" ht="12.75" x14ac:dyDescent="0.2"/>
    <row r="27720" ht="12.75" x14ac:dyDescent="0.2"/>
    <row r="27721" ht="12.75" x14ac:dyDescent="0.2"/>
    <row r="27722" ht="12.75" x14ac:dyDescent="0.2"/>
    <row r="27723" ht="12.75" x14ac:dyDescent="0.2"/>
    <row r="27724" ht="12.75" x14ac:dyDescent="0.2"/>
    <row r="27725" ht="12.75" x14ac:dyDescent="0.2"/>
    <row r="27726" ht="12.75" x14ac:dyDescent="0.2"/>
    <row r="27727" ht="12.75" x14ac:dyDescent="0.2"/>
    <row r="27728" ht="12.75" x14ac:dyDescent="0.2"/>
    <row r="27729" ht="12.75" x14ac:dyDescent="0.2"/>
    <row r="27730" ht="12.75" x14ac:dyDescent="0.2"/>
    <row r="27731" ht="12.75" x14ac:dyDescent="0.2"/>
    <row r="27732" ht="12.75" x14ac:dyDescent="0.2"/>
    <row r="27733" ht="12.75" x14ac:dyDescent="0.2"/>
    <row r="27734" ht="12.75" x14ac:dyDescent="0.2"/>
    <row r="27735" ht="12.75" x14ac:dyDescent="0.2"/>
    <row r="27736" ht="12.75" x14ac:dyDescent="0.2"/>
    <row r="27737" ht="12.75" x14ac:dyDescent="0.2"/>
    <row r="27738" ht="12.75" x14ac:dyDescent="0.2"/>
    <row r="27739" ht="12.75" x14ac:dyDescent="0.2"/>
    <row r="27740" ht="12.75" x14ac:dyDescent="0.2"/>
    <row r="27741" ht="12.75" x14ac:dyDescent="0.2"/>
    <row r="27742" ht="12.75" x14ac:dyDescent="0.2"/>
    <row r="27743" ht="12.75" x14ac:dyDescent="0.2"/>
    <row r="27744" ht="12.75" x14ac:dyDescent="0.2"/>
    <row r="27745" ht="12.75" x14ac:dyDescent="0.2"/>
    <row r="27746" ht="12.75" x14ac:dyDescent="0.2"/>
    <row r="27747" ht="12.75" x14ac:dyDescent="0.2"/>
    <row r="27748" ht="12.75" x14ac:dyDescent="0.2"/>
    <row r="27749" ht="12.75" x14ac:dyDescent="0.2"/>
    <row r="27750" ht="12.75" x14ac:dyDescent="0.2"/>
    <row r="27751" ht="12.75" x14ac:dyDescent="0.2"/>
    <row r="27752" ht="12.75" x14ac:dyDescent="0.2"/>
    <row r="27753" ht="12.75" x14ac:dyDescent="0.2"/>
    <row r="27754" ht="12.75" x14ac:dyDescent="0.2"/>
    <row r="27755" ht="12.75" x14ac:dyDescent="0.2"/>
    <row r="27756" ht="12.75" x14ac:dyDescent="0.2"/>
    <row r="27757" ht="12.75" x14ac:dyDescent="0.2"/>
    <row r="27758" ht="12.75" x14ac:dyDescent="0.2"/>
    <row r="27759" ht="12.75" x14ac:dyDescent="0.2"/>
    <row r="27760" ht="12.75" x14ac:dyDescent="0.2"/>
    <row r="27761" ht="12.75" x14ac:dyDescent="0.2"/>
    <row r="27762" ht="12.75" x14ac:dyDescent="0.2"/>
    <row r="27763" ht="12.75" x14ac:dyDescent="0.2"/>
    <row r="27764" ht="12.75" x14ac:dyDescent="0.2"/>
    <row r="27765" ht="12.75" x14ac:dyDescent="0.2"/>
    <row r="27766" ht="12.75" x14ac:dyDescent="0.2"/>
    <row r="27767" ht="12.75" x14ac:dyDescent="0.2"/>
    <row r="27768" ht="12.75" x14ac:dyDescent="0.2"/>
    <row r="27769" ht="12.75" x14ac:dyDescent="0.2"/>
    <row r="27770" ht="12.75" x14ac:dyDescent="0.2"/>
    <row r="27771" ht="12.75" x14ac:dyDescent="0.2"/>
    <row r="27772" ht="12.75" x14ac:dyDescent="0.2"/>
    <row r="27773" ht="12.75" x14ac:dyDescent="0.2"/>
    <row r="27774" ht="12.75" x14ac:dyDescent="0.2"/>
    <row r="27775" ht="12.75" x14ac:dyDescent="0.2"/>
    <row r="27776" ht="12.75" x14ac:dyDescent="0.2"/>
    <row r="27777" ht="12.75" x14ac:dyDescent="0.2"/>
    <row r="27778" ht="12.75" x14ac:dyDescent="0.2"/>
    <row r="27779" ht="12.75" x14ac:dyDescent="0.2"/>
    <row r="27780" ht="12.75" x14ac:dyDescent="0.2"/>
    <row r="27781" ht="12.75" x14ac:dyDescent="0.2"/>
    <row r="27782" ht="12.75" x14ac:dyDescent="0.2"/>
    <row r="27783" ht="12.75" x14ac:dyDescent="0.2"/>
    <row r="27784" ht="12.75" x14ac:dyDescent="0.2"/>
    <row r="27785" ht="12.75" x14ac:dyDescent="0.2"/>
    <row r="27786" ht="12.75" x14ac:dyDescent="0.2"/>
    <row r="27787" ht="12.75" x14ac:dyDescent="0.2"/>
    <row r="27788" ht="12.75" x14ac:dyDescent="0.2"/>
    <row r="27789" ht="12.75" x14ac:dyDescent="0.2"/>
    <row r="27790" ht="12.75" x14ac:dyDescent="0.2"/>
    <row r="27791" ht="12.75" x14ac:dyDescent="0.2"/>
    <row r="27792" ht="12.75" x14ac:dyDescent="0.2"/>
    <row r="27793" ht="12.75" x14ac:dyDescent="0.2"/>
    <row r="27794" ht="12.75" x14ac:dyDescent="0.2"/>
    <row r="27795" ht="12.75" x14ac:dyDescent="0.2"/>
    <row r="27796" ht="12.75" x14ac:dyDescent="0.2"/>
    <row r="27797" ht="12.75" x14ac:dyDescent="0.2"/>
    <row r="27798" ht="12.75" x14ac:dyDescent="0.2"/>
    <row r="27799" ht="12.75" x14ac:dyDescent="0.2"/>
    <row r="27800" ht="12.75" x14ac:dyDescent="0.2"/>
    <row r="27801" ht="12.75" x14ac:dyDescent="0.2"/>
    <row r="27802" ht="12.75" x14ac:dyDescent="0.2"/>
    <row r="27803" ht="12.75" x14ac:dyDescent="0.2"/>
    <row r="27804" ht="12.75" x14ac:dyDescent="0.2"/>
    <row r="27805" ht="12.75" x14ac:dyDescent="0.2"/>
    <row r="27806" ht="12.75" x14ac:dyDescent="0.2"/>
    <row r="27807" ht="12.75" x14ac:dyDescent="0.2"/>
    <row r="27808" ht="12.75" x14ac:dyDescent="0.2"/>
    <row r="27809" ht="12.75" x14ac:dyDescent="0.2"/>
    <row r="27810" ht="12.75" x14ac:dyDescent="0.2"/>
    <row r="27811" ht="12.75" x14ac:dyDescent="0.2"/>
    <row r="27812" ht="12.75" x14ac:dyDescent="0.2"/>
    <row r="27813" ht="12.75" x14ac:dyDescent="0.2"/>
    <row r="27814" ht="12.75" x14ac:dyDescent="0.2"/>
    <row r="27815" ht="12.75" x14ac:dyDescent="0.2"/>
    <row r="27816" ht="12.75" x14ac:dyDescent="0.2"/>
    <row r="27817" ht="12.75" x14ac:dyDescent="0.2"/>
    <row r="27818" ht="12.75" x14ac:dyDescent="0.2"/>
    <row r="27819" ht="12.75" x14ac:dyDescent="0.2"/>
    <row r="27820" ht="12.75" x14ac:dyDescent="0.2"/>
    <row r="27821" ht="12.75" x14ac:dyDescent="0.2"/>
    <row r="27822" ht="12.75" x14ac:dyDescent="0.2"/>
    <row r="27823" ht="12.75" x14ac:dyDescent="0.2"/>
    <row r="27824" ht="12.75" x14ac:dyDescent="0.2"/>
    <row r="27825" ht="12.75" x14ac:dyDescent="0.2"/>
    <row r="27826" ht="12.75" x14ac:dyDescent="0.2"/>
    <row r="27827" ht="12.75" x14ac:dyDescent="0.2"/>
    <row r="27828" ht="12.75" x14ac:dyDescent="0.2"/>
    <row r="27829" ht="12.75" x14ac:dyDescent="0.2"/>
    <row r="27830" ht="12.75" x14ac:dyDescent="0.2"/>
    <row r="27831" ht="12.75" x14ac:dyDescent="0.2"/>
    <row r="27832" ht="12.75" x14ac:dyDescent="0.2"/>
    <row r="27833" ht="12.75" x14ac:dyDescent="0.2"/>
    <row r="27834" ht="12.75" x14ac:dyDescent="0.2"/>
    <row r="27835" ht="12.75" x14ac:dyDescent="0.2"/>
    <row r="27836" ht="12.75" x14ac:dyDescent="0.2"/>
    <row r="27837" ht="12.75" x14ac:dyDescent="0.2"/>
    <row r="27838" ht="12.75" x14ac:dyDescent="0.2"/>
    <row r="27839" ht="12.75" x14ac:dyDescent="0.2"/>
    <row r="27840" ht="12.75" x14ac:dyDescent="0.2"/>
    <row r="27841" ht="12.75" x14ac:dyDescent="0.2"/>
    <row r="27842" ht="12.75" x14ac:dyDescent="0.2"/>
    <row r="27843" ht="12.75" x14ac:dyDescent="0.2"/>
    <row r="27844" ht="12.75" x14ac:dyDescent="0.2"/>
    <row r="27845" ht="12.75" x14ac:dyDescent="0.2"/>
    <row r="27846" ht="12.75" x14ac:dyDescent="0.2"/>
    <row r="27847" ht="12.75" x14ac:dyDescent="0.2"/>
    <row r="27848" ht="12.75" x14ac:dyDescent="0.2"/>
    <row r="27849" ht="12.75" x14ac:dyDescent="0.2"/>
    <row r="27850" ht="12.75" x14ac:dyDescent="0.2"/>
    <row r="27851" ht="12.75" x14ac:dyDescent="0.2"/>
    <row r="27852" ht="12.75" x14ac:dyDescent="0.2"/>
    <row r="27853" ht="12.75" x14ac:dyDescent="0.2"/>
    <row r="27854" ht="12.75" x14ac:dyDescent="0.2"/>
    <row r="27855" ht="12.75" x14ac:dyDescent="0.2"/>
    <row r="27856" ht="12.75" x14ac:dyDescent="0.2"/>
    <row r="27857" ht="12.75" x14ac:dyDescent="0.2"/>
    <row r="27858" ht="12.75" x14ac:dyDescent="0.2"/>
    <row r="27859" ht="12.75" x14ac:dyDescent="0.2"/>
    <row r="27860" ht="12.75" x14ac:dyDescent="0.2"/>
    <row r="27861" ht="12.75" x14ac:dyDescent="0.2"/>
    <row r="27862" ht="12.75" x14ac:dyDescent="0.2"/>
    <row r="27863" ht="12.75" x14ac:dyDescent="0.2"/>
    <row r="27864" ht="12.75" x14ac:dyDescent="0.2"/>
    <row r="27865" ht="12.75" x14ac:dyDescent="0.2"/>
    <row r="27866" ht="12.75" x14ac:dyDescent="0.2"/>
    <row r="27867" ht="12.75" x14ac:dyDescent="0.2"/>
    <row r="27868" ht="12.75" x14ac:dyDescent="0.2"/>
    <row r="27869" ht="12.75" x14ac:dyDescent="0.2"/>
    <row r="27870" ht="12.75" x14ac:dyDescent="0.2"/>
    <row r="27871" ht="12.75" x14ac:dyDescent="0.2"/>
    <row r="27872" ht="12.75" x14ac:dyDescent="0.2"/>
    <row r="27873" ht="12.75" x14ac:dyDescent="0.2"/>
    <row r="27874" ht="12.75" x14ac:dyDescent="0.2"/>
    <row r="27875" ht="12.75" x14ac:dyDescent="0.2"/>
    <row r="27876" ht="12.75" x14ac:dyDescent="0.2"/>
    <row r="27877" ht="12.75" x14ac:dyDescent="0.2"/>
    <row r="27878" ht="12.75" x14ac:dyDescent="0.2"/>
    <row r="27879" ht="12.75" x14ac:dyDescent="0.2"/>
    <row r="27880" ht="12.75" x14ac:dyDescent="0.2"/>
    <row r="27881" ht="12.75" x14ac:dyDescent="0.2"/>
    <row r="27882" ht="12.75" x14ac:dyDescent="0.2"/>
    <row r="27883" ht="12.75" x14ac:dyDescent="0.2"/>
    <row r="27884" ht="12.75" x14ac:dyDescent="0.2"/>
    <row r="27885" ht="12.75" x14ac:dyDescent="0.2"/>
    <row r="27886" ht="12.75" x14ac:dyDescent="0.2"/>
    <row r="27887" ht="12.75" x14ac:dyDescent="0.2"/>
    <row r="27888" ht="12.75" x14ac:dyDescent="0.2"/>
    <row r="27889" ht="12.75" x14ac:dyDescent="0.2"/>
    <row r="27890" ht="12.75" x14ac:dyDescent="0.2"/>
    <row r="27891" ht="12.75" x14ac:dyDescent="0.2"/>
    <row r="27892" ht="12.75" x14ac:dyDescent="0.2"/>
    <row r="27893" ht="12.75" x14ac:dyDescent="0.2"/>
    <row r="27894" ht="12.75" x14ac:dyDescent="0.2"/>
    <row r="27895" ht="12.75" x14ac:dyDescent="0.2"/>
    <row r="27896" ht="12.75" x14ac:dyDescent="0.2"/>
    <row r="27897" ht="12.75" x14ac:dyDescent="0.2"/>
    <row r="27898" ht="12.75" x14ac:dyDescent="0.2"/>
    <row r="27899" ht="12.75" x14ac:dyDescent="0.2"/>
    <row r="27900" ht="12.75" x14ac:dyDescent="0.2"/>
    <row r="27901" ht="12.75" x14ac:dyDescent="0.2"/>
    <row r="27902" ht="12.75" x14ac:dyDescent="0.2"/>
    <row r="27903" ht="12.75" x14ac:dyDescent="0.2"/>
    <row r="27904" ht="12.75" x14ac:dyDescent="0.2"/>
    <row r="27905" ht="12.75" x14ac:dyDescent="0.2"/>
    <row r="27906" ht="12.75" x14ac:dyDescent="0.2"/>
    <row r="27907" ht="12.75" x14ac:dyDescent="0.2"/>
    <row r="27908" ht="12.75" x14ac:dyDescent="0.2"/>
    <row r="27909" ht="12.75" x14ac:dyDescent="0.2"/>
    <row r="27910" ht="12.75" x14ac:dyDescent="0.2"/>
    <row r="27911" ht="12.75" x14ac:dyDescent="0.2"/>
    <row r="27912" ht="12.75" x14ac:dyDescent="0.2"/>
    <row r="27913" ht="12.75" x14ac:dyDescent="0.2"/>
    <row r="27914" ht="12.75" x14ac:dyDescent="0.2"/>
    <row r="27915" ht="12.75" x14ac:dyDescent="0.2"/>
    <row r="27916" ht="12.75" x14ac:dyDescent="0.2"/>
    <row r="27917" ht="12.75" x14ac:dyDescent="0.2"/>
    <row r="27918" ht="12.75" x14ac:dyDescent="0.2"/>
    <row r="27919" ht="12.75" x14ac:dyDescent="0.2"/>
    <row r="27920" ht="12.75" x14ac:dyDescent="0.2"/>
    <row r="27921" ht="12.75" x14ac:dyDescent="0.2"/>
    <row r="27922" ht="12.75" x14ac:dyDescent="0.2"/>
    <row r="27923" ht="12.75" x14ac:dyDescent="0.2"/>
    <row r="27924" ht="12.75" x14ac:dyDescent="0.2"/>
    <row r="27925" ht="12.75" x14ac:dyDescent="0.2"/>
    <row r="27926" ht="12.75" x14ac:dyDescent="0.2"/>
    <row r="27927" ht="12.75" x14ac:dyDescent="0.2"/>
    <row r="27928" ht="12.75" x14ac:dyDescent="0.2"/>
    <row r="27929" ht="12.75" x14ac:dyDescent="0.2"/>
    <row r="27930" ht="12.75" x14ac:dyDescent="0.2"/>
    <row r="27931" ht="12.75" x14ac:dyDescent="0.2"/>
    <row r="27932" ht="12.75" x14ac:dyDescent="0.2"/>
    <row r="27933" ht="12.75" x14ac:dyDescent="0.2"/>
    <row r="27934" ht="12.75" x14ac:dyDescent="0.2"/>
    <row r="27935" ht="12.75" x14ac:dyDescent="0.2"/>
    <row r="27936" ht="12.75" x14ac:dyDescent="0.2"/>
    <row r="27937" ht="12.75" x14ac:dyDescent="0.2"/>
    <row r="27938" ht="12.75" x14ac:dyDescent="0.2"/>
    <row r="27939" ht="12.75" x14ac:dyDescent="0.2"/>
    <row r="27940" ht="12.75" x14ac:dyDescent="0.2"/>
    <row r="27941" ht="12.75" x14ac:dyDescent="0.2"/>
    <row r="27942" ht="12.75" x14ac:dyDescent="0.2"/>
    <row r="27943" ht="12.75" x14ac:dyDescent="0.2"/>
    <row r="27944" ht="12.75" x14ac:dyDescent="0.2"/>
    <row r="27945" ht="12.75" x14ac:dyDescent="0.2"/>
    <row r="27946" ht="12.75" x14ac:dyDescent="0.2"/>
    <row r="27947" ht="12.75" x14ac:dyDescent="0.2"/>
    <row r="27948" ht="12.75" x14ac:dyDescent="0.2"/>
    <row r="27949" ht="12.75" x14ac:dyDescent="0.2"/>
    <row r="27950" ht="12.75" x14ac:dyDescent="0.2"/>
    <row r="27951" ht="12.75" x14ac:dyDescent="0.2"/>
    <row r="27952" ht="12.75" x14ac:dyDescent="0.2"/>
    <row r="27953" ht="12.75" x14ac:dyDescent="0.2"/>
    <row r="27954" ht="12.75" x14ac:dyDescent="0.2"/>
    <row r="27955" ht="12.75" x14ac:dyDescent="0.2"/>
    <row r="27956" ht="12.75" x14ac:dyDescent="0.2"/>
    <row r="27957" ht="12.75" x14ac:dyDescent="0.2"/>
    <row r="27958" ht="12.75" x14ac:dyDescent="0.2"/>
    <row r="27959" ht="12.75" x14ac:dyDescent="0.2"/>
    <row r="27960" ht="12.75" x14ac:dyDescent="0.2"/>
    <row r="27961" ht="12.75" x14ac:dyDescent="0.2"/>
    <row r="27962" ht="12.75" x14ac:dyDescent="0.2"/>
    <row r="27963" ht="12.75" x14ac:dyDescent="0.2"/>
    <row r="27964" ht="12.75" x14ac:dyDescent="0.2"/>
    <row r="27965" ht="12.75" x14ac:dyDescent="0.2"/>
    <row r="27966" ht="12.75" x14ac:dyDescent="0.2"/>
    <row r="27967" ht="12.75" x14ac:dyDescent="0.2"/>
    <row r="27968" ht="12.75" x14ac:dyDescent="0.2"/>
    <row r="27969" ht="12.75" x14ac:dyDescent="0.2"/>
    <row r="27970" ht="12.75" x14ac:dyDescent="0.2"/>
    <row r="27971" ht="12.75" x14ac:dyDescent="0.2"/>
    <row r="27972" ht="12.75" x14ac:dyDescent="0.2"/>
    <row r="27973" ht="12.75" x14ac:dyDescent="0.2"/>
    <row r="27974" ht="12.75" x14ac:dyDescent="0.2"/>
    <row r="27975" ht="12.75" x14ac:dyDescent="0.2"/>
    <row r="27976" ht="12.75" x14ac:dyDescent="0.2"/>
    <row r="27977" ht="12.75" x14ac:dyDescent="0.2"/>
    <row r="27978" ht="12.75" x14ac:dyDescent="0.2"/>
    <row r="27979" ht="12.75" x14ac:dyDescent="0.2"/>
    <row r="27980" ht="12.75" x14ac:dyDescent="0.2"/>
    <row r="27981" ht="12.75" x14ac:dyDescent="0.2"/>
    <row r="27982" ht="12.75" x14ac:dyDescent="0.2"/>
    <row r="27983" ht="12.75" x14ac:dyDescent="0.2"/>
    <row r="27984" ht="12.75" x14ac:dyDescent="0.2"/>
    <row r="27985" ht="12.75" x14ac:dyDescent="0.2"/>
    <row r="27986" ht="12.75" x14ac:dyDescent="0.2"/>
    <row r="27987" ht="12.75" x14ac:dyDescent="0.2"/>
    <row r="27988" ht="12.75" x14ac:dyDescent="0.2"/>
    <row r="27989" ht="12.75" x14ac:dyDescent="0.2"/>
    <row r="27990" ht="12.75" x14ac:dyDescent="0.2"/>
    <row r="27991" ht="12.75" x14ac:dyDescent="0.2"/>
    <row r="27992" ht="12.75" x14ac:dyDescent="0.2"/>
    <row r="27993" ht="12.75" x14ac:dyDescent="0.2"/>
    <row r="27994" ht="12.75" x14ac:dyDescent="0.2"/>
    <row r="27995" ht="12.75" x14ac:dyDescent="0.2"/>
    <row r="27996" ht="12.75" x14ac:dyDescent="0.2"/>
    <row r="27997" ht="12.75" x14ac:dyDescent="0.2"/>
    <row r="27998" ht="12.75" x14ac:dyDescent="0.2"/>
    <row r="27999" ht="12.75" x14ac:dyDescent="0.2"/>
    <row r="28000" ht="12.75" x14ac:dyDescent="0.2"/>
    <row r="28001" ht="12.75" x14ac:dyDescent="0.2"/>
    <row r="28002" ht="12.75" x14ac:dyDescent="0.2"/>
    <row r="28003" ht="12.75" x14ac:dyDescent="0.2"/>
    <row r="28004" ht="12.75" x14ac:dyDescent="0.2"/>
    <row r="28005" ht="12.75" x14ac:dyDescent="0.2"/>
    <row r="28006" ht="12.75" x14ac:dyDescent="0.2"/>
    <row r="28007" ht="12.75" x14ac:dyDescent="0.2"/>
    <row r="28008" ht="12.75" x14ac:dyDescent="0.2"/>
    <row r="28009" ht="12.75" x14ac:dyDescent="0.2"/>
    <row r="28010" ht="12.75" x14ac:dyDescent="0.2"/>
    <row r="28011" ht="12.75" x14ac:dyDescent="0.2"/>
    <row r="28012" ht="12.75" x14ac:dyDescent="0.2"/>
    <row r="28013" ht="12.75" x14ac:dyDescent="0.2"/>
    <row r="28014" ht="12.75" x14ac:dyDescent="0.2"/>
    <row r="28015" ht="12.75" x14ac:dyDescent="0.2"/>
    <row r="28016" ht="12.75" x14ac:dyDescent="0.2"/>
    <row r="28017" ht="12.75" x14ac:dyDescent="0.2"/>
    <row r="28018" ht="12.75" x14ac:dyDescent="0.2"/>
    <row r="28019" ht="12.75" x14ac:dyDescent="0.2"/>
    <row r="28020" ht="12.75" x14ac:dyDescent="0.2"/>
    <row r="28021" ht="12.75" x14ac:dyDescent="0.2"/>
    <row r="28022" ht="12.75" x14ac:dyDescent="0.2"/>
    <row r="28023" ht="12.75" x14ac:dyDescent="0.2"/>
    <row r="28024" ht="12.75" x14ac:dyDescent="0.2"/>
    <row r="28025" ht="12.75" x14ac:dyDescent="0.2"/>
    <row r="28026" ht="12.75" x14ac:dyDescent="0.2"/>
    <row r="28027" ht="12.75" x14ac:dyDescent="0.2"/>
    <row r="28028" ht="12.75" x14ac:dyDescent="0.2"/>
    <row r="28029" ht="12.75" x14ac:dyDescent="0.2"/>
    <row r="28030" ht="12.75" x14ac:dyDescent="0.2"/>
    <row r="28031" ht="12.75" x14ac:dyDescent="0.2"/>
    <row r="28032" ht="12.75" x14ac:dyDescent="0.2"/>
    <row r="28033" ht="12.75" x14ac:dyDescent="0.2"/>
    <row r="28034" ht="12.75" x14ac:dyDescent="0.2"/>
    <row r="28035" ht="12.75" x14ac:dyDescent="0.2"/>
    <row r="28036" ht="12.75" x14ac:dyDescent="0.2"/>
    <row r="28037" ht="12.75" x14ac:dyDescent="0.2"/>
    <row r="28038" ht="12.75" x14ac:dyDescent="0.2"/>
    <row r="28039" ht="12.75" x14ac:dyDescent="0.2"/>
    <row r="28040" ht="12.75" x14ac:dyDescent="0.2"/>
    <row r="28041" ht="12.75" x14ac:dyDescent="0.2"/>
    <row r="28042" ht="12.75" x14ac:dyDescent="0.2"/>
    <row r="28043" ht="12.75" x14ac:dyDescent="0.2"/>
    <row r="28044" ht="12.75" x14ac:dyDescent="0.2"/>
    <row r="28045" ht="12.75" x14ac:dyDescent="0.2"/>
    <row r="28046" ht="12.75" x14ac:dyDescent="0.2"/>
    <row r="28047" ht="12.75" x14ac:dyDescent="0.2"/>
    <row r="28048" ht="12.75" x14ac:dyDescent="0.2"/>
    <row r="28049" ht="12.75" x14ac:dyDescent="0.2"/>
    <row r="28050" ht="12.75" x14ac:dyDescent="0.2"/>
    <row r="28051" ht="12.75" x14ac:dyDescent="0.2"/>
    <row r="28052" ht="12.75" x14ac:dyDescent="0.2"/>
    <row r="28053" ht="12.75" x14ac:dyDescent="0.2"/>
    <row r="28054" ht="12.75" x14ac:dyDescent="0.2"/>
    <row r="28055" ht="12.75" x14ac:dyDescent="0.2"/>
    <row r="28056" ht="12.75" x14ac:dyDescent="0.2"/>
    <row r="28057" ht="12.75" x14ac:dyDescent="0.2"/>
    <row r="28058" ht="12.75" x14ac:dyDescent="0.2"/>
    <row r="28059" ht="12.75" x14ac:dyDescent="0.2"/>
    <row r="28060" ht="12.75" x14ac:dyDescent="0.2"/>
    <row r="28061" ht="12.75" x14ac:dyDescent="0.2"/>
    <row r="28062" ht="12.75" x14ac:dyDescent="0.2"/>
    <row r="28063" ht="12.75" x14ac:dyDescent="0.2"/>
    <row r="28064" ht="12.75" x14ac:dyDescent="0.2"/>
    <row r="28065" ht="12.75" x14ac:dyDescent="0.2"/>
    <row r="28066" ht="12.75" x14ac:dyDescent="0.2"/>
    <row r="28067" ht="12.75" x14ac:dyDescent="0.2"/>
    <row r="28068" ht="12.75" x14ac:dyDescent="0.2"/>
    <row r="28069" ht="12.75" x14ac:dyDescent="0.2"/>
    <row r="28070" ht="12.75" x14ac:dyDescent="0.2"/>
    <row r="28071" ht="12.75" x14ac:dyDescent="0.2"/>
    <row r="28072" ht="12.75" x14ac:dyDescent="0.2"/>
    <row r="28073" ht="12.75" x14ac:dyDescent="0.2"/>
    <row r="28074" ht="12.75" x14ac:dyDescent="0.2"/>
    <row r="28075" ht="12.75" x14ac:dyDescent="0.2"/>
    <row r="28076" ht="12.75" x14ac:dyDescent="0.2"/>
    <row r="28077" ht="12.75" x14ac:dyDescent="0.2"/>
    <row r="28078" ht="12.75" x14ac:dyDescent="0.2"/>
    <row r="28079" ht="12.75" x14ac:dyDescent="0.2"/>
    <row r="28080" ht="12.75" x14ac:dyDescent="0.2"/>
    <row r="28081" ht="12.75" x14ac:dyDescent="0.2"/>
    <row r="28082" ht="12.75" x14ac:dyDescent="0.2"/>
    <row r="28083" ht="12.75" x14ac:dyDescent="0.2"/>
    <row r="28084" ht="12.75" x14ac:dyDescent="0.2"/>
    <row r="28085" ht="12.75" x14ac:dyDescent="0.2"/>
    <row r="28086" ht="12.75" x14ac:dyDescent="0.2"/>
    <row r="28087" ht="12.75" x14ac:dyDescent="0.2"/>
    <row r="28088" ht="12.75" x14ac:dyDescent="0.2"/>
    <row r="28089" ht="12.75" x14ac:dyDescent="0.2"/>
    <row r="28090" ht="12.75" x14ac:dyDescent="0.2"/>
    <row r="28091" ht="12.75" x14ac:dyDescent="0.2"/>
    <row r="28092" ht="12.75" x14ac:dyDescent="0.2"/>
    <row r="28093" ht="12.75" x14ac:dyDescent="0.2"/>
    <row r="28094" ht="12.75" x14ac:dyDescent="0.2"/>
    <row r="28095" ht="12.75" x14ac:dyDescent="0.2"/>
    <row r="28096" ht="12.75" x14ac:dyDescent="0.2"/>
    <row r="28097" ht="12.75" x14ac:dyDescent="0.2"/>
    <row r="28098" ht="12.75" x14ac:dyDescent="0.2"/>
    <row r="28099" ht="12.75" x14ac:dyDescent="0.2"/>
    <row r="28100" ht="12.75" x14ac:dyDescent="0.2"/>
    <row r="28101" ht="12.75" x14ac:dyDescent="0.2"/>
    <row r="28102" ht="12.75" x14ac:dyDescent="0.2"/>
    <row r="28103" ht="12.75" x14ac:dyDescent="0.2"/>
    <row r="28104" ht="12.75" x14ac:dyDescent="0.2"/>
    <row r="28105" ht="12.75" x14ac:dyDescent="0.2"/>
    <row r="28106" ht="12.75" x14ac:dyDescent="0.2"/>
    <row r="28107" ht="12.75" x14ac:dyDescent="0.2"/>
    <row r="28108" ht="12.75" x14ac:dyDescent="0.2"/>
    <row r="28109" ht="12.75" x14ac:dyDescent="0.2"/>
    <row r="28110" ht="12.75" x14ac:dyDescent="0.2"/>
    <row r="28111" ht="12.75" x14ac:dyDescent="0.2"/>
    <row r="28112" ht="12.75" x14ac:dyDescent="0.2"/>
    <row r="28113" ht="12.75" x14ac:dyDescent="0.2"/>
    <row r="28114" ht="12.75" x14ac:dyDescent="0.2"/>
    <row r="28115" ht="12.75" x14ac:dyDescent="0.2"/>
    <row r="28116" ht="12.75" x14ac:dyDescent="0.2"/>
    <row r="28117" ht="12.75" x14ac:dyDescent="0.2"/>
    <row r="28118" ht="12.75" x14ac:dyDescent="0.2"/>
    <row r="28119" ht="12.75" x14ac:dyDescent="0.2"/>
    <row r="28120" ht="12.75" x14ac:dyDescent="0.2"/>
    <row r="28121" ht="12.75" x14ac:dyDescent="0.2"/>
    <row r="28122" ht="12.75" x14ac:dyDescent="0.2"/>
    <row r="28123" ht="12.75" x14ac:dyDescent="0.2"/>
    <row r="28124" ht="12.75" x14ac:dyDescent="0.2"/>
    <row r="28125" ht="12.75" x14ac:dyDescent="0.2"/>
    <row r="28126" ht="12.75" x14ac:dyDescent="0.2"/>
    <row r="28127" ht="12.75" x14ac:dyDescent="0.2"/>
    <row r="28128" ht="12.75" x14ac:dyDescent="0.2"/>
    <row r="28129" ht="12.75" x14ac:dyDescent="0.2"/>
    <row r="28130" ht="12.75" x14ac:dyDescent="0.2"/>
    <row r="28131" ht="12.75" x14ac:dyDescent="0.2"/>
    <row r="28132" ht="12.75" x14ac:dyDescent="0.2"/>
    <row r="28133" ht="12.75" x14ac:dyDescent="0.2"/>
    <row r="28134" ht="12.75" x14ac:dyDescent="0.2"/>
    <row r="28135" ht="12.75" x14ac:dyDescent="0.2"/>
    <row r="28136" ht="12.75" x14ac:dyDescent="0.2"/>
    <row r="28137" ht="12.75" x14ac:dyDescent="0.2"/>
    <row r="28138" ht="12.75" x14ac:dyDescent="0.2"/>
    <row r="28139" ht="12.75" x14ac:dyDescent="0.2"/>
    <row r="28140" ht="12.75" x14ac:dyDescent="0.2"/>
    <row r="28141" ht="12.75" x14ac:dyDescent="0.2"/>
    <row r="28142" ht="12.75" x14ac:dyDescent="0.2"/>
    <row r="28143" ht="12.75" x14ac:dyDescent="0.2"/>
    <row r="28144" ht="12.75" x14ac:dyDescent="0.2"/>
    <row r="28145" ht="12.75" x14ac:dyDescent="0.2"/>
    <row r="28146" ht="12.75" x14ac:dyDescent="0.2"/>
    <row r="28147" ht="12.75" x14ac:dyDescent="0.2"/>
    <row r="28148" ht="12.75" x14ac:dyDescent="0.2"/>
    <row r="28149" ht="12.75" x14ac:dyDescent="0.2"/>
    <row r="28150" ht="12.75" x14ac:dyDescent="0.2"/>
    <row r="28151" ht="12.75" x14ac:dyDescent="0.2"/>
    <row r="28152" ht="12.75" x14ac:dyDescent="0.2"/>
    <row r="28153" ht="12.75" x14ac:dyDescent="0.2"/>
    <row r="28154" ht="12.75" x14ac:dyDescent="0.2"/>
    <row r="28155" ht="12.75" x14ac:dyDescent="0.2"/>
    <row r="28156" ht="12.75" x14ac:dyDescent="0.2"/>
    <row r="28157" ht="12.75" x14ac:dyDescent="0.2"/>
    <row r="28158" ht="12.75" x14ac:dyDescent="0.2"/>
    <row r="28159" ht="12.75" x14ac:dyDescent="0.2"/>
    <row r="28160" ht="12.75" x14ac:dyDescent="0.2"/>
    <row r="28161" ht="12.75" x14ac:dyDescent="0.2"/>
    <row r="28162" ht="12.75" x14ac:dyDescent="0.2"/>
    <row r="28163" ht="12.75" x14ac:dyDescent="0.2"/>
    <row r="28164" ht="12.75" x14ac:dyDescent="0.2"/>
    <row r="28165" ht="12.75" x14ac:dyDescent="0.2"/>
    <row r="28166" ht="12.75" x14ac:dyDescent="0.2"/>
    <row r="28167" ht="12.75" x14ac:dyDescent="0.2"/>
    <row r="28168" ht="12.75" x14ac:dyDescent="0.2"/>
    <row r="28169" ht="12.75" x14ac:dyDescent="0.2"/>
    <row r="28170" ht="12.75" x14ac:dyDescent="0.2"/>
    <row r="28171" ht="12.75" x14ac:dyDescent="0.2"/>
    <row r="28172" ht="12.75" x14ac:dyDescent="0.2"/>
    <row r="28173" ht="12.75" x14ac:dyDescent="0.2"/>
    <row r="28174" ht="12.75" x14ac:dyDescent="0.2"/>
    <row r="28175" ht="12.75" x14ac:dyDescent="0.2"/>
    <row r="28176" ht="12.75" x14ac:dyDescent="0.2"/>
    <row r="28177" ht="12.75" x14ac:dyDescent="0.2"/>
    <row r="28178" ht="12.75" x14ac:dyDescent="0.2"/>
    <row r="28179" ht="12.75" x14ac:dyDescent="0.2"/>
    <row r="28180" ht="12.75" x14ac:dyDescent="0.2"/>
    <row r="28181" ht="12.75" x14ac:dyDescent="0.2"/>
    <row r="28182" ht="12.75" x14ac:dyDescent="0.2"/>
    <row r="28183" ht="12.75" x14ac:dyDescent="0.2"/>
    <row r="28184" ht="12.75" x14ac:dyDescent="0.2"/>
    <row r="28185" ht="12.75" x14ac:dyDescent="0.2"/>
    <row r="28186" ht="12.75" x14ac:dyDescent="0.2"/>
    <row r="28187" ht="12.75" x14ac:dyDescent="0.2"/>
    <row r="28188" ht="12.75" x14ac:dyDescent="0.2"/>
    <row r="28189" ht="12.75" x14ac:dyDescent="0.2"/>
    <row r="28190" ht="12.75" x14ac:dyDescent="0.2"/>
    <row r="28191" ht="12.75" x14ac:dyDescent="0.2"/>
    <row r="28192" ht="12.75" x14ac:dyDescent="0.2"/>
    <row r="28193" ht="12.75" x14ac:dyDescent="0.2"/>
    <row r="28194" ht="12.75" x14ac:dyDescent="0.2"/>
    <row r="28195" ht="12.75" x14ac:dyDescent="0.2"/>
    <row r="28196" ht="12.75" x14ac:dyDescent="0.2"/>
    <row r="28197" ht="12.75" x14ac:dyDescent="0.2"/>
    <row r="28198" ht="12.75" x14ac:dyDescent="0.2"/>
    <row r="28199" ht="12.75" x14ac:dyDescent="0.2"/>
    <row r="28200" ht="12.75" x14ac:dyDescent="0.2"/>
    <row r="28201" ht="12.75" x14ac:dyDescent="0.2"/>
    <row r="28202" ht="12.75" x14ac:dyDescent="0.2"/>
    <row r="28203" ht="12.75" x14ac:dyDescent="0.2"/>
    <row r="28204" ht="12.75" x14ac:dyDescent="0.2"/>
    <row r="28205" ht="12.75" x14ac:dyDescent="0.2"/>
    <row r="28206" ht="12.75" x14ac:dyDescent="0.2"/>
    <row r="28207" ht="12.75" x14ac:dyDescent="0.2"/>
    <row r="28208" ht="12.75" x14ac:dyDescent="0.2"/>
    <row r="28209" ht="12.75" x14ac:dyDescent="0.2"/>
    <row r="28210" ht="12.75" x14ac:dyDescent="0.2"/>
    <row r="28211" ht="12.75" x14ac:dyDescent="0.2"/>
    <row r="28212" ht="12.75" x14ac:dyDescent="0.2"/>
    <row r="28213" ht="12.75" x14ac:dyDescent="0.2"/>
    <row r="28214" ht="12.75" x14ac:dyDescent="0.2"/>
    <row r="28215" ht="12.75" x14ac:dyDescent="0.2"/>
    <row r="28216" ht="12.75" x14ac:dyDescent="0.2"/>
    <row r="28217" ht="12.75" x14ac:dyDescent="0.2"/>
    <row r="28218" ht="12.75" x14ac:dyDescent="0.2"/>
    <row r="28219" ht="12.75" x14ac:dyDescent="0.2"/>
    <row r="28220" ht="12.75" x14ac:dyDescent="0.2"/>
    <row r="28221" ht="12.75" x14ac:dyDescent="0.2"/>
    <row r="28222" ht="12.75" x14ac:dyDescent="0.2"/>
    <row r="28223" ht="12.75" x14ac:dyDescent="0.2"/>
    <row r="28224" ht="12.75" x14ac:dyDescent="0.2"/>
    <row r="28225" ht="12.75" x14ac:dyDescent="0.2"/>
    <row r="28226" ht="12.75" x14ac:dyDescent="0.2"/>
    <row r="28227" ht="12.75" x14ac:dyDescent="0.2"/>
    <row r="28228" ht="12.75" x14ac:dyDescent="0.2"/>
    <row r="28229" ht="12.75" x14ac:dyDescent="0.2"/>
    <row r="28230" ht="12.75" x14ac:dyDescent="0.2"/>
    <row r="28231" ht="12.75" x14ac:dyDescent="0.2"/>
    <row r="28232" ht="12.75" x14ac:dyDescent="0.2"/>
    <row r="28233" ht="12.75" x14ac:dyDescent="0.2"/>
    <row r="28234" ht="12.75" x14ac:dyDescent="0.2"/>
    <row r="28235" ht="12.75" x14ac:dyDescent="0.2"/>
    <row r="28236" ht="12.75" x14ac:dyDescent="0.2"/>
    <row r="28237" ht="12.75" x14ac:dyDescent="0.2"/>
    <row r="28238" ht="12.75" x14ac:dyDescent="0.2"/>
    <row r="28239" ht="12.75" x14ac:dyDescent="0.2"/>
    <row r="28240" ht="12.75" x14ac:dyDescent="0.2"/>
    <row r="28241" ht="12.75" x14ac:dyDescent="0.2"/>
    <row r="28242" ht="12.75" x14ac:dyDescent="0.2"/>
    <row r="28243" ht="12.75" x14ac:dyDescent="0.2"/>
    <row r="28244" ht="12.75" x14ac:dyDescent="0.2"/>
    <row r="28245" ht="12.75" x14ac:dyDescent="0.2"/>
    <row r="28246" ht="12.75" x14ac:dyDescent="0.2"/>
    <row r="28247" ht="12.75" x14ac:dyDescent="0.2"/>
    <row r="28248" ht="12.75" x14ac:dyDescent="0.2"/>
    <row r="28249" ht="12.75" x14ac:dyDescent="0.2"/>
    <row r="28250" ht="12.75" x14ac:dyDescent="0.2"/>
    <row r="28251" ht="12.75" x14ac:dyDescent="0.2"/>
    <row r="28252" ht="12.75" x14ac:dyDescent="0.2"/>
    <row r="28253" ht="12.75" x14ac:dyDescent="0.2"/>
    <row r="28254" ht="12.75" x14ac:dyDescent="0.2"/>
    <row r="28255" ht="12.75" x14ac:dyDescent="0.2"/>
    <row r="28256" ht="12.75" x14ac:dyDescent="0.2"/>
    <row r="28257" ht="12.75" x14ac:dyDescent="0.2"/>
    <row r="28258" ht="12.75" x14ac:dyDescent="0.2"/>
    <row r="28259" ht="12.75" x14ac:dyDescent="0.2"/>
    <row r="28260" ht="12.75" x14ac:dyDescent="0.2"/>
    <row r="28261" ht="12.75" x14ac:dyDescent="0.2"/>
    <row r="28262" ht="12.75" x14ac:dyDescent="0.2"/>
    <row r="28263" ht="12.75" x14ac:dyDescent="0.2"/>
    <row r="28264" ht="12.75" x14ac:dyDescent="0.2"/>
    <row r="28265" ht="12.75" x14ac:dyDescent="0.2"/>
    <row r="28266" ht="12.75" x14ac:dyDescent="0.2"/>
    <row r="28267" ht="12.75" x14ac:dyDescent="0.2"/>
    <row r="28268" ht="12.75" x14ac:dyDescent="0.2"/>
    <row r="28269" ht="12.75" x14ac:dyDescent="0.2"/>
    <row r="28270" ht="12.75" x14ac:dyDescent="0.2"/>
    <row r="28271" ht="12.75" x14ac:dyDescent="0.2"/>
    <row r="28272" ht="12.75" x14ac:dyDescent="0.2"/>
    <row r="28273" ht="12.75" x14ac:dyDescent="0.2"/>
    <row r="28274" ht="12.75" x14ac:dyDescent="0.2"/>
    <row r="28275" ht="12.75" x14ac:dyDescent="0.2"/>
    <row r="28276" ht="12.75" x14ac:dyDescent="0.2"/>
    <row r="28277" ht="12.75" x14ac:dyDescent="0.2"/>
    <row r="28278" ht="12.75" x14ac:dyDescent="0.2"/>
    <row r="28279" ht="12.75" x14ac:dyDescent="0.2"/>
    <row r="28280" ht="12.75" x14ac:dyDescent="0.2"/>
    <row r="28281" ht="12.75" x14ac:dyDescent="0.2"/>
    <row r="28282" ht="12.75" x14ac:dyDescent="0.2"/>
    <row r="28283" ht="12.75" x14ac:dyDescent="0.2"/>
    <row r="28284" ht="12.75" x14ac:dyDescent="0.2"/>
    <row r="28285" ht="12.75" x14ac:dyDescent="0.2"/>
    <row r="28286" ht="12.75" x14ac:dyDescent="0.2"/>
    <row r="28287" ht="12.75" x14ac:dyDescent="0.2"/>
    <row r="28288" ht="12.75" x14ac:dyDescent="0.2"/>
    <row r="28289" ht="12.75" x14ac:dyDescent="0.2"/>
    <row r="28290" ht="12.75" x14ac:dyDescent="0.2"/>
    <row r="28291" ht="12.75" x14ac:dyDescent="0.2"/>
    <row r="28292" ht="12.75" x14ac:dyDescent="0.2"/>
    <row r="28293" ht="12.75" x14ac:dyDescent="0.2"/>
    <row r="28294" ht="12.75" x14ac:dyDescent="0.2"/>
    <row r="28295" ht="12.75" x14ac:dyDescent="0.2"/>
    <row r="28296" ht="12.75" x14ac:dyDescent="0.2"/>
    <row r="28297" ht="12.75" x14ac:dyDescent="0.2"/>
    <row r="28298" ht="12.75" x14ac:dyDescent="0.2"/>
    <row r="28299" ht="12.75" x14ac:dyDescent="0.2"/>
    <row r="28300" ht="12.75" x14ac:dyDescent="0.2"/>
    <row r="28301" ht="12.75" x14ac:dyDescent="0.2"/>
    <row r="28302" ht="12.75" x14ac:dyDescent="0.2"/>
    <row r="28303" ht="12.75" x14ac:dyDescent="0.2"/>
    <row r="28304" ht="12.75" x14ac:dyDescent="0.2"/>
    <row r="28305" ht="12.75" x14ac:dyDescent="0.2"/>
    <row r="28306" ht="12.75" x14ac:dyDescent="0.2"/>
    <row r="28307" ht="12.75" x14ac:dyDescent="0.2"/>
    <row r="28308" ht="12.75" x14ac:dyDescent="0.2"/>
    <row r="28309" ht="12.75" x14ac:dyDescent="0.2"/>
    <row r="28310" ht="12.75" x14ac:dyDescent="0.2"/>
    <row r="28311" ht="12.75" x14ac:dyDescent="0.2"/>
    <row r="28312" ht="12.75" x14ac:dyDescent="0.2"/>
    <row r="28313" ht="12.75" x14ac:dyDescent="0.2"/>
    <row r="28314" ht="12.75" x14ac:dyDescent="0.2"/>
    <row r="28315" ht="12.75" x14ac:dyDescent="0.2"/>
    <row r="28316" ht="12.75" x14ac:dyDescent="0.2"/>
    <row r="28317" ht="12.75" x14ac:dyDescent="0.2"/>
    <row r="28318" ht="12.75" x14ac:dyDescent="0.2"/>
    <row r="28319" ht="12.75" x14ac:dyDescent="0.2"/>
    <row r="28320" ht="12.75" x14ac:dyDescent="0.2"/>
    <row r="28321" ht="12.75" x14ac:dyDescent="0.2"/>
    <row r="28322" ht="12.75" x14ac:dyDescent="0.2"/>
    <row r="28323" ht="12.75" x14ac:dyDescent="0.2"/>
    <row r="28324" ht="12.75" x14ac:dyDescent="0.2"/>
    <row r="28325" ht="12.75" x14ac:dyDescent="0.2"/>
    <row r="28326" ht="12.75" x14ac:dyDescent="0.2"/>
    <row r="28327" ht="12.75" x14ac:dyDescent="0.2"/>
    <row r="28328" ht="12.75" x14ac:dyDescent="0.2"/>
    <row r="28329" ht="12.75" x14ac:dyDescent="0.2"/>
    <row r="28330" ht="12.75" x14ac:dyDescent="0.2"/>
    <row r="28331" ht="12.75" x14ac:dyDescent="0.2"/>
    <row r="28332" ht="12.75" x14ac:dyDescent="0.2"/>
    <row r="28333" ht="12.75" x14ac:dyDescent="0.2"/>
    <row r="28334" ht="12.75" x14ac:dyDescent="0.2"/>
    <row r="28335" ht="12.75" x14ac:dyDescent="0.2"/>
    <row r="28336" ht="12.75" x14ac:dyDescent="0.2"/>
    <row r="28337" ht="12.75" x14ac:dyDescent="0.2"/>
    <row r="28338" ht="12.75" x14ac:dyDescent="0.2"/>
    <row r="28339" ht="12.75" x14ac:dyDescent="0.2"/>
    <row r="28340" ht="12.75" x14ac:dyDescent="0.2"/>
    <row r="28341" ht="12.75" x14ac:dyDescent="0.2"/>
    <row r="28342" ht="12.75" x14ac:dyDescent="0.2"/>
    <row r="28343" ht="12.75" x14ac:dyDescent="0.2"/>
    <row r="28344" ht="12.75" x14ac:dyDescent="0.2"/>
    <row r="28345" ht="12.75" x14ac:dyDescent="0.2"/>
    <row r="28346" ht="12.75" x14ac:dyDescent="0.2"/>
    <row r="28347" ht="12.75" x14ac:dyDescent="0.2"/>
    <row r="28348" ht="12.75" x14ac:dyDescent="0.2"/>
    <row r="28349" ht="12.75" x14ac:dyDescent="0.2"/>
    <row r="28350" ht="12.75" x14ac:dyDescent="0.2"/>
    <row r="28351" ht="12.75" x14ac:dyDescent="0.2"/>
    <row r="28352" ht="12.75" x14ac:dyDescent="0.2"/>
    <row r="28353" ht="12.75" x14ac:dyDescent="0.2"/>
    <row r="28354" ht="12.75" x14ac:dyDescent="0.2"/>
    <row r="28355" ht="12.75" x14ac:dyDescent="0.2"/>
    <row r="28356" ht="12.75" x14ac:dyDescent="0.2"/>
    <row r="28357" ht="12.75" x14ac:dyDescent="0.2"/>
    <row r="28358" ht="12.75" x14ac:dyDescent="0.2"/>
    <row r="28359" ht="12.75" x14ac:dyDescent="0.2"/>
    <row r="28360" ht="12.75" x14ac:dyDescent="0.2"/>
    <row r="28361" ht="12.75" x14ac:dyDescent="0.2"/>
    <row r="28362" ht="12.75" x14ac:dyDescent="0.2"/>
    <row r="28363" ht="12.75" x14ac:dyDescent="0.2"/>
    <row r="28364" ht="12.75" x14ac:dyDescent="0.2"/>
    <row r="28365" ht="12.75" x14ac:dyDescent="0.2"/>
    <row r="28366" ht="12.75" x14ac:dyDescent="0.2"/>
    <row r="28367" ht="12.75" x14ac:dyDescent="0.2"/>
    <row r="28368" ht="12.75" x14ac:dyDescent="0.2"/>
    <row r="28369" ht="12.75" x14ac:dyDescent="0.2"/>
    <row r="28370" ht="12.75" x14ac:dyDescent="0.2"/>
    <row r="28371" ht="12.75" x14ac:dyDescent="0.2"/>
    <row r="28372" ht="12.75" x14ac:dyDescent="0.2"/>
    <row r="28373" ht="12.75" x14ac:dyDescent="0.2"/>
    <row r="28374" ht="12.75" x14ac:dyDescent="0.2"/>
    <row r="28375" ht="12.75" x14ac:dyDescent="0.2"/>
    <row r="28376" ht="12.75" x14ac:dyDescent="0.2"/>
    <row r="28377" ht="12.75" x14ac:dyDescent="0.2"/>
    <row r="28378" ht="12.75" x14ac:dyDescent="0.2"/>
    <row r="28379" ht="12.75" x14ac:dyDescent="0.2"/>
    <row r="28380" ht="12.75" x14ac:dyDescent="0.2"/>
    <row r="28381" ht="12.75" x14ac:dyDescent="0.2"/>
    <row r="28382" ht="12.75" x14ac:dyDescent="0.2"/>
    <row r="28383" ht="12.75" x14ac:dyDescent="0.2"/>
    <row r="28384" ht="12.75" x14ac:dyDescent="0.2"/>
    <row r="28385" ht="12.75" x14ac:dyDescent="0.2"/>
    <row r="28386" ht="12.75" x14ac:dyDescent="0.2"/>
    <row r="28387" ht="12.75" x14ac:dyDescent="0.2"/>
    <row r="28388" ht="12.75" x14ac:dyDescent="0.2"/>
    <row r="28389" ht="12.75" x14ac:dyDescent="0.2"/>
    <row r="28390" ht="12.75" x14ac:dyDescent="0.2"/>
    <row r="28391" ht="12.75" x14ac:dyDescent="0.2"/>
    <row r="28392" ht="12.75" x14ac:dyDescent="0.2"/>
    <row r="28393" ht="12.75" x14ac:dyDescent="0.2"/>
    <row r="28394" ht="12.75" x14ac:dyDescent="0.2"/>
    <row r="28395" ht="12.75" x14ac:dyDescent="0.2"/>
    <row r="28396" ht="12.75" x14ac:dyDescent="0.2"/>
    <row r="28397" ht="12.75" x14ac:dyDescent="0.2"/>
    <row r="28398" ht="12.75" x14ac:dyDescent="0.2"/>
    <row r="28399" ht="12.75" x14ac:dyDescent="0.2"/>
    <row r="28400" ht="12.75" x14ac:dyDescent="0.2"/>
    <row r="28401" ht="12.75" x14ac:dyDescent="0.2"/>
    <row r="28402" ht="12.75" x14ac:dyDescent="0.2"/>
    <row r="28403" ht="12.75" x14ac:dyDescent="0.2"/>
    <row r="28404" ht="12.75" x14ac:dyDescent="0.2"/>
    <row r="28405" ht="12.75" x14ac:dyDescent="0.2"/>
    <row r="28406" ht="12.75" x14ac:dyDescent="0.2"/>
    <row r="28407" ht="12.75" x14ac:dyDescent="0.2"/>
    <row r="28408" ht="12.75" x14ac:dyDescent="0.2"/>
    <row r="28409" ht="12.75" x14ac:dyDescent="0.2"/>
    <row r="28410" ht="12.75" x14ac:dyDescent="0.2"/>
    <row r="28411" ht="12.75" x14ac:dyDescent="0.2"/>
    <row r="28412" ht="12.75" x14ac:dyDescent="0.2"/>
    <row r="28413" ht="12.75" x14ac:dyDescent="0.2"/>
    <row r="28414" ht="12.75" x14ac:dyDescent="0.2"/>
    <row r="28415" ht="12.75" x14ac:dyDescent="0.2"/>
    <row r="28416" ht="12.75" x14ac:dyDescent="0.2"/>
    <row r="28417" ht="12.75" x14ac:dyDescent="0.2"/>
    <row r="28418" ht="12.75" x14ac:dyDescent="0.2"/>
    <row r="28419" ht="12.75" x14ac:dyDescent="0.2"/>
    <row r="28420" ht="12.75" x14ac:dyDescent="0.2"/>
    <row r="28421" ht="12.75" x14ac:dyDescent="0.2"/>
    <row r="28422" ht="12.75" x14ac:dyDescent="0.2"/>
    <row r="28423" ht="12.75" x14ac:dyDescent="0.2"/>
    <row r="28424" ht="12.75" x14ac:dyDescent="0.2"/>
    <row r="28425" ht="12.75" x14ac:dyDescent="0.2"/>
    <row r="28426" ht="12.75" x14ac:dyDescent="0.2"/>
    <row r="28427" ht="12.75" x14ac:dyDescent="0.2"/>
    <row r="28428" ht="12.75" x14ac:dyDescent="0.2"/>
    <row r="28429" ht="12.75" x14ac:dyDescent="0.2"/>
    <row r="28430" ht="12.75" x14ac:dyDescent="0.2"/>
    <row r="28431" ht="12.75" x14ac:dyDescent="0.2"/>
    <row r="28432" ht="12.75" x14ac:dyDescent="0.2"/>
    <row r="28433" ht="12.75" x14ac:dyDescent="0.2"/>
    <row r="28434" ht="12.75" x14ac:dyDescent="0.2"/>
    <row r="28435" ht="12.75" x14ac:dyDescent="0.2"/>
    <row r="28436" ht="12.75" x14ac:dyDescent="0.2"/>
    <row r="28437" ht="12.75" x14ac:dyDescent="0.2"/>
    <row r="28438" ht="12.75" x14ac:dyDescent="0.2"/>
    <row r="28439" ht="12.75" x14ac:dyDescent="0.2"/>
    <row r="28440" ht="12.75" x14ac:dyDescent="0.2"/>
    <row r="28441" ht="12.75" x14ac:dyDescent="0.2"/>
    <row r="28442" ht="12.75" x14ac:dyDescent="0.2"/>
    <row r="28443" ht="12.75" x14ac:dyDescent="0.2"/>
    <row r="28444" ht="12.75" x14ac:dyDescent="0.2"/>
    <row r="28445" ht="12.75" x14ac:dyDescent="0.2"/>
    <row r="28446" ht="12.75" x14ac:dyDescent="0.2"/>
    <row r="28447" ht="12.75" x14ac:dyDescent="0.2"/>
    <row r="28448" ht="12.75" x14ac:dyDescent="0.2"/>
    <row r="28449" ht="12.75" x14ac:dyDescent="0.2"/>
    <row r="28450" ht="12.75" x14ac:dyDescent="0.2"/>
    <row r="28451" ht="12.75" x14ac:dyDescent="0.2"/>
    <row r="28452" ht="12.75" x14ac:dyDescent="0.2"/>
    <row r="28453" ht="12.75" x14ac:dyDescent="0.2"/>
    <row r="28454" ht="12.75" x14ac:dyDescent="0.2"/>
    <row r="28455" ht="12.75" x14ac:dyDescent="0.2"/>
    <row r="28456" ht="12.75" x14ac:dyDescent="0.2"/>
    <row r="28457" ht="12.75" x14ac:dyDescent="0.2"/>
    <row r="28458" ht="12.75" x14ac:dyDescent="0.2"/>
    <row r="28459" ht="12.75" x14ac:dyDescent="0.2"/>
    <row r="28460" ht="12.75" x14ac:dyDescent="0.2"/>
    <row r="28461" ht="12.75" x14ac:dyDescent="0.2"/>
    <row r="28462" ht="12.75" x14ac:dyDescent="0.2"/>
    <row r="28463" ht="12.75" x14ac:dyDescent="0.2"/>
    <row r="28464" ht="12.75" x14ac:dyDescent="0.2"/>
    <row r="28465" ht="12.75" x14ac:dyDescent="0.2"/>
    <row r="28466" ht="12.75" x14ac:dyDescent="0.2"/>
    <row r="28467" ht="12.75" x14ac:dyDescent="0.2"/>
    <row r="28468" ht="12.75" x14ac:dyDescent="0.2"/>
    <row r="28469" ht="12.75" x14ac:dyDescent="0.2"/>
    <row r="28470" ht="12.75" x14ac:dyDescent="0.2"/>
    <row r="28471" ht="12.75" x14ac:dyDescent="0.2"/>
    <row r="28472" ht="12.75" x14ac:dyDescent="0.2"/>
    <row r="28473" ht="12.75" x14ac:dyDescent="0.2"/>
    <row r="28474" ht="12.75" x14ac:dyDescent="0.2"/>
    <row r="28475" ht="12.75" x14ac:dyDescent="0.2"/>
    <row r="28476" ht="12.75" x14ac:dyDescent="0.2"/>
    <row r="28477" ht="12.75" x14ac:dyDescent="0.2"/>
    <row r="28478" ht="12.75" x14ac:dyDescent="0.2"/>
    <row r="28479" ht="12.75" x14ac:dyDescent="0.2"/>
    <row r="28480" ht="12.75" x14ac:dyDescent="0.2"/>
    <row r="28481" ht="12.75" x14ac:dyDescent="0.2"/>
    <row r="28482" ht="12.75" x14ac:dyDescent="0.2"/>
    <row r="28483" ht="12.75" x14ac:dyDescent="0.2"/>
    <row r="28484" ht="12.75" x14ac:dyDescent="0.2"/>
    <row r="28485" ht="12.75" x14ac:dyDescent="0.2"/>
    <row r="28486" ht="12.75" x14ac:dyDescent="0.2"/>
    <row r="28487" ht="12.75" x14ac:dyDescent="0.2"/>
    <row r="28488" ht="12.75" x14ac:dyDescent="0.2"/>
    <row r="28489" ht="12.75" x14ac:dyDescent="0.2"/>
    <row r="28490" ht="12.75" x14ac:dyDescent="0.2"/>
    <row r="28491" ht="12.75" x14ac:dyDescent="0.2"/>
    <row r="28492" ht="12.75" x14ac:dyDescent="0.2"/>
    <row r="28493" ht="12.75" x14ac:dyDescent="0.2"/>
    <row r="28494" ht="12.75" x14ac:dyDescent="0.2"/>
    <row r="28495" ht="12.75" x14ac:dyDescent="0.2"/>
    <row r="28496" ht="12.75" x14ac:dyDescent="0.2"/>
    <row r="28497" ht="12.75" x14ac:dyDescent="0.2"/>
    <row r="28498" ht="12.75" x14ac:dyDescent="0.2"/>
    <row r="28499" ht="12.75" x14ac:dyDescent="0.2"/>
    <row r="28500" ht="12.75" x14ac:dyDescent="0.2"/>
    <row r="28501" ht="12.75" x14ac:dyDescent="0.2"/>
    <row r="28502" ht="12.75" x14ac:dyDescent="0.2"/>
    <row r="28503" ht="12.75" x14ac:dyDescent="0.2"/>
    <row r="28504" ht="12.75" x14ac:dyDescent="0.2"/>
    <row r="28505" ht="12.75" x14ac:dyDescent="0.2"/>
    <row r="28506" ht="12.75" x14ac:dyDescent="0.2"/>
    <row r="28507" ht="12.75" x14ac:dyDescent="0.2"/>
    <row r="28508" ht="12.75" x14ac:dyDescent="0.2"/>
    <row r="28509" ht="12.75" x14ac:dyDescent="0.2"/>
    <row r="28510" ht="12.75" x14ac:dyDescent="0.2"/>
    <row r="28511" ht="12.75" x14ac:dyDescent="0.2"/>
    <row r="28512" ht="12.75" x14ac:dyDescent="0.2"/>
    <row r="28513" ht="12.75" x14ac:dyDescent="0.2"/>
    <row r="28514" ht="12.75" x14ac:dyDescent="0.2"/>
    <row r="28515" ht="12.75" x14ac:dyDescent="0.2"/>
    <row r="28516" ht="12.75" x14ac:dyDescent="0.2"/>
    <row r="28517" ht="12.75" x14ac:dyDescent="0.2"/>
    <row r="28518" ht="12.75" x14ac:dyDescent="0.2"/>
    <row r="28519" ht="12.75" x14ac:dyDescent="0.2"/>
    <row r="28520" ht="12.75" x14ac:dyDescent="0.2"/>
    <row r="28521" ht="12.75" x14ac:dyDescent="0.2"/>
    <row r="28522" ht="12.75" x14ac:dyDescent="0.2"/>
    <row r="28523" ht="12.75" x14ac:dyDescent="0.2"/>
    <row r="28524" ht="12.75" x14ac:dyDescent="0.2"/>
    <row r="28525" ht="12.75" x14ac:dyDescent="0.2"/>
    <row r="28526" ht="12.75" x14ac:dyDescent="0.2"/>
    <row r="28527" ht="12.75" x14ac:dyDescent="0.2"/>
    <row r="28528" ht="12.75" x14ac:dyDescent="0.2"/>
    <row r="28529" ht="12.75" x14ac:dyDescent="0.2"/>
    <row r="28530" ht="12.75" x14ac:dyDescent="0.2"/>
    <row r="28531" ht="12.75" x14ac:dyDescent="0.2"/>
    <row r="28532" ht="12.75" x14ac:dyDescent="0.2"/>
    <row r="28533" ht="12.75" x14ac:dyDescent="0.2"/>
    <row r="28534" ht="12.75" x14ac:dyDescent="0.2"/>
    <row r="28535" ht="12.75" x14ac:dyDescent="0.2"/>
    <row r="28536" ht="12.75" x14ac:dyDescent="0.2"/>
    <row r="28537" ht="12.75" x14ac:dyDescent="0.2"/>
    <row r="28538" ht="12.75" x14ac:dyDescent="0.2"/>
    <row r="28539" ht="12.75" x14ac:dyDescent="0.2"/>
    <row r="28540" ht="12.75" x14ac:dyDescent="0.2"/>
    <row r="28541" ht="12.75" x14ac:dyDescent="0.2"/>
    <row r="28542" ht="12.75" x14ac:dyDescent="0.2"/>
    <row r="28543" ht="12.75" x14ac:dyDescent="0.2"/>
    <row r="28544" ht="12.75" x14ac:dyDescent="0.2"/>
    <row r="28545" ht="12.75" x14ac:dyDescent="0.2"/>
    <row r="28546" ht="12.75" x14ac:dyDescent="0.2"/>
    <row r="28547" ht="12.75" x14ac:dyDescent="0.2"/>
    <row r="28548" ht="12.75" x14ac:dyDescent="0.2"/>
    <row r="28549" ht="12.75" x14ac:dyDescent="0.2"/>
    <row r="28550" ht="12.75" x14ac:dyDescent="0.2"/>
    <row r="28551" ht="12.75" x14ac:dyDescent="0.2"/>
    <row r="28552" ht="12.75" x14ac:dyDescent="0.2"/>
    <row r="28553" ht="12.75" x14ac:dyDescent="0.2"/>
    <row r="28554" ht="12.75" x14ac:dyDescent="0.2"/>
    <row r="28555" ht="12.75" x14ac:dyDescent="0.2"/>
    <row r="28556" ht="12.75" x14ac:dyDescent="0.2"/>
    <row r="28557" ht="12.75" x14ac:dyDescent="0.2"/>
    <row r="28558" ht="12.75" x14ac:dyDescent="0.2"/>
    <row r="28559" ht="12.75" x14ac:dyDescent="0.2"/>
    <row r="28560" ht="12.75" x14ac:dyDescent="0.2"/>
    <row r="28561" ht="12.75" x14ac:dyDescent="0.2"/>
    <row r="28562" ht="12.75" x14ac:dyDescent="0.2"/>
    <row r="28563" ht="12.75" x14ac:dyDescent="0.2"/>
    <row r="28564" ht="12.75" x14ac:dyDescent="0.2"/>
    <row r="28565" ht="12.75" x14ac:dyDescent="0.2"/>
    <row r="28566" ht="12.75" x14ac:dyDescent="0.2"/>
    <row r="28567" ht="12.75" x14ac:dyDescent="0.2"/>
    <row r="28568" ht="12.75" x14ac:dyDescent="0.2"/>
    <row r="28569" ht="12.75" x14ac:dyDescent="0.2"/>
    <row r="28570" ht="12.75" x14ac:dyDescent="0.2"/>
    <row r="28571" ht="12.75" x14ac:dyDescent="0.2"/>
    <row r="28572" ht="12.75" x14ac:dyDescent="0.2"/>
    <row r="28573" ht="12.75" x14ac:dyDescent="0.2"/>
    <row r="28574" ht="12.75" x14ac:dyDescent="0.2"/>
    <row r="28575" ht="12.75" x14ac:dyDescent="0.2"/>
    <row r="28576" ht="12.75" x14ac:dyDescent="0.2"/>
    <row r="28577" ht="12.75" x14ac:dyDescent="0.2"/>
    <row r="28578" ht="12.75" x14ac:dyDescent="0.2"/>
    <row r="28579" ht="12.75" x14ac:dyDescent="0.2"/>
    <row r="28580" ht="12.75" x14ac:dyDescent="0.2"/>
    <row r="28581" ht="12.75" x14ac:dyDescent="0.2"/>
    <row r="28582" ht="12.75" x14ac:dyDescent="0.2"/>
    <row r="28583" ht="12.75" x14ac:dyDescent="0.2"/>
    <row r="28584" ht="12.75" x14ac:dyDescent="0.2"/>
    <row r="28585" ht="12.75" x14ac:dyDescent="0.2"/>
    <row r="28586" ht="12.75" x14ac:dyDescent="0.2"/>
    <row r="28587" ht="12.75" x14ac:dyDescent="0.2"/>
    <row r="28588" ht="12.75" x14ac:dyDescent="0.2"/>
    <row r="28589" ht="12.75" x14ac:dyDescent="0.2"/>
    <row r="28590" ht="12.75" x14ac:dyDescent="0.2"/>
    <row r="28591" ht="12.75" x14ac:dyDescent="0.2"/>
    <row r="28592" ht="12.75" x14ac:dyDescent="0.2"/>
    <row r="28593" ht="12.75" x14ac:dyDescent="0.2"/>
    <row r="28594" ht="12.75" x14ac:dyDescent="0.2"/>
    <row r="28595" ht="12.75" x14ac:dyDescent="0.2"/>
    <row r="28596" ht="12.75" x14ac:dyDescent="0.2"/>
    <row r="28597" ht="12.75" x14ac:dyDescent="0.2"/>
    <row r="28598" ht="12.75" x14ac:dyDescent="0.2"/>
    <row r="28599" ht="12.75" x14ac:dyDescent="0.2"/>
    <row r="28600" ht="12.75" x14ac:dyDescent="0.2"/>
    <row r="28601" ht="12.75" x14ac:dyDescent="0.2"/>
    <row r="28602" ht="12.75" x14ac:dyDescent="0.2"/>
    <row r="28603" ht="12.75" x14ac:dyDescent="0.2"/>
    <row r="28604" ht="12.75" x14ac:dyDescent="0.2"/>
    <row r="28605" ht="12.75" x14ac:dyDescent="0.2"/>
    <row r="28606" ht="12.75" x14ac:dyDescent="0.2"/>
    <row r="28607" ht="12.75" x14ac:dyDescent="0.2"/>
    <row r="28608" ht="12.75" x14ac:dyDescent="0.2"/>
    <row r="28609" ht="12.75" x14ac:dyDescent="0.2"/>
    <row r="28610" ht="12.75" x14ac:dyDescent="0.2"/>
    <row r="28611" ht="12.75" x14ac:dyDescent="0.2"/>
    <row r="28612" ht="12.75" x14ac:dyDescent="0.2"/>
    <row r="28613" ht="12.75" x14ac:dyDescent="0.2"/>
    <row r="28614" ht="12.75" x14ac:dyDescent="0.2"/>
    <row r="28615" ht="12.75" x14ac:dyDescent="0.2"/>
    <row r="28616" ht="12.75" x14ac:dyDescent="0.2"/>
    <row r="28617" ht="12.75" x14ac:dyDescent="0.2"/>
    <row r="28618" ht="12.75" x14ac:dyDescent="0.2"/>
    <row r="28619" ht="12.75" x14ac:dyDescent="0.2"/>
    <row r="28620" ht="12.75" x14ac:dyDescent="0.2"/>
    <row r="28621" ht="12.75" x14ac:dyDescent="0.2"/>
    <row r="28622" ht="12.75" x14ac:dyDescent="0.2"/>
    <row r="28623" ht="12.75" x14ac:dyDescent="0.2"/>
    <row r="28624" ht="12.75" x14ac:dyDescent="0.2"/>
    <row r="28625" ht="12.75" x14ac:dyDescent="0.2"/>
    <row r="28626" ht="12.75" x14ac:dyDescent="0.2"/>
    <row r="28627" ht="12.75" x14ac:dyDescent="0.2"/>
    <row r="28628" ht="12.75" x14ac:dyDescent="0.2"/>
    <row r="28629" ht="12.75" x14ac:dyDescent="0.2"/>
    <row r="28630" ht="12.75" x14ac:dyDescent="0.2"/>
    <row r="28631" ht="12.75" x14ac:dyDescent="0.2"/>
    <row r="28632" ht="12.75" x14ac:dyDescent="0.2"/>
    <row r="28633" ht="12.75" x14ac:dyDescent="0.2"/>
    <row r="28634" ht="12.75" x14ac:dyDescent="0.2"/>
    <row r="28635" ht="12.75" x14ac:dyDescent="0.2"/>
    <row r="28636" ht="12.75" x14ac:dyDescent="0.2"/>
    <row r="28637" ht="12.75" x14ac:dyDescent="0.2"/>
    <row r="28638" ht="12.75" x14ac:dyDescent="0.2"/>
    <row r="28639" ht="12.75" x14ac:dyDescent="0.2"/>
    <row r="28640" ht="12.75" x14ac:dyDescent="0.2"/>
    <row r="28641" ht="12.75" x14ac:dyDescent="0.2"/>
    <row r="28642" ht="12.75" x14ac:dyDescent="0.2"/>
    <row r="28643" ht="12.75" x14ac:dyDescent="0.2"/>
    <row r="28644" ht="12.75" x14ac:dyDescent="0.2"/>
    <row r="28645" ht="12.75" x14ac:dyDescent="0.2"/>
    <row r="28646" ht="12.75" x14ac:dyDescent="0.2"/>
    <row r="28647" ht="12.75" x14ac:dyDescent="0.2"/>
    <row r="28648" ht="12.75" x14ac:dyDescent="0.2"/>
    <row r="28649" ht="12.75" x14ac:dyDescent="0.2"/>
    <row r="28650" ht="12.75" x14ac:dyDescent="0.2"/>
    <row r="28651" ht="12.75" x14ac:dyDescent="0.2"/>
    <row r="28652" ht="12.75" x14ac:dyDescent="0.2"/>
    <row r="28653" ht="12.75" x14ac:dyDescent="0.2"/>
    <row r="28654" ht="12.75" x14ac:dyDescent="0.2"/>
    <row r="28655" ht="12.75" x14ac:dyDescent="0.2"/>
    <row r="28656" ht="12.75" x14ac:dyDescent="0.2"/>
    <row r="28657" ht="12.75" x14ac:dyDescent="0.2"/>
    <row r="28658" ht="12.75" x14ac:dyDescent="0.2"/>
    <row r="28659" ht="12.75" x14ac:dyDescent="0.2"/>
    <row r="28660" ht="12.75" x14ac:dyDescent="0.2"/>
    <row r="28661" ht="12.75" x14ac:dyDescent="0.2"/>
    <row r="28662" ht="12.75" x14ac:dyDescent="0.2"/>
    <row r="28663" ht="12.75" x14ac:dyDescent="0.2"/>
    <row r="28664" ht="12.75" x14ac:dyDescent="0.2"/>
    <row r="28665" ht="12.75" x14ac:dyDescent="0.2"/>
    <row r="28666" ht="12.75" x14ac:dyDescent="0.2"/>
    <row r="28667" ht="12.75" x14ac:dyDescent="0.2"/>
    <row r="28668" ht="12.75" x14ac:dyDescent="0.2"/>
    <row r="28669" ht="12.75" x14ac:dyDescent="0.2"/>
    <row r="28670" ht="12.75" x14ac:dyDescent="0.2"/>
    <row r="28671" ht="12.75" x14ac:dyDescent="0.2"/>
    <row r="28672" ht="12.75" x14ac:dyDescent="0.2"/>
    <row r="28673" ht="12.75" x14ac:dyDescent="0.2"/>
    <row r="28674" ht="12.75" x14ac:dyDescent="0.2"/>
    <row r="28675" ht="12.75" x14ac:dyDescent="0.2"/>
    <row r="28676" ht="12.75" x14ac:dyDescent="0.2"/>
    <row r="28677" ht="12.75" x14ac:dyDescent="0.2"/>
    <row r="28678" ht="12.75" x14ac:dyDescent="0.2"/>
    <row r="28679" ht="12.75" x14ac:dyDescent="0.2"/>
    <row r="28680" ht="12.75" x14ac:dyDescent="0.2"/>
    <row r="28681" ht="12.75" x14ac:dyDescent="0.2"/>
    <row r="28682" ht="12.75" x14ac:dyDescent="0.2"/>
    <row r="28683" ht="12.75" x14ac:dyDescent="0.2"/>
    <row r="28684" ht="12.75" x14ac:dyDescent="0.2"/>
    <row r="28685" ht="12.75" x14ac:dyDescent="0.2"/>
    <row r="28686" ht="12.75" x14ac:dyDescent="0.2"/>
    <row r="28687" ht="12.75" x14ac:dyDescent="0.2"/>
    <row r="28688" ht="12.75" x14ac:dyDescent="0.2"/>
    <row r="28689" ht="12.75" x14ac:dyDescent="0.2"/>
    <row r="28690" ht="12.75" x14ac:dyDescent="0.2"/>
    <row r="28691" ht="12.75" x14ac:dyDescent="0.2"/>
    <row r="28692" ht="12.75" x14ac:dyDescent="0.2"/>
    <row r="28693" ht="12.75" x14ac:dyDescent="0.2"/>
    <row r="28694" ht="12.75" x14ac:dyDescent="0.2"/>
    <row r="28695" ht="12.75" x14ac:dyDescent="0.2"/>
    <row r="28696" ht="12.75" x14ac:dyDescent="0.2"/>
    <row r="28697" ht="12.75" x14ac:dyDescent="0.2"/>
    <row r="28698" ht="12.75" x14ac:dyDescent="0.2"/>
    <row r="28699" ht="12.75" x14ac:dyDescent="0.2"/>
    <row r="28700" ht="12.75" x14ac:dyDescent="0.2"/>
    <row r="28701" ht="12.75" x14ac:dyDescent="0.2"/>
    <row r="28702" ht="12.75" x14ac:dyDescent="0.2"/>
    <row r="28703" ht="12.75" x14ac:dyDescent="0.2"/>
    <row r="28704" ht="12.75" x14ac:dyDescent="0.2"/>
    <row r="28705" ht="12.75" x14ac:dyDescent="0.2"/>
    <row r="28706" ht="12.75" x14ac:dyDescent="0.2"/>
    <row r="28707" ht="12.75" x14ac:dyDescent="0.2"/>
    <row r="28708" ht="12.75" x14ac:dyDescent="0.2"/>
    <row r="28709" ht="12.75" x14ac:dyDescent="0.2"/>
    <row r="28710" ht="12.75" x14ac:dyDescent="0.2"/>
    <row r="28711" ht="12.75" x14ac:dyDescent="0.2"/>
    <row r="28712" ht="12.75" x14ac:dyDescent="0.2"/>
    <row r="28713" ht="12.75" x14ac:dyDescent="0.2"/>
    <row r="28714" ht="12.75" x14ac:dyDescent="0.2"/>
    <row r="28715" ht="12.75" x14ac:dyDescent="0.2"/>
    <row r="28716" ht="12.75" x14ac:dyDescent="0.2"/>
    <row r="28717" ht="12.75" x14ac:dyDescent="0.2"/>
    <row r="28718" ht="12.75" x14ac:dyDescent="0.2"/>
    <row r="28719" ht="12.75" x14ac:dyDescent="0.2"/>
    <row r="28720" ht="12.75" x14ac:dyDescent="0.2"/>
    <row r="28721" ht="12.75" x14ac:dyDescent="0.2"/>
    <row r="28722" ht="12.75" x14ac:dyDescent="0.2"/>
    <row r="28723" ht="12.75" x14ac:dyDescent="0.2"/>
    <row r="28724" ht="12.75" x14ac:dyDescent="0.2"/>
    <row r="28725" ht="12.75" x14ac:dyDescent="0.2"/>
    <row r="28726" ht="12.75" x14ac:dyDescent="0.2"/>
    <row r="28727" ht="12.75" x14ac:dyDescent="0.2"/>
    <row r="28728" ht="12.75" x14ac:dyDescent="0.2"/>
    <row r="28729" ht="12.75" x14ac:dyDescent="0.2"/>
    <row r="28730" ht="12.75" x14ac:dyDescent="0.2"/>
    <row r="28731" ht="12.75" x14ac:dyDescent="0.2"/>
    <row r="28732" ht="12.75" x14ac:dyDescent="0.2"/>
    <row r="28733" ht="12.75" x14ac:dyDescent="0.2"/>
    <row r="28734" ht="12.75" x14ac:dyDescent="0.2"/>
    <row r="28735" ht="12.75" x14ac:dyDescent="0.2"/>
    <row r="28736" ht="12.75" x14ac:dyDescent="0.2"/>
    <row r="28737" ht="12.75" x14ac:dyDescent="0.2"/>
    <row r="28738" ht="12.75" x14ac:dyDescent="0.2"/>
    <row r="28739" ht="12.75" x14ac:dyDescent="0.2"/>
    <row r="28740" ht="12.75" x14ac:dyDescent="0.2"/>
    <row r="28741" ht="12.75" x14ac:dyDescent="0.2"/>
    <row r="28742" ht="12.75" x14ac:dyDescent="0.2"/>
    <row r="28743" ht="12.75" x14ac:dyDescent="0.2"/>
    <row r="28744" ht="12.75" x14ac:dyDescent="0.2"/>
    <row r="28745" ht="12.75" x14ac:dyDescent="0.2"/>
    <row r="28746" ht="12.75" x14ac:dyDescent="0.2"/>
    <row r="28747" ht="12.75" x14ac:dyDescent="0.2"/>
    <row r="28748" ht="12.75" x14ac:dyDescent="0.2"/>
    <row r="28749" ht="12.75" x14ac:dyDescent="0.2"/>
    <row r="28750" ht="12.75" x14ac:dyDescent="0.2"/>
    <row r="28751" ht="12.75" x14ac:dyDescent="0.2"/>
    <row r="28752" ht="12.75" x14ac:dyDescent="0.2"/>
    <row r="28753" ht="12.75" x14ac:dyDescent="0.2"/>
    <row r="28754" ht="12.75" x14ac:dyDescent="0.2"/>
    <row r="28755" ht="12.75" x14ac:dyDescent="0.2"/>
    <row r="28756" ht="12.75" x14ac:dyDescent="0.2"/>
    <row r="28757" ht="12.75" x14ac:dyDescent="0.2"/>
    <row r="28758" ht="12.75" x14ac:dyDescent="0.2"/>
    <row r="28759" ht="12.75" x14ac:dyDescent="0.2"/>
    <row r="28760" ht="12.75" x14ac:dyDescent="0.2"/>
    <row r="28761" ht="12.75" x14ac:dyDescent="0.2"/>
    <row r="28762" ht="12.75" x14ac:dyDescent="0.2"/>
    <row r="28763" ht="12.75" x14ac:dyDescent="0.2"/>
    <row r="28764" ht="12.75" x14ac:dyDescent="0.2"/>
    <row r="28765" ht="12.75" x14ac:dyDescent="0.2"/>
    <row r="28766" ht="12.75" x14ac:dyDescent="0.2"/>
    <row r="28767" ht="12.75" x14ac:dyDescent="0.2"/>
    <row r="28768" ht="12.75" x14ac:dyDescent="0.2"/>
    <row r="28769" ht="12.75" x14ac:dyDescent="0.2"/>
    <row r="28770" ht="12.75" x14ac:dyDescent="0.2"/>
    <row r="28771" ht="12.75" x14ac:dyDescent="0.2"/>
    <row r="28772" ht="12.75" x14ac:dyDescent="0.2"/>
    <row r="28773" ht="12.75" x14ac:dyDescent="0.2"/>
    <row r="28774" ht="12.75" x14ac:dyDescent="0.2"/>
    <row r="28775" ht="12.75" x14ac:dyDescent="0.2"/>
    <row r="28776" ht="12.75" x14ac:dyDescent="0.2"/>
    <row r="28777" ht="12.75" x14ac:dyDescent="0.2"/>
    <row r="28778" ht="12.75" x14ac:dyDescent="0.2"/>
    <row r="28779" ht="12.75" x14ac:dyDescent="0.2"/>
    <row r="28780" ht="12.75" x14ac:dyDescent="0.2"/>
    <row r="28781" ht="12.75" x14ac:dyDescent="0.2"/>
    <row r="28782" ht="12.75" x14ac:dyDescent="0.2"/>
    <row r="28783" ht="12.75" x14ac:dyDescent="0.2"/>
    <row r="28784" ht="12.75" x14ac:dyDescent="0.2"/>
    <row r="28785" ht="12.75" x14ac:dyDescent="0.2"/>
    <row r="28786" ht="12.75" x14ac:dyDescent="0.2"/>
    <row r="28787" ht="12.75" x14ac:dyDescent="0.2"/>
    <row r="28788" ht="12.75" x14ac:dyDescent="0.2"/>
    <row r="28789" ht="12.75" x14ac:dyDescent="0.2"/>
    <row r="28790" ht="12.75" x14ac:dyDescent="0.2"/>
    <row r="28791" ht="12.75" x14ac:dyDescent="0.2"/>
    <row r="28792" ht="12.75" x14ac:dyDescent="0.2"/>
    <row r="28793" ht="12.75" x14ac:dyDescent="0.2"/>
    <row r="28794" ht="12.75" x14ac:dyDescent="0.2"/>
    <row r="28795" ht="12.75" x14ac:dyDescent="0.2"/>
    <row r="28796" ht="12.75" x14ac:dyDescent="0.2"/>
    <row r="28797" ht="12.75" x14ac:dyDescent="0.2"/>
    <row r="28798" ht="12.75" x14ac:dyDescent="0.2"/>
    <row r="28799" ht="12.75" x14ac:dyDescent="0.2"/>
    <row r="28800" ht="12.75" x14ac:dyDescent="0.2"/>
    <row r="28801" ht="12.75" x14ac:dyDescent="0.2"/>
    <row r="28802" ht="12.75" x14ac:dyDescent="0.2"/>
    <row r="28803" ht="12.75" x14ac:dyDescent="0.2"/>
    <row r="28804" ht="12.75" x14ac:dyDescent="0.2"/>
    <row r="28805" ht="12.75" x14ac:dyDescent="0.2"/>
    <row r="28806" ht="12.75" x14ac:dyDescent="0.2"/>
    <row r="28807" ht="12.75" x14ac:dyDescent="0.2"/>
    <row r="28808" ht="12.75" x14ac:dyDescent="0.2"/>
    <row r="28809" ht="12.75" x14ac:dyDescent="0.2"/>
    <row r="28810" ht="12.75" x14ac:dyDescent="0.2"/>
    <row r="28811" ht="12.75" x14ac:dyDescent="0.2"/>
    <row r="28812" ht="12.75" x14ac:dyDescent="0.2"/>
    <row r="28813" ht="12.75" x14ac:dyDescent="0.2"/>
    <row r="28814" ht="12.75" x14ac:dyDescent="0.2"/>
    <row r="28815" ht="12.75" x14ac:dyDescent="0.2"/>
    <row r="28816" ht="12.75" x14ac:dyDescent="0.2"/>
    <row r="28817" ht="12.75" x14ac:dyDescent="0.2"/>
    <row r="28818" ht="12.75" x14ac:dyDescent="0.2"/>
    <row r="28819" ht="12.75" x14ac:dyDescent="0.2"/>
    <row r="28820" ht="12.75" x14ac:dyDescent="0.2"/>
    <row r="28821" ht="12.75" x14ac:dyDescent="0.2"/>
    <row r="28822" ht="12.75" x14ac:dyDescent="0.2"/>
    <row r="28823" ht="12.75" x14ac:dyDescent="0.2"/>
    <row r="28824" ht="12.75" x14ac:dyDescent="0.2"/>
    <row r="28825" ht="12.75" x14ac:dyDescent="0.2"/>
    <row r="28826" ht="12.75" x14ac:dyDescent="0.2"/>
    <row r="28827" ht="12.75" x14ac:dyDescent="0.2"/>
    <row r="28828" ht="12.75" x14ac:dyDescent="0.2"/>
    <row r="28829" ht="12.75" x14ac:dyDescent="0.2"/>
    <row r="28830" ht="12.75" x14ac:dyDescent="0.2"/>
    <row r="28831" ht="12.75" x14ac:dyDescent="0.2"/>
    <row r="28832" ht="12.75" x14ac:dyDescent="0.2"/>
    <row r="28833" ht="12.75" x14ac:dyDescent="0.2"/>
    <row r="28834" ht="12.75" x14ac:dyDescent="0.2"/>
    <row r="28835" ht="12.75" x14ac:dyDescent="0.2"/>
    <row r="28836" ht="12.75" x14ac:dyDescent="0.2"/>
    <row r="28837" ht="12.75" x14ac:dyDescent="0.2"/>
    <row r="28838" ht="12.75" x14ac:dyDescent="0.2"/>
    <row r="28839" ht="12.75" x14ac:dyDescent="0.2"/>
    <row r="28840" ht="12.75" x14ac:dyDescent="0.2"/>
    <row r="28841" ht="12.75" x14ac:dyDescent="0.2"/>
    <row r="28842" ht="12.75" x14ac:dyDescent="0.2"/>
    <row r="28843" ht="12.75" x14ac:dyDescent="0.2"/>
    <row r="28844" ht="12.75" x14ac:dyDescent="0.2"/>
    <row r="28845" ht="12.75" x14ac:dyDescent="0.2"/>
    <row r="28846" ht="12.75" x14ac:dyDescent="0.2"/>
    <row r="28847" ht="12.75" x14ac:dyDescent="0.2"/>
    <row r="28848" ht="12.75" x14ac:dyDescent="0.2"/>
    <row r="28849" ht="12.75" x14ac:dyDescent="0.2"/>
    <row r="28850" ht="12.75" x14ac:dyDescent="0.2"/>
    <row r="28851" ht="12.75" x14ac:dyDescent="0.2"/>
    <row r="28852" ht="12.75" x14ac:dyDescent="0.2"/>
    <row r="28853" ht="12.75" x14ac:dyDescent="0.2"/>
    <row r="28854" ht="12.75" x14ac:dyDescent="0.2"/>
    <row r="28855" ht="12.75" x14ac:dyDescent="0.2"/>
    <row r="28856" ht="12.75" x14ac:dyDescent="0.2"/>
    <row r="28857" ht="12.75" x14ac:dyDescent="0.2"/>
    <row r="28858" ht="12.75" x14ac:dyDescent="0.2"/>
    <row r="28859" ht="12.75" x14ac:dyDescent="0.2"/>
    <row r="28860" ht="12.75" x14ac:dyDescent="0.2"/>
    <row r="28861" ht="12.75" x14ac:dyDescent="0.2"/>
    <row r="28862" ht="12.75" x14ac:dyDescent="0.2"/>
    <row r="28863" ht="12.75" x14ac:dyDescent="0.2"/>
    <row r="28864" ht="12.75" x14ac:dyDescent="0.2"/>
    <row r="28865" ht="12.75" x14ac:dyDescent="0.2"/>
    <row r="28866" ht="12.75" x14ac:dyDescent="0.2"/>
    <row r="28867" ht="12.75" x14ac:dyDescent="0.2"/>
    <row r="28868" ht="12.75" x14ac:dyDescent="0.2"/>
    <row r="28869" ht="12.75" x14ac:dyDescent="0.2"/>
    <row r="28870" ht="12.75" x14ac:dyDescent="0.2"/>
    <row r="28871" ht="12.75" x14ac:dyDescent="0.2"/>
    <row r="28872" ht="12.75" x14ac:dyDescent="0.2"/>
    <row r="28873" ht="12.75" x14ac:dyDescent="0.2"/>
    <row r="28874" ht="12.75" x14ac:dyDescent="0.2"/>
    <row r="28875" ht="12.75" x14ac:dyDescent="0.2"/>
    <row r="28876" ht="12.75" x14ac:dyDescent="0.2"/>
    <row r="28877" ht="12.75" x14ac:dyDescent="0.2"/>
    <row r="28878" ht="12.75" x14ac:dyDescent="0.2"/>
    <row r="28879" ht="12.75" x14ac:dyDescent="0.2"/>
    <row r="28880" ht="12.75" x14ac:dyDescent="0.2"/>
    <row r="28881" ht="12.75" x14ac:dyDescent="0.2"/>
    <row r="28882" ht="12.75" x14ac:dyDescent="0.2"/>
    <row r="28883" ht="12.75" x14ac:dyDescent="0.2"/>
    <row r="28884" ht="12.75" x14ac:dyDescent="0.2"/>
    <row r="28885" ht="12.75" x14ac:dyDescent="0.2"/>
    <row r="28886" ht="12.75" x14ac:dyDescent="0.2"/>
    <row r="28887" ht="12.75" x14ac:dyDescent="0.2"/>
    <row r="28888" ht="12.75" x14ac:dyDescent="0.2"/>
    <row r="28889" ht="12.75" x14ac:dyDescent="0.2"/>
    <row r="28890" ht="12.75" x14ac:dyDescent="0.2"/>
    <row r="28891" ht="12.75" x14ac:dyDescent="0.2"/>
    <row r="28892" ht="12.75" x14ac:dyDescent="0.2"/>
    <row r="28893" ht="12.75" x14ac:dyDescent="0.2"/>
    <row r="28894" ht="12.75" x14ac:dyDescent="0.2"/>
    <row r="28895" ht="12.75" x14ac:dyDescent="0.2"/>
    <row r="28896" ht="12.75" x14ac:dyDescent="0.2"/>
    <row r="28897" ht="12.75" x14ac:dyDescent="0.2"/>
    <row r="28898" ht="12.75" x14ac:dyDescent="0.2"/>
    <row r="28899" ht="12.75" x14ac:dyDescent="0.2"/>
    <row r="28900" ht="12.75" x14ac:dyDescent="0.2"/>
    <row r="28901" ht="12.75" x14ac:dyDescent="0.2"/>
    <row r="28902" ht="12.75" x14ac:dyDescent="0.2"/>
    <row r="28903" ht="12.75" x14ac:dyDescent="0.2"/>
    <row r="28904" ht="12.75" x14ac:dyDescent="0.2"/>
    <row r="28905" ht="12.75" x14ac:dyDescent="0.2"/>
    <row r="28906" ht="12.75" x14ac:dyDescent="0.2"/>
    <row r="28907" ht="12.75" x14ac:dyDescent="0.2"/>
    <row r="28908" ht="12.75" x14ac:dyDescent="0.2"/>
    <row r="28909" ht="12.75" x14ac:dyDescent="0.2"/>
    <row r="28910" ht="12.75" x14ac:dyDescent="0.2"/>
    <row r="28911" ht="12.75" x14ac:dyDescent="0.2"/>
    <row r="28912" ht="12.75" x14ac:dyDescent="0.2"/>
    <row r="28913" ht="12.75" x14ac:dyDescent="0.2"/>
    <row r="28914" ht="12.75" x14ac:dyDescent="0.2"/>
    <row r="28915" ht="12.75" x14ac:dyDescent="0.2"/>
    <row r="28916" ht="12.75" x14ac:dyDescent="0.2"/>
    <row r="28917" ht="12.75" x14ac:dyDescent="0.2"/>
    <row r="28918" ht="12.75" x14ac:dyDescent="0.2"/>
    <row r="28919" ht="12.75" x14ac:dyDescent="0.2"/>
    <row r="28920" ht="12.75" x14ac:dyDescent="0.2"/>
    <row r="28921" ht="12.75" x14ac:dyDescent="0.2"/>
    <row r="28922" ht="12.75" x14ac:dyDescent="0.2"/>
    <row r="28923" ht="12.75" x14ac:dyDescent="0.2"/>
    <row r="28924" ht="12.75" x14ac:dyDescent="0.2"/>
    <row r="28925" ht="12.75" x14ac:dyDescent="0.2"/>
    <row r="28926" ht="12.75" x14ac:dyDescent="0.2"/>
    <row r="28927" ht="12.75" x14ac:dyDescent="0.2"/>
    <row r="28928" ht="12.75" x14ac:dyDescent="0.2"/>
    <row r="28929" ht="12.75" x14ac:dyDescent="0.2"/>
    <row r="28930" ht="12.75" x14ac:dyDescent="0.2"/>
    <row r="28931" ht="12.75" x14ac:dyDescent="0.2"/>
    <row r="28932" ht="12.75" x14ac:dyDescent="0.2"/>
    <row r="28933" ht="12.75" x14ac:dyDescent="0.2"/>
    <row r="28934" ht="12.75" x14ac:dyDescent="0.2"/>
    <row r="28935" ht="12.75" x14ac:dyDescent="0.2"/>
    <row r="28936" ht="12.75" x14ac:dyDescent="0.2"/>
    <row r="28937" ht="12.75" x14ac:dyDescent="0.2"/>
    <row r="28938" ht="12.75" x14ac:dyDescent="0.2"/>
    <row r="28939" ht="12.75" x14ac:dyDescent="0.2"/>
    <row r="28940" ht="12.75" x14ac:dyDescent="0.2"/>
    <row r="28941" ht="12.75" x14ac:dyDescent="0.2"/>
    <row r="28942" ht="12.75" x14ac:dyDescent="0.2"/>
    <row r="28943" ht="12.75" x14ac:dyDescent="0.2"/>
    <row r="28944" ht="12.75" x14ac:dyDescent="0.2"/>
    <row r="28945" ht="12.75" x14ac:dyDescent="0.2"/>
    <row r="28946" ht="12.75" x14ac:dyDescent="0.2"/>
    <row r="28947" ht="12.75" x14ac:dyDescent="0.2"/>
    <row r="28948" ht="12.75" x14ac:dyDescent="0.2"/>
    <row r="28949" ht="12.75" x14ac:dyDescent="0.2"/>
    <row r="28950" ht="12.75" x14ac:dyDescent="0.2"/>
    <row r="28951" ht="12.75" x14ac:dyDescent="0.2"/>
    <row r="28952" ht="12.75" x14ac:dyDescent="0.2"/>
    <row r="28953" ht="12.75" x14ac:dyDescent="0.2"/>
    <row r="28954" ht="12.75" x14ac:dyDescent="0.2"/>
    <row r="28955" ht="12.75" x14ac:dyDescent="0.2"/>
    <row r="28956" ht="12.75" x14ac:dyDescent="0.2"/>
    <row r="28957" ht="12.75" x14ac:dyDescent="0.2"/>
    <row r="28958" ht="12.75" x14ac:dyDescent="0.2"/>
    <row r="28959" ht="12.75" x14ac:dyDescent="0.2"/>
    <row r="28960" ht="12.75" x14ac:dyDescent="0.2"/>
    <row r="28961" ht="12.75" x14ac:dyDescent="0.2"/>
    <row r="28962" ht="12.75" x14ac:dyDescent="0.2"/>
    <row r="28963" ht="12.75" x14ac:dyDescent="0.2"/>
    <row r="28964" ht="12.75" x14ac:dyDescent="0.2"/>
    <row r="28965" ht="12.75" x14ac:dyDescent="0.2"/>
    <row r="28966" ht="12.75" x14ac:dyDescent="0.2"/>
    <row r="28967" ht="12.75" x14ac:dyDescent="0.2"/>
    <row r="28968" ht="12.75" x14ac:dyDescent="0.2"/>
    <row r="28969" ht="12.75" x14ac:dyDescent="0.2"/>
    <row r="28970" ht="12.75" x14ac:dyDescent="0.2"/>
    <row r="28971" ht="12.75" x14ac:dyDescent="0.2"/>
    <row r="28972" ht="12.75" x14ac:dyDescent="0.2"/>
    <row r="28973" ht="12.75" x14ac:dyDescent="0.2"/>
    <row r="28974" ht="12.75" x14ac:dyDescent="0.2"/>
    <row r="28975" ht="12.75" x14ac:dyDescent="0.2"/>
    <row r="28976" ht="12.75" x14ac:dyDescent="0.2"/>
    <row r="28977" ht="12.75" x14ac:dyDescent="0.2"/>
    <row r="28978" ht="12.75" x14ac:dyDescent="0.2"/>
    <row r="28979" ht="12.75" x14ac:dyDescent="0.2"/>
    <row r="28980" ht="12.75" x14ac:dyDescent="0.2"/>
    <row r="28981" ht="12.75" x14ac:dyDescent="0.2"/>
    <row r="28982" ht="12.75" x14ac:dyDescent="0.2"/>
    <row r="28983" ht="12.75" x14ac:dyDescent="0.2"/>
    <row r="28984" ht="12.75" x14ac:dyDescent="0.2"/>
    <row r="28985" ht="12.75" x14ac:dyDescent="0.2"/>
    <row r="28986" ht="12.75" x14ac:dyDescent="0.2"/>
    <row r="28987" ht="12.75" x14ac:dyDescent="0.2"/>
    <row r="28988" ht="12.75" x14ac:dyDescent="0.2"/>
    <row r="28989" ht="12.75" x14ac:dyDescent="0.2"/>
    <row r="28990" ht="12.75" x14ac:dyDescent="0.2"/>
    <row r="28991" ht="12.75" x14ac:dyDescent="0.2"/>
    <row r="28992" ht="12.75" x14ac:dyDescent="0.2"/>
    <row r="28993" ht="12.75" x14ac:dyDescent="0.2"/>
    <row r="28994" ht="12.75" x14ac:dyDescent="0.2"/>
    <row r="28995" ht="12.75" x14ac:dyDescent="0.2"/>
    <row r="28996" ht="12.75" x14ac:dyDescent="0.2"/>
    <row r="28997" ht="12.75" x14ac:dyDescent="0.2"/>
    <row r="28998" ht="12.75" x14ac:dyDescent="0.2"/>
    <row r="28999" ht="12.75" x14ac:dyDescent="0.2"/>
    <row r="29000" ht="12.75" x14ac:dyDescent="0.2"/>
    <row r="29001" ht="12.75" x14ac:dyDescent="0.2"/>
    <row r="29002" ht="12.75" x14ac:dyDescent="0.2"/>
    <row r="29003" ht="12.75" x14ac:dyDescent="0.2"/>
    <row r="29004" ht="12.75" x14ac:dyDescent="0.2"/>
    <row r="29005" ht="12.75" x14ac:dyDescent="0.2"/>
    <row r="29006" ht="12.75" x14ac:dyDescent="0.2"/>
    <row r="29007" ht="12.75" x14ac:dyDescent="0.2"/>
    <row r="29008" ht="12.75" x14ac:dyDescent="0.2"/>
    <row r="29009" ht="12.75" x14ac:dyDescent="0.2"/>
    <row r="29010" ht="12.75" x14ac:dyDescent="0.2"/>
    <row r="29011" ht="12.75" x14ac:dyDescent="0.2"/>
    <row r="29012" ht="12.75" x14ac:dyDescent="0.2"/>
    <row r="29013" ht="12.75" x14ac:dyDescent="0.2"/>
    <row r="29014" ht="12.75" x14ac:dyDescent="0.2"/>
    <row r="29015" ht="12.75" x14ac:dyDescent="0.2"/>
    <row r="29016" ht="12.75" x14ac:dyDescent="0.2"/>
    <row r="29017" ht="12.75" x14ac:dyDescent="0.2"/>
    <row r="29018" ht="12.75" x14ac:dyDescent="0.2"/>
    <row r="29019" ht="12.75" x14ac:dyDescent="0.2"/>
    <row r="29020" ht="12.75" x14ac:dyDescent="0.2"/>
    <row r="29021" ht="12.75" x14ac:dyDescent="0.2"/>
    <row r="29022" ht="12.75" x14ac:dyDescent="0.2"/>
    <row r="29023" ht="12.75" x14ac:dyDescent="0.2"/>
    <row r="29024" ht="12.75" x14ac:dyDescent="0.2"/>
    <row r="29025" ht="12.75" x14ac:dyDescent="0.2"/>
    <row r="29026" ht="12.75" x14ac:dyDescent="0.2"/>
    <row r="29027" ht="12.75" x14ac:dyDescent="0.2"/>
    <row r="29028" ht="12.75" x14ac:dyDescent="0.2"/>
    <row r="29029" ht="12.75" x14ac:dyDescent="0.2"/>
    <row r="29030" ht="12.75" x14ac:dyDescent="0.2"/>
    <row r="29031" ht="12.75" x14ac:dyDescent="0.2"/>
    <row r="29032" ht="12.75" x14ac:dyDescent="0.2"/>
    <row r="29033" ht="12.75" x14ac:dyDescent="0.2"/>
    <row r="29034" ht="12.75" x14ac:dyDescent="0.2"/>
    <row r="29035" ht="12.75" x14ac:dyDescent="0.2"/>
    <row r="29036" ht="12.75" x14ac:dyDescent="0.2"/>
    <row r="29037" ht="12.75" x14ac:dyDescent="0.2"/>
    <row r="29038" ht="12.75" x14ac:dyDescent="0.2"/>
    <row r="29039" ht="12.75" x14ac:dyDescent="0.2"/>
    <row r="29040" ht="12.75" x14ac:dyDescent="0.2"/>
    <row r="29041" ht="12.75" x14ac:dyDescent="0.2"/>
    <row r="29042" ht="12.75" x14ac:dyDescent="0.2"/>
    <row r="29043" ht="12.75" x14ac:dyDescent="0.2"/>
    <row r="29044" ht="12.75" x14ac:dyDescent="0.2"/>
    <row r="29045" ht="12.75" x14ac:dyDescent="0.2"/>
    <row r="29046" ht="12.75" x14ac:dyDescent="0.2"/>
    <row r="29047" ht="12.75" x14ac:dyDescent="0.2"/>
    <row r="29048" ht="12.75" x14ac:dyDescent="0.2"/>
    <row r="29049" ht="12.75" x14ac:dyDescent="0.2"/>
    <row r="29050" ht="12.75" x14ac:dyDescent="0.2"/>
    <row r="29051" ht="12.75" x14ac:dyDescent="0.2"/>
    <row r="29052" ht="12.75" x14ac:dyDescent="0.2"/>
    <row r="29053" ht="12.75" x14ac:dyDescent="0.2"/>
    <row r="29054" ht="12.75" x14ac:dyDescent="0.2"/>
    <row r="29055" ht="12.75" x14ac:dyDescent="0.2"/>
    <row r="29056" ht="12.75" x14ac:dyDescent="0.2"/>
    <row r="29057" ht="12.75" x14ac:dyDescent="0.2"/>
    <row r="29058" ht="12.75" x14ac:dyDescent="0.2"/>
    <row r="29059" ht="12.75" x14ac:dyDescent="0.2"/>
    <row r="29060" ht="12.75" x14ac:dyDescent="0.2"/>
    <row r="29061" ht="12.75" x14ac:dyDescent="0.2"/>
    <row r="29062" ht="12.75" x14ac:dyDescent="0.2"/>
    <row r="29063" ht="12.75" x14ac:dyDescent="0.2"/>
    <row r="29064" ht="12.75" x14ac:dyDescent="0.2"/>
    <row r="29065" ht="12.75" x14ac:dyDescent="0.2"/>
    <row r="29066" ht="12.75" x14ac:dyDescent="0.2"/>
    <row r="29067" ht="12.75" x14ac:dyDescent="0.2"/>
    <row r="29068" ht="12.75" x14ac:dyDescent="0.2"/>
    <row r="29069" ht="12.75" x14ac:dyDescent="0.2"/>
    <row r="29070" ht="12.75" x14ac:dyDescent="0.2"/>
    <row r="29071" ht="12.75" x14ac:dyDescent="0.2"/>
    <row r="29072" ht="12.75" x14ac:dyDescent="0.2"/>
    <row r="29073" ht="12.75" x14ac:dyDescent="0.2"/>
    <row r="29074" ht="12.75" x14ac:dyDescent="0.2"/>
    <row r="29075" ht="12.75" x14ac:dyDescent="0.2"/>
    <row r="29076" ht="12.75" x14ac:dyDescent="0.2"/>
    <row r="29077" ht="12.75" x14ac:dyDescent="0.2"/>
    <row r="29078" ht="12.75" x14ac:dyDescent="0.2"/>
    <row r="29079" ht="12.75" x14ac:dyDescent="0.2"/>
    <row r="29080" ht="12.75" x14ac:dyDescent="0.2"/>
    <row r="29081" ht="12.75" x14ac:dyDescent="0.2"/>
    <row r="29082" ht="12.75" x14ac:dyDescent="0.2"/>
    <row r="29083" ht="12.75" x14ac:dyDescent="0.2"/>
    <row r="29084" ht="12.75" x14ac:dyDescent="0.2"/>
    <row r="29085" ht="12.75" x14ac:dyDescent="0.2"/>
    <row r="29086" ht="12.75" x14ac:dyDescent="0.2"/>
    <row r="29087" ht="12.75" x14ac:dyDescent="0.2"/>
    <row r="29088" ht="12.75" x14ac:dyDescent="0.2"/>
    <row r="29089" ht="12.75" x14ac:dyDescent="0.2"/>
    <row r="29090" ht="12.75" x14ac:dyDescent="0.2"/>
    <row r="29091" ht="12.75" x14ac:dyDescent="0.2"/>
    <row r="29092" ht="12.75" x14ac:dyDescent="0.2"/>
    <row r="29093" ht="12.75" x14ac:dyDescent="0.2"/>
    <row r="29094" ht="12.75" x14ac:dyDescent="0.2"/>
    <row r="29095" ht="12.75" x14ac:dyDescent="0.2"/>
    <row r="29096" ht="12.75" x14ac:dyDescent="0.2"/>
    <row r="29097" ht="12.75" x14ac:dyDescent="0.2"/>
    <row r="29098" ht="12.75" x14ac:dyDescent="0.2"/>
    <row r="29099" ht="12.75" x14ac:dyDescent="0.2"/>
    <row r="29100" ht="12.75" x14ac:dyDescent="0.2"/>
    <row r="29101" ht="12.75" x14ac:dyDescent="0.2"/>
    <row r="29102" ht="12.75" x14ac:dyDescent="0.2"/>
    <row r="29103" ht="12.75" x14ac:dyDescent="0.2"/>
    <row r="29104" ht="12.75" x14ac:dyDescent="0.2"/>
    <row r="29105" ht="12.75" x14ac:dyDescent="0.2"/>
    <row r="29106" ht="12.75" x14ac:dyDescent="0.2"/>
    <row r="29107" ht="12.75" x14ac:dyDescent="0.2"/>
    <row r="29108" ht="12.75" x14ac:dyDescent="0.2"/>
    <row r="29109" ht="12.75" x14ac:dyDescent="0.2"/>
    <row r="29110" ht="12.75" x14ac:dyDescent="0.2"/>
    <row r="29111" ht="12.75" x14ac:dyDescent="0.2"/>
    <row r="29112" ht="12.75" x14ac:dyDescent="0.2"/>
    <row r="29113" ht="12.75" x14ac:dyDescent="0.2"/>
    <row r="29114" ht="12.75" x14ac:dyDescent="0.2"/>
    <row r="29115" ht="12.75" x14ac:dyDescent="0.2"/>
    <row r="29116" ht="12.75" x14ac:dyDescent="0.2"/>
    <row r="29117" ht="12.75" x14ac:dyDescent="0.2"/>
    <row r="29118" ht="12.75" x14ac:dyDescent="0.2"/>
    <row r="29119" ht="12.75" x14ac:dyDescent="0.2"/>
    <row r="29120" ht="12.75" x14ac:dyDescent="0.2"/>
    <row r="29121" ht="12.75" x14ac:dyDescent="0.2"/>
    <row r="29122" ht="12.75" x14ac:dyDescent="0.2"/>
    <row r="29123" ht="12.75" x14ac:dyDescent="0.2"/>
    <row r="29124" ht="12.75" x14ac:dyDescent="0.2"/>
    <row r="29125" ht="12.75" x14ac:dyDescent="0.2"/>
    <row r="29126" ht="12.75" x14ac:dyDescent="0.2"/>
    <row r="29127" ht="12.75" x14ac:dyDescent="0.2"/>
    <row r="29128" ht="12.75" x14ac:dyDescent="0.2"/>
    <row r="29129" ht="12.75" x14ac:dyDescent="0.2"/>
    <row r="29130" ht="12.75" x14ac:dyDescent="0.2"/>
    <row r="29131" ht="12.75" x14ac:dyDescent="0.2"/>
    <row r="29132" ht="12.75" x14ac:dyDescent="0.2"/>
    <row r="29133" ht="12.75" x14ac:dyDescent="0.2"/>
    <row r="29134" ht="12.75" x14ac:dyDescent="0.2"/>
    <row r="29135" ht="12.75" x14ac:dyDescent="0.2"/>
    <row r="29136" ht="12.75" x14ac:dyDescent="0.2"/>
    <row r="29137" ht="12.75" x14ac:dyDescent="0.2"/>
    <row r="29138" ht="12.75" x14ac:dyDescent="0.2"/>
    <row r="29139" ht="12.75" x14ac:dyDescent="0.2"/>
    <row r="29140" ht="12.75" x14ac:dyDescent="0.2"/>
    <row r="29141" ht="12.75" x14ac:dyDescent="0.2"/>
    <row r="29142" ht="12.75" x14ac:dyDescent="0.2"/>
    <row r="29143" ht="12.75" x14ac:dyDescent="0.2"/>
    <row r="29144" ht="12.75" x14ac:dyDescent="0.2"/>
    <row r="29145" ht="12.75" x14ac:dyDescent="0.2"/>
    <row r="29146" ht="12.75" x14ac:dyDescent="0.2"/>
    <row r="29147" ht="12.75" x14ac:dyDescent="0.2"/>
    <row r="29148" ht="12.75" x14ac:dyDescent="0.2"/>
    <row r="29149" ht="12.75" x14ac:dyDescent="0.2"/>
    <row r="29150" ht="12.75" x14ac:dyDescent="0.2"/>
    <row r="29151" ht="12.75" x14ac:dyDescent="0.2"/>
    <row r="29152" ht="12.75" x14ac:dyDescent="0.2"/>
    <row r="29153" ht="12.75" x14ac:dyDescent="0.2"/>
    <row r="29154" ht="12.75" x14ac:dyDescent="0.2"/>
    <row r="29155" ht="12.75" x14ac:dyDescent="0.2"/>
    <row r="29156" ht="12.75" x14ac:dyDescent="0.2"/>
    <row r="29157" ht="12.75" x14ac:dyDescent="0.2"/>
    <row r="29158" ht="12.75" x14ac:dyDescent="0.2"/>
    <row r="29159" ht="12.75" x14ac:dyDescent="0.2"/>
    <row r="29160" ht="12.75" x14ac:dyDescent="0.2"/>
    <row r="29161" ht="12.75" x14ac:dyDescent="0.2"/>
    <row r="29162" ht="12.75" x14ac:dyDescent="0.2"/>
    <row r="29163" ht="12.75" x14ac:dyDescent="0.2"/>
    <row r="29164" ht="12.75" x14ac:dyDescent="0.2"/>
    <row r="29165" ht="12.75" x14ac:dyDescent="0.2"/>
    <row r="29166" ht="12.75" x14ac:dyDescent="0.2"/>
    <row r="29167" ht="12.75" x14ac:dyDescent="0.2"/>
    <row r="29168" ht="12.75" x14ac:dyDescent="0.2"/>
    <row r="29169" ht="12.75" x14ac:dyDescent="0.2"/>
    <row r="29170" ht="12.75" x14ac:dyDescent="0.2"/>
    <row r="29171" ht="12.75" x14ac:dyDescent="0.2"/>
    <row r="29172" ht="12.75" x14ac:dyDescent="0.2"/>
    <row r="29173" ht="12.75" x14ac:dyDescent="0.2"/>
    <row r="29174" ht="12.75" x14ac:dyDescent="0.2"/>
    <row r="29175" ht="12.75" x14ac:dyDescent="0.2"/>
    <row r="29176" ht="12.75" x14ac:dyDescent="0.2"/>
    <row r="29177" ht="12.75" x14ac:dyDescent="0.2"/>
    <row r="29178" ht="12.75" x14ac:dyDescent="0.2"/>
    <row r="29179" ht="12.75" x14ac:dyDescent="0.2"/>
    <row r="29180" ht="12.75" x14ac:dyDescent="0.2"/>
    <row r="29181" ht="12.75" x14ac:dyDescent="0.2"/>
    <row r="29182" ht="12.75" x14ac:dyDescent="0.2"/>
    <row r="29183" ht="12.75" x14ac:dyDescent="0.2"/>
    <row r="29184" ht="12.75" x14ac:dyDescent="0.2"/>
    <row r="29185" ht="12.75" x14ac:dyDescent="0.2"/>
    <row r="29186" ht="12.75" x14ac:dyDescent="0.2"/>
    <row r="29187" ht="12.75" x14ac:dyDescent="0.2"/>
    <row r="29188" ht="12.75" x14ac:dyDescent="0.2"/>
    <row r="29189" ht="12.75" x14ac:dyDescent="0.2"/>
    <row r="29190" ht="12.75" x14ac:dyDescent="0.2"/>
    <row r="29191" ht="12.75" x14ac:dyDescent="0.2"/>
    <row r="29192" ht="12.75" x14ac:dyDescent="0.2"/>
    <row r="29193" ht="12.75" x14ac:dyDescent="0.2"/>
    <row r="29194" ht="12.75" x14ac:dyDescent="0.2"/>
    <row r="29195" ht="12.75" x14ac:dyDescent="0.2"/>
    <row r="29196" ht="12.75" x14ac:dyDescent="0.2"/>
    <row r="29197" ht="12.75" x14ac:dyDescent="0.2"/>
    <row r="29198" ht="12.75" x14ac:dyDescent="0.2"/>
    <row r="29199" ht="12.75" x14ac:dyDescent="0.2"/>
    <row r="29200" ht="12.75" x14ac:dyDescent="0.2"/>
    <row r="29201" ht="12.75" x14ac:dyDescent="0.2"/>
    <row r="29202" ht="12.75" x14ac:dyDescent="0.2"/>
    <row r="29203" ht="12.75" x14ac:dyDescent="0.2"/>
    <row r="29204" ht="12.75" x14ac:dyDescent="0.2"/>
    <row r="29205" ht="12.75" x14ac:dyDescent="0.2"/>
    <row r="29206" ht="12.75" x14ac:dyDescent="0.2"/>
    <row r="29207" ht="12.75" x14ac:dyDescent="0.2"/>
    <row r="29208" ht="12.75" x14ac:dyDescent="0.2"/>
    <row r="29209" ht="12.75" x14ac:dyDescent="0.2"/>
    <row r="29210" ht="12.75" x14ac:dyDescent="0.2"/>
    <row r="29211" ht="12.75" x14ac:dyDescent="0.2"/>
    <row r="29212" ht="12.75" x14ac:dyDescent="0.2"/>
    <row r="29213" ht="12.75" x14ac:dyDescent="0.2"/>
    <row r="29214" ht="12.75" x14ac:dyDescent="0.2"/>
    <row r="29215" ht="12.75" x14ac:dyDescent="0.2"/>
    <row r="29216" ht="12.75" x14ac:dyDescent="0.2"/>
    <row r="29217" ht="12.75" x14ac:dyDescent="0.2"/>
    <row r="29218" ht="12.75" x14ac:dyDescent="0.2"/>
    <row r="29219" ht="12.75" x14ac:dyDescent="0.2"/>
    <row r="29220" ht="12.75" x14ac:dyDescent="0.2"/>
    <row r="29221" ht="12.75" x14ac:dyDescent="0.2"/>
    <row r="29222" ht="12.75" x14ac:dyDescent="0.2"/>
    <row r="29223" ht="12.75" x14ac:dyDescent="0.2"/>
    <row r="29224" ht="12.75" x14ac:dyDescent="0.2"/>
    <row r="29225" ht="12.75" x14ac:dyDescent="0.2"/>
    <row r="29226" ht="12.75" x14ac:dyDescent="0.2"/>
    <row r="29227" ht="12.75" x14ac:dyDescent="0.2"/>
    <row r="29228" ht="12.75" x14ac:dyDescent="0.2"/>
    <row r="29229" ht="12.75" x14ac:dyDescent="0.2"/>
    <row r="29230" ht="12.75" x14ac:dyDescent="0.2"/>
    <row r="29231" ht="12.75" x14ac:dyDescent="0.2"/>
    <row r="29232" ht="12.75" x14ac:dyDescent="0.2"/>
    <row r="29233" ht="12.75" x14ac:dyDescent="0.2"/>
    <row r="29234" ht="12.75" x14ac:dyDescent="0.2"/>
    <row r="29235" ht="12.75" x14ac:dyDescent="0.2"/>
    <row r="29236" ht="12.75" x14ac:dyDescent="0.2"/>
    <row r="29237" ht="12.75" x14ac:dyDescent="0.2"/>
    <row r="29238" ht="12.75" x14ac:dyDescent="0.2"/>
    <row r="29239" ht="12.75" x14ac:dyDescent="0.2"/>
    <row r="29240" ht="12.75" x14ac:dyDescent="0.2"/>
    <row r="29241" ht="12.75" x14ac:dyDescent="0.2"/>
    <row r="29242" ht="12.75" x14ac:dyDescent="0.2"/>
    <row r="29243" ht="12.75" x14ac:dyDescent="0.2"/>
    <row r="29244" ht="12.75" x14ac:dyDescent="0.2"/>
    <row r="29245" ht="12.75" x14ac:dyDescent="0.2"/>
    <row r="29246" ht="12.75" x14ac:dyDescent="0.2"/>
    <row r="29247" ht="12.75" x14ac:dyDescent="0.2"/>
    <row r="29248" ht="12.75" x14ac:dyDescent="0.2"/>
    <row r="29249" ht="12.75" x14ac:dyDescent="0.2"/>
    <row r="29250" ht="12.75" x14ac:dyDescent="0.2"/>
    <row r="29251" ht="12.75" x14ac:dyDescent="0.2"/>
    <row r="29252" ht="12.75" x14ac:dyDescent="0.2"/>
    <row r="29253" ht="12.75" x14ac:dyDescent="0.2"/>
    <row r="29254" ht="12.75" x14ac:dyDescent="0.2"/>
    <row r="29255" ht="12.75" x14ac:dyDescent="0.2"/>
    <row r="29256" ht="12.75" x14ac:dyDescent="0.2"/>
    <row r="29257" ht="12.75" x14ac:dyDescent="0.2"/>
    <row r="29258" ht="12.75" x14ac:dyDescent="0.2"/>
    <row r="29259" ht="12.75" x14ac:dyDescent="0.2"/>
    <row r="29260" ht="12.75" x14ac:dyDescent="0.2"/>
    <row r="29261" ht="12.75" x14ac:dyDescent="0.2"/>
    <row r="29262" ht="12.75" x14ac:dyDescent="0.2"/>
    <row r="29263" ht="12.75" x14ac:dyDescent="0.2"/>
    <row r="29264" ht="12.75" x14ac:dyDescent="0.2"/>
    <row r="29265" ht="12.75" x14ac:dyDescent="0.2"/>
    <row r="29266" ht="12.75" x14ac:dyDescent="0.2"/>
    <row r="29267" ht="12.75" x14ac:dyDescent="0.2"/>
    <row r="29268" ht="12.75" x14ac:dyDescent="0.2"/>
    <row r="29269" ht="12.75" x14ac:dyDescent="0.2"/>
    <row r="29270" ht="12.75" x14ac:dyDescent="0.2"/>
    <row r="29271" ht="12.75" x14ac:dyDescent="0.2"/>
    <row r="29272" ht="12.75" x14ac:dyDescent="0.2"/>
    <row r="29273" ht="12.75" x14ac:dyDescent="0.2"/>
    <row r="29274" ht="12.75" x14ac:dyDescent="0.2"/>
    <row r="29275" ht="12.75" x14ac:dyDescent="0.2"/>
    <row r="29276" ht="12.75" x14ac:dyDescent="0.2"/>
    <row r="29277" ht="12.75" x14ac:dyDescent="0.2"/>
    <row r="29278" ht="12.75" x14ac:dyDescent="0.2"/>
    <row r="29279" ht="12.75" x14ac:dyDescent="0.2"/>
    <row r="29280" ht="12.75" x14ac:dyDescent="0.2"/>
    <row r="29281" ht="12.75" x14ac:dyDescent="0.2"/>
    <row r="29282" ht="12.75" x14ac:dyDescent="0.2"/>
    <row r="29283" ht="12.75" x14ac:dyDescent="0.2"/>
    <row r="29284" ht="12.75" x14ac:dyDescent="0.2"/>
    <row r="29285" ht="12.75" x14ac:dyDescent="0.2"/>
    <row r="29286" ht="12.75" x14ac:dyDescent="0.2"/>
    <row r="29287" ht="12.75" x14ac:dyDescent="0.2"/>
    <row r="29288" ht="12.75" x14ac:dyDescent="0.2"/>
    <row r="29289" ht="12.75" x14ac:dyDescent="0.2"/>
    <row r="29290" ht="12.75" x14ac:dyDescent="0.2"/>
    <row r="29291" ht="12.75" x14ac:dyDescent="0.2"/>
    <row r="29292" ht="12.75" x14ac:dyDescent="0.2"/>
    <row r="29293" ht="12.75" x14ac:dyDescent="0.2"/>
    <row r="29294" ht="12.75" x14ac:dyDescent="0.2"/>
    <row r="29295" ht="12.75" x14ac:dyDescent="0.2"/>
    <row r="29296" ht="12.75" x14ac:dyDescent="0.2"/>
    <row r="29297" ht="12.75" x14ac:dyDescent="0.2"/>
    <row r="29298" ht="12.75" x14ac:dyDescent="0.2"/>
    <row r="29299" ht="12.75" x14ac:dyDescent="0.2"/>
    <row r="29300" ht="12.75" x14ac:dyDescent="0.2"/>
    <row r="29301" ht="12.75" x14ac:dyDescent="0.2"/>
    <row r="29302" ht="12.75" x14ac:dyDescent="0.2"/>
    <row r="29303" ht="12.75" x14ac:dyDescent="0.2"/>
    <row r="29304" ht="12.75" x14ac:dyDescent="0.2"/>
    <row r="29305" ht="12.75" x14ac:dyDescent="0.2"/>
    <row r="29306" ht="12.75" x14ac:dyDescent="0.2"/>
    <row r="29307" ht="12.75" x14ac:dyDescent="0.2"/>
    <row r="29308" ht="12.75" x14ac:dyDescent="0.2"/>
    <row r="29309" ht="12.75" x14ac:dyDescent="0.2"/>
    <row r="29310" ht="12.75" x14ac:dyDescent="0.2"/>
    <row r="29311" ht="12.75" x14ac:dyDescent="0.2"/>
    <row r="29312" ht="12.75" x14ac:dyDescent="0.2"/>
    <row r="29313" ht="12.75" x14ac:dyDescent="0.2"/>
    <row r="29314" ht="12.75" x14ac:dyDescent="0.2"/>
    <row r="29315" ht="12.75" x14ac:dyDescent="0.2"/>
    <row r="29316" ht="12.75" x14ac:dyDescent="0.2"/>
    <row r="29317" ht="12.75" x14ac:dyDescent="0.2"/>
    <row r="29318" ht="12.75" x14ac:dyDescent="0.2"/>
    <row r="29319" ht="12.75" x14ac:dyDescent="0.2"/>
    <row r="29320" ht="12.75" x14ac:dyDescent="0.2"/>
    <row r="29321" ht="12.75" x14ac:dyDescent="0.2"/>
    <row r="29322" ht="12.75" x14ac:dyDescent="0.2"/>
    <row r="29323" ht="12.75" x14ac:dyDescent="0.2"/>
    <row r="29324" ht="12.75" x14ac:dyDescent="0.2"/>
    <row r="29325" ht="12.75" x14ac:dyDescent="0.2"/>
    <row r="29326" ht="12.75" x14ac:dyDescent="0.2"/>
    <row r="29327" ht="12.75" x14ac:dyDescent="0.2"/>
    <row r="29328" ht="12.75" x14ac:dyDescent="0.2"/>
    <row r="29329" ht="12.75" x14ac:dyDescent="0.2"/>
    <row r="29330" ht="12.75" x14ac:dyDescent="0.2"/>
    <row r="29331" ht="12.75" x14ac:dyDescent="0.2"/>
    <row r="29332" ht="12.75" x14ac:dyDescent="0.2"/>
    <row r="29333" ht="12.75" x14ac:dyDescent="0.2"/>
    <row r="29334" ht="12.75" x14ac:dyDescent="0.2"/>
    <row r="29335" ht="12.75" x14ac:dyDescent="0.2"/>
    <row r="29336" ht="12.75" x14ac:dyDescent="0.2"/>
    <row r="29337" ht="12.75" x14ac:dyDescent="0.2"/>
    <row r="29338" ht="12.75" x14ac:dyDescent="0.2"/>
    <row r="29339" ht="12.75" x14ac:dyDescent="0.2"/>
    <row r="29340" ht="12.75" x14ac:dyDescent="0.2"/>
    <row r="29341" ht="12.75" x14ac:dyDescent="0.2"/>
    <row r="29342" ht="12.75" x14ac:dyDescent="0.2"/>
    <row r="29343" ht="12.75" x14ac:dyDescent="0.2"/>
    <row r="29344" ht="12.75" x14ac:dyDescent="0.2"/>
    <row r="29345" ht="12.75" x14ac:dyDescent="0.2"/>
    <row r="29346" ht="12.75" x14ac:dyDescent="0.2"/>
    <row r="29347" ht="12.75" x14ac:dyDescent="0.2"/>
    <row r="29348" ht="12.75" x14ac:dyDescent="0.2"/>
    <row r="29349" ht="12.75" x14ac:dyDescent="0.2"/>
    <row r="29350" ht="12.75" x14ac:dyDescent="0.2"/>
    <row r="29351" ht="12.75" x14ac:dyDescent="0.2"/>
    <row r="29352" ht="12.75" x14ac:dyDescent="0.2"/>
    <row r="29353" ht="12.75" x14ac:dyDescent="0.2"/>
    <row r="29354" ht="12.75" x14ac:dyDescent="0.2"/>
    <row r="29355" ht="12.75" x14ac:dyDescent="0.2"/>
    <row r="29356" ht="12.75" x14ac:dyDescent="0.2"/>
    <row r="29357" ht="12.75" x14ac:dyDescent="0.2"/>
    <row r="29358" ht="12.75" x14ac:dyDescent="0.2"/>
    <row r="29359" ht="12.75" x14ac:dyDescent="0.2"/>
    <row r="29360" ht="12.75" x14ac:dyDescent="0.2"/>
    <row r="29361" ht="12.75" x14ac:dyDescent="0.2"/>
    <row r="29362" ht="12.75" x14ac:dyDescent="0.2"/>
    <row r="29363" ht="12.75" x14ac:dyDescent="0.2"/>
    <row r="29364" ht="12.75" x14ac:dyDescent="0.2"/>
    <row r="29365" ht="12.75" x14ac:dyDescent="0.2"/>
    <row r="29366" ht="12.75" x14ac:dyDescent="0.2"/>
    <row r="29367" ht="12.75" x14ac:dyDescent="0.2"/>
    <row r="29368" ht="12.75" x14ac:dyDescent="0.2"/>
    <row r="29369" ht="12.75" x14ac:dyDescent="0.2"/>
    <row r="29370" ht="12.75" x14ac:dyDescent="0.2"/>
    <row r="29371" ht="12.75" x14ac:dyDescent="0.2"/>
    <row r="29372" ht="12.75" x14ac:dyDescent="0.2"/>
    <row r="29373" ht="12.75" x14ac:dyDescent="0.2"/>
    <row r="29374" ht="12.75" x14ac:dyDescent="0.2"/>
    <row r="29375" ht="12.75" x14ac:dyDescent="0.2"/>
    <row r="29376" ht="12.75" x14ac:dyDescent="0.2"/>
    <row r="29377" ht="12.75" x14ac:dyDescent="0.2"/>
    <row r="29378" ht="12.75" x14ac:dyDescent="0.2"/>
    <row r="29379" ht="12.75" x14ac:dyDescent="0.2"/>
    <row r="29380" ht="12.75" x14ac:dyDescent="0.2"/>
    <row r="29381" ht="12.75" x14ac:dyDescent="0.2"/>
    <row r="29382" ht="12.75" x14ac:dyDescent="0.2"/>
    <row r="29383" ht="12.75" x14ac:dyDescent="0.2"/>
    <row r="29384" ht="12.75" x14ac:dyDescent="0.2"/>
    <row r="29385" ht="12.75" x14ac:dyDescent="0.2"/>
    <row r="29386" ht="12.75" x14ac:dyDescent="0.2"/>
    <row r="29387" ht="12.75" x14ac:dyDescent="0.2"/>
    <row r="29388" ht="12.75" x14ac:dyDescent="0.2"/>
    <row r="29389" ht="12.75" x14ac:dyDescent="0.2"/>
    <row r="29390" ht="12.75" x14ac:dyDescent="0.2"/>
    <row r="29391" ht="12.75" x14ac:dyDescent="0.2"/>
    <row r="29392" ht="12.75" x14ac:dyDescent="0.2"/>
    <row r="29393" ht="12.75" x14ac:dyDescent="0.2"/>
    <row r="29394" ht="12.75" x14ac:dyDescent="0.2"/>
    <row r="29395" ht="12.75" x14ac:dyDescent="0.2"/>
    <row r="29396" ht="12.75" x14ac:dyDescent="0.2"/>
    <row r="29397" ht="12.75" x14ac:dyDescent="0.2"/>
    <row r="29398" ht="12.75" x14ac:dyDescent="0.2"/>
    <row r="29399" ht="12.75" x14ac:dyDescent="0.2"/>
    <row r="29400" ht="12.75" x14ac:dyDescent="0.2"/>
    <row r="29401" ht="12.75" x14ac:dyDescent="0.2"/>
    <row r="29402" ht="12.75" x14ac:dyDescent="0.2"/>
    <row r="29403" ht="12.75" x14ac:dyDescent="0.2"/>
    <row r="29404" ht="12.75" x14ac:dyDescent="0.2"/>
    <row r="29405" ht="12.75" x14ac:dyDescent="0.2"/>
    <row r="29406" ht="12.75" x14ac:dyDescent="0.2"/>
    <row r="29407" ht="12.75" x14ac:dyDescent="0.2"/>
    <row r="29408" ht="12.75" x14ac:dyDescent="0.2"/>
    <row r="29409" ht="12.75" x14ac:dyDescent="0.2"/>
    <row r="29410" ht="12.75" x14ac:dyDescent="0.2"/>
    <row r="29411" ht="12.75" x14ac:dyDescent="0.2"/>
    <row r="29412" ht="12.75" x14ac:dyDescent="0.2"/>
    <row r="29413" ht="12.75" x14ac:dyDescent="0.2"/>
    <row r="29414" ht="12.75" x14ac:dyDescent="0.2"/>
    <row r="29415" ht="12.75" x14ac:dyDescent="0.2"/>
    <row r="29416" ht="12.75" x14ac:dyDescent="0.2"/>
    <row r="29417" ht="12.75" x14ac:dyDescent="0.2"/>
    <row r="29418" ht="12.75" x14ac:dyDescent="0.2"/>
    <row r="29419" ht="12.75" x14ac:dyDescent="0.2"/>
    <row r="29420" ht="12.75" x14ac:dyDescent="0.2"/>
    <row r="29421" ht="12.75" x14ac:dyDescent="0.2"/>
    <row r="29422" ht="12.75" x14ac:dyDescent="0.2"/>
    <row r="29423" ht="12.75" x14ac:dyDescent="0.2"/>
    <row r="29424" ht="12.75" x14ac:dyDescent="0.2"/>
    <row r="29425" ht="12.75" x14ac:dyDescent="0.2"/>
    <row r="29426" ht="12.75" x14ac:dyDescent="0.2"/>
    <row r="29427" ht="12.75" x14ac:dyDescent="0.2"/>
    <row r="29428" ht="12.75" x14ac:dyDescent="0.2"/>
    <row r="29429" ht="12.75" x14ac:dyDescent="0.2"/>
    <row r="29430" ht="12.75" x14ac:dyDescent="0.2"/>
    <row r="29431" ht="12.75" x14ac:dyDescent="0.2"/>
    <row r="29432" ht="12.75" x14ac:dyDescent="0.2"/>
    <row r="29433" ht="12.75" x14ac:dyDescent="0.2"/>
    <row r="29434" ht="12.75" x14ac:dyDescent="0.2"/>
    <row r="29435" ht="12.75" x14ac:dyDescent="0.2"/>
    <row r="29436" ht="12.75" x14ac:dyDescent="0.2"/>
    <row r="29437" ht="12.75" x14ac:dyDescent="0.2"/>
    <row r="29438" ht="12.75" x14ac:dyDescent="0.2"/>
    <row r="29439" ht="12.75" x14ac:dyDescent="0.2"/>
    <row r="29440" ht="12.75" x14ac:dyDescent="0.2"/>
    <row r="29441" ht="12.75" x14ac:dyDescent="0.2"/>
    <row r="29442" ht="12.75" x14ac:dyDescent="0.2"/>
    <row r="29443" ht="12.75" x14ac:dyDescent="0.2"/>
    <row r="29444" ht="12.75" x14ac:dyDescent="0.2"/>
    <row r="29445" ht="12.75" x14ac:dyDescent="0.2"/>
    <row r="29446" ht="12.75" x14ac:dyDescent="0.2"/>
    <row r="29447" ht="12.75" x14ac:dyDescent="0.2"/>
    <row r="29448" ht="12.75" x14ac:dyDescent="0.2"/>
    <row r="29449" ht="12.75" x14ac:dyDescent="0.2"/>
    <row r="29450" ht="12.75" x14ac:dyDescent="0.2"/>
    <row r="29451" ht="12.75" x14ac:dyDescent="0.2"/>
    <row r="29452" ht="12.75" x14ac:dyDescent="0.2"/>
    <row r="29453" ht="12.75" x14ac:dyDescent="0.2"/>
    <row r="29454" ht="12.75" x14ac:dyDescent="0.2"/>
    <row r="29455" ht="12.75" x14ac:dyDescent="0.2"/>
    <row r="29456" ht="12.75" x14ac:dyDescent="0.2"/>
    <row r="29457" ht="12.75" x14ac:dyDescent="0.2"/>
    <row r="29458" ht="12.75" x14ac:dyDescent="0.2"/>
    <row r="29459" ht="12.75" x14ac:dyDescent="0.2"/>
    <row r="29460" ht="12.75" x14ac:dyDescent="0.2"/>
    <row r="29461" ht="12.75" x14ac:dyDescent="0.2"/>
    <row r="29462" ht="12.75" x14ac:dyDescent="0.2"/>
    <row r="29463" ht="12.75" x14ac:dyDescent="0.2"/>
    <row r="29464" ht="12.75" x14ac:dyDescent="0.2"/>
    <row r="29465" ht="12.75" x14ac:dyDescent="0.2"/>
    <row r="29466" ht="12.75" x14ac:dyDescent="0.2"/>
    <row r="29467" ht="12.75" x14ac:dyDescent="0.2"/>
    <row r="29468" ht="12.75" x14ac:dyDescent="0.2"/>
    <row r="29469" ht="12.75" x14ac:dyDescent="0.2"/>
    <row r="29470" ht="12.75" x14ac:dyDescent="0.2"/>
    <row r="29471" ht="12.75" x14ac:dyDescent="0.2"/>
    <row r="29472" ht="12.75" x14ac:dyDescent="0.2"/>
    <row r="29473" ht="12.75" x14ac:dyDescent="0.2"/>
    <row r="29474" ht="12.75" x14ac:dyDescent="0.2"/>
    <row r="29475" ht="12.75" x14ac:dyDescent="0.2"/>
    <row r="29476" ht="12.75" x14ac:dyDescent="0.2"/>
    <row r="29477" ht="12.75" x14ac:dyDescent="0.2"/>
    <row r="29478" ht="12.75" x14ac:dyDescent="0.2"/>
    <row r="29479" ht="12.75" x14ac:dyDescent="0.2"/>
    <row r="29480" ht="12.75" x14ac:dyDescent="0.2"/>
    <row r="29481" ht="12.75" x14ac:dyDescent="0.2"/>
    <row r="29482" ht="12.75" x14ac:dyDescent="0.2"/>
    <row r="29483" ht="12.75" x14ac:dyDescent="0.2"/>
    <row r="29484" ht="12.75" x14ac:dyDescent="0.2"/>
    <row r="29485" ht="12.75" x14ac:dyDescent="0.2"/>
    <row r="29486" ht="12.75" x14ac:dyDescent="0.2"/>
    <row r="29487" ht="12.75" x14ac:dyDescent="0.2"/>
    <row r="29488" ht="12.75" x14ac:dyDescent="0.2"/>
    <row r="29489" ht="12.75" x14ac:dyDescent="0.2"/>
    <row r="29490" ht="12.75" x14ac:dyDescent="0.2"/>
    <row r="29491" ht="12.75" x14ac:dyDescent="0.2"/>
    <row r="29492" ht="12.75" x14ac:dyDescent="0.2"/>
    <row r="29493" ht="12.75" x14ac:dyDescent="0.2"/>
    <row r="29494" ht="12.75" x14ac:dyDescent="0.2"/>
    <row r="29495" ht="12.75" x14ac:dyDescent="0.2"/>
    <row r="29496" ht="12.75" x14ac:dyDescent="0.2"/>
    <row r="29497" ht="12.75" x14ac:dyDescent="0.2"/>
    <row r="29498" ht="12.75" x14ac:dyDescent="0.2"/>
    <row r="29499" ht="12.75" x14ac:dyDescent="0.2"/>
    <row r="29500" ht="12.75" x14ac:dyDescent="0.2"/>
    <row r="29501" ht="12.75" x14ac:dyDescent="0.2"/>
    <row r="29502" ht="12.75" x14ac:dyDescent="0.2"/>
    <row r="29503" ht="12.75" x14ac:dyDescent="0.2"/>
    <row r="29504" ht="12.75" x14ac:dyDescent="0.2"/>
    <row r="29505" ht="12.75" x14ac:dyDescent="0.2"/>
    <row r="29506" ht="12.75" x14ac:dyDescent="0.2"/>
    <row r="29507" ht="12.75" x14ac:dyDescent="0.2"/>
    <row r="29508" ht="12.75" x14ac:dyDescent="0.2"/>
    <row r="29509" ht="12.75" x14ac:dyDescent="0.2"/>
    <row r="29510" ht="12.75" x14ac:dyDescent="0.2"/>
    <row r="29511" ht="12.75" x14ac:dyDescent="0.2"/>
    <row r="29512" ht="12.75" x14ac:dyDescent="0.2"/>
    <row r="29513" ht="12.75" x14ac:dyDescent="0.2"/>
    <row r="29514" ht="12.75" x14ac:dyDescent="0.2"/>
    <row r="29515" ht="12.75" x14ac:dyDescent="0.2"/>
    <row r="29516" ht="12.75" x14ac:dyDescent="0.2"/>
    <row r="29517" ht="12.75" x14ac:dyDescent="0.2"/>
    <row r="29518" ht="12.75" x14ac:dyDescent="0.2"/>
    <row r="29519" ht="12.75" x14ac:dyDescent="0.2"/>
    <row r="29520" ht="12.75" x14ac:dyDescent="0.2"/>
    <row r="29521" ht="12.75" x14ac:dyDescent="0.2"/>
    <row r="29522" ht="12.75" x14ac:dyDescent="0.2"/>
    <row r="29523" ht="12.75" x14ac:dyDescent="0.2"/>
    <row r="29524" ht="12.75" x14ac:dyDescent="0.2"/>
    <row r="29525" ht="12.75" x14ac:dyDescent="0.2"/>
    <row r="29526" ht="12.75" x14ac:dyDescent="0.2"/>
    <row r="29527" ht="12.75" x14ac:dyDescent="0.2"/>
    <row r="29528" ht="12.75" x14ac:dyDescent="0.2"/>
    <row r="29529" ht="12.75" x14ac:dyDescent="0.2"/>
    <row r="29530" ht="12.75" x14ac:dyDescent="0.2"/>
    <row r="29531" ht="12.75" x14ac:dyDescent="0.2"/>
    <row r="29532" ht="12.75" x14ac:dyDescent="0.2"/>
    <row r="29533" ht="12.75" x14ac:dyDescent="0.2"/>
    <row r="29534" ht="12.75" x14ac:dyDescent="0.2"/>
    <row r="29535" ht="12.75" x14ac:dyDescent="0.2"/>
    <row r="29536" ht="12.75" x14ac:dyDescent="0.2"/>
    <row r="29537" ht="12.75" x14ac:dyDescent="0.2"/>
    <row r="29538" ht="12.75" x14ac:dyDescent="0.2"/>
    <row r="29539" ht="12.75" x14ac:dyDescent="0.2"/>
    <row r="29540" ht="12.75" x14ac:dyDescent="0.2"/>
    <row r="29541" ht="12.75" x14ac:dyDescent="0.2"/>
    <row r="29542" ht="12.75" x14ac:dyDescent="0.2"/>
    <row r="29543" ht="12.75" x14ac:dyDescent="0.2"/>
    <row r="29544" ht="12.75" x14ac:dyDescent="0.2"/>
    <row r="29545" ht="12.75" x14ac:dyDescent="0.2"/>
    <row r="29546" ht="12.75" x14ac:dyDescent="0.2"/>
    <row r="29547" ht="12.75" x14ac:dyDescent="0.2"/>
    <row r="29548" ht="12.75" x14ac:dyDescent="0.2"/>
    <row r="29549" ht="12.75" x14ac:dyDescent="0.2"/>
    <row r="29550" ht="12.75" x14ac:dyDescent="0.2"/>
    <row r="29551" ht="12.75" x14ac:dyDescent="0.2"/>
    <row r="29552" ht="12.75" x14ac:dyDescent="0.2"/>
    <row r="29553" ht="12.75" x14ac:dyDescent="0.2"/>
    <row r="29554" ht="12.75" x14ac:dyDescent="0.2"/>
    <row r="29555" ht="12.75" x14ac:dyDescent="0.2"/>
    <row r="29556" ht="12.75" x14ac:dyDescent="0.2"/>
    <row r="29557" ht="12.75" x14ac:dyDescent="0.2"/>
    <row r="29558" ht="12.75" x14ac:dyDescent="0.2"/>
    <row r="29559" ht="12.75" x14ac:dyDescent="0.2"/>
    <row r="29560" ht="12.75" x14ac:dyDescent="0.2"/>
    <row r="29561" ht="12.75" x14ac:dyDescent="0.2"/>
    <row r="29562" ht="12.75" x14ac:dyDescent="0.2"/>
    <row r="29563" ht="12.75" x14ac:dyDescent="0.2"/>
    <row r="29564" ht="12.75" x14ac:dyDescent="0.2"/>
    <row r="29565" ht="12.75" x14ac:dyDescent="0.2"/>
    <row r="29566" ht="12.75" x14ac:dyDescent="0.2"/>
    <row r="29567" ht="12.75" x14ac:dyDescent="0.2"/>
    <row r="29568" ht="12.75" x14ac:dyDescent="0.2"/>
    <row r="29569" ht="12.75" x14ac:dyDescent="0.2"/>
    <row r="29570" ht="12.75" x14ac:dyDescent="0.2"/>
    <row r="29571" ht="12.75" x14ac:dyDescent="0.2"/>
    <row r="29572" ht="12.75" x14ac:dyDescent="0.2"/>
    <row r="29573" ht="12.75" x14ac:dyDescent="0.2"/>
    <row r="29574" ht="12.75" x14ac:dyDescent="0.2"/>
    <row r="29575" ht="12.75" x14ac:dyDescent="0.2"/>
    <row r="29576" ht="12.75" x14ac:dyDescent="0.2"/>
    <row r="29577" ht="12.75" x14ac:dyDescent="0.2"/>
    <row r="29578" ht="12.75" x14ac:dyDescent="0.2"/>
    <row r="29579" ht="12.75" x14ac:dyDescent="0.2"/>
    <row r="29580" ht="12.75" x14ac:dyDescent="0.2"/>
    <row r="29581" ht="12.75" x14ac:dyDescent="0.2"/>
    <row r="29582" ht="12.75" x14ac:dyDescent="0.2"/>
    <row r="29583" ht="12.75" x14ac:dyDescent="0.2"/>
    <row r="29584" ht="12.75" x14ac:dyDescent="0.2"/>
    <row r="29585" ht="12.75" x14ac:dyDescent="0.2"/>
    <row r="29586" ht="12.75" x14ac:dyDescent="0.2"/>
    <row r="29587" ht="12.75" x14ac:dyDescent="0.2"/>
    <row r="29588" ht="12.75" x14ac:dyDescent="0.2"/>
    <row r="29589" ht="12.75" x14ac:dyDescent="0.2"/>
    <row r="29590" ht="12.75" x14ac:dyDescent="0.2"/>
    <row r="29591" ht="12.75" x14ac:dyDescent="0.2"/>
    <row r="29592" ht="12.75" x14ac:dyDescent="0.2"/>
    <row r="29593" ht="12.75" x14ac:dyDescent="0.2"/>
    <row r="29594" ht="12.75" x14ac:dyDescent="0.2"/>
    <row r="29595" ht="12.75" x14ac:dyDescent="0.2"/>
    <row r="29596" ht="12.75" x14ac:dyDescent="0.2"/>
    <row r="29597" ht="12.75" x14ac:dyDescent="0.2"/>
    <row r="29598" ht="12.75" x14ac:dyDescent="0.2"/>
    <row r="29599" ht="12.75" x14ac:dyDescent="0.2"/>
    <row r="29600" ht="12.75" x14ac:dyDescent="0.2"/>
    <row r="29601" ht="12.75" x14ac:dyDescent="0.2"/>
    <row r="29602" ht="12.75" x14ac:dyDescent="0.2"/>
    <row r="29603" ht="12.75" x14ac:dyDescent="0.2"/>
    <row r="29604" ht="12.75" x14ac:dyDescent="0.2"/>
    <row r="29605" ht="12.75" x14ac:dyDescent="0.2"/>
    <row r="29606" ht="12.75" x14ac:dyDescent="0.2"/>
    <row r="29607" ht="12.75" x14ac:dyDescent="0.2"/>
    <row r="29608" ht="12.75" x14ac:dyDescent="0.2"/>
    <row r="29609" ht="12.75" x14ac:dyDescent="0.2"/>
    <row r="29610" ht="12.75" x14ac:dyDescent="0.2"/>
    <row r="29611" ht="12.75" x14ac:dyDescent="0.2"/>
    <row r="29612" ht="12.75" x14ac:dyDescent="0.2"/>
    <row r="29613" ht="12.75" x14ac:dyDescent="0.2"/>
    <row r="29614" ht="12.75" x14ac:dyDescent="0.2"/>
    <row r="29615" ht="12.75" x14ac:dyDescent="0.2"/>
    <row r="29616" ht="12.75" x14ac:dyDescent="0.2"/>
    <row r="29617" ht="12.75" x14ac:dyDescent="0.2"/>
    <row r="29618" ht="12.75" x14ac:dyDescent="0.2"/>
    <row r="29619" ht="12.75" x14ac:dyDescent="0.2"/>
    <row r="29620" ht="12.75" x14ac:dyDescent="0.2"/>
    <row r="29621" ht="12.75" x14ac:dyDescent="0.2"/>
    <row r="29622" ht="12.75" x14ac:dyDescent="0.2"/>
    <row r="29623" ht="12.75" x14ac:dyDescent="0.2"/>
    <row r="29624" ht="12.75" x14ac:dyDescent="0.2"/>
    <row r="29625" ht="12.75" x14ac:dyDescent="0.2"/>
    <row r="29626" ht="12.75" x14ac:dyDescent="0.2"/>
    <row r="29627" ht="12.75" x14ac:dyDescent="0.2"/>
    <row r="29628" ht="12.75" x14ac:dyDescent="0.2"/>
    <row r="29629" ht="12.75" x14ac:dyDescent="0.2"/>
    <row r="29630" ht="12.75" x14ac:dyDescent="0.2"/>
    <row r="29631" ht="12.75" x14ac:dyDescent="0.2"/>
    <row r="29632" ht="12.75" x14ac:dyDescent="0.2"/>
    <row r="29633" ht="12.75" x14ac:dyDescent="0.2"/>
    <row r="29634" ht="12.75" x14ac:dyDescent="0.2"/>
    <row r="29635" ht="12.75" x14ac:dyDescent="0.2"/>
    <row r="29636" ht="12.75" x14ac:dyDescent="0.2"/>
    <row r="29637" ht="12.75" x14ac:dyDescent="0.2"/>
    <row r="29638" ht="12.75" x14ac:dyDescent="0.2"/>
    <row r="29639" ht="12.75" x14ac:dyDescent="0.2"/>
    <row r="29640" ht="12.75" x14ac:dyDescent="0.2"/>
    <row r="29641" ht="12.75" x14ac:dyDescent="0.2"/>
    <row r="29642" ht="12.75" x14ac:dyDescent="0.2"/>
    <row r="29643" ht="12.75" x14ac:dyDescent="0.2"/>
    <row r="29644" ht="12.75" x14ac:dyDescent="0.2"/>
    <row r="29645" ht="12.75" x14ac:dyDescent="0.2"/>
    <row r="29646" ht="12.75" x14ac:dyDescent="0.2"/>
    <row r="29647" ht="12.75" x14ac:dyDescent="0.2"/>
    <row r="29648" ht="12.75" x14ac:dyDescent="0.2"/>
    <row r="29649" ht="12.75" x14ac:dyDescent="0.2"/>
    <row r="29650" ht="12.75" x14ac:dyDescent="0.2"/>
    <row r="29651" ht="12.75" x14ac:dyDescent="0.2"/>
    <row r="29652" ht="12.75" x14ac:dyDescent="0.2"/>
    <row r="29653" ht="12.75" x14ac:dyDescent="0.2"/>
    <row r="29654" ht="12.75" x14ac:dyDescent="0.2"/>
    <row r="29655" ht="12.75" x14ac:dyDescent="0.2"/>
    <row r="29656" ht="12.75" x14ac:dyDescent="0.2"/>
    <row r="29657" ht="12.75" x14ac:dyDescent="0.2"/>
    <row r="29658" ht="12.75" x14ac:dyDescent="0.2"/>
    <row r="29659" ht="12.75" x14ac:dyDescent="0.2"/>
    <row r="29660" ht="12.75" x14ac:dyDescent="0.2"/>
    <row r="29661" ht="12.75" x14ac:dyDescent="0.2"/>
    <row r="29662" ht="12.75" x14ac:dyDescent="0.2"/>
    <row r="29663" ht="12.75" x14ac:dyDescent="0.2"/>
    <row r="29664" ht="12.75" x14ac:dyDescent="0.2"/>
    <row r="29665" ht="12.75" x14ac:dyDescent="0.2"/>
    <row r="29666" ht="12.75" x14ac:dyDescent="0.2"/>
    <row r="29667" ht="12.75" x14ac:dyDescent="0.2"/>
    <row r="29668" ht="12.75" x14ac:dyDescent="0.2"/>
    <row r="29669" ht="12.75" x14ac:dyDescent="0.2"/>
    <row r="29670" ht="12.75" x14ac:dyDescent="0.2"/>
    <row r="29671" ht="12.75" x14ac:dyDescent="0.2"/>
    <row r="29672" ht="12.75" x14ac:dyDescent="0.2"/>
    <row r="29673" ht="12.75" x14ac:dyDescent="0.2"/>
    <row r="29674" ht="12.75" x14ac:dyDescent="0.2"/>
    <row r="29675" ht="12.75" x14ac:dyDescent="0.2"/>
    <row r="29676" ht="12.75" x14ac:dyDescent="0.2"/>
    <row r="29677" ht="12.75" x14ac:dyDescent="0.2"/>
    <row r="29678" ht="12.75" x14ac:dyDescent="0.2"/>
    <row r="29679" ht="12.75" x14ac:dyDescent="0.2"/>
    <row r="29680" ht="12.75" x14ac:dyDescent="0.2"/>
    <row r="29681" ht="12.75" x14ac:dyDescent="0.2"/>
    <row r="29682" ht="12.75" x14ac:dyDescent="0.2"/>
    <row r="29683" ht="12.75" x14ac:dyDescent="0.2"/>
    <row r="29684" ht="12.75" x14ac:dyDescent="0.2"/>
    <row r="29685" ht="12.75" x14ac:dyDescent="0.2"/>
    <row r="29686" ht="12.75" x14ac:dyDescent="0.2"/>
    <row r="29687" ht="12.75" x14ac:dyDescent="0.2"/>
    <row r="29688" ht="12.75" x14ac:dyDescent="0.2"/>
    <row r="29689" ht="12.75" x14ac:dyDescent="0.2"/>
    <row r="29690" ht="12.75" x14ac:dyDescent="0.2"/>
    <row r="29691" ht="12.75" x14ac:dyDescent="0.2"/>
    <row r="29692" ht="12.75" x14ac:dyDescent="0.2"/>
    <row r="29693" ht="12.75" x14ac:dyDescent="0.2"/>
    <row r="29694" ht="12.75" x14ac:dyDescent="0.2"/>
    <row r="29695" ht="12.75" x14ac:dyDescent="0.2"/>
    <row r="29696" ht="12.75" x14ac:dyDescent="0.2"/>
    <row r="29697" ht="12.75" x14ac:dyDescent="0.2"/>
    <row r="29698" ht="12.75" x14ac:dyDescent="0.2"/>
    <row r="29699" ht="12.75" x14ac:dyDescent="0.2"/>
    <row r="29700" ht="12.75" x14ac:dyDescent="0.2"/>
    <row r="29701" ht="12.75" x14ac:dyDescent="0.2"/>
    <row r="29702" ht="12.75" x14ac:dyDescent="0.2"/>
    <row r="29703" ht="12.75" x14ac:dyDescent="0.2"/>
    <row r="29704" ht="12.75" x14ac:dyDescent="0.2"/>
    <row r="29705" ht="12.75" x14ac:dyDescent="0.2"/>
    <row r="29706" ht="12.75" x14ac:dyDescent="0.2"/>
    <row r="29707" ht="12.75" x14ac:dyDescent="0.2"/>
    <row r="29708" ht="12.75" x14ac:dyDescent="0.2"/>
    <row r="29709" ht="12.75" x14ac:dyDescent="0.2"/>
    <row r="29710" ht="12.75" x14ac:dyDescent="0.2"/>
    <row r="29711" ht="12.75" x14ac:dyDescent="0.2"/>
    <row r="29712" ht="12.75" x14ac:dyDescent="0.2"/>
    <row r="29713" ht="12.75" x14ac:dyDescent="0.2"/>
    <row r="29714" ht="12.75" x14ac:dyDescent="0.2"/>
    <row r="29715" ht="12.75" x14ac:dyDescent="0.2"/>
    <row r="29716" ht="12.75" x14ac:dyDescent="0.2"/>
    <row r="29717" ht="12.75" x14ac:dyDescent="0.2"/>
    <row r="29718" ht="12.75" x14ac:dyDescent="0.2"/>
    <row r="29719" ht="12.75" x14ac:dyDescent="0.2"/>
    <row r="29720" ht="12.75" x14ac:dyDescent="0.2"/>
    <row r="29721" ht="12.75" x14ac:dyDescent="0.2"/>
    <row r="29722" ht="12.75" x14ac:dyDescent="0.2"/>
    <row r="29723" ht="12.75" x14ac:dyDescent="0.2"/>
    <row r="29724" ht="12.75" x14ac:dyDescent="0.2"/>
    <row r="29725" ht="12.75" x14ac:dyDescent="0.2"/>
    <row r="29726" ht="12.75" x14ac:dyDescent="0.2"/>
    <row r="29727" ht="12.75" x14ac:dyDescent="0.2"/>
    <row r="29728" ht="12.75" x14ac:dyDescent="0.2"/>
    <row r="29729" ht="12.75" x14ac:dyDescent="0.2"/>
    <row r="29730" ht="12.75" x14ac:dyDescent="0.2"/>
    <row r="29731" ht="12.75" x14ac:dyDescent="0.2"/>
    <row r="29732" ht="12.75" x14ac:dyDescent="0.2"/>
    <row r="29733" ht="12.75" x14ac:dyDescent="0.2"/>
    <row r="29734" ht="12.75" x14ac:dyDescent="0.2"/>
    <row r="29735" ht="12.75" x14ac:dyDescent="0.2"/>
    <row r="29736" ht="12.75" x14ac:dyDescent="0.2"/>
    <row r="29737" ht="12.75" x14ac:dyDescent="0.2"/>
    <row r="29738" ht="12.75" x14ac:dyDescent="0.2"/>
    <row r="29739" ht="12.75" x14ac:dyDescent="0.2"/>
    <row r="29740" ht="12.75" x14ac:dyDescent="0.2"/>
    <row r="29741" ht="12.75" x14ac:dyDescent="0.2"/>
    <row r="29742" ht="12.75" x14ac:dyDescent="0.2"/>
    <row r="29743" ht="12.75" x14ac:dyDescent="0.2"/>
    <row r="29744" ht="12.75" x14ac:dyDescent="0.2"/>
    <row r="29745" ht="12.75" x14ac:dyDescent="0.2"/>
    <row r="29746" ht="12.75" x14ac:dyDescent="0.2"/>
    <row r="29747" ht="12.75" x14ac:dyDescent="0.2"/>
    <row r="29748" ht="12.75" x14ac:dyDescent="0.2"/>
    <row r="29749" ht="12.75" x14ac:dyDescent="0.2"/>
    <row r="29750" ht="12.75" x14ac:dyDescent="0.2"/>
    <row r="29751" ht="12.75" x14ac:dyDescent="0.2"/>
    <row r="29752" ht="12.75" x14ac:dyDescent="0.2"/>
    <row r="29753" ht="12.75" x14ac:dyDescent="0.2"/>
    <row r="29754" ht="12.75" x14ac:dyDescent="0.2"/>
    <row r="29755" ht="12.75" x14ac:dyDescent="0.2"/>
    <row r="29756" ht="12.75" x14ac:dyDescent="0.2"/>
    <row r="29757" ht="12.75" x14ac:dyDescent="0.2"/>
    <row r="29758" ht="12.75" x14ac:dyDescent="0.2"/>
    <row r="29759" ht="12.75" x14ac:dyDescent="0.2"/>
    <row r="29760" ht="12.75" x14ac:dyDescent="0.2"/>
    <row r="29761" ht="12.75" x14ac:dyDescent="0.2"/>
    <row r="29762" ht="12.75" x14ac:dyDescent="0.2"/>
    <row r="29763" ht="12.75" x14ac:dyDescent="0.2"/>
    <row r="29764" ht="12.75" x14ac:dyDescent="0.2"/>
    <row r="29765" ht="12.75" x14ac:dyDescent="0.2"/>
    <row r="29766" ht="12.75" x14ac:dyDescent="0.2"/>
    <row r="29767" ht="12.75" x14ac:dyDescent="0.2"/>
    <row r="29768" ht="12.75" x14ac:dyDescent="0.2"/>
    <row r="29769" ht="12.75" x14ac:dyDescent="0.2"/>
    <row r="29770" ht="12.75" x14ac:dyDescent="0.2"/>
    <row r="29771" ht="12.75" x14ac:dyDescent="0.2"/>
    <row r="29772" ht="12.75" x14ac:dyDescent="0.2"/>
    <row r="29773" ht="12.75" x14ac:dyDescent="0.2"/>
    <row r="29774" ht="12.75" x14ac:dyDescent="0.2"/>
    <row r="29775" ht="12.75" x14ac:dyDescent="0.2"/>
    <row r="29776" ht="12.75" x14ac:dyDescent="0.2"/>
    <row r="29777" ht="12.75" x14ac:dyDescent="0.2"/>
    <row r="29778" ht="12.75" x14ac:dyDescent="0.2"/>
    <row r="29779" ht="12.75" x14ac:dyDescent="0.2"/>
    <row r="29780" ht="12.75" x14ac:dyDescent="0.2"/>
    <row r="29781" ht="12.75" x14ac:dyDescent="0.2"/>
    <row r="29782" ht="12.75" x14ac:dyDescent="0.2"/>
    <row r="29783" ht="12.75" x14ac:dyDescent="0.2"/>
    <row r="29784" ht="12.75" x14ac:dyDescent="0.2"/>
    <row r="29785" ht="12.75" x14ac:dyDescent="0.2"/>
    <row r="29786" ht="12.75" x14ac:dyDescent="0.2"/>
    <row r="29787" ht="12.75" x14ac:dyDescent="0.2"/>
    <row r="29788" ht="12.75" x14ac:dyDescent="0.2"/>
    <row r="29789" ht="12.75" x14ac:dyDescent="0.2"/>
    <row r="29790" ht="12.75" x14ac:dyDescent="0.2"/>
    <row r="29791" ht="12.75" x14ac:dyDescent="0.2"/>
    <row r="29792" ht="12.75" x14ac:dyDescent="0.2"/>
    <row r="29793" ht="12.75" x14ac:dyDescent="0.2"/>
    <row r="29794" ht="12.75" x14ac:dyDescent="0.2"/>
    <row r="29795" ht="12.75" x14ac:dyDescent="0.2"/>
    <row r="29796" ht="12.75" x14ac:dyDescent="0.2"/>
    <row r="29797" ht="12.75" x14ac:dyDescent="0.2"/>
    <row r="29798" ht="12.75" x14ac:dyDescent="0.2"/>
    <row r="29799" ht="12.75" x14ac:dyDescent="0.2"/>
    <row r="29800" ht="12.75" x14ac:dyDescent="0.2"/>
    <row r="29801" ht="12.75" x14ac:dyDescent="0.2"/>
    <row r="29802" ht="12.75" x14ac:dyDescent="0.2"/>
    <row r="29803" ht="12.75" x14ac:dyDescent="0.2"/>
    <row r="29804" ht="12.75" x14ac:dyDescent="0.2"/>
    <row r="29805" ht="12.75" x14ac:dyDescent="0.2"/>
    <row r="29806" ht="12.75" x14ac:dyDescent="0.2"/>
    <row r="29807" ht="12.75" x14ac:dyDescent="0.2"/>
    <row r="29808" ht="12.75" x14ac:dyDescent="0.2"/>
    <row r="29809" ht="12.75" x14ac:dyDescent="0.2"/>
    <row r="29810" ht="12.75" x14ac:dyDescent="0.2"/>
    <row r="29811" ht="12.75" x14ac:dyDescent="0.2"/>
    <row r="29812" ht="12.75" x14ac:dyDescent="0.2"/>
    <row r="29813" ht="12.75" x14ac:dyDescent="0.2"/>
    <row r="29814" ht="12.75" x14ac:dyDescent="0.2"/>
    <row r="29815" ht="12.75" x14ac:dyDescent="0.2"/>
    <row r="29816" ht="12.75" x14ac:dyDescent="0.2"/>
    <row r="29817" ht="12.75" x14ac:dyDescent="0.2"/>
    <row r="29818" ht="12.75" x14ac:dyDescent="0.2"/>
    <row r="29819" ht="12.75" x14ac:dyDescent="0.2"/>
    <row r="29820" ht="12.75" x14ac:dyDescent="0.2"/>
    <row r="29821" ht="12.75" x14ac:dyDescent="0.2"/>
    <row r="29822" ht="12.75" x14ac:dyDescent="0.2"/>
    <row r="29823" ht="12.75" x14ac:dyDescent="0.2"/>
    <row r="29824" ht="12.75" x14ac:dyDescent="0.2"/>
    <row r="29825" ht="12.75" x14ac:dyDescent="0.2"/>
    <row r="29826" ht="12.75" x14ac:dyDescent="0.2"/>
    <row r="29827" ht="12.75" x14ac:dyDescent="0.2"/>
    <row r="29828" ht="12.75" x14ac:dyDescent="0.2"/>
    <row r="29829" ht="12.75" x14ac:dyDescent="0.2"/>
    <row r="29830" ht="12.75" x14ac:dyDescent="0.2"/>
    <row r="29831" ht="12.75" x14ac:dyDescent="0.2"/>
    <row r="29832" ht="12.75" x14ac:dyDescent="0.2"/>
    <row r="29833" ht="12.75" x14ac:dyDescent="0.2"/>
    <row r="29834" ht="12.75" x14ac:dyDescent="0.2"/>
    <row r="29835" ht="12.75" x14ac:dyDescent="0.2"/>
    <row r="29836" ht="12.75" x14ac:dyDescent="0.2"/>
    <row r="29837" ht="12.75" x14ac:dyDescent="0.2"/>
    <row r="29838" ht="12.75" x14ac:dyDescent="0.2"/>
    <row r="29839" ht="12.75" x14ac:dyDescent="0.2"/>
    <row r="29840" ht="12.75" x14ac:dyDescent="0.2"/>
    <row r="29841" ht="12.75" x14ac:dyDescent="0.2"/>
    <row r="29842" ht="12.75" x14ac:dyDescent="0.2"/>
    <row r="29843" ht="12.75" x14ac:dyDescent="0.2"/>
    <row r="29844" ht="12.75" x14ac:dyDescent="0.2"/>
    <row r="29845" ht="12.75" x14ac:dyDescent="0.2"/>
    <row r="29846" ht="12.75" x14ac:dyDescent="0.2"/>
    <row r="29847" ht="12.75" x14ac:dyDescent="0.2"/>
    <row r="29848" ht="12.75" x14ac:dyDescent="0.2"/>
    <row r="29849" ht="12.75" x14ac:dyDescent="0.2"/>
    <row r="29850" ht="12.75" x14ac:dyDescent="0.2"/>
    <row r="29851" ht="12.75" x14ac:dyDescent="0.2"/>
    <row r="29852" ht="12.75" x14ac:dyDescent="0.2"/>
    <row r="29853" ht="12.75" x14ac:dyDescent="0.2"/>
    <row r="29854" ht="12.75" x14ac:dyDescent="0.2"/>
    <row r="29855" ht="12.75" x14ac:dyDescent="0.2"/>
    <row r="29856" ht="12.75" x14ac:dyDescent="0.2"/>
    <row r="29857" ht="12.75" x14ac:dyDescent="0.2"/>
    <row r="29858" ht="12.75" x14ac:dyDescent="0.2"/>
    <row r="29859" ht="12.75" x14ac:dyDescent="0.2"/>
    <row r="29860" ht="12.75" x14ac:dyDescent="0.2"/>
    <row r="29861" ht="12.75" x14ac:dyDescent="0.2"/>
    <row r="29862" ht="12.75" x14ac:dyDescent="0.2"/>
    <row r="29863" ht="12.75" x14ac:dyDescent="0.2"/>
    <row r="29864" ht="12.75" x14ac:dyDescent="0.2"/>
    <row r="29865" ht="12.75" x14ac:dyDescent="0.2"/>
    <row r="29866" ht="12.75" x14ac:dyDescent="0.2"/>
    <row r="29867" ht="12.75" x14ac:dyDescent="0.2"/>
    <row r="29868" ht="12.75" x14ac:dyDescent="0.2"/>
    <row r="29869" ht="12.75" x14ac:dyDescent="0.2"/>
    <row r="29870" ht="12.75" x14ac:dyDescent="0.2"/>
    <row r="29871" ht="12.75" x14ac:dyDescent="0.2"/>
    <row r="29872" ht="12.75" x14ac:dyDescent="0.2"/>
    <row r="29873" ht="12.75" x14ac:dyDescent="0.2"/>
    <row r="29874" ht="12.75" x14ac:dyDescent="0.2"/>
    <row r="29875" ht="12.75" x14ac:dyDescent="0.2"/>
    <row r="29876" ht="12.75" x14ac:dyDescent="0.2"/>
    <row r="29877" ht="12.75" x14ac:dyDescent="0.2"/>
    <row r="29878" ht="12.75" x14ac:dyDescent="0.2"/>
    <row r="29879" ht="12.75" x14ac:dyDescent="0.2"/>
    <row r="29880" ht="12.75" x14ac:dyDescent="0.2"/>
    <row r="29881" ht="12.75" x14ac:dyDescent="0.2"/>
    <row r="29882" ht="12.75" x14ac:dyDescent="0.2"/>
    <row r="29883" ht="12.75" x14ac:dyDescent="0.2"/>
    <row r="29884" ht="12.75" x14ac:dyDescent="0.2"/>
    <row r="29885" ht="12.75" x14ac:dyDescent="0.2"/>
    <row r="29886" ht="12.75" x14ac:dyDescent="0.2"/>
    <row r="29887" ht="12.75" x14ac:dyDescent="0.2"/>
    <row r="29888" ht="12.75" x14ac:dyDescent="0.2"/>
    <row r="29889" ht="12.75" x14ac:dyDescent="0.2"/>
    <row r="29890" ht="12.75" x14ac:dyDescent="0.2"/>
    <row r="29891" ht="12.75" x14ac:dyDescent="0.2"/>
    <row r="29892" ht="12.75" x14ac:dyDescent="0.2"/>
    <row r="29893" ht="12.75" x14ac:dyDescent="0.2"/>
    <row r="29894" ht="12.75" x14ac:dyDescent="0.2"/>
    <row r="29895" ht="12.75" x14ac:dyDescent="0.2"/>
    <row r="29896" ht="12.75" x14ac:dyDescent="0.2"/>
    <row r="29897" ht="12.75" x14ac:dyDescent="0.2"/>
    <row r="29898" ht="12.75" x14ac:dyDescent="0.2"/>
    <row r="29899" ht="12.75" x14ac:dyDescent="0.2"/>
    <row r="29900" ht="12.75" x14ac:dyDescent="0.2"/>
    <row r="29901" ht="12.75" x14ac:dyDescent="0.2"/>
    <row r="29902" ht="12.75" x14ac:dyDescent="0.2"/>
    <row r="29903" ht="12.75" x14ac:dyDescent="0.2"/>
    <row r="29904" ht="12.75" x14ac:dyDescent="0.2"/>
    <row r="29905" ht="12.75" x14ac:dyDescent="0.2"/>
    <row r="29906" ht="12.75" x14ac:dyDescent="0.2"/>
    <row r="29907" ht="12.75" x14ac:dyDescent="0.2"/>
    <row r="29908" ht="12.75" x14ac:dyDescent="0.2"/>
    <row r="29909" ht="12.75" x14ac:dyDescent="0.2"/>
    <row r="29910" ht="12.75" x14ac:dyDescent="0.2"/>
    <row r="29911" ht="12.75" x14ac:dyDescent="0.2"/>
    <row r="29912" ht="12.75" x14ac:dyDescent="0.2"/>
    <row r="29913" ht="12.75" x14ac:dyDescent="0.2"/>
    <row r="29914" ht="12.75" x14ac:dyDescent="0.2"/>
    <row r="29915" ht="12.75" x14ac:dyDescent="0.2"/>
    <row r="29916" ht="12.75" x14ac:dyDescent="0.2"/>
    <row r="29917" ht="12.75" x14ac:dyDescent="0.2"/>
    <row r="29918" ht="12.75" x14ac:dyDescent="0.2"/>
    <row r="29919" ht="12.75" x14ac:dyDescent="0.2"/>
    <row r="29920" ht="12.75" x14ac:dyDescent="0.2"/>
    <row r="29921" ht="12.75" x14ac:dyDescent="0.2"/>
    <row r="29922" ht="12.75" x14ac:dyDescent="0.2"/>
    <row r="29923" ht="12.75" x14ac:dyDescent="0.2"/>
    <row r="29924" ht="12.75" x14ac:dyDescent="0.2"/>
    <row r="29925" ht="12.75" x14ac:dyDescent="0.2"/>
    <row r="29926" ht="12.75" x14ac:dyDescent="0.2"/>
    <row r="29927" ht="12.75" x14ac:dyDescent="0.2"/>
    <row r="29928" ht="12.75" x14ac:dyDescent="0.2"/>
    <row r="29929" ht="12.75" x14ac:dyDescent="0.2"/>
    <row r="29930" ht="12.75" x14ac:dyDescent="0.2"/>
    <row r="29931" ht="12.75" x14ac:dyDescent="0.2"/>
    <row r="29932" ht="12.75" x14ac:dyDescent="0.2"/>
    <row r="29933" ht="12.75" x14ac:dyDescent="0.2"/>
    <row r="29934" ht="12.75" x14ac:dyDescent="0.2"/>
    <row r="29935" ht="12.75" x14ac:dyDescent="0.2"/>
    <row r="29936" ht="12.75" x14ac:dyDescent="0.2"/>
    <row r="29937" ht="12.75" x14ac:dyDescent="0.2"/>
    <row r="29938" ht="12.75" x14ac:dyDescent="0.2"/>
    <row r="29939" ht="12.75" x14ac:dyDescent="0.2"/>
    <row r="29940" ht="12.75" x14ac:dyDescent="0.2"/>
    <row r="29941" ht="12.75" x14ac:dyDescent="0.2"/>
    <row r="29942" ht="12.75" x14ac:dyDescent="0.2"/>
    <row r="29943" ht="12.75" x14ac:dyDescent="0.2"/>
    <row r="29944" ht="12.75" x14ac:dyDescent="0.2"/>
    <row r="29945" ht="12.75" x14ac:dyDescent="0.2"/>
    <row r="29946" ht="12.75" x14ac:dyDescent="0.2"/>
    <row r="29947" ht="12.75" x14ac:dyDescent="0.2"/>
    <row r="29948" ht="12.75" x14ac:dyDescent="0.2"/>
    <row r="29949" ht="12.75" x14ac:dyDescent="0.2"/>
    <row r="29950" ht="12.75" x14ac:dyDescent="0.2"/>
    <row r="29951" ht="12.75" x14ac:dyDescent="0.2"/>
    <row r="29952" ht="12.75" x14ac:dyDescent="0.2"/>
    <row r="29953" ht="12.75" x14ac:dyDescent="0.2"/>
    <row r="29954" ht="12.75" x14ac:dyDescent="0.2"/>
    <row r="29955" ht="12.75" x14ac:dyDescent="0.2"/>
    <row r="29956" ht="12.75" x14ac:dyDescent="0.2"/>
    <row r="29957" ht="12.75" x14ac:dyDescent="0.2"/>
    <row r="29958" ht="12.75" x14ac:dyDescent="0.2"/>
    <row r="29959" ht="12.75" x14ac:dyDescent="0.2"/>
    <row r="29960" ht="12.75" x14ac:dyDescent="0.2"/>
    <row r="29961" ht="12.75" x14ac:dyDescent="0.2"/>
    <row r="29962" ht="12.75" x14ac:dyDescent="0.2"/>
    <row r="29963" ht="12.75" x14ac:dyDescent="0.2"/>
    <row r="29964" ht="12.75" x14ac:dyDescent="0.2"/>
    <row r="29965" ht="12.75" x14ac:dyDescent="0.2"/>
    <row r="29966" ht="12.75" x14ac:dyDescent="0.2"/>
    <row r="29967" ht="12.75" x14ac:dyDescent="0.2"/>
    <row r="29968" ht="12.75" x14ac:dyDescent="0.2"/>
    <row r="29969" ht="12.75" x14ac:dyDescent="0.2"/>
    <row r="29970" ht="12.75" x14ac:dyDescent="0.2"/>
    <row r="29971" ht="12.75" x14ac:dyDescent="0.2"/>
    <row r="29972" ht="12.75" x14ac:dyDescent="0.2"/>
    <row r="29973" ht="12.75" x14ac:dyDescent="0.2"/>
    <row r="29974" ht="12.75" x14ac:dyDescent="0.2"/>
    <row r="29975" ht="12.75" x14ac:dyDescent="0.2"/>
    <row r="29976" ht="12.75" x14ac:dyDescent="0.2"/>
    <row r="29977" ht="12.75" x14ac:dyDescent="0.2"/>
    <row r="29978" ht="12.75" x14ac:dyDescent="0.2"/>
    <row r="29979" ht="12.75" x14ac:dyDescent="0.2"/>
    <row r="29980" ht="12.75" x14ac:dyDescent="0.2"/>
    <row r="29981" ht="12.75" x14ac:dyDescent="0.2"/>
    <row r="29982" ht="12.75" x14ac:dyDescent="0.2"/>
    <row r="29983" ht="12.75" x14ac:dyDescent="0.2"/>
    <row r="29984" ht="12.75" x14ac:dyDescent="0.2"/>
    <row r="29985" ht="12.75" x14ac:dyDescent="0.2"/>
    <row r="29986" ht="12.75" x14ac:dyDescent="0.2"/>
    <row r="29987" ht="12.75" x14ac:dyDescent="0.2"/>
    <row r="29988" ht="12.75" x14ac:dyDescent="0.2"/>
    <row r="29989" ht="12.75" x14ac:dyDescent="0.2"/>
    <row r="29990" ht="12.75" x14ac:dyDescent="0.2"/>
    <row r="29991" ht="12.75" x14ac:dyDescent="0.2"/>
    <row r="29992" ht="12.75" x14ac:dyDescent="0.2"/>
    <row r="29993" ht="12.75" x14ac:dyDescent="0.2"/>
    <row r="29994" ht="12.75" x14ac:dyDescent="0.2"/>
    <row r="29995" ht="12.75" x14ac:dyDescent="0.2"/>
    <row r="29996" ht="12.75" x14ac:dyDescent="0.2"/>
    <row r="29997" ht="12.75" x14ac:dyDescent="0.2"/>
    <row r="29998" ht="12.75" x14ac:dyDescent="0.2"/>
    <row r="29999" ht="12.75" x14ac:dyDescent="0.2"/>
    <row r="30000" ht="12.75" x14ac:dyDescent="0.2"/>
    <row r="30001" ht="12.75" x14ac:dyDescent="0.2"/>
    <row r="30002" ht="12.75" x14ac:dyDescent="0.2"/>
    <row r="30003" ht="12.75" x14ac:dyDescent="0.2"/>
    <row r="30004" ht="12.75" x14ac:dyDescent="0.2"/>
    <row r="30005" ht="12.75" x14ac:dyDescent="0.2"/>
    <row r="30006" ht="12.75" x14ac:dyDescent="0.2"/>
    <row r="30007" ht="12.75" x14ac:dyDescent="0.2"/>
    <row r="30008" ht="12.75" x14ac:dyDescent="0.2"/>
    <row r="30009" ht="12.75" x14ac:dyDescent="0.2"/>
    <row r="30010" ht="12.75" x14ac:dyDescent="0.2"/>
    <row r="30011" ht="12.75" x14ac:dyDescent="0.2"/>
    <row r="30012" ht="12.75" x14ac:dyDescent="0.2"/>
    <row r="30013" ht="12.75" x14ac:dyDescent="0.2"/>
    <row r="30014" ht="12.75" x14ac:dyDescent="0.2"/>
    <row r="30015" ht="12.75" x14ac:dyDescent="0.2"/>
    <row r="30016" ht="12.75" x14ac:dyDescent="0.2"/>
    <row r="30017" ht="12.75" x14ac:dyDescent="0.2"/>
    <row r="30018" ht="12.75" x14ac:dyDescent="0.2"/>
    <row r="30019" ht="12.75" x14ac:dyDescent="0.2"/>
    <row r="30020" ht="12.75" x14ac:dyDescent="0.2"/>
    <row r="30021" ht="12.75" x14ac:dyDescent="0.2"/>
    <row r="30022" ht="12.75" x14ac:dyDescent="0.2"/>
    <row r="30023" ht="12.75" x14ac:dyDescent="0.2"/>
    <row r="30024" ht="12.75" x14ac:dyDescent="0.2"/>
    <row r="30025" ht="12.75" x14ac:dyDescent="0.2"/>
    <row r="30026" ht="12.75" x14ac:dyDescent="0.2"/>
    <row r="30027" ht="12.75" x14ac:dyDescent="0.2"/>
    <row r="30028" ht="12.75" x14ac:dyDescent="0.2"/>
    <row r="30029" ht="12.75" x14ac:dyDescent="0.2"/>
    <row r="30030" ht="12.75" x14ac:dyDescent="0.2"/>
    <row r="30031" ht="12.75" x14ac:dyDescent="0.2"/>
    <row r="30032" ht="12.75" x14ac:dyDescent="0.2"/>
    <row r="30033" ht="12.75" x14ac:dyDescent="0.2"/>
    <row r="30034" ht="12.75" x14ac:dyDescent="0.2"/>
    <row r="30035" ht="12.75" x14ac:dyDescent="0.2"/>
    <row r="30036" ht="12.75" x14ac:dyDescent="0.2"/>
    <row r="30037" ht="12.75" x14ac:dyDescent="0.2"/>
    <row r="30038" ht="12.75" x14ac:dyDescent="0.2"/>
    <row r="30039" ht="12.75" x14ac:dyDescent="0.2"/>
    <row r="30040" ht="12.75" x14ac:dyDescent="0.2"/>
    <row r="30041" ht="12.75" x14ac:dyDescent="0.2"/>
    <row r="30042" ht="12.75" x14ac:dyDescent="0.2"/>
    <row r="30043" ht="12.75" x14ac:dyDescent="0.2"/>
    <row r="30044" ht="12.75" x14ac:dyDescent="0.2"/>
    <row r="30045" ht="12.75" x14ac:dyDescent="0.2"/>
    <row r="30046" ht="12.75" x14ac:dyDescent="0.2"/>
    <row r="30047" ht="12.75" x14ac:dyDescent="0.2"/>
    <row r="30048" ht="12.75" x14ac:dyDescent="0.2"/>
    <row r="30049" ht="12.75" x14ac:dyDescent="0.2"/>
    <row r="30050" ht="12.75" x14ac:dyDescent="0.2"/>
    <row r="30051" ht="12.75" x14ac:dyDescent="0.2"/>
    <row r="30052" ht="12.75" x14ac:dyDescent="0.2"/>
    <row r="30053" ht="12.75" x14ac:dyDescent="0.2"/>
    <row r="30054" ht="12.75" x14ac:dyDescent="0.2"/>
    <row r="30055" ht="12.75" x14ac:dyDescent="0.2"/>
    <row r="30056" ht="12.75" x14ac:dyDescent="0.2"/>
    <row r="30057" ht="12.75" x14ac:dyDescent="0.2"/>
    <row r="30058" ht="12.75" x14ac:dyDescent="0.2"/>
    <row r="30059" ht="12.75" x14ac:dyDescent="0.2"/>
    <row r="30060" ht="12.75" x14ac:dyDescent="0.2"/>
    <row r="30061" ht="12.75" x14ac:dyDescent="0.2"/>
    <row r="30062" ht="12.75" x14ac:dyDescent="0.2"/>
    <row r="30063" ht="12.75" x14ac:dyDescent="0.2"/>
    <row r="30064" ht="12.75" x14ac:dyDescent="0.2"/>
    <row r="30065" ht="12.75" x14ac:dyDescent="0.2"/>
    <row r="30066" ht="12.75" x14ac:dyDescent="0.2"/>
    <row r="30067" ht="12.75" x14ac:dyDescent="0.2"/>
    <row r="30068" ht="12.75" x14ac:dyDescent="0.2"/>
    <row r="30069" ht="12.75" x14ac:dyDescent="0.2"/>
    <row r="30070" ht="12.75" x14ac:dyDescent="0.2"/>
    <row r="30071" ht="12.75" x14ac:dyDescent="0.2"/>
    <row r="30072" ht="12.75" x14ac:dyDescent="0.2"/>
    <row r="30073" ht="12.75" x14ac:dyDescent="0.2"/>
    <row r="30074" ht="12.75" x14ac:dyDescent="0.2"/>
    <row r="30075" ht="12.75" x14ac:dyDescent="0.2"/>
    <row r="30076" ht="12.75" x14ac:dyDescent="0.2"/>
    <row r="30077" ht="12.75" x14ac:dyDescent="0.2"/>
    <row r="30078" ht="12.75" x14ac:dyDescent="0.2"/>
    <row r="30079" ht="12.75" x14ac:dyDescent="0.2"/>
    <row r="30080" ht="12.75" x14ac:dyDescent="0.2"/>
    <row r="30081" ht="12.75" x14ac:dyDescent="0.2"/>
    <row r="30082" ht="12.75" x14ac:dyDescent="0.2"/>
    <row r="30083" ht="12.75" x14ac:dyDescent="0.2"/>
    <row r="30084" ht="12.75" x14ac:dyDescent="0.2"/>
    <row r="30085" ht="12.75" x14ac:dyDescent="0.2"/>
    <row r="30086" ht="12.75" x14ac:dyDescent="0.2"/>
    <row r="30087" ht="12.75" x14ac:dyDescent="0.2"/>
    <row r="30088" ht="12.75" x14ac:dyDescent="0.2"/>
    <row r="30089" ht="12.75" x14ac:dyDescent="0.2"/>
    <row r="30090" ht="12.75" x14ac:dyDescent="0.2"/>
    <row r="30091" ht="12.75" x14ac:dyDescent="0.2"/>
    <row r="30092" ht="12.75" x14ac:dyDescent="0.2"/>
    <row r="30093" ht="12.75" x14ac:dyDescent="0.2"/>
    <row r="30094" ht="12.75" x14ac:dyDescent="0.2"/>
    <row r="30095" ht="12.75" x14ac:dyDescent="0.2"/>
    <row r="30096" ht="12.75" x14ac:dyDescent="0.2"/>
    <row r="30097" ht="12.75" x14ac:dyDescent="0.2"/>
    <row r="30098" ht="12.75" x14ac:dyDescent="0.2"/>
    <row r="30099" ht="12.75" x14ac:dyDescent="0.2"/>
    <row r="30100" ht="12.75" x14ac:dyDescent="0.2"/>
    <row r="30101" ht="12.75" x14ac:dyDescent="0.2"/>
    <row r="30102" ht="12.75" x14ac:dyDescent="0.2"/>
    <row r="30103" ht="12.75" x14ac:dyDescent="0.2"/>
    <row r="30104" ht="12.75" x14ac:dyDescent="0.2"/>
    <row r="30105" ht="12.75" x14ac:dyDescent="0.2"/>
    <row r="30106" ht="12.75" x14ac:dyDescent="0.2"/>
    <row r="30107" ht="12.75" x14ac:dyDescent="0.2"/>
    <row r="30108" ht="12.75" x14ac:dyDescent="0.2"/>
    <row r="30109" ht="12.75" x14ac:dyDescent="0.2"/>
    <row r="30110" ht="12.75" x14ac:dyDescent="0.2"/>
    <row r="30111" ht="12.75" x14ac:dyDescent="0.2"/>
    <row r="30112" ht="12.75" x14ac:dyDescent="0.2"/>
    <row r="30113" ht="12.75" x14ac:dyDescent="0.2"/>
    <row r="30114" ht="12.75" x14ac:dyDescent="0.2"/>
    <row r="30115" ht="12.75" x14ac:dyDescent="0.2"/>
    <row r="30116" ht="12.75" x14ac:dyDescent="0.2"/>
    <row r="30117" ht="12.75" x14ac:dyDescent="0.2"/>
    <row r="30118" ht="12.75" x14ac:dyDescent="0.2"/>
    <row r="30119" ht="12.75" x14ac:dyDescent="0.2"/>
    <row r="30120" ht="12.75" x14ac:dyDescent="0.2"/>
    <row r="30121" ht="12.75" x14ac:dyDescent="0.2"/>
    <row r="30122" ht="12.75" x14ac:dyDescent="0.2"/>
    <row r="30123" ht="12.75" x14ac:dyDescent="0.2"/>
    <row r="30124" ht="12.75" x14ac:dyDescent="0.2"/>
    <row r="30125" ht="12.75" x14ac:dyDescent="0.2"/>
    <row r="30126" ht="12.75" x14ac:dyDescent="0.2"/>
    <row r="30127" ht="12.75" x14ac:dyDescent="0.2"/>
    <row r="30128" ht="12.75" x14ac:dyDescent="0.2"/>
    <row r="30129" ht="12.75" x14ac:dyDescent="0.2"/>
    <row r="30130" ht="12.75" x14ac:dyDescent="0.2"/>
    <row r="30131" ht="12.75" x14ac:dyDescent="0.2"/>
    <row r="30132" ht="12.75" x14ac:dyDescent="0.2"/>
    <row r="30133" ht="12.75" x14ac:dyDescent="0.2"/>
    <row r="30134" ht="12.75" x14ac:dyDescent="0.2"/>
    <row r="30135" ht="12.75" x14ac:dyDescent="0.2"/>
    <row r="30136" ht="12.75" x14ac:dyDescent="0.2"/>
    <row r="30137" ht="12.75" x14ac:dyDescent="0.2"/>
    <row r="30138" ht="12.75" x14ac:dyDescent="0.2"/>
    <row r="30139" ht="12.75" x14ac:dyDescent="0.2"/>
    <row r="30140" ht="12.75" x14ac:dyDescent="0.2"/>
    <row r="30141" ht="12.75" x14ac:dyDescent="0.2"/>
    <row r="30142" ht="12.75" x14ac:dyDescent="0.2"/>
    <row r="30143" ht="12.75" x14ac:dyDescent="0.2"/>
    <row r="30144" ht="12.75" x14ac:dyDescent="0.2"/>
    <row r="30145" ht="12.75" x14ac:dyDescent="0.2"/>
    <row r="30146" ht="12.75" x14ac:dyDescent="0.2"/>
    <row r="30147" ht="12.75" x14ac:dyDescent="0.2"/>
    <row r="30148" ht="12.75" x14ac:dyDescent="0.2"/>
    <row r="30149" ht="12.75" x14ac:dyDescent="0.2"/>
    <row r="30150" ht="12.75" x14ac:dyDescent="0.2"/>
    <row r="30151" ht="12.75" x14ac:dyDescent="0.2"/>
    <row r="30152" ht="12.75" x14ac:dyDescent="0.2"/>
    <row r="30153" ht="12.75" x14ac:dyDescent="0.2"/>
    <row r="30154" ht="12.75" x14ac:dyDescent="0.2"/>
    <row r="30155" ht="12.75" x14ac:dyDescent="0.2"/>
    <row r="30156" ht="12.75" x14ac:dyDescent="0.2"/>
    <row r="30157" ht="12.75" x14ac:dyDescent="0.2"/>
    <row r="30158" ht="12.75" x14ac:dyDescent="0.2"/>
    <row r="30159" ht="12.75" x14ac:dyDescent="0.2"/>
    <row r="30160" ht="12.75" x14ac:dyDescent="0.2"/>
    <row r="30161" ht="12.75" x14ac:dyDescent="0.2"/>
    <row r="30162" ht="12.75" x14ac:dyDescent="0.2"/>
    <row r="30163" ht="12.75" x14ac:dyDescent="0.2"/>
    <row r="30164" ht="12.75" x14ac:dyDescent="0.2"/>
    <row r="30165" ht="12.75" x14ac:dyDescent="0.2"/>
    <row r="30166" ht="12.75" x14ac:dyDescent="0.2"/>
    <row r="30167" ht="12.75" x14ac:dyDescent="0.2"/>
    <row r="30168" ht="12.75" x14ac:dyDescent="0.2"/>
    <row r="30169" ht="12.75" x14ac:dyDescent="0.2"/>
    <row r="30170" ht="12.75" x14ac:dyDescent="0.2"/>
    <row r="30171" ht="12.75" x14ac:dyDescent="0.2"/>
    <row r="30172" ht="12.75" x14ac:dyDescent="0.2"/>
    <row r="30173" ht="12.75" x14ac:dyDescent="0.2"/>
    <row r="30174" ht="12.75" x14ac:dyDescent="0.2"/>
    <row r="30175" ht="12.75" x14ac:dyDescent="0.2"/>
    <row r="30176" ht="12.75" x14ac:dyDescent="0.2"/>
    <row r="30177" ht="12.75" x14ac:dyDescent="0.2"/>
    <row r="30178" ht="12.75" x14ac:dyDescent="0.2"/>
    <row r="30179" ht="12.75" x14ac:dyDescent="0.2"/>
    <row r="30180" ht="12.75" x14ac:dyDescent="0.2"/>
    <row r="30181" ht="12.75" x14ac:dyDescent="0.2"/>
    <row r="30182" ht="12.75" x14ac:dyDescent="0.2"/>
    <row r="30183" ht="12.75" x14ac:dyDescent="0.2"/>
    <row r="30184" ht="12.75" x14ac:dyDescent="0.2"/>
    <row r="30185" ht="12.75" x14ac:dyDescent="0.2"/>
    <row r="30186" ht="12.75" x14ac:dyDescent="0.2"/>
    <row r="30187" ht="12.75" x14ac:dyDescent="0.2"/>
    <row r="30188" ht="12.75" x14ac:dyDescent="0.2"/>
    <row r="30189" ht="12.75" x14ac:dyDescent="0.2"/>
    <row r="30190" ht="12.75" x14ac:dyDescent="0.2"/>
    <row r="30191" ht="12.75" x14ac:dyDescent="0.2"/>
    <row r="30192" ht="12.75" x14ac:dyDescent="0.2"/>
    <row r="30193" ht="12.75" x14ac:dyDescent="0.2"/>
    <row r="30194" ht="12.75" x14ac:dyDescent="0.2"/>
    <row r="30195" ht="12.75" x14ac:dyDescent="0.2"/>
    <row r="30196" ht="12.75" x14ac:dyDescent="0.2"/>
    <row r="30197" ht="12.75" x14ac:dyDescent="0.2"/>
    <row r="30198" ht="12.75" x14ac:dyDescent="0.2"/>
    <row r="30199" ht="12.75" x14ac:dyDescent="0.2"/>
    <row r="30200" ht="12.75" x14ac:dyDescent="0.2"/>
    <row r="30201" ht="12.75" x14ac:dyDescent="0.2"/>
    <row r="30202" ht="12.75" x14ac:dyDescent="0.2"/>
    <row r="30203" ht="12.75" x14ac:dyDescent="0.2"/>
    <row r="30204" ht="12.75" x14ac:dyDescent="0.2"/>
    <row r="30205" ht="12.75" x14ac:dyDescent="0.2"/>
    <row r="30206" ht="12.75" x14ac:dyDescent="0.2"/>
    <row r="30207" ht="12.75" x14ac:dyDescent="0.2"/>
    <row r="30208" ht="12.75" x14ac:dyDescent="0.2"/>
    <row r="30209" ht="12.75" x14ac:dyDescent="0.2"/>
    <row r="30210" ht="12.75" x14ac:dyDescent="0.2"/>
    <row r="30211" ht="12.75" x14ac:dyDescent="0.2"/>
    <row r="30212" ht="12.75" x14ac:dyDescent="0.2"/>
    <row r="30213" ht="12.75" x14ac:dyDescent="0.2"/>
    <row r="30214" ht="12.75" x14ac:dyDescent="0.2"/>
    <row r="30215" ht="12.75" x14ac:dyDescent="0.2"/>
    <row r="30216" ht="12.75" x14ac:dyDescent="0.2"/>
    <row r="30217" ht="12.75" x14ac:dyDescent="0.2"/>
    <row r="30218" ht="12.75" x14ac:dyDescent="0.2"/>
    <row r="30219" ht="12.75" x14ac:dyDescent="0.2"/>
    <row r="30220" ht="12.75" x14ac:dyDescent="0.2"/>
    <row r="30221" ht="12.75" x14ac:dyDescent="0.2"/>
    <row r="30222" ht="12.75" x14ac:dyDescent="0.2"/>
    <row r="30223" ht="12.75" x14ac:dyDescent="0.2"/>
    <row r="30224" ht="12.75" x14ac:dyDescent="0.2"/>
    <row r="30225" ht="12.75" x14ac:dyDescent="0.2"/>
    <row r="30226" ht="12.75" x14ac:dyDescent="0.2"/>
    <row r="30227" ht="12.75" x14ac:dyDescent="0.2"/>
    <row r="30228" ht="12.75" x14ac:dyDescent="0.2"/>
    <row r="30229" ht="12.75" x14ac:dyDescent="0.2"/>
    <row r="30230" ht="12.75" x14ac:dyDescent="0.2"/>
    <row r="30231" ht="12.75" x14ac:dyDescent="0.2"/>
    <row r="30232" ht="12.75" x14ac:dyDescent="0.2"/>
    <row r="30233" ht="12.75" x14ac:dyDescent="0.2"/>
    <row r="30234" ht="12.75" x14ac:dyDescent="0.2"/>
    <row r="30235" ht="12.75" x14ac:dyDescent="0.2"/>
    <row r="30236" ht="12.75" x14ac:dyDescent="0.2"/>
    <row r="30237" ht="12.75" x14ac:dyDescent="0.2"/>
    <row r="30238" ht="12.75" x14ac:dyDescent="0.2"/>
    <row r="30239" ht="12.75" x14ac:dyDescent="0.2"/>
    <row r="30240" ht="12.75" x14ac:dyDescent="0.2"/>
    <row r="30241" ht="12.75" x14ac:dyDescent="0.2"/>
    <row r="30242" ht="12.75" x14ac:dyDescent="0.2"/>
    <row r="30243" ht="12.75" x14ac:dyDescent="0.2"/>
    <row r="30244" ht="12.75" x14ac:dyDescent="0.2"/>
    <row r="30245" ht="12.75" x14ac:dyDescent="0.2"/>
    <row r="30246" ht="12.75" x14ac:dyDescent="0.2"/>
    <row r="30247" ht="12.75" x14ac:dyDescent="0.2"/>
    <row r="30248" ht="12.75" x14ac:dyDescent="0.2"/>
    <row r="30249" ht="12.75" x14ac:dyDescent="0.2"/>
    <row r="30250" ht="12.75" x14ac:dyDescent="0.2"/>
    <row r="30251" ht="12.75" x14ac:dyDescent="0.2"/>
    <row r="30252" ht="12.75" x14ac:dyDescent="0.2"/>
    <row r="30253" ht="12.75" x14ac:dyDescent="0.2"/>
    <row r="30254" ht="12.75" x14ac:dyDescent="0.2"/>
    <row r="30255" ht="12.75" x14ac:dyDescent="0.2"/>
    <row r="30256" ht="12.75" x14ac:dyDescent="0.2"/>
    <row r="30257" ht="12.75" x14ac:dyDescent="0.2"/>
    <row r="30258" ht="12.75" x14ac:dyDescent="0.2"/>
    <row r="30259" ht="12.75" x14ac:dyDescent="0.2"/>
    <row r="30260" ht="12.75" x14ac:dyDescent="0.2"/>
    <row r="30261" ht="12.75" x14ac:dyDescent="0.2"/>
    <row r="30262" ht="12.75" x14ac:dyDescent="0.2"/>
    <row r="30263" ht="12.75" x14ac:dyDescent="0.2"/>
    <row r="30264" ht="12.75" x14ac:dyDescent="0.2"/>
    <row r="30265" ht="12.75" x14ac:dyDescent="0.2"/>
    <row r="30266" ht="12.75" x14ac:dyDescent="0.2"/>
    <row r="30267" ht="12.75" x14ac:dyDescent="0.2"/>
    <row r="30268" ht="12.75" x14ac:dyDescent="0.2"/>
    <row r="30269" ht="12.75" x14ac:dyDescent="0.2"/>
    <row r="30270" ht="12.75" x14ac:dyDescent="0.2"/>
    <row r="30271" ht="12.75" x14ac:dyDescent="0.2"/>
    <row r="30272" ht="12.75" x14ac:dyDescent="0.2"/>
    <row r="30273" ht="12.75" x14ac:dyDescent="0.2"/>
    <row r="30274" ht="12.75" x14ac:dyDescent="0.2"/>
    <row r="30275" ht="12.75" x14ac:dyDescent="0.2"/>
    <row r="30276" ht="12.75" x14ac:dyDescent="0.2"/>
    <row r="30277" ht="12.75" x14ac:dyDescent="0.2"/>
    <row r="30278" ht="12.75" x14ac:dyDescent="0.2"/>
    <row r="30279" ht="12.75" x14ac:dyDescent="0.2"/>
    <row r="30280" ht="12.75" x14ac:dyDescent="0.2"/>
    <row r="30281" ht="12.75" x14ac:dyDescent="0.2"/>
    <row r="30282" ht="12.75" x14ac:dyDescent="0.2"/>
    <row r="30283" ht="12.75" x14ac:dyDescent="0.2"/>
    <row r="30284" ht="12.75" x14ac:dyDescent="0.2"/>
    <row r="30285" ht="12.75" x14ac:dyDescent="0.2"/>
    <row r="30286" ht="12.75" x14ac:dyDescent="0.2"/>
    <row r="30287" ht="12.75" x14ac:dyDescent="0.2"/>
    <row r="30288" ht="12.75" x14ac:dyDescent="0.2"/>
    <row r="30289" ht="12.75" x14ac:dyDescent="0.2"/>
    <row r="30290" ht="12.75" x14ac:dyDescent="0.2"/>
    <row r="30291" ht="12.75" x14ac:dyDescent="0.2"/>
    <row r="30292" ht="12.75" x14ac:dyDescent="0.2"/>
    <row r="30293" ht="12.75" x14ac:dyDescent="0.2"/>
    <row r="30294" ht="12.75" x14ac:dyDescent="0.2"/>
    <row r="30295" ht="12.75" x14ac:dyDescent="0.2"/>
    <row r="30296" ht="12.75" x14ac:dyDescent="0.2"/>
    <row r="30297" ht="12.75" x14ac:dyDescent="0.2"/>
    <row r="30298" ht="12.75" x14ac:dyDescent="0.2"/>
    <row r="30299" ht="12.75" x14ac:dyDescent="0.2"/>
    <row r="30300" ht="12.75" x14ac:dyDescent="0.2"/>
    <row r="30301" ht="12.75" x14ac:dyDescent="0.2"/>
    <row r="30302" ht="12.75" x14ac:dyDescent="0.2"/>
    <row r="30303" ht="12.75" x14ac:dyDescent="0.2"/>
    <row r="30304" ht="12.75" x14ac:dyDescent="0.2"/>
    <row r="30305" ht="12.75" x14ac:dyDescent="0.2"/>
    <row r="30306" ht="12.75" x14ac:dyDescent="0.2"/>
    <row r="30307" ht="12.75" x14ac:dyDescent="0.2"/>
    <row r="30308" ht="12.75" x14ac:dyDescent="0.2"/>
    <row r="30309" ht="12.75" x14ac:dyDescent="0.2"/>
    <row r="30310" ht="12.75" x14ac:dyDescent="0.2"/>
    <row r="30311" ht="12.75" x14ac:dyDescent="0.2"/>
    <row r="30312" ht="12.75" x14ac:dyDescent="0.2"/>
    <row r="30313" ht="12.75" x14ac:dyDescent="0.2"/>
    <row r="30314" ht="12.75" x14ac:dyDescent="0.2"/>
    <row r="30315" ht="12.75" x14ac:dyDescent="0.2"/>
    <row r="30316" ht="12.75" x14ac:dyDescent="0.2"/>
    <row r="30317" ht="12.75" x14ac:dyDescent="0.2"/>
    <row r="30318" ht="12.75" x14ac:dyDescent="0.2"/>
    <row r="30319" ht="12.75" x14ac:dyDescent="0.2"/>
    <row r="30320" ht="12.75" x14ac:dyDescent="0.2"/>
    <row r="30321" ht="12.75" x14ac:dyDescent="0.2"/>
    <row r="30322" ht="12.75" x14ac:dyDescent="0.2"/>
    <row r="30323" ht="12.75" x14ac:dyDescent="0.2"/>
    <row r="30324" ht="12.75" x14ac:dyDescent="0.2"/>
    <row r="30325" ht="12.75" x14ac:dyDescent="0.2"/>
    <row r="30326" ht="12.75" x14ac:dyDescent="0.2"/>
    <row r="30327" ht="12.75" x14ac:dyDescent="0.2"/>
    <row r="30328" ht="12.75" x14ac:dyDescent="0.2"/>
    <row r="30329" ht="12.75" x14ac:dyDescent="0.2"/>
    <row r="30330" ht="12.75" x14ac:dyDescent="0.2"/>
    <row r="30331" ht="12.75" x14ac:dyDescent="0.2"/>
    <row r="30332" ht="12.75" x14ac:dyDescent="0.2"/>
    <row r="30333" ht="12.75" x14ac:dyDescent="0.2"/>
    <row r="30334" ht="12.75" x14ac:dyDescent="0.2"/>
    <row r="30335" ht="12.75" x14ac:dyDescent="0.2"/>
    <row r="30336" ht="12.75" x14ac:dyDescent="0.2"/>
    <row r="30337" ht="12.75" x14ac:dyDescent="0.2"/>
    <row r="30338" ht="12.75" x14ac:dyDescent="0.2"/>
    <row r="30339" ht="12.75" x14ac:dyDescent="0.2"/>
    <row r="30340" ht="12.75" x14ac:dyDescent="0.2"/>
    <row r="30341" ht="12.75" x14ac:dyDescent="0.2"/>
    <row r="30342" ht="12.75" x14ac:dyDescent="0.2"/>
    <row r="30343" ht="12.75" x14ac:dyDescent="0.2"/>
    <row r="30344" ht="12.75" x14ac:dyDescent="0.2"/>
    <row r="30345" ht="12.75" x14ac:dyDescent="0.2"/>
    <row r="30346" ht="12.75" x14ac:dyDescent="0.2"/>
    <row r="30347" ht="12.75" x14ac:dyDescent="0.2"/>
    <row r="30348" ht="12.75" x14ac:dyDescent="0.2"/>
    <row r="30349" ht="12.75" x14ac:dyDescent="0.2"/>
    <row r="30350" ht="12.75" x14ac:dyDescent="0.2"/>
    <row r="30351" ht="12.75" x14ac:dyDescent="0.2"/>
    <row r="30352" ht="12.75" x14ac:dyDescent="0.2"/>
    <row r="30353" ht="12.75" x14ac:dyDescent="0.2"/>
    <row r="30354" ht="12.75" x14ac:dyDescent="0.2"/>
    <row r="30355" ht="12.75" x14ac:dyDescent="0.2"/>
    <row r="30356" ht="12.75" x14ac:dyDescent="0.2"/>
    <row r="30357" ht="12.75" x14ac:dyDescent="0.2"/>
    <row r="30358" ht="12.75" x14ac:dyDescent="0.2"/>
    <row r="30359" ht="12.75" x14ac:dyDescent="0.2"/>
    <row r="30360" ht="12.75" x14ac:dyDescent="0.2"/>
    <row r="30361" ht="12.75" x14ac:dyDescent="0.2"/>
    <row r="30362" ht="12.75" x14ac:dyDescent="0.2"/>
    <row r="30363" ht="12.75" x14ac:dyDescent="0.2"/>
    <row r="30364" ht="12.75" x14ac:dyDescent="0.2"/>
    <row r="30365" ht="12.75" x14ac:dyDescent="0.2"/>
    <row r="30366" ht="12.75" x14ac:dyDescent="0.2"/>
    <row r="30367" ht="12.75" x14ac:dyDescent="0.2"/>
    <row r="30368" ht="12.75" x14ac:dyDescent="0.2"/>
    <row r="30369" ht="12.75" x14ac:dyDescent="0.2"/>
    <row r="30370" ht="12.75" x14ac:dyDescent="0.2"/>
    <row r="30371" ht="12.75" x14ac:dyDescent="0.2"/>
    <row r="30372" ht="12.75" x14ac:dyDescent="0.2"/>
    <row r="30373" ht="12.75" x14ac:dyDescent="0.2"/>
    <row r="30374" ht="12.75" x14ac:dyDescent="0.2"/>
    <row r="30375" ht="12.75" x14ac:dyDescent="0.2"/>
    <row r="30376" ht="12.75" x14ac:dyDescent="0.2"/>
    <row r="30377" ht="12.75" x14ac:dyDescent="0.2"/>
    <row r="30378" ht="12.75" x14ac:dyDescent="0.2"/>
    <row r="30379" ht="12.75" x14ac:dyDescent="0.2"/>
    <row r="30380" ht="12.75" x14ac:dyDescent="0.2"/>
    <row r="30381" ht="12.75" x14ac:dyDescent="0.2"/>
    <row r="30382" ht="12.75" x14ac:dyDescent="0.2"/>
    <row r="30383" ht="12.75" x14ac:dyDescent="0.2"/>
    <row r="30384" ht="12.75" x14ac:dyDescent="0.2"/>
    <row r="30385" ht="12.75" x14ac:dyDescent="0.2"/>
    <row r="30386" ht="12.75" x14ac:dyDescent="0.2"/>
    <row r="30387" ht="12.75" x14ac:dyDescent="0.2"/>
    <row r="30388" ht="12.75" x14ac:dyDescent="0.2"/>
    <row r="30389" ht="12.75" x14ac:dyDescent="0.2"/>
    <row r="30390" ht="12.75" x14ac:dyDescent="0.2"/>
    <row r="30391" ht="12.75" x14ac:dyDescent="0.2"/>
    <row r="30392" ht="12.75" x14ac:dyDescent="0.2"/>
    <row r="30393" ht="12.75" x14ac:dyDescent="0.2"/>
    <row r="30394" ht="12.75" x14ac:dyDescent="0.2"/>
    <row r="30395" ht="12.75" x14ac:dyDescent="0.2"/>
    <row r="30396" ht="12.75" x14ac:dyDescent="0.2"/>
    <row r="30397" ht="12.75" x14ac:dyDescent="0.2"/>
    <row r="30398" ht="12.75" x14ac:dyDescent="0.2"/>
    <row r="30399" ht="12.75" x14ac:dyDescent="0.2"/>
    <row r="30400" ht="12.75" x14ac:dyDescent="0.2"/>
    <row r="30401" ht="12.75" x14ac:dyDescent="0.2"/>
    <row r="30402" ht="12.75" x14ac:dyDescent="0.2"/>
    <row r="30403" ht="12.75" x14ac:dyDescent="0.2"/>
    <row r="30404" ht="12.75" x14ac:dyDescent="0.2"/>
    <row r="30405" ht="12.75" x14ac:dyDescent="0.2"/>
    <row r="30406" ht="12.75" x14ac:dyDescent="0.2"/>
    <row r="30407" ht="12.75" x14ac:dyDescent="0.2"/>
    <row r="30408" ht="12.75" x14ac:dyDescent="0.2"/>
    <row r="30409" ht="12.75" x14ac:dyDescent="0.2"/>
    <row r="30410" ht="12.75" x14ac:dyDescent="0.2"/>
    <row r="30411" ht="12.75" x14ac:dyDescent="0.2"/>
    <row r="30412" ht="12.75" x14ac:dyDescent="0.2"/>
    <row r="30413" ht="12.75" x14ac:dyDescent="0.2"/>
    <row r="30414" ht="12.75" x14ac:dyDescent="0.2"/>
    <row r="30415" ht="12.75" x14ac:dyDescent="0.2"/>
    <row r="30416" ht="12.75" x14ac:dyDescent="0.2"/>
    <row r="30417" ht="12.75" x14ac:dyDescent="0.2"/>
    <row r="30418" ht="12.75" x14ac:dyDescent="0.2"/>
    <row r="30419" ht="12.75" x14ac:dyDescent="0.2"/>
    <row r="30420" ht="12.75" x14ac:dyDescent="0.2"/>
    <row r="30421" ht="12.75" x14ac:dyDescent="0.2"/>
    <row r="30422" ht="12.75" x14ac:dyDescent="0.2"/>
    <row r="30423" ht="12.75" x14ac:dyDescent="0.2"/>
    <row r="30424" ht="12.75" x14ac:dyDescent="0.2"/>
    <row r="30425" ht="12.75" x14ac:dyDescent="0.2"/>
    <row r="30426" ht="12.75" x14ac:dyDescent="0.2"/>
    <row r="30427" ht="12.75" x14ac:dyDescent="0.2"/>
    <row r="30428" ht="12.75" x14ac:dyDescent="0.2"/>
    <row r="30429" ht="12.75" x14ac:dyDescent="0.2"/>
    <row r="30430" ht="12.75" x14ac:dyDescent="0.2"/>
    <row r="30431" ht="12.75" x14ac:dyDescent="0.2"/>
    <row r="30432" ht="12.75" x14ac:dyDescent="0.2"/>
    <row r="30433" ht="12.75" x14ac:dyDescent="0.2"/>
    <row r="30434" ht="12.75" x14ac:dyDescent="0.2"/>
    <row r="30435" ht="12.75" x14ac:dyDescent="0.2"/>
    <row r="30436" ht="12.75" x14ac:dyDescent="0.2"/>
    <row r="30437" ht="12.75" x14ac:dyDescent="0.2"/>
    <row r="30438" ht="12.75" x14ac:dyDescent="0.2"/>
    <row r="30439" ht="12.75" x14ac:dyDescent="0.2"/>
    <row r="30440" ht="12.75" x14ac:dyDescent="0.2"/>
    <row r="30441" ht="12.75" x14ac:dyDescent="0.2"/>
    <row r="30442" ht="12.75" x14ac:dyDescent="0.2"/>
    <row r="30443" ht="12.75" x14ac:dyDescent="0.2"/>
    <row r="30444" ht="12.75" x14ac:dyDescent="0.2"/>
    <row r="30445" ht="12.75" x14ac:dyDescent="0.2"/>
    <row r="30446" ht="12.75" x14ac:dyDescent="0.2"/>
    <row r="30447" ht="12.75" x14ac:dyDescent="0.2"/>
    <row r="30448" ht="12.75" x14ac:dyDescent="0.2"/>
    <row r="30449" ht="12.75" x14ac:dyDescent="0.2"/>
    <row r="30450" ht="12.75" x14ac:dyDescent="0.2"/>
    <row r="30451" ht="12.75" x14ac:dyDescent="0.2"/>
    <row r="30452" ht="12.75" x14ac:dyDescent="0.2"/>
    <row r="30453" ht="12.75" x14ac:dyDescent="0.2"/>
    <row r="30454" ht="12.75" x14ac:dyDescent="0.2"/>
    <row r="30455" ht="12.75" x14ac:dyDescent="0.2"/>
    <row r="30456" ht="12.75" x14ac:dyDescent="0.2"/>
    <row r="30457" ht="12.75" x14ac:dyDescent="0.2"/>
    <row r="30458" ht="12.75" x14ac:dyDescent="0.2"/>
    <row r="30459" ht="12.75" x14ac:dyDescent="0.2"/>
    <row r="30460" ht="12.75" x14ac:dyDescent="0.2"/>
    <row r="30461" ht="12.75" x14ac:dyDescent="0.2"/>
    <row r="30462" ht="12.75" x14ac:dyDescent="0.2"/>
    <row r="30463" ht="12.75" x14ac:dyDescent="0.2"/>
    <row r="30464" ht="12.75" x14ac:dyDescent="0.2"/>
    <row r="30465" ht="12.75" x14ac:dyDescent="0.2"/>
    <row r="30466" ht="12.75" x14ac:dyDescent="0.2"/>
    <row r="30467" ht="12.75" x14ac:dyDescent="0.2"/>
    <row r="30468" ht="12.75" x14ac:dyDescent="0.2"/>
    <row r="30469" ht="12.75" x14ac:dyDescent="0.2"/>
    <row r="30470" ht="12.75" x14ac:dyDescent="0.2"/>
    <row r="30471" ht="12.75" x14ac:dyDescent="0.2"/>
    <row r="30472" ht="12.75" x14ac:dyDescent="0.2"/>
    <row r="30473" ht="12.75" x14ac:dyDescent="0.2"/>
    <row r="30474" ht="12.75" x14ac:dyDescent="0.2"/>
    <row r="30475" ht="12.75" x14ac:dyDescent="0.2"/>
    <row r="30476" ht="12.75" x14ac:dyDescent="0.2"/>
    <row r="30477" ht="12.75" x14ac:dyDescent="0.2"/>
    <row r="30478" ht="12.75" x14ac:dyDescent="0.2"/>
    <row r="30479" ht="12.75" x14ac:dyDescent="0.2"/>
    <row r="30480" ht="12.75" x14ac:dyDescent="0.2"/>
    <row r="30481" ht="12.75" x14ac:dyDescent="0.2"/>
    <row r="30482" ht="12.75" x14ac:dyDescent="0.2"/>
    <row r="30483" ht="12.75" x14ac:dyDescent="0.2"/>
    <row r="30484" ht="12.75" x14ac:dyDescent="0.2"/>
    <row r="30485" ht="12.75" x14ac:dyDescent="0.2"/>
    <row r="30486" ht="12.75" x14ac:dyDescent="0.2"/>
    <row r="30487" ht="12.75" x14ac:dyDescent="0.2"/>
    <row r="30488" ht="12.75" x14ac:dyDescent="0.2"/>
    <row r="30489" ht="12.75" x14ac:dyDescent="0.2"/>
    <row r="30490" ht="12.75" x14ac:dyDescent="0.2"/>
    <row r="30491" ht="12.75" x14ac:dyDescent="0.2"/>
    <row r="30492" ht="12.75" x14ac:dyDescent="0.2"/>
    <row r="30493" ht="12.75" x14ac:dyDescent="0.2"/>
    <row r="30494" ht="12.75" x14ac:dyDescent="0.2"/>
    <row r="30495" ht="12.75" x14ac:dyDescent="0.2"/>
    <row r="30496" ht="12.75" x14ac:dyDescent="0.2"/>
    <row r="30497" ht="12.75" x14ac:dyDescent="0.2"/>
    <row r="30498" ht="12.75" x14ac:dyDescent="0.2"/>
    <row r="30499" ht="12.75" x14ac:dyDescent="0.2"/>
    <row r="30500" ht="12.75" x14ac:dyDescent="0.2"/>
    <row r="30501" ht="12.75" x14ac:dyDescent="0.2"/>
    <row r="30502" ht="12.75" x14ac:dyDescent="0.2"/>
    <row r="30503" ht="12.75" x14ac:dyDescent="0.2"/>
    <row r="30504" ht="12.75" x14ac:dyDescent="0.2"/>
    <row r="30505" ht="12.75" x14ac:dyDescent="0.2"/>
    <row r="30506" ht="12.75" x14ac:dyDescent="0.2"/>
    <row r="30507" ht="12.75" x14ac:dyDescent="0.2"/>
    <row r="30508" ht="12.75" x14ac:dyDescent="0.2"/>
    <row r="30509" ht="12.75" x14ac:dyDescent="0.2"/>
    <row r="30510" ht="12.75" x14ac:dyDescent="0.2"/>
    <row r="30511" ht="12.75" x14ac:dyDescent="0.2"/>
    <row r="30512" ht="12.75" x14ac:dyDescent="0.2"/>
    <row r="30513" ht="12.75" x14ac:dyDescent="0.2"/>
    <row r="30514" ht="12.75" x14ac:dyDescent="0.2"/>
    <row r="30515" ht="12.75" x14ac:dyDescent="0.2"/>
    <row r="30516" ht="12.75" x14ac:dyDescent="0.2"/>
    <row r="30517" ht="12.75" x14ac:dyDescent="0.2"/>
    <row r="30518" ht="12.75" x14ac:dyDescent="0.2"/>
    <row r="30519" ht="12.75" x14ac:dyDescent="0.2"/>
    <row r="30520" ht="12.75" x14ac:dyDescent="0.2"/>
    <row r="30521" ht="12.75" x14ac:dyDescent="0.2"/>
    <row r="30522" ht="12.75" x14ac:dyDescent="0.2"/>
    <row r="30523" ht="12.75" x14ac:dyDescent="0.2"/>
    <row r="30524" ht="12.75" x14ac:dyDescent="0.2"/>
    <row r="30525" ht="12.75" x14ac:dyDescent="0.2"/>
    <row r="30526" ht="12.75" x14ac:dyDescent="0.2"/>
    <row r="30527" ht="12.75" x14ac:dyDescent="0.2"/>
    <row r="30528" ht="12.75" x14ac:dyDescent="0.2"/>
    <row r="30529" ht="12.75" x14ac:dyDescent="0.2"/>
    <row r="30530" ht="12.75" x14ac:dyDescent="0.2"/>
    <row r="30531" ht="12.75" x14ac:dyDescent="0.2"/>
    <row r="30532" ht="12.75" x14ac:dyDescent="0.2"/>
    <row r="30533" ht="12.75" x14ac:dyDescent="0.2"/>
    <row r="30534" ht="12.75" x14ac:dyDescent="0.2"/>
    <row r="30535" ht="12.75" x14ac:dyDescent="0.2"/>
    <row r="30536" ht="12.75" x14ac:dyDescent="0.2"/>
    <row r="30537" ht="12.75" x14ac:dyDescent="0.2"/>
    <row r="30538" ht="12.75" x14ac:dyDescent="0.2"/>
    <row r="30539" ht="12.75" x14ac:dyDescent="0.2"/>
    <row r="30540" ht="12.75" x14ac:dyDescent="0.2"/>
    <row r="30541" ht="12.75" x14ac:dyDescent="0.2"/>
    <row r="30542" ht="12.75" x14ac:dyDescent="0.2"/>
    <row r="30543" ht="12.75" x14ac:dyDescent="0.2"/>
    <row r="30544" ht="12.75" x14ac:dyDescent="0.2"/>
    <row r="30545" ht="12.75" x14ac:dyDescent="0.2"/>
    <row r="30546" ht="12.75" x14ac:dyDescent="0.2"/>
    <row r="30547" ht="12.75" x14ac:dyDescent="0.2"/>
    <row r="30548" ht="12.75" x14ac:dyDescent="0.2"/>
    <row r="30549" ht="12.75" x14ac:dyDescent="0.2"/>
    <row r="30550" ht="12.75" x14ac:dyDescent="0.2"/>
    <row r="30551" ht="12.75" x14ac:dyDescent="0.2"/>
    <row r="30552" ht="12.75" x14ac:dyDescent="0.2"/>
    <row r="30553" ht="12.75" x14ac:dyDescent="0.2"/>
    <row r="30554" ht="12.75" x14ac:dyDescent="0.2"/>
    <row r="30555" ht="12.75" x14ac:dyDescent="0.2"/>
    <row r="30556" ht="12.75" x14ac:dyDescent="0.2"/>
    <row r="30557" ht="12.75" x14ac:dyDescent="0.2"/>
    <row r="30558" ht="12.75" x14ac:dyDescent="0.2"/>
    <row r="30559" ht="12.75" x14ac:dyDescent="0.2"/>
    <row r="30560" ht="12.75" x14ac:dyDescent="0.2"/>
    <row r="30561" ht="12.75" x14ac:dyDescent="0.2"/>
    <row r="30562" ht="12.75" x14ac:dyDescent="0.2"/>
    <row r="30563" ht="12.75" x14ac:dyDescent="0.2"/>
    <row r="30564" ht="12.75" x14ac:dyDescent="0.2"/>
    <row r="30565" ht="12.75" x14ac:dyDescent="0.2"/>
    <row r="30566" ht="12.75" x14ac:dyDescent="0.2"/>
    <row r="30567" ht="12.75" x14ac:dyDescent="0.2"/>
    <row r="30568" ht="12.75" x14ac:dyDescent="0.2"/>
    <row r="30569" ht="12.75" x14ac:dyDescent="0.2"/>
    <row r="30570" ht="12.75" x14ac:dyDescent="0.2"/>
    <row r="30571" ht="12.75" x14ac:dyDescent="0.2"/>
    <row r="30572" ht="12.75" x14ac:dyDescent="0.2"/>
    <row r="30573" ht="12.75" x14ac:dyDescent="0.2"/>
    <row r="30574" ht="12.75" x14ac:dyDescent="0.2"/>
    <row r="30575" ht="12.75" x14ac:dyDescent="0.2"/>
    <row r="30576" ht="12.75" x14ac:dyDescent="0.2"/>
    <row r="30577" ht="12.75" x14ac:dyDescent="0.2"/>
    <row r="30578" ht="12.75" x14ac:dyDescent="0.2"/>
    <row r="30579" ht="12.75" x14ac:dyDescent="0.2"/>
    <row r="30580" ht="12.75" x14ac:dyDescent="0.2"/>
    <row r="30581" ht="12.75" x14ac:dyDescent="0.2"/>
    <row r="30582" ht="12.75" x14ac:dyDescent="0.2"/>
    <row r="30583" ht="12.75" x14ac:dyDescent="0.2"/>
    <row r="30584" ht="12.75" x14ac:dyDescent="0.2"/>
    <row r="30585" ht="12.75" x14ac:dyDescent="0.2"/>
    <row r="30586" ht="12.75" x14ac:dyDescent="0.2"/>
    <row r="30587" ht="12.75" x14ac:dyDescent="0.2"/>
    <row r="30588" ht="12.75" x14ac:dyDescent="0.2"/>
    <row r="30589" ht="12.75" x14ac:dyDescent="0.2"/>
    <row r="30590" ht="12.75" x14ac:dyDescent="0.2"/>
    <row r="30591" ht="12.75" x14ac:dyDescent="0.2"/>
    <row r="30592" ht="12.75" x14ac:dyDescent="0.2"/>
    <row r="30593" ht="12.75" x14ac:dyDescent="0.2"/>
    <row r="30594" ht="12.75" x14ac:dyDescent="0.2"/>
    <row r="30595" ht="12.75" x14ac:dyDescent="0.2"/>
    <row r="30596" ht="12.75" x14ac:dyDescent="0.2"/>
    <row r="30597" ht="12.75" x14ac:dyDescent="0.2"/>
    <row r="30598" ht="12.75" x14ac:dyDescent="0.2"/>
    <row r="30599" ht="12.75" x14ac:dyDescent="0.2"/>
    <row r="30600" ht="12.75" x14ac:dyDescent="0.2"/>
    <row r="30601" ht="12.75" x14ac:dyDescent="0.2"/>
    <row r="30602" ht="12.75" x14ac:dyDescent="0.2"/>
    <row r="30603" ht="12.75" x14ac:dyDescent="0.2"/>
    <row r="30604" ht="12.75" x14ac:dyDescent="0.2"/>
    <row r="30605" ht="12.75" x14ac:dyDescent="0.2"/>
    <row r="30606" ht="12.75" x14ac:dyDescent="0.2"/>
    <row r="30607" ht="12.75" x14ac:dyDescent="0.2"/>
    <row r="30608" ht="12.75" x14ac:dyDescent="0.2"/>
    <row r="30609" ht="12.75" x14ac:dyDescent="0.2"/>
    <row r="30610" ht="12.75" x14ac:dyDescent="0.2"/>
    <row r="30611" ht="12.75" x14ac:dyDescent="0.2"/>
    <row r="30612" ht="12.75" x14ac:dyDescent="0.2"/>
    <row r="30613" ht="12.75" x14ac:dyDescent="0.2"/>
    <row r="30614" ht="12.75" x14ac:dyDescent="0.2"/>
    <row r="30615" ht="12.75" x14ac:dyDescent="0.2"/>
    <row r="30616" ht="12.75" x14ac:dyDescent="0.2"/>
    <row r="30617" ht="12.75" x14ac:dyDescent="0.2"/>
    <row r="30618" ht="12.75" x14ac:dyDescent="0.2"/>
    <row r="30619" ht="12.75" x14ac:dyDescent="0.2"/>
    <row r="30620" ht="12.75" x14ac:dyDescent="0.2"/>
    <row r="30621" ht="12.75" x14ac:dyDescent="0.2"/>
    <row r="30622" ht="12.75" x14ac:dyDescent="0.2"/>
    <row r="30623" ht="12.75" x14ac:dyDescent="0.2"/>
    <row r="30624" ht="12.75" x14ac:dyDescent="0.2"/>
    <row r="30625" ht="12.75" x14ac:dyDescent="0.2"/>
    <row r="30626" ht="12.75" x14ac:dyDescent="0.2"/>
    <row r="30627" ht="12.75" x14ac:dyDescent="0.2"/>
    <row r="30628" ht="12.75" x14ac:dyDescent="0.2"/>
    <row r="30629" ht="12.75" x14ac:dyDescent="0.2"/>
    <row r="30630" ht="12.75" x14ac:dyDescent="0.2"/>
    <row r="30631" ht="12.75" x14ac:dyDescent="0.2"/>
    <row r="30632" ht="12.75" x14ac:dyDescent="0.2"/>
    <row r="30633" ht="12.75" x14ac:dyDescent="0.2"/>
    <row r="30634" ht="12.75" x14ac:dyDescent="0.2"/>
    <row r="30635" ht="12.75" x14ac:dyDescent="0.2"/>
    <row r="30636" ht="12.75" x14ac:dyDescent="0.2"/>
    <row r="30637" ht="12.75" x14ac:dyDescent="0.2"/>
    <row r="30638" ht="12.75" x14ac:dyDescent="0.2"/>
    <row r="30639" ht="12.75" x14ac:dyDescent="0.2"/>
    <row r="30640" ht="12.75" x14ac:dyDescent="0.2"/>
    <row r="30641" ht="12.75" x14ac:dyDescent="0.2"/>
    <row r="30642" ht="12.75" x14ac:dyDescent="0.2"/>
    <row r="30643" ht="12.75" x14ac:dyDescent="0.2"/>
    <row r="30644" ht="12.75" x14ac:dyDescent="0.2"/>
    <row r="30645" ht="12.75" x14ac:dyDescent="0.2"/>
    <row r="30646" ht="12.75" x14ac:dyDescent="0.2"/>
    <row r="30647" ht="12.75" x14ac:dyDescent="0.2"/>
    <row r="30648" ht="12.75" x14ac:dyDescent="0.2"/>
    <row r="30649" ht="12.75" x14ac:dyDescent="0.2"/>
    <row r="30650" ht="12.75" x14ac:dyDescent="0.2"/>
    <row r="30651" ht="12.75" x14ac:dyDescent="0.2"/>
    <row r="30652" ht="12.75" x14ac:dyDescent="0.2"/>
    <row r="30653" ht="12.75" x14ac:dyDescent="0.2"/>
    <row r="30654" ht="12.75" x14ac:dyDescent="0.2"/>
    <row r="30655" ht="12.75" x14ac:dyDescent="0.2"/>
    <row r="30656" ht="12.75" x14ac:dyDescent="0.2"/>
    <row r="30657" ht="12.75" x14ac:dyDescent="0.2"/>
    <row r="30658" ht="12.75" x14ac:dyDescent="0.2"/>
    <row r="30659" ht="12.75" x14ac:dyDescent="0.2"/>
    <row r="30660" ht="12.75" x14ac:dyDescent="0.2"/>
    <row r="30661" ht="12.75" x14ac:dyDescent="0.2"/>
    <row r="30662" ht="12.75" x14ac:dyDescent="0.2"/>
    <row r="30663" ht="12.75" x14ac:dyDescent="0.2"/>
    <row r="30664" ht="12.75" x14ac:dyDescent="0.2"/>
    <row r="30665" ht="12.75" x14ac:dyDescent="0.2"/>
    <row r="30666" ht="12.75" x14ac:dyDescent="0.2"/>
    <row r="30667" ht="12.75" x14ac:dyDescent="0.2"/>
    <row r="30668" ht="12.75" x14ac:dyDescent="0.2"/>
    <row r="30669" ht="12.75" x14ac:dyDescent="0.2"/>
    <row r="30670" ht="12.75" x14ac:dyDescent="0.2"/>
    <row r="30671" ht="12.75" x14ac:dyDescent="0.2"/>
    <row r="30672" ht="12.75" x14ac:dyDescent="0.2"/>
    <row r="30673" ht="12.75" x14ac:dyDescent="0.2"/>
    <row r="30674" ht="12.75" x14ac:dyDescent="0.2"/>
    <row r="30675" ht="12.75" x14ac:dyDescent="0.2"/>
    <row r="30676" ht="12.75" x14ac:dyDescent="0.2"/>
    <row r="30677" ht="12.75" x14ac:dyDescent="0.2"/>
    <row r="30678" ht="12.75" x14ac:dyDescent="0.2"/>
    <row r="30679" ht="12.75" x14ac:dyDescent="0.2"/>
    <row r="30680" ht="12.75" x14ac:dyDescent="0.2"/>
    <row r="30681" ht="12.75" x14ac:dyDescent="0.2"/>
    <row r="30682" ht="12.75" x14ac:dyDescent="0.2"/>
    <row r="30683" ht="12.75" x14ac:dyDescent="0.2"/>
    <row r="30684" ht="12.75" x14ac:dyDescent="0.2"/>
    <row r="30685" ht="12.75" x14ac:dyDescent="0.2"/>
    <row r="30686" ht="12.75" x14ac:dyDescent="0.2"/>
    <row r="30687" ht="12.75" x14ac:dyDescent="0.2"/>
    <row r="30688" ht="12.75" x14ac:dyDescent="0.2"/>
    <row r="30689" ht="12.75" x14ac:dyDescent="0.2"/>
    <row r="30690" ht="12.75" x14ac:dyDescent="0.2"/>
    <row r="30691" ht="12.75" x14ac:dyDescent="0.2"/>
    <row r="30692" ht="12.75" x14ac:dyDescent="0.2"/>
    <row r="30693" ht="12.75" x14ac:dyDescent="0.2"/>
    <row r="30694" ht="12.75" x14ac:dyDescent="0.2"/>
    <row r="30695" ht="12.75" x14ac:dyDescent="0.2"/>
    <row r="30696" ht="12.75" x14ac:dyDescent="0.2"/>
    <row r="30697" ht="12.75" x14ac:dyDescent="0.2"/>
    <row r="30698" ht="12.75" x14ac:dyDescent="0.2"/>
    <row r="30699" ht="12.75" x14ac:dyDescent="0.2"/>
    <row r="30700" ht="12.75" x14ac:dyDescent="0.2"/>
    <row r="30701" ht="12.75" x14ac:dyDescent="0.2"/>
    <row r="30702" ht="12.75" x14ac:dyDescent="0.2"/>
    <row r="30703" ht="12.75" x14ac:dyDescent="0.2"/>
    <row r="30704" ht="12.75" x14ac:dyDescent="0.2"/>
    <row r="30705" ht="12.75" x14ac:dyDescent="0.2"/>
    <row r="30706" ht="12.75" x14ac:dyDescent="0.2"/>
    <row r="30707" ht="12.75" x14ac:dyDescent="0.2"/>
    <row r="30708" ht="12.75" x14ac:dyDescent="0.2"/>
    <row r="30709" ht="12.75" x14ac:dyDescent="0.2"/>
    <row r="30710" ht="12.75" x14ac:dyDescent="0.2"/>
    <row r="30711" ht="12.75" x14ac:dyDescent="0.2"/>
    <row r="30712" ht="12.75" x14ac:dyDescent="0.2"/>
    <row r="30713" ht="12.75" x14ac:dyDescent="0.2"/>
    <row r="30714" ht="12.75" x14ac:dyDescent="0.2"/>
    <row r="30715" ht="12.75" x14ac:dyDescent="0.2"/>
    <row r="30716" ht="12.75" x14ac:dyDescent="0.2"/>
    <row r="30717" ht="12.75" x14ac:dyDescent="0.2"/>
    <row r="30718" ht="12.75" x14ac:dyDescent="0.2"/>
    <row r="30719" ht="12.75" x14ac:dyDescent="0.2"/>
    <row r="30720" ht="12.75" x14ac:dyDescent="0.2"/>
    <row r="30721" ht="12.75" x14ac:dyDescent="0.2"/>
    <row r="30722" ht="12.75" x14ac:dyDescent="0.2"/>
    <row r="30723" ht="12.75" x14ac:dyDescent="0.2"/>
    <row r="30724" ht="12.75" x14ac:dyDescent="0.2"/>
    <row r="30725" ht="12.75" x14ac:dyDescent="0.2"/>
    <row r="30726" ht="12.75" x14ac:dyDescent="0.2"/>
    <row r="30727" ht="12.75" x14ac:dyDescent="0.2"/>
    <row r="30728" ht="12.75" x14ac:dyDescent="0.2"/>
    <row r="30729" ht="12.75" x14ac:dyDescent="0.2"/>
    <row r="30730" ht="12.75" x14ac:dyDescent="0.2"/>
    <row r="30731" ht="12.75" x14ac:dyDescent="0.2"/>
    <row r="30732" ht="12.75" x14ac:dyDescent="0.2"/>
    <row r="30733" ht="12.75" x14ac:dyDescent="0.2"/>
    <row r="30734" ht="12.75" x14ac:dyDescent="0.2"/>
    <row r="30735" ht="12.75" x14ac:dyDescent="0.2"/>
    <row r="30736" ht="12.75" x14ac:dyDescent="0.2"/>
    <row r="30737" ht="12.75" x14ac:dyDescent="0.2"/>
    <row r="30738" ht="12.75" x14ac:dyDescent="0.2"/>
    <row r="30739" ht="12.75" x14ac:dyDescent="0.2"/>
    <row r="30740" ht="12.75" x14ac:dyDescent="0.2"/>
    <row r="30741" ht="12.75" x14ac:dyDescent="0.2"/>
    <row r="30742" ht="12.75" x14ac:dyDescent="0.2"/>
    <row r="30743" ht="12.75" x14ac:dyDescent="0.2"/>
    <row r="30744" ht="12.75" x14ac:dyDescent="0.2"/>
    <row r="30745" ht="12.75" x14ac:dyDescent="0.2"/>
    <row r="30746" ht="12.75" x14ac:dyDescent="0.2"/>
    <row r="30747" ht="12.75" x14ac:dyDescent="0.2"/>
    <row r="30748" ht="12.75" x14ac:dyDescent="0.2"/>
    <row r="30749" ht="12.75" x14ac:dyDescent="0.2"/>
    <row r="30750" ht="12.75" x14ac:dyDescent="0.2"/>
    <row r="30751" ht="12.75" x14ac:dyDescent="0.2"/>
    <row r="30752" ht="12.75" x14ac:dyDescent="0.2"/>
    <row r="30753" ht="12.75" x14ac:dyDescent="0.2"/>
    <row r="30754" ht="12.75" x14ac:dyDescent="0.2"/>
    <row r="30755" ht="12.75" x14ac:dyDescent="0.2"/>
    <row r="30756" ht="12.75" x14ac:dyDescent="0.2"/>
    <row r="30757" ht="12.75" x14ac:dyDescent="0.2"/>
    <row r="30758" ht="12.75" x14ac:dyDescent="0.2"/>
    <row r="30759" ht="12.75" x14ac:dyDescent="0.2"/>
    <row r="30760" ht="12.75" x14ac:dyDescent="0.2"/>
    <row r="30761" ht="12.75" x14ac:dyDescent="0.2"/>
    <row r="30762" ht="12.75" x14ac:dyDescent="0.2"/>
    <row r="30763" ht="12.75" x14ac:dyDescent="0.2"/>
    <row r="30764" ht="12.75" x14ac:dyDescent="0.2"/>
    <row r="30765" ht="12.75" x14ac:dyDescent="0.2"/>
    <row r="30766" ht="12.75" x14ac:dyDescent="0.2"/>
    <row r="30767" ht="12.75" x14ac:dyDescent="0.2"/>
    <row r="30768" ht="12.75" x14ac:dyDescent="0.2"/>
    <row r="30769" ht="12.75" x14ac:dyDescent="0.2"/>
    <row r="30770" ht="12.75" x14ac:dyDescent="0.2"/>
    <row r="30771" ht="12.75" x14ac:dyDescent="0.2"/>
    <row r="30772" ht="12.75" x14ac:dyDescent="0.2"/>
    <row r="30773" ht="12.75" x14ac:dyDescent="0.2"/>
    <row r="30774" ht="12.75" x14ac:dyDescent="0.2"/>
    <row r="30775" ht="12.75" x14ac:dyDescent="0.2"/>
    <row r="30776" ht="12.75" x14ac:dyDescent="0.2"/>
    <row r="30777" ht="12.75" x14ac:dyDescent="0.2"/>
    <row r="30778" ht="12.75" x14ac:dyDescent="0.2"/>
    <row r="30779" ht="12.75" x14ac:dyDescent="0.2"/>
    <row r="30780" ht="12.75" x14ac:dyDescent="0.2"/>
    <row r="30781" ht="12.75" x14ac:dyDescent="0.2"/>
    <row r="30782" ht="12.75" x14ac:dyDescent="0.2"/>
    <row r="30783" ht="12.75" x14ac:dyDescent="0.2"/>
    <row r="30784" ht="12.75" x14ac:dyDescent="0.2"/>
    <row r="30785" ht="12.75" x14ac:dyDescent="0.2"/>
    <row r="30786" ht="12.75" x14ac:dyDescent="0.2"/>
    <row r="30787" ht="12.75" x14ac:dyDescent="0.2"/>
    <row r="30788" ht="12.75" x14ac:dyDescent="0.2"/>
    <row r="30789" ht="12.75" x14ac:dyDescent="0.2"/>
    <row r="30790" ht="12.75" x14ac:dyDescent="0.2"/>
    <row r="30791" ht="12.75" x14ac:dyDescent="0.2"/>
    <row r="30792" ht="12.75" x14ac:dyDescent="0.2"/>
    <row r="30793" ht="12.75" x14ac:dyDescent="0.2"/>
    <row r="30794" ht="12.75" x14ac:dyDescent="0.2"/>
    <row r="30795" ht="12.75" x14ac:dyDescent="0.2"/>
    <row r="30796" ht="12.75" x14ac:dyDescent="0.2"/>
    <row r="30797" ht="12.75" x14ac:dyDescent="0.2"/>
    <row r="30798" ht="12.75" x14ac:dyDescent="0.2"/>
    <row r="30799" ht="12.75" x14ac:dyDescent="0.2"/>
    <row r="30800" ht="12.75" x14ac:dyDescent="0.2"/>
    <row r="30801" ht="12.75" x14ac:dyDescent="0.2"/>
    <row r="30802" ht="12.75" x14ac:dyDescent="0.2"/>
    <row r="30803" ht="12.75" x14ac:dyDescent="0.2"/>
    <row r="30804" ht="12.75" x14ac:dyDescent="0.2"/>
    <row r="30805" ht="12.75" x14ac:dyDescent="0.2"/>
    <row r="30806" ht="12.75" x14ac:dyDescent="0.2"/>
    <row r="30807" ht="12.75" x14ac:dyDescent="0.2"/>
    <row r="30808" ht="12.75" x14ac:dyDescent="0.2"/>
    <row r="30809" ht="12.75" x14ac:dyDescent="0.2"/>
    <row r="30810" ht="12.75" x14ac:dyDescent="0.2"/>
    <row r="30811" ht="12.75" x14ac:dyDescent="0.2"/>
    <row r="30812" ht="12.75" x14ac:dyDescent="0.2"/>
    <row r="30813" ht="12.75" x14ac:dyDescent="0.2"/>
    <row r="30814" ht="12.75" x14ac:dyDescent="0.2"/>
    <row r="30815" ht="12.75" x14ac:dyDescent="0.2"/>
    <row r="30816" ht="12.75" x14ac:dyDescent="0.2"/>
    <row r="30817" ht="12.75" x14ac:dyDescent="0.2"/>
    <row r="30818" ht="12.75" x14ac:dyDescent="0.2"/>
    <row r="30819" ht="12.75" x14ac:dyDescent="0.2"/>
    <row r="30820" ht="12.75" x14ac:dyDescent="0.2"/>
    <row r="30821" ht="12.75" x14ac:dyDescent="0.2"/>
    <row r="30822" ht="12.75" x14ac:dyDescent="0.2"/>
    <row r="30823" ht="12.75" x14ac:dyDescent="0.2"/>
    <row r="30824" ht="12.75" x14ac:dyDescent="0.2"/>
    <row r="30825" ht="12.75" x14ac:dyDescent="0.2"/>
    <row r="30826" ht="12.75" x14ac:dyDescent="0.2"/>
    <row r="30827" ht="12.75" x14ac:dyDescent="0.2"/>
    <row r="30828" ht="12.75" x14ac:dyDescent="0.2"/>
    <row r="30829" ht="12.75" x14ac:dyDescent="0.2"/>
    <row r="30830" ht="12.75" x14ac:dyDescent="0.2"/>
    <row r="30831" ht="12.75" x14ac:dyDescent="0.2"/>
    <row r="30832" ht="12.75" x14ac:dyDescent="0.2"/>
    <row r="30833" ht="12.75" x14ac:dyDescent="0.2"/>
    <row r="30834" ht="12.75" x14ac:dyDescent="0.2"/>
    <row r="30835" ht="12.75" x14ac:dyDescent="0.2"/>
    <row r="30836" ht="12.75" x14ac:dyDescent="0.2"/>
    <row r="30837" ht="12.75" x14ac:dyDescent="0.2"/>
    <row r="30838" ht="12.75" x14ac:dyDescent="0.2"/>
    <row r="30839" ht="12.75" x14ac:dyDescent="0.2"/>
    <row r="30840" ht="12.75" x14ac:dyDescent="0.2"/>
    <row r="30841" ht="12.75" x14ac:dyDescent="0.2"/>
    <row r="30842" ht="12.75" x14ac:dyDescent="0.2"/>
    <row r="30843" ht="12.75" x14ac:dyDescent="0.2"/>
    <row r="30844" ht="12.75" x14ac:dyDescent="0.2"/>
    <row r="30845" ht="12.75" x14ac:dyDescent="0.2"/>
    <row r="30846" ht="12.75" x14ac:dyDescent="0.2"/>
    <row r="30847" ht="12.75" x14ac:dyDescent="0.2"/>
    <row r="30848" ht="12.75" x14ac:dyDescent="0.2"/>
    <row r="30849" ht="12.75" x14ac:dyDescent="0.2"/>
    <row r="30850" ht="12.75" x14ac:dyDescent="0.2"/>
    <row r="30851" ht="12.75" x14ac:dyDescent="0.2"/>
    <row r="30852" ht="12.75" x14ac:dyDescent="0.2"/>
    <row r="30853" ht="12.75" x14ac:dyDescent="0.2"/>
    <row r="30854" ht="12.75" x14ac:dyDescent="0.2"/>
    <row r="30855" ht="12.75" x14ac:dyDescent="0.2"/>
    <row r="30856" ht="12.75" x14ac:dyDescent="0.2"/>
    <row r="30857" ht="12.75" x14ac:dyDescent="0.2"/>
    <row r="30858" ht="12.75" x14ac:dyDescent="0.2"/>
    <row r="30859" ht="12.75" x14ac:dyDescent="0.2"/>
    <row r="30860" ht="12.75" x14ac:dyDescent="0.2"/>
    <row r="30861" ht="12.75" x14ac:dyDescent="0.2"/>
    <row r="30862" ht="12.75" x14ac:dyDescent="0.2"/>
    <row r="30863" ht="12.75" x14ac:dyDescent="0.2"/>
    <row r="30864" ht="12.75" x14ac:dyDescent="0.2"/>
    <row r="30865" ht="12.75" x14ac:dyDescent="0.2"/>
    <row r="30866" ht="12.75" x14ac:dyDescent="0.2"/>
    <row r="30867" ht="12.75" x14ac:dyDescent="0.2"/>
    <row r="30868" ht="12.75" x14ac:dyDescent="0.2"/>
    <row r="30869" ht="12.75" x14ac:dyDescent="0.2"/>
    <row r="30870" ht="12.75" x14ac:dyDescent="0.2"/>
    <row r="30871" ht="12.75" x14ac:dyDescent="0.2"/>
    <row r="30872" ht="12.75" x14ac:dyDescent="0.2"/>
    <row r="30873" ht="12.75" x14ac:dyDescent="0.2"/>
    <row r="30874" ht="12.75" x14ac:dyDescent="0.2"/>
    <row r="30875" ht="12.75" x14ac:dyDescent="0.2"/>
    <row r="30876" ht="12.75" x14ac:dyDescent="0.2"/>
    <row r="30877" ht="12.75" x14ac:dyDescent="0.2"/>
    <row r="30878" ht="12.75" x14ac:dyDescent="0.2"/>
    <row r="30879" ht="12.75" x14ac:dyDescent="0.2"/>
    <row r="30880" ht="12.75" x14ac:dyDescent="0.2"/>
    <row r="30881" ht="12.75" x14ac:dyDescent="0.2"/>
    <row r="30882" ht="12.75" x14ac:dyDescent="0.2"/>
    <row r="30883" ht="12.75" x14ac:dyDescent="0.2"/>
    <row r="30884" ht="12.75" x14ac:dyDescent="0.2"/>
    <row r="30885" ht="12.75" x14ac:dyDescent="0.2"/>
    <row r="30886" ht="12.75" x14ac:dyDescent="0.2"/>
    <row r="30887" ht="12.75" x14ac:dyDescent="0.2"/>
    <row r="30888" ht="12.75" x14ac:dyDescent="0.2"/>
    <row r="30889" ht="12.75" x14ac:dyDescent="0.2"/>
    <row r="30890" ht="12.75" x14ac:dyDescent="0.2"/>
    <row r="30891" ht="12.75" x14ac:dyDescent="0.2"/>
    <row r="30892" ht="12.75" x14ac:dyDescent="0.2"/>
    <row r="30893" ht="12.75" x14ac:dyDescent="0.2"/>
    <row r="30894" ht="12.75" x14ac:dyDescent="0.2"/>
    <row r="30895" ht="12.75" x14ac:dyDescent="0.2"/>
    <row r="30896" ht="12.75" x14ac:dyDescent="0.2"/>
    <row r="30897" ht="12.75" x14ac:dyDescent="0.2"/>
    <row r="30898" ht="12.75" x14ac:dyDescent="0.2"/>
    <row r="30899" ht="12.75" x14ac:dyDescent="0.2"/>
    <row r="30900" ht="12.75" x14ac:dyDescent="0.2"/>
    <row r="30901" ht="12.75" x14ac:dyDescent="0.2"/>
    <row r="30902" ht="12.75" x14ac:dyDescent="0.2"/>
    <row r="30903" ht="12.75" x14ac:dyDescent="0.2"/>
    <row r="30904" ht="12.75" x14ac:dyDescent="0.2"/>
    <row r="30905" ht="12.75" x14ac:dyDescent="0.2"/>
    <row r="30906" ht="12.75" x14ac:dyDescent="0.2"/>
    <row r="30907" ht="12.75" x14ac:dyDescent="0.2"/>
    <row r="30908" ht="12.75" x14ac:dyDescent="0.2"/>
    <row r="30909" ht="12.75" x14ac:dyDescent="0.2"/>
    <row r="30910" ht="12.75" x14ac:dyDescent="0.2"/>
    <row r="30911" ht="12.75" x14ac:dyDescent="0.2"/>
    <row r="30912" ht="12.75" x14ac:dyDescent="0.2"/>
    <row r="30913" ht="12.75" x14ac:dyDescent="0.2"/>
    <row r="30914" ht="12.75" x14ac:dyDescent="0.2"/>
    <row r="30915" ht="12.75" x14ac:dyDescent="0.2"/>
    <row r="30916" ht="12.75" x14ac:dyDescent="0.2"/>
    <row r="30917" ht="12.75" x14ac:dyDescent="0.2"/>
    <row r="30918" ht="12.75" x14ac:dyDescent="0.2"/>
    <row r="30919" ht="12.75" x14ac:dyDescent="0.2"/>
    <row r="30920" ht="12.75" x14ac:dyDescent="0.2"/>
    <row r="30921" ht="12.75" x14ac:dyDescent="0.2"/>
    <row r="30922" ht="12.75" x14ac:dyDescent="0.2"/>
    <row r="30923" ht="12.75" x14ac:dyDescent="0.2"/>
    <row r="30924" ht="12.75" x14ac:dyDescent="0.2"/>
    <row r="30925" ht="12.75" x14ac:dyDescent="0.2"/>
    <row r="30926" ht="12.75" x14ac:dyDescent="0.2"/>
    <row r="30927" ht="12.75" x14ac:dyDescent="0.2"/>
    <row r="30928" ht="12.75" x14ac:dyDescent="0.2"/>
    <row r="30929" ht="12.75" x14ac:dyDescent="0.2"/>
    <row r="30930" ht="12.75" x14ac:dyDescent="0.2"/>
    <row r="30931" ht="12.75" x14ac:dyDescent="0.2"/>
    <row r="30932" ht="12.75" x14ac:dyDescent="0.2"/>
    <row r="30933" ht="12.75" x14ac:dyDescent="0.2"/>
    <row r="30934" ht="12.75" x14ac:dyDescent="0.2"/>
    <row r="30935" ht="12.75" x14ac:dyDescent="0.2"/>
    <row r="30936" ht="12.75" x14ac:dyDescent="0.2"/>
    <row r="30937" ht="12.75" x14ac:dyDescent="0.2"/>
    <row r="30938" ht="12.75" x14ac:dyDescent="0.2"/>
    <row r="30939" ht="12.75" x14ac:dyDescent="0.2"/>
    <row r="30940" ht="12.75" x14ac:dyDescent="0.2"/>
    <row r="30941" ht="12.75" x14ac:dyDescent="0.2"/>
    <row r="30942" ht="12.75" x14ac:dyDescent="0.2"/>
    <row r="30943" ht="12.75" x14ac:dyDescent="0.2"/>
    <row r="30944" ht="12.75" x14ac:dyDescent="0.2"/>
    <row r="30945" ht="12.75" x14ac:dyDescent="0.2"/>
    <row r="30946" ht="12.75" x14ac:dyDescent="0.2"/>
    <row r="30947" ht="12.75" x14ac:dyDescent="0.2"/>
    <row r="30948" ht="12.75" x14ac:dyDescent="0.2"/>
    <row r="30949" ht="12.75" x14ac:dyDescent="0.2"/>
    <row r="30950" ht="12.75" x14ac:dyDescent="0.2"/>
    <row r="30951" ht="12.75" x14ac:dyDescent="0.2"/>
    <row r="30952" ht="12.75" x14ac:dyDescent="0.2"/>
    <row r="30953" ht="12.75" x14ac:dyDescent="0.2"/>
    <row r="30954" ht="12.75" x14ac:dyDescent="0.2"/>
    <row r="30955" ht="12.75" x14ac:dyDescent="0.2"/>
    <row r="30956" ht="12.75" x14ac:dyDescent="0.2"/>
    <row r="30957" ht="12.75" x14ac:dyDescent="0.2"/>
    <row r="30958" ht="12.75" x14ac:dyDescent="0.2"/>
    <row r="30959" ht="12.75" x14ac:dyDescent="0.2"/>
    <row r="30960" ht="12.75" x14ac:dyDescent="0.2"/>
    <row r="30961" ht="12.75" x14ac:dyDescent="0.2"/>
    <row r="30962" ht="12.75" x14ac:dyDescent="0.2"/>
    <row r="30963" ht="12.75" x14ac:dyDescent="0.2"/>
    <row r="30964" ht="12.75" x14ac:dyDescent="0.2"/>
    <row r="30965" ht="12.75" x14ac:dyDescent="0.2"/>
    <row r="30966" ht="12.75" x14ac:dyDescent="0.2"/>
    <row r="30967" ht="12.75" x14ac:dyDescent="0.2"/>
    <row r="30968" ht="12.75" x14ac:dyDescent="0.2"/>
    <row r="30969" ht="12.75" x14ac:dyDescent="0.2"/>
    <row r="30970" ht="12.75" x14ac:dyDescent="0.2"/>
    <row r="30971" ht="12.75" x14ac:dyDescent="0.2"/>
    <row r="30972" ht="12.75" x14ac:dyDescent="0.2"/>
    <row r="30973" ht="12.75" x14ac:dyDescent="0.2"/>
    <row r="30974" ht="12.75" x14ac:dyDescent="0.2"/>
    <row r="30975" ht="12.75" x14ac:dyDescent="0.2"/>
    <row r="30976" ht="12.75" x14ac:dyDescent="0.2"/>
    <row r="30977" ht="12.75" x14ac:dyDescent="0.2"/>
    <row r="30978" ht="12.75" x14ac:dyDescent="0.2"/>
    <row r="30979" ht="12.75" x14ac:dyDescent="0.2"/>
    <row r="30980" ht="12.75" x14ac:dyDescent="0.2"/>
    <row r="30981" ht="12.75" x14ac:dyDescent="0.2"/>
    <row r="30982" ht="12.75" x14ac:dyDescent="0.2"/>
    <row r="30983" ht="12.75" x14ac:dyDescent="0.2"/>
    <row r="30984" ht="12.75" x14ac:dyDescent="0.2"/>
    <row r="30985" ht="12.75" x14ac:dyDescent="0.2"/>
    <row r="30986" ht="12.75" x14ac:dyDescent="0.2"/>
    <row r="30987" ht="12.75" x14ac:dyDescent="0.2"/>
    <row r="30988" ht="12.75" x14ac:dyDescent="0.2"/>
    <row r="30989" ht="12.75" x14ac:dyDescent="0.2"/>
    <row r="30990" ht="12.75" x14ac:dyDescent="0.2"/>
    <row r="30991" ht="12.75" x14ac:dyDescent="0.2"/>
    <row r="30992" ht="12.75" x14ac:dyDescent="0.2"/>
    <row r="30993" ht="12.75" x14ac:dyDescent="0.2"/>
    <row r="30994" ht="12.75" x14ac:dyDescent="0.2"/>
    <row r="30995" ht="12.75" x14ac:dyDescent="0.2"/>
    <row r="30996" ht="12.75" x14ac:dyDescent="0.2"/>
    <row r="30997" ht="12.75" x14ac:dyDescent="0.2"/>
    <row r="30998" ht="12.75" x14ac:dyDescent="0.2"/>
    <row r="30999" ht="12.75" x14ac:dyDescent="0.2"/>
    <row r="31000" ht="12.75" x14ac:dyDescent="0.2"/>
    <row r="31001" ht="12.75" x14ac:dyDescent="0.2"/>
    <row r="31002" ht="12.75" x14ac:dyDescent="0.2"/>
    <row r="31003" ht="12.75" x14ac:dyDescent="0.2"/>
    <row r="31004" ht="12.75" x14ac:dyDescent="0.2"/>
    <row r="31005" ht="12.75" x14ac:dyDescent="0.2"/>
    <row r="31006" ht="12.75" x14ac:dyDescent="0.2"/>
    <row r="31007" ht="12.75" x14ac:dyDescent="0.2"/>
    <row r="31008" ht="12.75" x14ac:dyDescent="0.2"/>
    <row r="31009" ht="12.75" x14ac:dyDescent="0.2"/>
    <row r="31010" ht="12.75" x14ac:dyDescent="0.2"/>
    <row r="31011" ht="12.75" x14ac:dyDescent="0.2"/>
    <row r="31012" ht="12.75" x14ac:dyDescent="0.2"/>
    <row r="31013" ht="12.75" x14ac:dyDescent="0.2"/>
    <row r="31014" ht="12.75" x14ac:dyDescent="0.2"/>
    <row r="31015" ht="12.75" x14ac:dyDescent="0.2"/>
    <row r="31016" ht="12.75" x14ac:dyDescent="0.2"/>
    <row r="31017" ht="12.75" x14ac:dyDescent="0.2"/>
    <row r="31018" ht="12.75" x14ac:dyDescent="0.2"/>
    <row r="31019" ht="12.75" x14ac:dyDescent="0.2"/>
    <row r="31020" ht="12.75" x14ac:dyDescent="0.2"/>
    <row r="31021" ht="12.75" x14ac:dyDescent="0.2"/>
    <row r="31022" ht="12.75" x14ac:dyDescent="0.2"/>
    <row r="31023" ht="12.75" x14ac:dyDescent="0.2"/>
    <row r="31024" ht="12.75" x14ac:dyDescent="0.2"/>
    <row r="31025" ht="12.75" x14ac:dyDescent="0.2"/>
    <row r="31026" ht="12.75" x14ac:dyDescent="0.2"/>
    <row r="31027" ht="12.75" x14ac:dyDescent="0.2"/>
    <row r="31028" ht="12.75" x14ac:dyDescent="0.2"/>
    <row r="31029" ht="12.75" x14ac:dyDescent="0.2"/>
    <row r="31030" ht="12.75" x14ac:dyDescent="0.2"/>
    <row r="31031" ht="12.75" x14ac:dyDescent="0.2"/>
    <row r="31032" ht="12.75" x14ac:dyDescent="0.2"/>
    <row r="31033" ht="12.75" x14ac:dyDescent="0.2"/>
    <row r="31034" ht="12.75" x14ac:dyDescent="0.2"/>
    <row r="31035" ht="12.75" x14ac:dyDescent="0.2"/>
    <row r="31036" ht="12.75" x14ac:dyDescent="0.2"/>
    <row r="31037" ht="12.75" x14ac:dyDescent="0.2"/>
    <row r="31038" ht="12.75" x14ac:dyDescent="0.2"/>
    <row r="31039" ht="12.75" x14ac:dyDescent="0.2"/>
    <row r="31040" ht="12.75" x14ac:dyDescent="0.2"/>
    <row r="31041" ht="12.75" x14ac:dyDescent="0.2"/>
    <row r="31042" ht="12.75" x14ac:dyDescent="0.2"/>
    <row r="31043" ht="12.75" x14ac:dyDescent="0.2"/>
    <row r="31044" ht="12.75" x14ac:dyDescent="0.2"/>
    <row r="31045" ht="12.75" x14ac:dyDescent="0.2"/>
    <row r="31046" ht="12.75" x14ac:dyDescent="0.2"/>
    <row r="31047" ht="12.75" x14ac:dyDescent="0.2"/>
    <row r="31048" ht="12.75" x14ac:dyDescent="0.2"/>
    <row r="31049" ht="12.75" x14ac:dyDescent="0.2"/>
    <row r="31050" ht="12.75" x14ac:dyDescent="0.2"/>
    <row r="31051" ht="12.75" x14ac:dyDescent="0.2"/>
    <row r="31052" ht="12.75" x14ac:dyDescent="0.2"/>
    <row r="31053" ht="12.75" x14ac:dyDescent="0.2"/>
    <row r="31054" ht="12.75" x14ac:dyDescent="0.2"/>
    <row r="31055" ht="12.75" x14ac:dyDescent="0.2"/>
    <row r="31056" ht="12.75" x14ac:dyDescent="0.2"/>
    <row r="31057" ht="12.75" x14ac:dyDescent="0.2"/>
    <row r="31058" ht="12.75" x14ac:dyDescent="0.2"/>
    <row r="31059" ht="12.75" x14ac:dyDescent="0.2"/>
    <row r="31060" ht="12.75" x14ac:dyDescent="0.2"/>
    <row r="31061" ht="12.75" x14ac:dyDescent="0.2"/>
    <row r="31062" ht="12.75" x14ac:dyDescent="0.2"/>
    <row r="31063" ht="12.75" x14ac:dyDescent="0.2"/>
    <row r="31064" ht="12.75" x14ac:dyDescent="0.2"/>
    <row r="31065" ht="12.75" x14ac:dyDescent="0.2"/>
    <row r="31066" ht="12.75" x14ac:dyDescent="0.2"/>
    <row r="31067" ht="12.75" x14ac:dyDescent="0.2"/>
    <row r="31068" ht="12.75" x14ac:dyDescent="0.2"/>
    <row r="31069" ht="12.75" x14ac:dyDescent="0.2"/>
    <row r="31070" ht="12.75" x14ac:dyDescent="0.2"/>
    <row r="31071" ht="12.75" x14ac:dyDescent="0.2"/>
    <row r="31072" ht="12.75" x14ac:dyDescent="0.2"/>
    <row r="31073" ht="12.75" x14ac:dyDescent="0.2"/>
    <row r="31074" ht="12.75" x14ac:dyDescent="0.2"/>
    <row r="31075" ht="12.75" x14ac:dyDescent="0.2"/>
    <row r="31076" ht="12.75" x14ac:dyDescent="0.2"/>
    <row r="31077" ht="12.75" x14ac:dyDescent="0.2"/>
    <row r="31078" ht="12.75" x14ac:dyDescent="0.2"/>
    <row r="31079" ht="12.75" x14ac:dyDescent="0.2"/>
    <row r="31080" ht="12.75" x14ac:dyDescent="0.2"/>
    <row r="31081" ht="12.75" x14ac:dyDescent="0.2"/>
    <row r="31082" ht="12.75" x14ac:dyDescent="0.2"/>
    <row r="31083" ht="12.75" x14ac:dyDescent="0.2"/>
    <row r="31084" ht="12.75" x14ac:dyDescent="0.2"/>
    <row r="31085" ht="12.75" x14ac:dyDescent="0.2"/>
    <row r="31086" ht="12.75" x14ac:dyDescent="0.2"/>
    <row r="31087" ht="12.75" x14ac:dyDescent="0.2"/>
    <row r="31088" ht="12.75" x14ac:dyDescent="0.2"/>
    <row r="31089" ht="12.75" x14ac:dyDescent="0.2"/>
    <row r="31090" ht="12.75" x14ac:dyDescent="0.2"/>
    <row r="31091" ht="12.75" x14ac:dyDescent="0.2"/>
    <row r="31092" ht="12.75" x14ac:dyDescent="0.2"/>
    <row r="31093" ht="12.75" x14ac:dyDescent="0.2"/>
    <row r="31094" ht="12.75" x14ac:dyDescent="0.2"/>
    <row r="31095" ht="12.75" x14ac:dyDescent="0.2"/>
    <row r="31096" ht="12.75" x14ac:dyDescent="0.2"/>
    <row r="31097" ht="12.75" x14ac:dyDescent="0.2"/>
    <row r="31098" ht="12.75" x14ac:dyDescent="0.2"/>
    <row r="31099" ht="12.75" x14ac:dyDescent="0.2"/>
    <row r="31100" ht="12.75" x14ac:dyDescent="0.2"/>
    <row r="31101" ht="12.75" x14ac:dyDescent="0.2"/>
    <row r="31102" ht="12.75" x14ac:dyDescent="0.2"/>
    <row r="31103" ht="12.75" x14ac:dyDescent="0.2"/>
    <row r="31104" ht="12.75" x14ac:dyDescent="0.2"/>
    <row r="31105" ht="12.75" x14ac:dyDescent="0.2"/>
    <row r="31106" ht="12.75" x14ac:dyDescent="0.2"/>
    <row r="31107" ht="12.75" x14ac:dyDescent="0.2"/>
    <row r="31108" ht="12.75" x14ac:dyDescent="0.2"/>
    <row r="31109" ht="12.75" x14ac:dyDescent="0.2"/>
    <row r="31110" ht="12.75" x14ac:dyDescent="0.2"/>
    <row r="31111" ht="12.75" x14ac:dyDescent="0.2"/>
    <row r="31112" ht="12.75" x14ac:dyDescent="0.2"/>
    <row r="31113" ht="12.75" x14ac:dyDescent="0.2"/>
    <row r="31114" ht="12.75" x14ac:dyDescent="0.2"/>
    <row r="31115" ht="12.75" x14ac:dyDescent="0.2"/>
    <row r="31116" ht="12.75" x14ac:dyDescent="0.2"/>
    <row r="31117" ht="12.75" x14ac:dyDescent="0.2"/>
    <row r="31118" ht="12.75" x14ac:dyDescent="0.2"/>
    <row r="31119" ht="12.75" x14ac:dyDescent="0.2"/>
    <row r="31120" ht="12.75" x14ac:dyDescent="0.2"/>
    <row r="31121" ht="12.75" x14ac:dyDescent="0.2"/>
    <row r="31122" ht="12.75" x14ac:dyDescent="0.2"/>
    <row r="31123" ht="12.75" x14ac:dyDescent="0.2"/>
    <row r="31124" ht="12.75" x14ac:dyDescent="0.2"/>
    <row r="31125" ht="12.75" x14ac:dyDescent="0.2"/>
    <row r="31126" ht="12.75" x14ac:dyDescent="0.2"/>
    <row r="31127" ht="12.75" x14ac:dyDescent="0.2"/>
    <row r="31128" ht="12.75" x14ac:dyDescent="0.2"/>
    <row r="31129" ht="12.75" x14ac:dyDescent="0.2"/>
    <row r="31130" ht="12.75" x14ac:dyDescent="0.2"/>
    <row r="31131" ht="12.75" x14ac:dyDescent="0.2"/>
    <row r="31132" ht="12.75" x14ac:dyDescent="0.2"/>
    <row r="31133" ht="12.75" x14ac:dyDescent="0.2"/>
    <row r="31134" ht="12.75" x14ac:dyDescent="0.2"/>
    <row r="31135" ht="12.75" x14ac:dyDescent="0.2"/>
    <row r="31136" ht="12.75" x14ac:dyDescent="0.2"/>
    <row r="31137" ht="12.75" x14ac:dyDescent="0.2"/>
    <row r="31138" ht="12.75" x14ac:dyDescent="0.2"/>
    <row r="31139" ht="12.75" x14ac:dyDescent="0.2"/>
    <row r="31140" ht="12.75" x14ac:dyDescent="0.2"/>
    <row r="31141" ht="12.75" x14ac:dyDescent="0.2"/>
    <row r="31142" ht="12.75" x14ac:dyDescent="0.2"/>
    <row r="31143" ht="12.75" x14ac:dyDescent="0.2"/>
    <row r="31144" ht="12.75" x14ac:dyDescent="0.2"/>
    <row r="31145" ht="12.75" x14ac:dyDescent="0.2"/>
    <row r="31146" ht="12.75" x14ac:dyDescent="0.2"/>
    <row r="31147" ht="12.75" x14ac:dyDescent="0.2"/>
    <row r="31148" ht="12.75" x14ac:dyDescent="0.2"/>
    <row r="31149" ht="12.75" x14ac:dyDescent="0.2"/>
    <row r="31150" ht="12.75" x14ac:dyDescent="0.2"/>
    <row r="31151" ht="12.75" x14ac:dyDescent="0.2"/>
    <row r="31152" ht="12.75" x14ac:dyDescent="0.2"/>
    <row r="31153" ht="12.75" x14ac:dyDescent="0.2"/>
    <row r="31154" ht="12.75" x14ac:dyDescent="0.2"/>
    <row r="31155" ht="12.75" x14ac:dyDescent="0.2"/>
    <row r="31156" ht="12.75" x14ac:dyDescent="0.2"/>
    <row r="31157" ht="12.75" x14ac:dyDescent="0.2"/>
    <row r="31158" ht="12.75" x14ac:dyDescent="0.2"/>
    <row r="31159" ht="12.75" x14ac:dyDescent="0.2"/>
    <row r="31160" ht="12.75" x14ac:dyDescent="0.2"/>
    <row r="31161" ht="12.75" x14ac:dyDescent="0.2"/>
    <row r="31162" ht="12.75" x14ac:dyDescent="0.2"/>
    <row r="31163" ht="12.75" x14ac:dyDescent="0.2"/>
    <row r="31164" ht="12.75" x14ac:dyDescent="0.2"/>
    <row r="31165" ht="12.75" x14ac:dyDescent="0.2"/>
    <row r="31166" ht="12.75" x14ac:dyDescent="0.2"/>
    <row r="31167" ht="12.75" x14ac:dyDescent="0.2"/>
    <row r="31168" ht="12.75" x14ac:dyDescent="0.2"/>
    <row r="31169" ht="12.75" x14ac:dyDescent="0.2"/>
    <row r="31170" ht="12.75" x14ac:dyDescent="0.2"/>
    <row r="31171" ht="12.75" x14ac:dyDescent="0.2"/>
    <row r="31172" ht="12.75" x14ac:dyDescent="0.2"/>
    <row r="31173" ht="12.75" x14ac:dyDescent="0.2"/>
    <row r="31174" ht="12.75" x14ac:dyDescent="0.2"/>
    <row r="31175" ht="12.75" x14ac:dyDescent="0.2"/>
    <row r="31176" ht="12.75" x14ac:dyDescent="0.2"/>
    <row r="31177" ht="12.75" x14ac:dyDescent="0.2"/>
    <row r="31178" ht="12.75" x14ac:dyDescent="0.2"/>
    <row r="31179" ht="12.75" x14ac:dyDescent="0.2"/>
    <row r="31180" ht="12.75" x14ac:dyDescent="0.2"/>
    <row r="31181" ht="12.75" x14ac:dyDescent="0.2"/>
    <row r="31182" ht="12.75" x14ac:dyDescent="0.2"/>
    <row r="31183" ht="12.75" x14ac:dyDescent="0.2"/>
    <row r="31184" ht="12.75" x14ac:dyDescent="0.2"/>
    <row r="31185" ht="12.75" x14ac:dyDescent="0.2"/>
    <row r="31186" ht="12.75" x14ac:dyDescent="0.2"/>
    <row r="31187" ht="12.75" x14ac:dyDescent="0.2"/>
    <row r="31188" ht="12.75" x14ac:dyDescent="0.2"/>
    <row r="31189" ht="12.75" x14ac:dyDescent="0.2"/>
    <row r="31190" ht="12.75" x14ac:dyDescent="0.2"/>
    <row r="31191" ht="12.75" x14ac:dyDescent="0.2"/>
    <row r="31192" ht="12.75" x14ac:dyDescent="0.2"/>
    <row r="31193" ht="12.75" x14ac:dyDescent="0.2"/>
    <row r="31194" ht="12.75" x14ac:dyDescent="0.2"/>
    <row r="31195" ht="12.75" x14ac:dyDescent="0.2"/>
    <row r="31196" ht="12.75" x14ac:dyDescent="0.2"/>
    <row r="31197" ht="12.75" x14ac:dyDescent="0.2"/>
    <row r="31198" ht="12.75" x14ac:dyDescent="0.2"/>
    <row r="31199" ht="12.75" x14ac:dyDescent="0.2"/>
    <row r="31200" ht="12.75" x14ac:dyDescent="0.2"/>
    <row r="31201" ht="12.75" x14ac:dyDescent="0.2"/>
    <row r="31202" ht="12.75" x14ac:dyDescent="0.2"/>
    <row r="31203" ht="12.75" x14ac:dyDescent="0.2"/>
    <row r="31204" ht="12.75" x14ac:dyDescent="0.2"/>
    <row r="31205" ht="12.75" x14ac:dyDescent="0.2"/>
    <row r="31206" ht="12.75" x14ac:dyDescent="0.2"/>
    <row r="31207" ht="12.75" x14ac:dyDescent="0.2"/>
    <row r="31208" ht="12.75" x14ac:dyDescent="0.2"/>
    <row r="31209" ht="12.75" x14ac:dyDescent="0.2"/>
    <row r="31210" ht="12.75" x14ac:dyDescent="0.2"/>
    <row r="31211" ht="12.75" x14ac:dyDescent="0.2"/>
    <row r="31212" ht="12.75" x14ac:dyDescent="0.2"/>
    <row r="31213" ht="12.75" x14ac:dyDescent="0.2"/>
    <row r="31214" ht="12.75" x14ac:dyDescent="0.2"/>
    <row r="31215" ht="12.75" x14ac:dyDescent="0.2"/>
    <row r="31216" ht="12.75" x14ac:dyDescent="0.2"/>
    <row r="31217" ht="12.75" x14ac:dyDescent="0.2"/>
    <row r="31218" ht="12.75" x14ac:dyDescent="0.2"/>
    <row r="31219" ht="12.75" x14ac:dyDescent="0.2"/>
    <row r="31220" ht="12.75" x14ac:dyDescent="0.2"/>
    <row r="31221" ht="12.75" x14ac:dyDescent="0.2"/>
    <row r="31222" ht="12.75" x14ac:dyDescent="0.2"/>
    <row r="31223" ht="12.75" x14ac:dyDescent="0.2"/>
    <row r="31224" ht="12.75" x14ac:dyDescent="0.2"/>
    <row r="31225" ht="12.75" x14ac:dyDescent="0.2"/>
    <row r="31226" ht="12.75" x14ac:dyDescent="0.2"/>
    <row r="31227" ht="12.75" x14ac:dyDescent="0.2"/>
    <row r="31228" ht="12.75" x14ac:dyDescent="0.2"/>
    <row r="31229" ht="12.75" x14ac:dyDescent="0.2"/>
    <row r="31230" ht="12.75" x14ac:dyDescent="0.2"/>
    <row r="31231" ht="12.75" x14ac:dyDescent="0.2"/>
    <row r="31232" ht="12.75" x14ac:dyDescent="0.2"/>
    <row r="31233" ht="12.75" x14ac:dyDescent="0.2"/>
    <row r="31234" ht="12.75" x14ac:dyDescent="0.2"/>
    <row r="31235" ht="12.75" x14ac:dyDescent="0.2"/>
    <row r="31236" ht="12.75" x14ac:dyDescent="0.2"/>
    <row r="31237" ht="12.75" x14ac:dyDescent="0.2"/>
    <row r="31238" ht="12.75" x14ac:dyDescent="0.2"/>
    <row r="31239" ht="12.75" x14ac:dyDescent="0.2"/>
    <row r="31240" ht="12.75" x14ac:dyDescent="0.2"/>
    <row r="31241" ht="12.75" x14ac:dyDescent="0.2"/>
    <row r="31242" ht="12.75" x14ac:dyDescent="0.2"/>
    <row r="31243" ht="12.75" x14ac:dyDescent="0.2"/>
    <row r="31244" ht="12.75" x14ac:dyDescent="0.2"/>
    <row r="31245" ht="12.75" x14ac:dyDescent="0.2"/>
    <row r="31246" ht="12.75" x14ac:dyDescent="0.2"/>
    <row r="31247" ht="12.75" x14ac:dyDescent="0.2"/>
    <row r="31248" ht="12.75" x14ac:dyDescent="0.2"/>
    <row r="31249" ht="12.75" x14ac:dyDescent="0.2"/>
    <row r="31250" ht="12.75" x14ac:dyDescent="0.2"/>
    <row r="31251" ht="12.75" x14ac:dyDescent="0.2"/>
    <row r="31252" ht="12.75" x14ac:dyDescent="0.2"/>
    <row r="31253" ht="12.75" x14ac:dyDescent="0.2"/>
    <row r="31254" ht="12.75" x14ac:dyDescent="0.2"/>
    <row r="31255" ht="12.75" x14ac:dyDescent="0.2"/>
    <row r="31256" ht="12.75" x14ac:dyDescent="0.2"/>
    <row r="31257" ht="12.75" x14ac:dyDescent="0.2"/>
    <row r="31258" ht="12.75" x14ac:dyDescent="0.2"/>
    <row r="31259" ht="12.75" x14ac:dyDescent="0.2"/>
    <row r="31260" ht="12.75" x14ac:dyDescent="0.2"/>
    <row r="31261" ht="12.75" x14ac:dyDescent="0.2"/>
    <row r="31262" ht="12.75" x14ac:dyDescent="0.2"/>
    <row r="31263" ht="12.75" x14ac:dyDescent="0.2"/>
    <row r="31264" ht="12.75" x14ac:dyDescent="0.2"/>
    <row r="31265" ht="12.75" x14ac:dyDescent="0.2"/>
    <row r="31266" ht="12.75" x14ac:dyDescent="0.2"/>
    <row r="31267" ht="12.75" x14ac:dyDescent="0.2"/>
    <row r="31268" ht="12.75" x14ac:dyDescent="0.2"/>
    <row r="31269" ht="12.75" x14ac:dyDescent="0.2"/>
    <row r="31270" ht="12.75" x14ac:dyDescent="0.2"/>
    <row r="31271" ht="12.75" x14ac:dyDescent="0.2"/>
    <row r="31272" ht="12.75" x14ac:dyDescent="0.2"/>
    <row r="31273" ht="12.75" x14ac:dyDescent="0.2"/>
    <row r="31274" ht="12.75" x14ac:dyDescent="0.2"/>
    <row r="31275" ht="12.75" x14ac:dyDescent="0.2"/>
    <row r="31276" ht="12.75" x14ac:dyDescent="0.2"/>
    <row r="31277" ht="12.75" x14ac:dyDescent="0.2"/>
    <row r="31278" ht="12.75" x14ac:dyDescent="0.2"/>
    <row r="31279" ht="12.75" x14ac:dyDescent="0.2"/>
    <row r="31280" ht="12.75" x14ac:dyDescent="0.2"/>
    <row r="31281" ht="12.75" x14ac:dyDescent="0.2"/>
    <row r="31282" ht="12.75" x14ac:dyDescent="0.2"/>
    <row r="31283" ht="12.75" x14ac:dyDescent="0.2"/>
    <row r="31284" ht="12.75" x14ac:dyDescent="0.2"/>
    <row r="31285" ht="12.75" x14ac:dyDescent="0.2"/>
    <row r="31286" ht="12.75" x14ac:dyDescent="0.2"/>
    <row r="31287" ht="12.75" x14ac:dyDescent="0.2"/>
    <row r="31288" ht="12.75" x14ac:dyDescent="0.2"/>
    <row r="31289" ht="12.75" x14ac:dyDescent="0.2"/>
    <row r="31290" ht="12.75" x14ac:dyDescent="0.2"/>
    <row r="31291" ht="12.75" x14ac:dyDescent="0.2"/>
    <row r="31292" ht="12.75" x14ac:dyDescent="0.2"/>
    <row r="31293" ht="12.75" x14ac:dyDescent="0.2"/>
    <row r="31294" ht="12.75" x14ac:dyDescent="0.2"/>
    <row r="31295" ht="12.75" x14ac:dyDescent="0.2"/>
    <row r="31296" ht="12.75" x14ac:dyDescent="0.2"/>
    <row r="31297" ht="12.75" x14ac:dyDescent="0.2"/>
    <row r="31298" ht="12.75" x14ac:dyDescent="0.2"/>
    <row r="31299" ht="12.75" x14ac:dyDescent="0.2"/>
    <row r="31300" ht="12.75" x14ac:dyDescent="0.2"/>
    <row r="31301" ht="12.75" x14ac:dyDescent="0.2"/>
    <row r="31302" ht="12.75" x14ac:dyDescent="0.2"/>
    <row r="31303" ht="12.75" x14ac:dyDescent="0.2"/>
    <row r="31304" ht="12.75" x14ac:dyDescent="0.2"/>
    <row r="31305" ht="12.75" x14ac:dyDescent="0.2"/>
    <row r="31306" ht="12.75" x14ac:dyDescent="0.2"/>
    <row r="31307" ht="12.75" x14ac:dyDescent="0.2"/>
    <row r="31308" ht="12.75" x14ac:dyDescent="0.2"/>
    <row r="31309" ht="12.75" x14ac:dyDescent="0.2"/>
    <row r="31310" ht="12.75" x14ac:dyDescent="0.2"/>
    <row r="31311" ht="12.75" x14ac:dyDescent="0.2"/>
    <row r="31312" ht="12.75" x14ac:dyDescent="0.2"/>
    <row r="31313" ht="12.75" x14ac:dyDescent="0.2"/>
    <row r="31314" ht="12.75" x14ac:dyDescent="0.2"/>
    <row r="31315" ht="12.75" x14ac:dyDescent="0.2"/>
    <row r="31316" ht="12.75" x14ac:dyDescent="0.2"/>
    <row r="31317" ht="12.75" x14ac:dyDescent="0.2"/>
    <row r="31318" ht="12.75" x14ac:dyDescent="0.2"/>
    <row r="31319" ht="12.75" x14ac:dyDescent="0.2"/>
    <row r="31320" ht="12.75" x14ac:dyDescent="0.2"/>
    <row r="31321" ht="12.75" x14ac:dyDescent="0.2"/>
    <row r="31322" ht="12.75" x14ac:dyDescent="0.2"/>
    <row r="31323" ht="12.75" x14ac:dyDescent="0.2"/>
    <row r="31324" ht="12.75" x14ac:dyDescent="0.2"/>
    <row r="31325" ht="12.75" x14ac:dyDescent="0.2"/>
    <row r="31326" ht="12.75" x14ac:dyDescent="0.2"/>
    <row r="31327" ht="12.75" x14ac:dyDescent="0.2"/>
    <row r="31328" ht="12.75" x14ac:dyDescent="0.2"/>
    <row r="31329" ht="12.75" x14ac:dyDescent="0.2"/>
    <row r="31330" ht="12.75" x14ac:dyDescent="0.2"/>
    <row r="31331" ht="12.75" x14ac:dyDescent="0.2"/>
    <row r="31332" ht="12.75" x14ac:dyDescent="0.2"/>
    <row r="31333" ht="12.75" x14ac:dyDescent="0.2"/>
    <row r="31334" ht="12.75" x14ac:dyDescent="0.2"/>
    <row r="31335" ht="12.75" x14ac:dyDescent="0.2"/>
    <row r="31336" ht="12.75" x14ac:dyDescent="0.2"/>
    <row r="31337" ht="12.75" x14ac:dyDescent="0.2"/>
    <row r="31338" ht="12.75" x14ac:dyDescent="0.2"/>
    <row r="31339" ht="12.75" x14ac:dyDescent="0.2"/>
    <row r="31340" ht="12.75" x14ac:dyDescent="0.2"/>
    <row r="31341" ht="12.75" x14ac:dyDescent="0.2"/>
    <row r="31342" ht="12.75" x14ac:dyDescent="0.2"/>
    <row r="31343" ht="12.75" x14ac:dyDescent="0.2"/>
    <row r="31344" ht="12.75" x14ac:dyDescent="0.2"/>
    <row r="31345" ht="12.75" x14ac:dyDescent="0.2"/>
    <row r="31346" ht="12.75" x14ac:dyDescent="0.2"/>
    <row r="31347" ht="12.75" x14ac:dyDescent="0.2"/>
    <row r="31348" ht="12.75" x14ac:dyDescent="0.2"/>
    <row r="31349" ht="12.75" x14ac:dyDescent="0.2"/>
    <row r="31350" ht="12.75" x14ac:dyDescent="0.2"/>
    <row r="31351" ht="12.75" x14ac:dyDescent="0.2"/>
    <row r="31352" ht="12.75" x14ac:dyDescent="0.2"/>
    <row r="31353" ht="12.75" x14ac:dyDescent="0.2"/>
    <row r="31354" ht="12.75" x14ac:dyDescent="0.2"/>
    <row r="31355" ht="12.75" x14ac:dyDescent="0.2"/>
    <row r="31356" ht="12.75" x14ac:dyDescent="0.2"/>
    <row r="31357" ht="12.75" x14ac:dyDescent="0.2"/>
    <row r="31358" ht="12.75" x14ac:dyDescent="0.2"/>
    <row r="31359" ht="12.75" x14ac:dyDescent="0.2"/>
    <row r="31360" ht="12.75" x14ac:dyDescent="0.2"/>
    <row r="31361" ht="12.75" x14ac:dyDescent="0.2"/>
    <row r="31362" ht="12.75" x14ac:dyDescent="0.2"/>
    <row r="31363" ht="12.75" x14ac:dyDescent="0.2"/>
    <row r="31364" ht="12.75" x14ac:dyDescent="0.2"/>
    <row r="31365" ht="12.75" x14ac:dyDescent="0.2"/>
    <row r="31366" ht="12.75" x14ac:dyDescent="0.2"/>
    <row r="31367" ht="12.75" x14ac:dyDescent="0.2"/>
    <row r="31368" ht="12.75" x14ac:dyDescent="0.2"/>
    <row r="31369" ht="12.75" x14ac:dyDescent="0.2"/>
    <row r="31370" ht="12.75" x14ac:dyDescent="0.2"/>
    <row r="31371" ht="12.75" x14ac:dyDescent="0.2"/>
    <row r="31372" ht="12.75" x14ac:dyDescent="0.2"/>
    <row r="31373" ht="12.75" x14ac:dyDescent="0.2"/>
    <row r="31374" ht="12.75" x14ac:dyDescent="0.2"/>
    <row r="31375" ht="12.75" x14ac:dyDescent="0.2"/>
    <row r="31376" ht="12.75" x14ac:dyDescent="0.2"/>
    <row r="31377" ht="12.75" x14ac:dyDescent="0.2"/>
    <row r="31378" ht="12.75" x14ac:dyDescent="0.2"/>
    <row r="31379" ht="12.75" x14ac:dyDescent="0.2"/>
    <row r="31380" ht="12.75" x14ac:dyDescent="0.2"/>
    <row r="31381" ht="12.75" x14ac:dyDescent="0.2"/>
    <row r="31382" ht="12.75" x14ac:dyDescent="0.2"/>
    <row r="31383" ht="12.75" x14ac:dyDescent="0.2"/>
    <row r="31384" ht="12.75" x14ac:dyDescent="0.2"/>
    <row r="31385" ht="12.75" x14ac:dyDescent="0.2"/>
    <row r="31386" ht="12.75" x14ac:dyDescent="0.2"/>
    <row r="31387" ht="12.75" x14ac:dyDescent="0.2"/>
    <row r="31388" ht="12.75" x14ac:dyDescent="0.2"/>
    <row r="31389" ht="12.75" x14ac:dyDescent="0.2"/>
    <row r="31390" ht="12.75" x14ac:dyDescent="0.2"/>
    <row r="31391" ht="12.75" x14ac:dyDescent="0.2"/>
    <row r="31392" ht="12.75" x14ac:dyDescent="0.2"/>
    <row r="31393" ht="12.75" x14ac:dyDescent="0.2"/>
    <row r="31394" ht="12.75" x14ac:dyDescent="0.2"/>
    <row r="31395" ht="12.75" x14ac:dyDescent="0.2"/>
    <row r="31396" ht="12.75" x14ac:dyDescent="0.2"/>
    <row r="31397" ht="12.75" x14ac:dyDescent="0.2"/>
    <row r="31398" ht="12.75" x14ac:dyDescent="0.2"/>
    <row r="31399" ht="12.75" x14ac:dyDescent="0.2"/>
    <row r="31400" ht="12.75" x14ac:dyDescent="0.2"/>
    <row r="31401" ht="12.75" x14ac:dyDescent="0.2"/>
    <row r="31402" ht="12.75" x14ac:dyDescent="0.2"/>
    <row r="31403" ht="12.75" x14ac:dyDescent="0.2"/>
    <row r="31404" ht="12.75" x14ac:dyDescent="0.2"/>
    <row r="31405" ht="12.75" x14ac:dyDescent="0.2"/>
    <row r="31406" ht="12.75" x14ac:dyDescent="0.2"/>
    <row r="31407" ht="12.75" x14ac:dyDescent="0.2"/>
    <row r="31408" ht="12.75" x14ac:dyDescent="0.2"/>
    <row r="31409" ht="12.75" x14ac:dyDescent="0.2"/>
    <row r="31410" ht="12.75" x14ac:dyDescent="0.2"/>
    <row r="31411" ht="12.75" x14ac:dyDescent="0.2"/>
    <row r="31412" ht="12.75" x14ac:dyDescent="0.2"/>
    <row r="31413" ht="12.75" x14ac:dyDescent="0.2"/>
    <row r="31414" ht="12.75" x14ac:dyDescent="0.2"/>
    <row r="31415" ht="12.75" x14ac:dyDescent="0.2"/>
    <row r="31416" ht="12.75" x14ac:dyDescent="0.2"/>
    <row r="31417" ht="12.75" x14ac:dyDescent="0.2"/>
    <row r="31418" ht="12.75" x14ac:dyDescent="0.2"/>
    <row r="31419" ht="12.75" x14ac:dyDescent="0.2"/>
    <row r="31420" ht="12.75" x14ac:dyDescent="0.2"/>
    <row r="31421" ht="12.75" x14ac:dyDescent="0.2"/>
    <row r="31422" ht="12.75" x14ac:dyDescent="0.2"/>
    <row r="31423" ht="12.75" x14ac:dyDescent="0.2"/>
    <row r="31424" ht="12.75" x14ac:dyDescent="0.2"/>
    <row r="31425" ht="12.75" x14ac:dyDescent="0.2"/>
    <row r="31426" ht="12.75" x14ac:dyDescent="0.2"/>
    <row r="31427" ht="12.75" x14ac:dyDescent="0.2"/>
    <row r="31428" ht="12.75" x14ac:dyDescent="0.2"/>
    <row r="31429" ht="12.75" x14ac:dyDescent="0.2"/>
    <row r="31430" ht="12.75" x14ac:dyDescent="0.2"/>
    <row r="31431" ht="12.75" x14ac:dyDescent="0.2"/>
    <row r="31432" ht="12.75" x14ac:dyDescent="0.2"/>
    <row r="31433" ht="12.75" x14ac:dyDescent="0.2"/>
    <row r="31434" ht="12.75" x14ac:dyDescent="0.2"/>
    <row r="31435" ht="12.75" x14ac:dyDescent="0.2"/>
    <row r="31436" ht="12.75" x14ac:dyDescent="0.2"/>
    <row r="31437" ht="12.75" x14ac:dyDescent="0.2"/>
    <row r="31438" ht="12.75" x14ac:dyDescent="0.2"/>
    <row r="31439" ht="12.75" x14ac:dyDescent="0.2"/>
    <row r="31440" ht="12.75" x14ac:dyDescent="0.2"/>
    <row r="31441" ht="12.75" x14ac:dyDescent="0.2"/>
    <row r="31442" ht="12.75" x14ac:dyDescent="0.2"/>
    <row r="31443" ht="12.75" x14ac:dyDescent="0.2"/>
    <row r="31444" ht="12.75" x14ac:dyDescent="0.2"/>
    <row r="31445" ht="12.75" x14ac:dyDescent="0.2"/>
    <row r="31446" ht="12.75" x14ac:dyDescent="0.2"/>
    <row r="31447" ht="12.75" x14ac:dyDescent="0.2"/>
    <row r="31448" ht="12.75" x14ac:dyDescent="0.2"/>
    <row r="31449" ht="12.75" x14ac:dyDescent="0.2"/>
    <row r="31450" ht="12.75" x14ac:dyDescent="0.2"/>
    <row r="31451" ht="12.75" x14ac:dyDescent="0.2"/>
    <row r="31452" ht="12.75" x14ac:dyDescent="0.2"/>
    <row r="31453" ht="12.75" x14ac:dyDescent="0.2"/>
    <row r="31454" ht="12.75" x14ac:dyDescent="0.2"/>
    <row r="31455" ht="12.75" x14ac:dyDescent="0.2"/>
    <row r="31456" ht="12.75" x14ac:dyDescent="0.2"/>
    <row r="31457" ht="12.75" x14ac:dyDescent="0.2"/>
    <row r="31458" ht="12.75" x14ac:dyDescent="0.2"/>
    <row r="31459" ht="12.75" x14ac:dyDescent="0.2"/>
    <row r="31460" ht="12.75" x14ac:dyDescent="0.2"/>
    <row r="31461" ht="12.75" x14ac:dyDescent="0.2"/>
    <row r="31462" ht="12.75" x14ac:dyDescent="0.2"/>
    <row r="31463" ht="12.75" x14ac:dyDescent="0.2"/>
    <row r="31464" ht="12.75" x14ac:dyDescent="0.2"/>
    <row r="31465" ht="12.75" x14ac:dyDescent="0.2"/>
    <row r="31466" ht="12.75" x14ac:dyDescent="0.2"/>
    <row r="31467" ht="12.75" x14ac:dyDescent="0.2"/>
    <row r="31468" ht="12.75" x14ac:dyDescent="0.2"/>
    <row r="31469" ht="12.75" x14ac:dyDescent="0.2"/>
    <row r="31470" ht="12.75" x14ac:dyDescent="0.2"/>
    <row r="31471" ht="12.75" x14ac:dyDescent="0.2"/>
    <row r="31472" ht="12.75" x14ac:dyDescent="0.2"/>
    <row r="31473" ht="12.75" x14ac:dyDescent="0.2"/>
    <row r="31474" ht="12.75" x14ac:dyDescent="0.2"/>
    <row r="31475" ht="12.75" x14ac:dyDescent="0.2"/>
    <row r="31476" ht="12.75" x14ac:dyDescent="0.2"/>
    <row r="31477" ht="12.75" x14ac:dyDescent="0.2"/>
    <row r="31478" ht="12.75" x14ac:dyDescent="0.2"/>
    <row r="31479" ht="12.75" x14ac:dyDescent="0.2"/>
    <row r="31480" ht="12.75" x14ac:dyDescent="0.2"/>
    <row r="31481" ht="12.75" x14ac:dyDescent="0.2"/>
    <row r="31482" ht="12.75" x14ac:dyDescent="0.2"/>
    <row r="31483" ht="12.75" x14ac:dyDescent="0.2"/>
    <row r="31484" ht="12.75" x14ac:dyDescent="0.2"/>
    <row r="31485" ht="12.75" x14ac:dyDescent="0.2"/>
    <row r="31486" ht="12.75" x14ac:dyDescent="0.2"/>
    <row r="31487" ht="12.75" x14ac:dyDescent="0.2"/>
    <row r="31488" ht="12.75" x14ac:dyDescent="0.2"/>
    <row r="31489" ht="12.75" x14ac:dyDescent="0.2"/>
    <row r="31490" ht="12.75" x14ac:dyDescent="0.2"/>
    <row r="31491" ht="12.75" x14ac:dyDescent="0.2"/>
    <row r="31492" ht="12.75" x14ac:dyDescent="0.2"/>
    <row r="31493" ht="12.75" x14ac:dyDescent="0.2"/>
    <row r="31494" ht="12.75" x14ac:dyDescent="0.2"/>
    <row r="31495" ht="12.75" x14ac:dyDescent="0.2"/>
    <row r="31496" ht="12.75" x14ac:dyDescent="0.2"/>
    <row r="31497" ht="12.75" x14ac:dyDescent="0.2"/>
    <row r="31498" ht="12.75" x14ac:dyDescent="0.2"/>
    <row r="31499" ht="12.75" x14ac:dyDescent="0.2"/>
    <row r="31500" ht="12.75" x14ac:dyDescent="0.2"/>
    <row r="31501" ht="12.75" x14ac:dyDescent="0.2"/>
    <row r="31502" ht="12.75" x14ac:dyDescent="0.2"/>
    <row r="31503" ht="12.75" x14ac:dyDescent="0.2"/>
    <row r="31504" ht="12.75" x14ac:dyDescent="0.2"/>
    <row r="31505" ht="12.75" x14ac:dyDescent="0.2"/>
    <row r="31506" ht="12.75" x14ac:dyDescent="0.2"/>
    <row r="31507" ht="12.75" x14ac:dyDescent="0.2"/>
    <row r="31508" ht="12.75" x14ac:dyDescent="0.2"/>
    <row r="31509" ht="12.75" x14ac:dyDescent="0.2"/>
    <row r="31510" ht="12.75" x14ac:dyDescent="0.2"/>
    <row r="31511" ht="12.75" x14ac:dyDescent="0.2"/>
    <row r="31512" ht="12.75" x14ac:dyDescent="0.2"/>
    <row r="31513" ht="12.75" x14ac:dyDescent="0.2"/>
    <row r="31514" ht="12.75" x14ac:dyDescent="0.2"/>
    <row r="31515" ht="12.75" x14ac:dyDescent="0.2"/>
    <row r="31516" ht="12.75" x14ac:dyDescent="0.2"/>
    <row r="31517" ht="12.75" x14ac:dyDescent="0.2"/>
    <row r="31518" ht="12.75" x14ac:dyDescent="0.2"/>
    <row r="31519" ht="12.75" x14ac:dyDescent="0.2"/>
    <row r="31520" ht="12.75" x14ac:dyDescent="0.2"/>
    <row r="31521" ht="12.75" x14ac:dyDescent="0.2"/>
    <row r="31522" ht="12.75" x14ac:dyDescent="0.2"/>
    <row r="31523" ht="12.75" x14ac:dyDescent="0.2"/>
    <row r="31524" ht="12.75" x14ac:dyDescent="0.2"/>
    <row r="31525" ht="12.75" x14ac:dyDescent="0.2"/>
    <row r="31526" ht="12.75" x14ac:dyDescent="0.2"/>
    <row r="31527" ht="12.75" x14ac:dyDescent="0.2"/>
    <row r="31528" ht="12.75" x14ac:dyDescent="0.2"/>
    <row r="31529" ht="12.75" x14ac:dyDescent="0.2"/>
    <row r="31530" ht="12.75" x14ac:dyDescent="0.2"/>
    <row r="31531" ht="12.75" x14ac:dyDescent="0.2"/>
    <row r="31532" ht="12.75" x14ac:dyDescent="0.2"/>
    <row r="31533" ht="12.75" x14ac:dyDescent="0.2"/>
    <row r="31534" ht="12.75" x14ac:dyDescent="0.2"/>
    <row r="31535" ht="12.75" x14ac:dyDescent="0.2"/>
    <row r="31536" ht="12.75" x14ac:dyDescent="0.2"/>
    <row r="31537" ht="12.75" x14ac:dyDescent="0.2"/>
    <row r="31538" ht="12.75" x14ac:dyDescent="0.2"/>
    <row r="31539" ht="12.75" x14ac:dyDescent="0.2"/>
    <row r="31540" ht="12.75" x14ac:dyDescent="0.2"/>
    <row r="31541" ht="12.75" x14ac:dyDescent="0.2"/>
    <row r="31542" ht="12.75" x14ac:dyDescent="0.2"/>
    <row r="31543" ht="12.75" x14ac:dyDescent="0.2"/>
    <row r="31544" ht="12.75" x14ac:dyDescent="0.2"/>
    <row r="31545" ht="12.75" x14ac:dyDescent="0.2"/>
    <row r="31546" ht="12.75" x14ac:dyDescent="0.2"/>
    <row r="31547" ht="12.75" x14ac:dyDescent="0.2"/>
    <row r="31548" ht="12.75" x14ac:dyDescent="0.2"/>
    <row r="31549" ht="12.75" x14ac:dyDescent="0.2"/>
    <row r="31550" ht="12.75" x14ac:dyDescent="0.2"/>
    <row r="31551" ht="12.75" x14ac:dyDescent="0.2"/>
    <row r="31552" ht="12.75" x14ac:dyDescent="0.2"/>
    <row r="31553" ht="12.75" x14ac:dyDescent="0.2"/>
    <row r="31554" ht="12.75" x14ac:dyDescent="0.2"/>
    <row r="31555" ht="12.75" x14ac:dyDescent="0.2"/>
    <row r="31556" ht="12.75" x14ac:dyDescent="0.2"/>
    <row r="31557" ht="12.75" x14ac:dyDescent="0.2"/>
    <row r="31558" ht="12.75" x14ac:dyDescent="0.2"/>
    <row r="31559" ht="12.75" x14ac:dyDescent="0.2"/>
    <row r="31560" ht="12.75" x14ac:dyDescent="0.2"/>
    <row r="31561" ht="12.75" x14ac:dyDescent="0.2"/>
    <row r="31562" ht="12.75" x14ac:dyDescent="0.2"/>
    <row r="31563" ht="12.75" x14ac:dyDescent="0.2"/>
    <row r="31564" ht="12.75" x14ac:dyDescent="0.2"/>
    <row r="31565" ht="12.75" x14ac:dyDescent="0.2"/>
    <row r="31566" ht="12.75" x14ac:dyDescent="0.2"/>
    <row r="31567" ht="12.75" x14ac:dyDescent="0.2"/>
    <row r="31568" ht="12.75" x14ac:dyDescent="0.2"/>
    <row r="31569" ht="12.75" x14ac:dyDescent="0.2"/>
    <row r="31570" ht="12.75" x14ac:dyDescent="0.2"/>
    <row r="31571" ht="12.75" x14ac:dyDescent="0.2"/>
    <row r="31572" ht="12.75" x14ac:dyDescent="0.2"/>
    <row r="31573" ht="12.75" x14ac:dyDescent="0.2"/>
    <row r="31574" ht="12.75" x14ac:dyDescent="0.2"/>
    <row r="31575" ht="12.75" x14ac:dyDescent="0.2"/>
    <row r="31576" ht="12.75" x14ac:dyDescent="0.2"/>
    <row r="31577" ht="12.75" x14ac:dyDescent="0.2"/>
    <row r="31578" ht="12.75" x14ac:dyDescent="0.2"/>
    <row r="31579" ht="12.75" x14ac:dyDescent="0.2"/>
    <row r="31580" ht="12.75" x14ac:dyDescent="0.2"/>
    <row r="31581" ht="12.75" x14ac:dyDescent="0.2"/>
    <row r="31582" ht="12.75" x14ac:dyDescent="0.2"/>
    <row r="31583" ht="12.75" x14ac:dyDescent="0.2"/>
    <row r="31584" ht="12.75" x14ac:dyDescent="0.2"/>
    <row r="31585" ht="12.75" x14ac:dyDescent="0.2"/>
    <row r="31586" ht="12.75" x14ac:dyDescent="0.2"/>
    <row r="31587" ht="12.75" x14ac:dyDescent="0.2"/>
    <row r="31588" ht="12.75" x14ac:dyDescent="0.2"/>
    <row r="31589" ht="12.75" x14ac:dyDescent="0.2"/>
    <row r="31590" ht="12.75" x14ac:dyDescent="0.2"/>
    <row r="31591" ht="12.75" x14ac:dyDescent="0.2"/>
    <row r="31592" ht="12.75" x14ac:dyDescent="0.2"/>
    <row r="31593" ht="12.75" x14ac:dyDescent="0.2"/>
    <row r="31594" ht="12.75" x14ac:dyDescent="0.2"/>
    <row r="31595" ht="12.75" x14ac:dyDescent="0.2"/>
    <row r="31596" ht="12.75" x14ac:dyDescent="0.2"/>
    <row r="31597" ht="12.75" x14ac:dyDescent="0.2"/>
    <row r="31598" ht="12.75" x14ac:dyDescent="0.2"/>
    <row r="31599" ht="12.75" x14ac:dyDescent="0.2"/>
    <row r="31600" ht="12.75" x14ac:dyDescent="0.2"/>
    <row r="31601" ht="12.75" x14ac:dyDescent="0.2"/>
    <row r="31602" ht="12.75" x14ac:dyDescent="0.2"/>
    <row r="31603" ht="12.75" x14ac:dyDescent="0.2"/>
    <row r="31604" ht="12.75" x14ac:dyDescent="0.2"/>
    <row r="31605" ht="12.75" x14ac:dyDescent="0.2"/>
    <row r="31606" ht="12.75" x14ac:dyDescent="0.2"/>
    <row r="31607" ht="12.75" x14ac:dyDescent="0.2"/>
    <row r="31608" ht="12.75" x14ac:dyDescent="0.2"/>
    <row r="31609" ht="12.75" x14ac:dyDescent="0.2"/>
    <row r="31610" ht="12.75" x14ac:dyDescent="0.2"/>
    <row r="31611" ht="12.75" x14ac:dyDescent="0.2"/>
    <row r="31612" ht="12.75" x14ac:dyDescent="0.2"/>
    <row r="31613" ht="12.75" x14ac:dyDescent="0.2"/>
    <row r="31614" ht="12.75" x14ac:dyDescent="0.2"/>
    <row r="31615" ht="12.75" x14ac:dyDescent="0.2"/>
    <row r="31616" ht="12.75" x14ac:dyDescent="0.2"/>
    <row r="31617" ht="12.75" x14ac:dyDescent="0.2"/>
    <row r="31618" ht="12.75" x14ac:dyDescent="0.2"/>
    <row r="31619" ht="12.75" x14ac:dyDescent="0.2"/>
    <row r="31620" ht="12.75" x14ac:dyDescent="0.2"/>
    <row r="31621" ht="12.75" x14ac:dyDescent="0.2"/>
    <row r="31622" ht="12.75" x14ac:dyDescent="0.2"/>
    <row r="31623" ht="12.75" x14ac:dyDescent="0.2"/>
    <row r="31624" ht="12.75" x14ac:dyDescent="0.2"/>
    <row r="31625" ht="12.75" x14ac:dyDescent="0.2"/>
    <row r="31626" ht="12.75" x14ac:dyDescent="0.2"/>
    <row r="31627" ht="12.75" x14ac:dyDescent="0.2"/>
    <row r="31628" ht="12.75" x14ac:dyDescent="0.2"/>
    <row r="31629" ht="12.75" x14ac:dyDescent="0.2"/>
    <row r="31630" ht="12.75" x14ac:dyDescent="0.2"/>
    <row r="31631" ht="12.75" x14ac:dyDescent="0.2"/>
    <row r="31632" ht="12.75" x14ac:dyDescent="0.2"/>
    <row r="31633" ht="12.75" x14ac:dyDescent="0.2"/>
    <row r="31634" ht="12.75" x14ac:dyDescent="0.2"/>
    <row r="31635" ht="12.75" x14ac:dyDescent="0.2"/>
    <row r="31636" ht="12.75" x14ac:dyDescent="0.2"/>
    <row r="31637" ht="12.75" x14ac:dyDescent="0.2"/>
    <row r="31638" ht="12.75" x14ac:dyDescent="0.2"/>
    <row r="31639" ht="12.75" x14ac:dyDescent="0.2"/>
    <row r="31640" ht="12.75" x14ac:dyDescent="0.2"/>
    <row r="31641" ht="12.75" x14ac:dyDescent="0.2"/>
    <row r="31642" ht="12.75" x14ac:dyDescent="0.2"/>
    <row r="31643" ht="12.75" x14ac:dyDescent="0.2"/>
    <row r="31644" ht="12.75" x14ac:dyDescent="0.2"/>
    <row r="31645" ht="12.75" x14ac:dyDescent="0.2"/>
    <row r="31646" ht="12.75" x14ac:dyDescent="0.2"/>
    <row r="31647" ht="12.75" x14ac:dyDescent="0.2"/>
    <row r="31648" ht="12.75" x14ac:dyDescent="0.2"/>
    <row r="31649" ht="12.75" x14ac:dyDescent="0.2"/>
    <row r="31650" ht="12.75" x14ac:dyDescent="0.2"/>
    <row r="31651" ht="12.75" x14ac:dyDescent="0.2"/>
    <row r="31652" ht="12.75" x14ac:dyDescent="0.2"/>
    <row r="31653" ht="12.75" x14ac:dyDescent="0.2"/>
    <row r="31654" ht="12.75" x14ac:dyDescent="0.2"/>
    <row r="31655" ht="12.75" x14ac:dyDescent="0.2"/>
    <row r="31656" ht="12.75" x14ac:dyDescent="0.2"/>
    <row r="31657" ht="12.75" x14ac:dyDescent="0.2"/>
    <row r="31658" ht="12.75" x14ac:dyDescent="0.2"/>
    <row r="31659" ht="12.75" x14ac:dyDescent="0.2"/>
    <row r="31660" ht="12.75" x14ac:dyDescent="0.2"/>
    <row r="31661" ht="12.75" x14ac:dyDescent="0.2"/>
    <row r="31662" ht="12.75" x14ac:dyDescent="0.2"/>
    <row r="31663" ht="12.75" x14ac:dyDescent="0.2"/>
    <row r="31664" ht="12.75" x14ac:dyDescent="0.2"/>
    <row r="31665" ht="12.75" x14ac:dyDescent="0.2"/>
    <row r="31666" ht="12.75" x14ac:dyDescent="0.2"/>
    <row r="31667" ht="12.75" x14ac:dyDescent="0.2"/>
    <row r="31668" ht="12.75" x14ac:dyDescent="0.2"/>
    <row r="31669" ht="12.75" x14ac:dyDescent="0.2"/>
    <row r="31670" ht="12.75" x14ac:dyDescent="0.2"/>
    <row r="31671" ht="12.75" x14ac:dyDescent="0.2"/>
    <row r="31672" ht="12.75" x14ac:dyDescent="0.2"/>
    <row r="31673" ht="12.75" x14ac:dyDescent="0.2"/>
    <row r="31674" ht="12.75" x14ac:dyDescent="0.2"/>
    <row r="31675" ht="12.75" x14ac:dyDescent="0.2"/>
    <row r="31676" ht="12.75" x14ac:dyDescent="0.2"/>
    <row r="31677" ht="12.75" x14ac:dyDescent="0.2"/>
    <row r="31678" ht="12.75" x14ac:dyDescent="0.2"/>
    <row r="31679" ht="12.75" x14ac:dyDescent="0.2"/>
    <row r="31680" ht="12.75" x14ac:dyDescent="0.2"/>
    <row r="31681" ht="12.75" x14ac:dyDescent="0.2"/>
    <row r="31682" ht="12.75" x14ac:dyDescent="0.2"/>
    <row r="31683" ht="12.75" x14ac:dyDescent="0.2"/>
    <row r="31684" ht="12.75" x14ac:dyDescent="0.2"/>
    <row r="31685" ht="12.75" x14ac:dyDescent="0.2"/>
    <row r="31686" ht="12.75" x14ac:dyDescent="0.2"/>
    <row r="31687" ht="12.75" x14ac:dyDescent="0.2"/>
    <row r="31688" ht="12.75" x14ac:dyDescent="0.2"/>
    <row r="31689" ht="12.75" x14ac:dyDescent="0.2"/>
    <row r="31690" ht="12.75" x14ac:dyDescent="0.2"/>
    <row r="31691" ht="12.75" x14ac:dyDescent="0.2"/>
    <row r="31692" ht="12.75" x14ac:dyDescent="0.2"/>
    <row r="31693" ht="12.75" x14ac:dyDescent="0.2"/>
    <row r="31694" ht="12.75" x14ac:dyDescent="0.2"/>
    <row r="31695" ht="12.75" x14ac:dyDescent="0.2"/>
    <row r="31696" ht="12.75" x14ac:dyDescent="0.2"/>
    <row r="31697" ht="12.75" x14ac:dyDescent="0.2"/>
    <row r="31698" ht="12.75" x14ac:dyDescent="0.2"/>
    <row r="31699" ht="12.75" x14ac:dyDescent="0.2"/>
    <row r="31700" ht="12.75" x14ac:dyDescent="0.2"/>
    <row r="31701" ht="12.75" x14ac:dyDescent="0.2"/>
    <row r="31702" ht="12.75" x14ac:dyDescent="0.2"/>
    <row r="31703" ht="12.75" x14ac:dyDescent="0.2"/>
    <row r="31704" ht="12.75" x14ac:dyDescent="0.2"/>
    <row r="31705" ht="12.75" x14ac:dyDescent="0.2"/>
    <row r="31706" ht="12.75" x14ac:dyDescent="0.2"/>
    <row r="31707" ht="12.75" x14ac:dyDescent="0.2"/>
    <row r="31708" ht="12.75" x14ac:dyDescent="0.2"/>
    <row r="31709" ht="12.75" x14ac:dyDescent="0.2"/>
    <row r="31710" ht="12.75" x14ac:dyDescent="0.2"/>
    <row r="31711" ht="12.75" x14ac:dyDescent="0.2"/>
    <row r="31712" ht="12.75" x14ac:dyDescent="0.2"/>
    <row r="31713" ht="12.75" x14ac:dyDescent="0.2"/>
    <row r="31714" ht="12.75" x14ac:dyDescent="0.2"/>
    <row r="31715" ht="12.75" x14ac:dyDescent="0.2"/>
    <row r="31716" ht="12.75" x14ac:dyDescent="0.2"/>
    <row r="31717" ht="12.75" x14ac:dyDescent="0.2"/>
    <row r="31718" ht="12.75" x14ac:dyDescent="0.2"/>
    <row r="31719" ht="12.75" x14ac:dyDescent="0.2"/>
    <row r="31720" ht="12.75" x14ac:dyDescent="0.2"/>
    <row r="31721" ht="12.75" x14ac:dyDescent="0.2"/>
    <row r="31722" ht="12.75" x14ac:dyDescent="0.2"/>
    <row r="31723" ht="12.75" x14ac:dyDescent="0.2"/>
    <row r="31724" ht="12.75" x14ac:dyDescent="0.2"/>
    <row r="31725" ht="12.75" x14ac:dyDescent="0.2"/>
    <row r="31726" ht="12.75" x14ac:dyDescent="0.2"/>
    <row r="31727" ht="12.75" x14ac:dyDescent="0.2"/>
    <row r="31728" ht="12.75" x14ac:dyDescent="0.2"/>
    <row r="31729" ht="12.75" x14ac:dyDescent="0.2"/>
    <row r="31730" ht="12.75" x14ac:dyDescent="0.2"/>
    <row r="31731" ht="12.75" x14ac:dyDescent="0.2"/>
    <row r="31732" ht="12.75" x14ac:dyDescent="0.2"/>
    <row r="31733" ht="12.75" x14ac:dyDescent="0.2"/>
    <row r="31734" ht="12.75" x14ac:dyDescent="0.2"/>
    <row r="31735" ht="12.75" x14ac:dyDescent="0.2"/>
    <row r="31736" ht="12.75" x14ac:dyDescent="0.2"/>
    <row r="31737" ht="12.75" x14ac:dyDescent="0.2"/>
    <row r="31738" ht="12.75" x14ac:dyDescent="0.2"/>
    <row r="31739" ht="12.75" x14ac:dyDescent="0.2"/>
    <row r="31740" ht="12.75" x14ac:dyDescent="0.2"/>
    <row r="31741" ht="12.75" x14ac:dyDescent="0.2"/>
    <row r="31742" ht="12.75" x14ac:dyDescent="0.2"/>
    <row r="31743" ht="12.75" x14ac:dyDescent="0.2"/>
    <row r="31744" ht="12.75" x14ac:dyDescent="0.2"/>
    <row r="31745" ht="12.75" x14ac:dyDescent="0.2"/>
    <row r="31746" ht="12.75" x14ac:dyDescent="0.2"/>
    <row r="31747" ht="12.75" x14ac:dyDescent="0.2"/>
    <row r="31748" ht="12.75" x14ac:dyDescent="0.2"/>
    <row r="31749" ht="12.75" x14ac:dyDescent="0.2"/>
    <row r="31750" ht="12.75" x14ac:dyDescent="0.2"/>
    <row r="31751" ht="12.75" x14ac:dyDescent="0.2"/>
    <row r="31752" ht="12.75" x14ac:dyDescent="0.2"/>
    <row r="31753" ht="12.75" x14ac:dyDescent="0.2"/>
    <row r="31754" ht="12.75" x14ac:dyDescent="0.2"/>
    <row r="31755" ht="12.75" x14ac:dyDescent="0.2"/>
    <row r="31756" ht="12.75" x14ac:dyDescent="0.2"/>
    <row r="31757" ht="12.75" x14ac:dyDescent="0.2"/>
    <row r="31758" ht="12.75" x14ac:dyDescent="0.2"/>
    <row r="31759" ht="12.75" x14ac:dyDescent="0.2"/>
    <row r="31760" ht="12.75" x14ac:dyDescent="0.2"/>
    <row r="31761" ht="12.75" x14ac:dyDescent="0.2"/>
    <row r="31762" ht="12.75" x14ac:dyDescent="0.2"/>
    <row r="31763" ht="12.75" x14ac:dyDescent="0.2"/>
    <row r="31764" ht="12.75" x14ac:dyDescent="0.2"/>
    <row r="31765" ht="12.75" x14ac:dyDescent="0.2"/>
    <row r="31766" ht="12.75" x14ac:dyDescent="0.2"/>
    <row r="31767" ht="12.75" x14ac:dyDescent="0.2"/>
    <row r="31768" ht="12.75" x14ac:dyDescent="0.2"/>
    <row r="31769" ht="12.75" x14ac:dyDescent="0.2"/>
    <row r="31770" ht="12.75" x14ac:dyDescent="0.2"/>
    <row r="31771" ht="12.75" x14ac:dyDescent="0.2"/>
    <row r="31772" ht="12.75" x14ac:dyDescent="0.2"/>
    <row r="31773" ht="12.75" x14ac:dyDescent="0.2"/>
    <row r="31774" ht="12.75" x14ac:dyDescent="0.2"/>
    <row r="31775" ht="12.75" x14ac:dyDescent="0.2"/>
    <row r="31776" ht="12.75" x14ac:dyDescent="0.2"/>
    <row r="31777" ht="12.75" x14ac:dyDescent="0.2"/>
    <row r="31778" ht="12.75" x14ac:dyDescent="0.2"/>
    <row r="31779" ht="12.75" x14ac:dyDescent="0.2"/>
    <row r="31780" ht="12.75" x14ac:dyDescent="0.2"/>
    <row r="31781" ht="12.75" x14ac:dyDescent="0.2"/>
    <row r="31782" ht="12.75" x14ac:dyDescent="0.2"/>
    <row r="31783" ht="12.75" x14ac:dyDescent="0.2"/>
    <row r="31784" ht="12.75" x14ac:dyDescent="0.2"/>
    <row r="31785" ht="12.75" x14ac:dyDescent="0.2"/>
    <row r="31786" ht="12.75" x14ac:dyDescent="0.2"/>
    <row r="31787" ht="12.75" x14ac:dyDescent="0.2"/>
    <row r="31788" ht="12.75" x14ac:dyDescent="0.2"/>
    <row r="31789" ht="12.75" x14ac:dyDescent="0.2"/>
    <row r="31790" ht="12.75" x14ac:dyDescent="0.2"/>
    <row r="31791" ht="12.75" x14ac:dyDescent="0.2"/>
    <row r="31792" ht="12.75" x14ac:dyDescent="0.2"/>
    <row r="31793" ht="12.75" x14ac:dyDescent="0.2"/>
    <row r="31794" ht="12.75" x14ac:dyDescent="0.2"/>
    <row r="31795" ht="12.75" x14ac:dyDescent="0.2"/>
    <row r="31796" ht="12.75" x14ac:dyDescent="0.2"/>
    <row r="31797" ht="12.75" x14ac:dyDescent="0.2"/>
    <row r="31798" ht="12.75" x14ac:dyDescent="0.2"/>
    <row r="31799" ht="12.75" x14ac:dyDescent="0.2"/>
    <row r="31800" ht="12.75" x14ac:dyDescent="0.2"/>
    <row r="31801" ht="12.75" x14ac:dyDescent="0.2"/>
    <row r="31802" ht="12.75" x14ac:dyDescent="0.2"/>
    <row r="31803" ht="12.75" x14ac:dyDescent="0.2"/>
    <row r="31804" ht="12.75" x14ac:dyDescent="0.2"/>
    <row r="31805" ht="12.75" x14ac:dyDescent="0.2"/>
    <row r="31806" ht="12.75" x14ac:dyDescent="0.2"/>
    <row r="31807" ht="12.75" x14ac:dyDescent="0.2"/>
    <row r="31808" ht="12.75" x14ac:dyDescent="0.2"/>
    <row r="31809" ht="12.75" x14ac:dyDescent="0.2"/>
    <row r="31810" ht="12.75" x14ac:dyDescent="0.2"/>
    <row r="31811" ht="12.75" x14ac:dyDescent="0.2"/>
    <row r="31812" ht="12.75" x14ac:dyDescent="0.2"/>
    <row r="31813" ht="12.75" x14ac:dyDescent="0.2"/>
    <row r="31814" ht="12.75" x14ac:dyDescent="0.2"/>
    <row r="31815" ht="12.75" x14ac:dyDescent="0.2"/>
    <row r="31816" ht="12.75" x14ac:dyDescent="0.2"/>
    <row r="31817" ht="12.75" x14ac:dyDescent="0.2"/>
    <row r="31818" ht="12.75" x14ac:dyDescent="0.2"/>
    <row r="31819" ht="12.75" x14ac:dyDescent="0.2"/>
    <row r="31820" ht="12.75" x14ac:dyDescent="0.2"/>
    <row r="31821" ht="12.75" x14ac:dyDescent="0.2"/>
    <row r="31822" ht="12.75" x14ac:dyDescent="0.2"/>
    <row r="31823" ht="12.75" x14ac:dyDescent="0.2"/>
    <row r="31824" ht="12.75" x14ac:dyDescent="0.2"/>
    <row r="31825" ht="12.75" x14ac:dyDescent="0.2"/>
    <row r="31826" ht="12.75" x14ac:dyDescent="0.2"/>
    <row r="31827" ht="12.75" x14ac:dyDescent="0.2"/>
    <row r="31828" ht="12.75" x14ac:dyDescent="0.2"/>
    <row r="31829" ht="12.75" x14ac:dyDescent="0.2"/>
    <row r="31830" ht="12.75" x14ac:dyDescent="0.2"/>
    <row r="31831" ht="12.75" x14ac:dyDescent="0.2"/>
    <row r="31832" ht="12.75" x14ac:dyDescent="0.2"/>
    <row r="31833" ht="12.75" x14ac:dyDescent="0.2"/>
    <row r="31834" ht="12.75" x14ac:dyDescent="0.2"/>
    <row r="31835" ht="12.75" x14ac:dyDescent="0.2"/>
    <row r="31836" ht="12.75" x14ac:dyDescent="0.2"/>
    <row r="31837" ht="12.75" x14ac:dyDescent="0.2"/>
    <row r="31838" ht="12.75" x14ac:dyDescent="0.2"/>
    <row r="31839" ht="12.75" x14ac:dyDescent="0.2"/>
    <row r="31840" ht="12.75" x14ac:dyDescent="0.2"/>
    <row r="31841" ht="12.75" x14ac:dyDescent="0.2"/>
    <row r="31842" ht="12.75" x14ac:dyDescent="0.2"/>
    <row r="31843" ht="12.75" x14ac:dyDescent="0.2"/>
    <row r="31844" ht="12.75" x14ac:dyDescent="0.2"/>
    <row r="31845" ht="12.75" x14ac:dyDescent="0.2"/>
    <row r="31846" ht="12.75" x14ac:dyDescent="0.2"/>
    <row r="31847" ht="12.75" x14ac:dyDescent="0.2"/>
    <row r="31848" ht="12.75" x14ac:dyDescent="0.2"/>
    <row r="31849" ht="12.75" x14ac:dyDescent="0.2"/>
    <row r="31850" ht="12.75" x14ac:dyDescent="0.2"/>
    <row r="31851" ht="12.75" x14ac:dyDescent="0.2"/>
    <row r="31852" ht="12.75" x14ac:dyDescent="0.2"/>
    <row r="31853" ht="12.75" x14ac:dyDescent="0.2"/>
    <row r="31854" ht="12.75" x14ac:dyDescent="0.2"/>
    <row r="31855" ht="12.75" x14ac:dyDescent="0.2"/>
    <row r="31856" ht="12.75" x14ac:dyDescent="0.2"/>
    <row r="31857" ht="12.75" x14ac:dyDescent="0.2"/>
    <row r="31858" ht="12.75" x14ac:dyDescent="0.2"/>
    <row r="31859" ht="12.75" x14ac:dyDescent="0.2"/>
    <row r="31860" ht="12.75" x14ac:dyDescent="0.2"/>
    <row r="31861" ht="12.75" x14ac:dyDescent="0.2"/>
    <row r="31862" ht="12.75" x14ac:dyDescent="0.2"/>
    <row r="31863" ht="12.75" x14ac:dyDescent="0.2"/>
    <row r="31864" ht="12.75" x14ac:dyDescent="0.2"/>
    <row r="31865" ht="12.75" x14ac:dyDescent="0.2"/>
    <row r="31866" ht="12.75" x14ac:dyDescent="0.2"/>
    <row r="31867" ht="12.75" x14ac:dyDescent="0.2"/>
    <row r="31868" ht="12.75" x14ac:dyDescent="0.2"/>
    <row r="31869" ht="12.75" x14ac:dyDescent="0.2"/>
    <row r="31870" ht="12.75" x14ac:dyDescent="0.2"/>
    <row r="31871" ht="12.75" x14ac:dyDescent="0.2"/>
    <row r="31872" ht="12.75" x14ac:dyDescent="0.2"/>
    <row r="31873" ht="12.75" x14ac:dyDescent="0.2"/>
    <row r="31874" ht="12.75" x14ac:dyDescent="0.2"/>
    <row r="31875" ht="12.75" x14ac:dyDescent="0.2"/>
    <row r="31876" ht="12.75" x14ac:dyDescent="0.2"/>
    <row r="31877" ht="12.75" x14ac:dyDescent="0.2"/>
    <row r="31878" ht="12.75" x14ac:dyDescent="0.2"/>
    <row r="31879" ht="12.75" x14ac:dyDescent="0.2"/>
    <row r="31880" ht="12.75" x14ac:dyDescent="0.2"/>
    <row r="31881" ht="12.75" x14ac:dyDescent="0.2"/>
    <row r="31882" ht="12.75" x14ac:dyDescent="0.2"/>
    <row r="31883" ht="12.75" x14ac:dyDescent="0.2"/>
    <row r="31884" ht="12.75" x14ac:dyDescent="0.2"/>
    <row r="31885" ht="12.75" x14ac:dyDescent="0.2"/>
    <row r="31886" ht="12.75" x14ac:dyDescent="0.2"/>
    <row r="31887" ht="12.75" x14ac:dyDescent="0.2"/>
    <row r="31888" ht="12.75" x14ac:dyDescent="0.2"/>
    <row r="31889" ht="12.75" x14ac:dyDescent="0.2"/>
    <row r="31890" ht="12.75" x14ac:dyDescent="0.2"/>
    <row r="31891" ht="12.75" x14ac:dyDescent="0.2"/>
    <row r="31892" ht="12.75" x14ac:dyDescent="0.2"/>
    <row r="31893" ht="12.75" x14ac:dyDescent="0.2"/>
    <row r="31894" ht="12.75" x14ac:dyDescent="0.2"/>
    <row r="31895" ht="12.75" x14ac:dyDescent="0.2"/>
    <row r="31896" ht="12.75" x14ac:dyDescent="0.2"/>
    <row r="31897" ht="12.75" x14ac:dyDescent="0.2"/>
    <row r="31898" ht="12.75" x14ac:dyDescent="0.2"/>
    <row r="31899" ht="12.75" x14ac:dyDescent="0.2"/>
    <row r="31900" ht="12.75" x14ac:dyDescent="0.2"/>
    <row r="31901" ht="12.75" x14ac:dyDescent="0.2"/>
    <row r="31902" ht="12.75" x14ac:dyDescent="0.2"/>
    <row r="31903" ht="12.75" x14ac:dyDescent="0.2"/>
    <row r="31904" ht="12.75" x14ac:dyDescent="0.2"/>
    <row r="31905" ht="12.75" x14ac:dyDescent="0.2"/>
    <row r="31906" ht="12.75" x14ac:dyDescent="0.2"/>
    <row r="31907" ht="12.75" x14ac:dyDescent="0.2"/>
    <row r="31908" ht="12.75" x14ac:dyDescent="0.2"/>
    <row r="31909" ht="12.75" x14ac:dyDescent="0.2"/>
    <row r="31910" ht="12.75" x14ac:dyDescent="0.2"/>
    <row r="31911" ht="12.75" x14ac:dyDescent="0.2"/>
    <row r="31912" ht="12.75" x14ac:dyDescent="0.2"/>
    <row r="31913" ht="12.75" x14ac:dyDescent="0.2"/>
    <row r="31914" ht="12.75" x14ac:dyDescent="0.2"/>
    <row r="31915" ht="12.75" x14ac:dyDescent="0.2"/>
    <row r="31916" ht="12.75" x14ac:dyDescent="0.2"/>
    <row r="31917" ht="12.75" x14ac:dyDescent="0.2"/>
    <row r="31918" ht="12.75" x14ac:dyDescent="0.2"/>
    <row r="31919" ht="12.75" x14ac:dyDescent="0.2"/>
    <row r="31920" ht="12.75" x14ac:dyDescent="0.2"/>
    <row r="31921" ht="12.75" x14ac:dyDescent="0.2"/>
    <row r="31922" ht="12.75" x14ac:dyDescent="0.2"/>
    <row r="31923" ht="12.75" x14ac:dyDescent="0.2"/>
    <row r="31924" ht="12.75" x14ac:dyDescent="0.2"/>
    <row r="31925" ht="12.75" x14ac:dyDescent="0.2"/>
    <row r="31926" ht="12.75" x14ac:dyDescent="0.2"/>
    <row r="31927" ht="12.75" x14ac:dyDescent="0.2"/>
    <row r="31928" ht="12.75" x14ac:dyDescent="0.2"/>
    <row r="31929" ht="12.75" x14ac:dyDescent="0.2"/>
    <row r="31930" ht="12.75" x14ac:dyDescent="0.2"/>
    <row r="31931" ht="12.75" x14ac:dyDescent="0.2"/>
    <row r="31932" ht="12.75" x14ac:dyDescent="0.2"/>
    <row r="31933" ht="12.75" x14ac:dyDescent="0.2"/>
    <row r="31934" ht="12.75" x14ac:dyDescent="0.2"/>
    <row r="31935" ht="12.75" x14ac:dyDescent="0.2"/>
    <row r="31936" ht="12.75" x14ac:dyDescent="0.2"/>
    <row r="31937" ht="12.75" x14ac:dyDescent="0.2"/>
    <row r="31938" ht="12.75" x14ac:dyDescent="0.2"/>
    <row r="31939" ht="12.75" x14ac:dyDescent="0.2"/>
    <row r="31940" ht="12.75" x14ac:dyDescent="0.2"/>
    <row r="31941" ht="12.75" x14ac:dyDescent="0.2"/>
    <row r="31942" ht="12.75" x14ac:dyDescent="0.2"/>
    <row r="31943" ht="12.75" x14ac:dyDescent="0.2"/>
    <row r="31944" ht="12.75" x14ac:dyDescent="0.2"/>
    <row r="31945" ht="12.75" x14ac:dyDescent="0.2"/>
    <row r="31946" ht="12.75" x14ac:dyDescent="0.2"/>
    <row r="31947" ht="12.75" x14ac:dyDescent="0.2"/>
    <row r="31948" ht="12.75" x14ac:dyDescent="0.2"/>
    <row r="31949" ht="12.75" x14ac:dyDescent="0.2"/>
    <row r="31950" ht="12.75" x14ac:dyDescent="0.2"/>
    <row r="31951" ht="12.75" x14ac:dyDescent="0.2"/>
    <row r="31952" ht="12.75" x14ac:dyDescent="0.2"/>
    <row r="31953" ht="12.75" x14ac:dyDescent="0.2"/>
    <row r="31954" ht="12.75" x14ac:dyDescent="0.2"/>
    <row r="31955" ht="12.75" x14ac:dyDescent="0.2"/>
    <row r="31956" ht="12.75" x14ac:dyDescent="0.2"/>
    <row r="31957" ht="12.75" x14ac:dyDescent="0.2"/>
    <row r="31958" ht="12.75" x14ac:dyDescent="0.2"/>
    <row r="31959" ht="12.75" x14ac:dyDescent="0.2"/>
    <row r="31960" ht="12.75" x14ac:dyDescent="0.2"/>
    <row r="31961" ht="12.75" x14ac:dyDescent="0.2"/>
    <row r="31962" ht="12.75" x14ac:dyDescent="0.2"/>
    <row r="31963" ht="12.75" x14ac:dyDescent="0.2"/>
    <row r="31964" ht="12.75" x14ac:dyDescent="0.2"/>
    <row r="31965" ht="12.75" x14ac:dyDescent="0.2"/>
    <row r="31966" ht="12.75" x14ac:dyDescent="0.2"/>
    <row r="31967" ht="12.75" x14ac:dyDescent="0.2"/>
    <row r="31968" ht="12.75" x14ac:dyDescent="0.2"/>
    <row r="31969" ht="12.75" x14ac:dyDescent="0.2"/>
    <row r="31970" ht="12.75" x14ac:dyDescent="0.2"/>
    <row r="31971" ht="12.75" x14ac:dyDescent="0.2"/>
    <row r="31972" ht="12.75" x14ac:dyDescent="0.2"/>
    <row r="31973" ht="12.75" x14ac:dyDescent="0.2"/>
    <row r="31974" ht="12.75" x14ac:dyDescent="0.2"/>
    <row r="31975" ht="12.75" x14ac:dyDescent="0.2"/>
    <row r="31976" ht="12.75" x14ac:dyDescent="0.2"/>
    <row r="31977" ht="12.75" x14ac:dyDescent="0.2"/>
    <row r="31978" ht="12.75" x14ac:dyDescent="0.2"/>
    <row r="31979" ht="12.75" x14ac:dyDescent="0.2"/>
    <row r="31980" ht="12.75" x14ac:dyDescent="0.2"/>
    <row r="31981" ht="12.75" x14ac:dyDescent="0.2"/>
    <row r="31982" ht="12.75" x14ac:dyDescent="0.2"/>
    <row r="31983" ht="12.75" x14ac:dyDescent="0.2"/>
    <row r="31984" ht="12.75" x14ac:dyDescent="0.2"/>
    <row r="31985" ht="12.75" x14ac:dyDescent="0.2"/>
    <row r="31986" ht="12.75" x14ac:dyDescent="0.2"/>
    <row r="31987" ht="12.75" x14ac:dyDescent="0.2"/>
    <row r="31988" ht="12.75" x14ac:dyDescent="0.2"/>
    <row r="31989" ht="12.75" x14ac:dyDescent="0.2"/>
    <row r="31990" ht="12.75" x14ac:dyDescent="0.2"/>
    <row r="31991" ht="12.75" x14ac:dyDescent="0.2"/>
    <row r="31992" ht="12.75" x14ac:dyDescent="0.2"/>
    <row r="31993" ht="12.75" x14ac:dyDescent="0.2"/>
    <row r="31994" ht="12.75" x14ac:dyDescent="0.2"/>
    <row r="31995" ht="12.75" x14ac:dyDescent="0.2"/>
    <row r="31996" ht="12.75" x14ac:dyDescent="0.2"/>
    <row r="31997" ht="12.75" x14ac:dyDescent="0.2"/>
    <row r="31998" ht="12.75" x14ac:dyDescent="0.2"/>
    <row r="31999" ht="12.75" x14ac:dyDescent="0.2"/>
    <row r="32000" ht="12.75" x14ac:dyDescent="0.2"/>
    <row r="32001" ht="12.75" x14ac:dyDescent="0.2"/>
    <row r="32002" ht="12.75" x14ac:dyDescent="0.2"/>
    <row r="32003" ht="12.75" x14ac:dyDescent="0.2"/>
    <row r="32004" ht="12.75" x14ac:dyDescent="0.2"/>
    <row r="32005" ht="12.75" x14ac:dyDescent="0.2"/>
    <row r="32006" ht="12.75" x14ac:dyDescent="0.2"/>
    <row r="32007" ht="12.75" x14ac:dyDescent="0.2"/>
    <row r="32008" ht="12.75" x14ac:dyDescent="0.2"/>
    <row r="32009" ht="12.75" x14ac:dyDescent="0.2"/>
    <row r="32010" ht="12.75" x14ac:dyDescent="0.2"/>
    <row r="32011" ht="12.75" x14ac:dyDescent="0.2"/>
    <row r="32012" ht="12.75" x14ac:dyDescent="0.2"/>
    <row r="32013" ht="12.75" x14ac:dyDescent="0.2"/>
    <row r="32014" ht="12.75" x14ac:dyDescent="0.2"/>
    <row r="32015" ht="12.75" x14ac:dyDescent="0.2"/>
    <row r="32016" ht="12.75" x14ac:dyDescent="0.2"/>
    <row r="32017" ht="12.75" x14ac:dyDescent="0.2"/>
    <row r="32018" ht="12.75" x14ac:dyDescent="0.2"/>
    <row r="32019" ht="12.75" x14ac:dyDescent="0.2"/>
    <row r="32020" ht="12.75" x14ac:dyDescent="0.2"/>
    <row r="32021" ht="12.75" x14ac:dyDescent="0.2"/>
    <row r="32022" ht="12.75" x14ac:dyDescent="0.2"/>
    <row r="32023" ht="12.75" x14ac:dyDescent="0.2"/>
    <row r="32024" ht="12.75" x14ac:dyDescent="0.2"/>
    <row r="32025" ht="12.75" x14ac:dyDescent="0.2"/>
    <row r="32026" ht="12.75" x14ac:dyDescent="0.2"/>
    <row r="32027" ht="12.75" x14ac:dyDescent="0.2"/>
    <row r="32028" ht="12.75" x14ac:dyDescent="0.2"/>
    <row r="32029" ht="12.75" x14ac:dyDescent="0.2"/>
    <row r="32030" ht="12.75" x14ac:dyDescent="0.2"/>
    <row r="32031" ht="12.75" x14ac:dyDescent="0.2"/>
    <row r="32032" ht="12.75" x14ac:dyDescent="0.2"/>
    <row r="32033" ht="12.75" x14ac:dyDescent="0.2"/>
    <row r="32034" ht="12.75" x14ac:dyDescent="0.2"/>
    <row r="32035" ht="12.75" x14ac:dyDescent="0.2"/>
    <row r="32036" ht="12.75" x14ac:dyDescent="0.2"/>
    <row r="32037" ht="12.75" x14ac:dyDescent="0.2"/>
    <row r="32038" ht="12.75" x14ac:dyDescent="0.2"/>
    <row r="32039" ht="12.75" x14ac:dyDescent="0.2"/>
    <row r="32040" ht="12.75" x14ac:dyDescent="0.2"/>
    <row r="32041" ht="12.75" x14ac:dyDescent="0.2"/>
    <row r="32042" ht="12.75" x14ac:dyDescent="0.2"/>
    <row r="32043" ht="12.75" x14ac:dyDescent="0.2"/>
    <row r="32044" ht="12.75" x14ac:dyDescent="0.2"/>
    <row r="32045" ht="12.75" x14ac:dyDescent="0.2"/>
    <row r="32046" ht="12.75" x14ac:dyDescent="0.2"/>
    <row r="32047" ht="12.75" x14ac:dyDescent="0.2"/>
    <row r="32048" ht="12.75" x14ac:dyDescent="0.2"/>
    <row r="32049" ht="12.75" x14ac:dyDescent="0.2"/>
    <row r="32050" ht="12.75" x14ac:dyDescent="0.2"/>
    <row r="32051" ht="12.75" x14ac:dyDescent="0.2"/>
    <row r="32052" ht="12.75" x14ac:dyDescent="0.2"/>
    <row r="32053" ht="12.75" x14ac:dyDescent="0.2"/>
    <row r="32054" ht="12.75" x14ac:dyDescent="0.2"/>
    <row r="32055" ht="12.75" x14ac:dyDescent="0.2"/>
    <row r="32056" ht="12.75" x14ac:dyDescent="0.2"/>
    <row r="32057" ht="12.75" x14ac:dyDescent="0.2"/>
    <row r="32058" ht="12.75" x14ac:dyDescent="0.2"/>
    <row r="32059" ht="12.75" x14ac:dyDescent="0.2"/>
    <row r="32060" ht="12.75" x14ac:dyDescent="0.2"/>
    <row r="32061" ht="12.75" x14ac:dyDescent="0.2"/>
    <row r="32062" ht="12.75" x14ac:dyDescent="0.2"/>
    <row r="32063" ht="12.75" x14ac:dyDescent="0.2"/>
    <row r="32064" ht="12.75" x14ac:dyDescent="0.2"/>
    <row r="32065" ht="12.75" x14ac:dyDescent="0.2"/>
    <row r="32066" ht="12.75" x14ac:dyDescent="0.2"/>
    <row r="32067" ht="12.75" x14ac:dyDescent="0.2"/>
    <row r="32068" ht="12.75" x14ac:dyDescent="0.2"/>
    <row r="32069" ht="12.75" x14ac:dyDescent="0.2"/>
    <row r="32070" ht="12.75" x14ac:dyDescent="0.2"/>
    <row r="32071" ht="12.75" x14ac:dyDescent="0.2"/>
    <row r="32072" ht="12.75" x14ac:dyDescent="0.2"/>
    <row r="32073" ht="12.75" x14ac:dyDescent="0.2"/>
    <row r="32074" ht="12.75" x14ac:dyDescent="0.2"/>
    <row r="32075" ht="12.75" x14ac:dyDescent="0.2"/>
    <row r="32076" ht="12.75" x14ac:dyDescent="0.2"/>
    <row r="32077" ht="12.75" x14ac:dyDescent="0.2"/>
    <row r="32078" ht="12.75" x14ac:dyDescent="0.2"/>
    <row r="32079" ht="12.75" x14ac:dyDescent="0.2"/>
    <row r="32080" ht="12.75" x14ac:dyDescent="0.2"/>
    <row r="32081" ht="12.75" x14ac:dyDescent="0.2"/>
    <row r="32082" ht="12.75" x14ac:dyDescent="0.2"/>
    <row r="32083" ht="12.75" x14ac:dyDescent="0.2"/>
    <row r="32084" ht="12.75" x14ac:dyDescent="0.2"/>
    <row r="32085" ht="12.75" x14ac:dyDescent="0.2"/>
    <row r="32086" ht="12.75" x14ac:dyDescent="0.2"/>
    <row r="32087" ht="12.75" x14ac:dyDescent="0.2"/>
    <row r="32088" ht="12.75" x14ac:dyDescent="0.2"/>
    <row r="32089" ht="12.75" x14ac:dyDescent="0.2"/>
    <row r="32090" ht="12.75" x14ac:dyDescent="0.2"/>
    <row r="32091" ht="12.75" x14ac:dyDescent="0.2"/>
    <row r="32092" ht="12.75" x14ac:dyDescent="0.2"/>
    <row r="32093" ht="12.75" x14ac:dyDescent="0.2"/>
    <row r="32094" ht="12.75" x14ac:dyDescent="0.2"/>
    <row r="32095" ht="12.75" x14ac:dyDescent="0.2"/>
    <row r="32096" ht="12.75" x14ac:dyDescent="0.2"/>
    <row r="32097" ht="12.75" x14ac:dyDescent="0.2"/>
    <row r="32098" ht="12.75" x14ac:dyDescent="0.2"/>
    <row r="32099" ht="12.75" x14ac:dyDescent="0.2"/>
    <row r="32100" ht="12.75" x14ac:dyDescent="0.2"/>
    <row r="32101" ht="12.75" x14ac:dyDescent="0.2"/>
    <row r="32102" ht="12.75" x14ac:dyDescent="0.2"/>
    <row r="32103" ht="12.75" x14ac:dyDescent="0.2"/>
    <row r="32104" ht="12.75" x14ac:dyDescent="0.2"/>
    <row r="32105" ht="12.75" x14ac:dyDescent="0.2"/>
    <row r="32106" ht="12.75" x14ac:dyDescent="0.2"/>
    <row r="32107" ht="12.75" x14ac:dyDescent="0.2"/>
    <row r="32108" ht="12.75" x14ac:dyDescent="0.2"/>
    <row r="32109" ht="12.75" x14ac:dyDescent="0.2"/>
    <row r="32110" ht="12.75" x14ac:dyDescent="0.2"/>
    <row r="32111" ht="12.75" x14ac:dyDescent="0.2"/>
    <row r="32112" ht="12.75" x14ac:dyDescent="0.2"/>
    <row r="32113" ht="12.75" x14ac:dyDescent="0.2"/>
    <row r="32114" ht="12.75" x14ac:dyDescent="0.2"/>
    <row r="32115" ht="12.75" x14ac:dyDescent="0.2"/>
    <row r="32116" ht="12.75" x14ac:dyDescent="0.2"/>
    <row r="32117" ht="12.75" x14ac:dyDescent="0.2"/>
    <row r="32118" ht="12.75" x14ac:dyDescent="0.2"/>
    <row r="32119" ht="12.75" x14ac:dyDescent="0.2"/>
    <row r="32120" ht="12.75" x14ac:dyDescent="0.2"/>
    <row r="32121" ht="12.75" x14ac:dyDescent="0.2"/>
    <row r="32122" ht="12.75" x14ac:dyDescent="0.2"/>
    <row r="32123" ht="12.75" x14ac:dyDescent="0.2"/>
    <row r="32124" ht="12.75" x14ac:dyDescent="0.2"/>
    <row r="32125" ht="12.75" x14ac:dyDescent="0.2"/>
    <row r="32126" ht="12.75" x14ac:dyDescent="0.2"/>
    <row r="32127" ht="12.75" x14ac:dyDescent="0.2"/>
    <row r="32128" ht="12.75" x14ac:dyDescent="0.2"/>
    <row r="32129" ht="12.75" x14ac:dyDescent="0.2"/>
    <row r="32130" ht="12.75" x14ac:dyDescent="0.2"/>
    <row r="32131" ht="12.75" x14ac:dyDescent="0.2"/>
    <row r="32132" ht="12.75" x14ac:dyDescent="0.2"/>
    <row r="32133" ht="12.75" x14ac:dyDescent="0.2"/>
    <row r="32134" ht="12.75" x14ac:dyDescent="0.2"/>
    <row r="32135" ht="12.75" x14ac:dyDescent="0.2"/>
    <row r="32136" ht="12.75" x14ac:dyDescent="0.2"/>
    <row r="32137" ht="12.75" x14ac:dyDescent="0.2"/>
    <row r="32138" ht="12.75" x14ac:dyDescent="0.2"/>
    <row r="32139" ht="12.75" x14ac:dyDescent="0.2"/>
    <row r="32140" ht="12.75" x14ac:dyDescent="0.2"/>
    <row r="32141" ht="12.75" x14ac:dyDescent="0.2"/>
    <row r="32142" ht="12.75" x14ac:dyDescent="0.2"/>
    <row r="32143" ht="12.75" x14ac:dyDescent="0.2"/>
    <row r="32144" ht="12.75" x14ac:dyDescent="0.2"/>
    <row r="32145" ht="12.75" x14ac:dyDescent="0.2"/>
    <row r="32146" ht="12.75" x14ac:dyDescent="0.2"/>
    <row r="32147" ht="12.75" x14ac:dyDescent="0.2"/>
    <row r="32148" ht="12.75" x14ac:dyDescent="0.2"/>
    <row r="32149" ht="12.75" x14ac:dyDescent="0.2"/>
    <row r="32150" ht="12.75" x14ac:dyDescent="0.2"/>
    <row r="32151" ht="12.75" x14ac:dyDescent="0.2"/>
    <row r="32152" ht="12.75" x14ac:dyDescent="0.2"/>
    <row r="32153" ht="12.75" x14ac:dyDescent="0.2"/>
    <row r="32154" ht="12.75" x14ac:dyDescent="0.2"/>
    <row r="32155" ht="12.75" x14ac:dyDescent="0.2"/>
    <row r="32156" ht="12.75" x14ac:dyDescent="0.2"/>
    <row r="32157" ht="12.75" x14ac:dyDescent="0.2"/>
    <row r="32158" ht="12.75" x14ac:dyDescent="0.2"/>
    <row r="32159" ht="12.75" x14ac:dyDescent="0.2"/>
    <row r="32160" ht="12.75" x14ac:dyDescent="0.2"/>
    <row r="32161" ht="12.75" x14ac:dyDescent="0.2"/>
    <row r="32162" ht="12.75" x14ac:dyDescent="0.2"/>
    <row r="32163" ht="12.75" x14ac:dyDescent="0.2"/>
    <row r="32164" ht="12.75" x14ac:dyDescent="0.2"/>
    <row r="32165" ht="12.75" x14ac:dyDescent="0.2"/>
    <row r="32166" ht="12.75" x14ac:dyDescent="0.2"/>
    <row r="32167" ht="12.75" x14ac:dyDescent="0.2"/>
    <row r="32168" ht="12.75" x14ac:dyDescent="0.2"/>
    <row r="32169" ht="12.75" x14ac:dyDescent="0.2"/>
    <row r="32170" ht="12.75" x14ac:dyDescent="0.2"/>
    <row r="32171" ht="12.75" x14ac:dyDescent="0.2"/>
    <row r="32172" ht="12.75" x14ac:dyDescent="0.2"/>
    <row r="32173" ht="12.75" x14ac:dyDescent="0.2"/>
    <row r="32174" ht="12.75" x14ac:dyDescent="0.2"/>
    <row r="32175" ht="12.75" x14ac:dyDescent="0.2"/>
    <row r="32176" ht="12.75" x14ac:dyDescent="0.2"/>
    <row r="32177" ht="12.75" x14ac:dyDescent="0.2"/>
    <row r="32178" ht="12.75" x14ac:dyDescent="0.2"/>
    <row r="32179" ht="12.75" x14ac:dyDescent="0.2"/>
    <row r="32180" ht="12.75" x14ac:dyDescent="0.2"/>
    <row r="32181" ht="12.75" x14ac:dyDescent="0.2"/>
    <row r="32182" ht="12.75" x14ac:dyDescent="0.2"/>
    <row r="32183" ht="12.75" x14ac:dyDescent="0.2"/>
    <row r="32184" ht="12.75" x14ac:dyDescent="0.2"/>
    <row r="32185" ht="12.75" x14ac:dyDescent="0.2"/>
    <row r="32186" ht="12.75" x14ac:dyDescent="0.2"/>
    <row r="32187" ht="12.75" x14ac:dyDescent="0.2"/>
    <row r="32188" ht="12.75" x14ac:dyDescent="0.2"/>
    <row r="32189" ht="12.75" x14ac:dyDescent="0.2"/>
    <row r="32190" ht="12.75" x14ac:dyDescent="0.2"/>
    <row r="32191" ht="12.75" x14ac:dyDescent="0.2"/>
    <row r="32192" ht="12.75" x14ac:dyDescent="0.2"/>
    <row r="32193" ht="12.75" x14ac:dyDescent="0.2"/>
    <row r="32194" ht="12.75" x14ac:dyDescent="0.2"/>
    <row r="32195" ht="12.75" x14ac:dyDescent="0.2"/>
    <row r="32196" ht="12.75" x14ac:dyDescent="0.2"/>
    <row r="32197" ht="12.75" x14ac:dyDescent="0.2"/>
    <row r="32198" ht="12.75" x14ac:dyDescent="0.2"/>
    <row r="32199" ht="12.75" x14ac:dyDescent="0.2"/>
    <row r="32200" ht="12.75" x14ac:dyDescent="0.2"/>
    <row r="32201" ht="12.75" x14ac:dyDescent="0.2"/>
    <row r="32202" ht="12.75" x14ac:dyDescent="0.2"/>
    <row r="32203" ht="12.75" x14ac:dyDescent="0.2"/>
    <row r="32204" ht="12.75" x14ac:dyDescent="0.2"/>
    <row r="32205" ht="12.75" x14ac:dyDescent="0.2"/>
    <row r="32206" ht="12.75" x14ac:dyDescent="0.2"/>
    <row r="32207" ht="12.75" x14ac:dyDescent="0.2"/>
    <row r="32208" ht="12.75" x14ac:dyDescent="0.2"/>
    <row r="32209" ht="12.75" x14ac:dyDescent="0.2"/>
    <row r="32210" ht="12.75" x14ac:dyDescent="0.2"/>
    <row r="32211" ht="12.75" x14ac:dyDescent="0.2"/>
    <row r="32212" ht="12.75" x14ac:dyDescent="0.2"/>
    <row r="32213" ht="12.75" x14ac:dyDescent="0.2"/>
    <row r="32214" ht="12.75" x14ac:dyDescent="0.2"/>
    <row r="32215" ht="12.75" x14ac:dyDescent="0.2"/>
    <row r="32216" ht="12.75" x14ac:dyDescent="0.2"/>
    <row r="32217" ht="12.75" x14ac:dyDescent="0.2"/>
    <row r="32218" ht="12.75" x14ac:dyDescent="0.2"/>
    <row r="32219" ht="12.75" x14ac:dyDescent="0.2"/>
    <row r="32220" ht="12.75" x14ac:dyDescent="0.2"/>
    <row r="32221" ht="12.75" x14ac:dyDescent="0.2"/>
    <row r="32222" ht="12.75" x14ac:dyDescent="0.2"/>
    <row r="32223" ht="12.75" x14ac:dyDescent="0.2"/>
    <row r="32224" ht="12.75" x14ac:dyDescent="0.2"/>
    <row r="32225" ht="12.75" x14ac:dyDescent="0.2"/>
    <row r="32226" ht="12.75" x14ac:dyDescent="0.2"/>
    <row r="32227" ht="12.75" x14ac:dyDescent="0.2"/>
    <row r="32228" ht="12.75" x14ac:dyDescent="0.2"/>
    <row r="32229" ht="12.75" x14ac:dyDescent="0.2"/>
    <row r="32230" ht="12.75" x14ac:dyDescent="0.2"/>
    <row r="32231" ht="12.75" x14ac:dyDescent="0.2"/>
    <row r="32232" ht="12.75" x14ac:dyDescent="0.2"/>
    <row r="32233" ht="12.75" x14ac:dyDescent="0.2"/>
    <row r="32234" ht="12.75" x14ac:dyDescent="0.2"/>
    <row r="32235" ht="12.75" x14ac:dyDescent="0.2"/>
    <row r="32236" ht="12.75" x14ac:dyDescent="0.2"/>
    <row r="32237" ht="12.75" x14ac:dyDescent="0.2"/>
    <row r="32238" ht="12.75" x14ac:dyDescent="0.2"/>
    <row r="32239" ht="12.75" x14ac:dyDescent="0.2"/>
    <row r="32240" ht="12.75" x14ac:dyDescent="0.2"/>
    <row r="32241" ht="12.75" x14ac:dyDescent="0.2"/>
    <row r="32242" ht="12.75" x14ac:dyDescent="0.2"/>
    <row r="32243" ht="12.75" x14ac:dyDescent="0.2"/>
    <row r="32244" ht="12.75" x14ac:dyDescent="0.2"/>
    <row r="32245" ht="12.75" x14ac:dyDescent="0.2"/>
    <row r="32246" ht="12.75" x14ac:dyDescent="0.2"/>
    <row r="32247" ht="12.75" x14ac:dyDescent="0.2"/>
    <row r="32248" ht="12.75" x14ac:dyDescent="0.2"/>
    <row r="32249" ht="12.75" x14ac:dyDescent="0.2"/>
    <row r="32250" ht="12.75" x14ac:dyDescent="0.2"/>
    <row r="32251" ht="12.75" x14ac:dyDescent="0.2"/>
    <row r="32252" ht="12.75" x14ac:dyDescent="0.2"/>
    <row r="32253" ht="12.75" x14ac:dyDescent="0.2"/>
    <row r="32254" ht="12.75" x14ac:dyDescent="0.2"/>
    <row r="32255" ht="12.75" x14ac:dyDescent="0.2"/>
    <row r="32256" ht="12.75" x14ac:dyDescent="0.2"/>
    <row r="32257" ht="12.75" x14ac:dyDescent="0.2"/>
    <row r="32258" ht="12.75" x14ac:dyDescent="0.2"/>
    <row r="32259" ht="12.75" x14ac:dyDescent="0.2"/>
    <row r="32260" ht="12.75" x14ac:dyDescent="0.2"/>
    <row r="32261" ht="12.75" x14ac:dyDescent="0.2"/>
    <row r="32262" ht="12.75" x14ac:dyDescent="0.2"/>
    <row r="32263" ht="12.75" x14ac:dyDescent="0.2"/>
    <row r="32264" ht="12.75" x14ac:dyDescent="0.2"/>
    <row r="32265" ht="12.75" x14ac:dyDescent="0.2"/>
    <row r="32266" ht="12.75" x14ac:dyDescent="0.2"/>
    <row r="32267" ht="12.75" x14ac:dyDescent="0.2"/>
    <row r="32268" ht="12.75" x14ac:dyDescent="0.2"/>
    <row r="32269" ht="12.75" x14ac:dyDescent="0.2"/>
    <row r="32270" ht="12.75" x14ac:dyDescent="0.2"/>
    <row r="32271" ht="12.75" x14ac:dyDescent="0.2"/>
    <row r="32272" ht="12.75" x14ac:dyDescent="0.2"/>
    <row r="32273" ht="12.75" x14ac:dyDescent="0.2"/>
    <row r="32274" ht="12.75" x14ac:dyDescent="0.2"/>
    <row r="32275" ht="12.75" x14ac:dyDescent="0.2"/>
    <row r="32276" ht="12.75" x14ac:dyDescent="0.2"/>
    <row r="32277" ht="12.75" x14ac:dyDescent="0.2"/>
    <row r="32278" ht="12.75" x14ac:dyDescent="0.2"/>
    <row r="32279" ht="12.75" x14ac:dyDescent="0.2"/>
    <row r="32280" ht="12.75" x14ac:dyDescent="0.2"/>
    <row r="32281" ht="12.75" x14ac:dyDescent="0.2"/>
    <row r="32282" ht="12.75" x14ac:dyDescent="0.2"/>
    <row r="32283" ht="12.75" x14ac:dyDescent="0.2"/>
    <row r="32284" ht="12.75" x14ac:dyDescent="0.2"/>
    <row r="32285" ht="12.75" x14ac:dyDescent="0.2"/>
    <row r="32286" ht="12.75" x14ac:dyDescent="0.2"/>
    <row r="32287" ht="12.75" x14ac:dyDescent="0.2"/>
    <row r="32288" ht="12.75" x14ac:dyDescent="0.2"/>
    <row r="32289" ht="12.75" x14ac:dyDescent="0.2"/>
    <row r="32290" ht="12.75" x14ac:dyDescent="0.2"/>
    <row r="32291" ht="12.75" x14ac:dyDescent="0.2"/>
    <row r="32292" ht="12.75" x14ac:dyDescent="0.2"/>
    <row r="32293" ht="12.75" x14ac:dyDescent="0.2"/>
    <row r="32294" ht="12.75" x14ac:dyDescent="0.2"/>
    <row r="32295" ht="12.75" x14ac:dyDescent="0.2"/>
    <row r="32296" ht="12.75" x14ac:dyDescent="0.2"/>
    <row r="32297" ht="12.75" x14ac:dyDescent="0.2"/>
    <row r="32298" ht="12.75" x14ac:dyDescent="0.2"/>
    <row r="32299" ht="12.75" x14ac:dyDescent="0.2"/>
    <row r="32300" ht="12.75" x14ac:dyDescent="0.2"/>
    <row r="32301" ht="12.75" x14ac:dyDescent="0.2"/>
    <row r="32302" ht="12.75" x14ac:dyDescent="0.2"/>
    <row r="32303" ht="12.75" x14ac:dyDescent="0.2"/>
    <row r="32304" ht="12.75" x14ac:dyDescent="0.2"/>
    <row r="32305" ht="12.75" x14ac:dyDescent="0.2"/>
    <row r="32306" ht="12.75" x14ac:dyDescent="0.2"/>
    <row r="32307" ht="12.75" x14ac:dyDescent="0.2"/>
    <row r="32308" ht="12.75" x14ac:dyDescent="0.2"/>
    <row r="32309" ht="12.75" x14ac:dyDescent="0.2"/>
    <row r="32310" ht="12.75" x14ac:dyDescent="0.2"/>
    <row r="32311" ht="12.75" x14ac:dyDescent="0.2"/>
    <row r="32312" ht="12.75" x14ac:dyDescent="0.2"/>
    <row r="32313" ht="12.75" x14ac:dyDescent="0.2"/>
    <row r="32314" ht="12.75" x14ac:dyDescent="0.2"/>
    <row r="32315" ht="12.75" x14ac:dyDescent="0.2"/>
    <row r="32316" ht="12.75" x14ac:dyDescent="0.2"/>
    <row r="32317" ht="12.75" x14ac:dyDescent="0.2"/>
    <row r="32318" ht="12.75" x14ac:dyDescent="0.2"/>
    <row r="32319" ht="12.75" x14ac:dyDescent="0.2"/>
    <row r="32320" ht="12.75" x14ac:dyDescent="0.2"/>
    <row r="32321" ht="12.75" x14ac:dyDescent="0.2"/>
    <row r="32322" ht="12.75" x14ac:dyDescent="0.2"/>
    <row r="32323" ht="12.75" x14ac:dyDescent="0.2"/>
    <row r="32324" ht="12.75" x14ac:dyDescent="0.2"/>
    <row r="32325" ht="12.75" x14ac:dyDescent="0.2"/>
    <row r="32326" ht="12.75" x14ac:dyDescent="0.2"/>
    <row r="32327" ht="12.75" x14ac:dyDescent="0.2"/>
    <row r="32328" ht="12.75" x14ac:dyDescent="0.2"/>
    <row r="32329" ht="12.75" x14ac:dyDescent="0.2"/>
    <row r="32330" ht="12.75" x14ac:dyDescent="0.2"/>
    <row r="32331" ht="12.75" x14ac:dyDescent="0.2"/>
    <row r="32332" ht="12.75" x14ac:dyDescent="0.2"/>
    <row r="32333" ht="12.75" x14ac:dyDescent="0.2"/>
    <row r="32334" ht="12.75" x14ac:dyDescent="0.2"/>
    <row r="32335" ht="12.75" x14ac:dyDescent="0.2"/>
    <row r="32336" ht="12.75" x14ac:dyDescent="0.2"/>
    <row r="32337" ht="12.75" x14ac:dyDescent="0.2"/>
    <row r="32338" ht="12.75" x14ac:dyDescent="0.2"/>
    <row r="32339" ht="12.75" x14ac:dyDescent="0.2"/>
    <row r="32340" ht="12.75" x14ac:dyDescent="0.2"/>
    <row r="32341" ht="12.75" x14ac:dyDescent="0.2"/>
    <row r="32342" ht="12.75" x14ac:dyDescent="0.2"/>
    <row r="32343" ht="12.75" x14ac:dyDescent="0.2"/>
    <row r="32344" ht="12.75" x14ac:dyDescent="0.2"/>
    <row r="32345" ht="12.75" x14ac:dyDescent="0.2"/>
    <row r="32346" ht="12.75" x14ac:dyDescent="0.2"/>
    <row r="32347" ht="12.75" x14ac:dyDescent="0.2"/>
    <row r="32348" ht="12.75" x14ac:dyDescent="0.2"/>
    <row r="32349" ht="12.75" x14ac:dyDescent="0.2"/>
    <row r="32350" ht="12.75" x14ac:dyDescent="0.2"/>
    <row r="32351" ht="12.75" x14ac:dyDescent="0.2"/>
    <row r="32352" ht="12.75" x14ac:dyDescent="0.2"/>
    <row r="32353" ht="12.75" x14ac:dyDescent="0.2"/>
    <row r="32354" ht="12.75" x14ac:dyDescent="0.2"/>
    <row r="32355" ht="12.75" x14ac:dyDescent="0.2"/>
    <row r="32356" ht="12.75" x14ac:dyDescent="0.2"/>
    <row r="32357" ht="12.75" x14ac:dyDescent="0.2"/>
    <row r="32358" ht="12.75" x14ac:dyDescent="0.2"/>
    <row r="32359" ht="12.75" x14ac:dyDescent="0.2"/>
    <row r="32360" ht="12.75" x14ac:dyDescent="0.2"/>
    <row r="32361" ht="12.75" x14ac:dyDescent="0.2"/>
    <row r="32362" ht="12.75" x14ac:dyDescent="0.2"/>
    <row r="32363" ht="12.75" x14ac:dyDescent="0.2"/>
    <row r="32364" ht="12.75" x14ac:dyDescent="0.2"/>
    <row r="32365" ht="12.75" x14ac:dyDescent="0.2"/>
    <row r="32366" ht="12.75" x14ac:dyDescent="0.2"/>
    <row r="32367" ht="12.75" x14ac:dyDescent="0.2"/>
    <row r="32368" ht="12.75" x14ac:dyDescent="0.2"/>
    <row r="32369" ht="12.75" x14ac:dyDescent="0.2"/>
    <row r="32370" ht="12.75" x14ac:dyDescent="0.2"/>
    <row r="32371" ht="12.75" x14ac:dyDescent="0.2"/>
    <row r="32372" ht="12.75" x14ac:dyDescent="0.2"/>
    <row r="32373" ht="12.75" x14ac:dyDescent="0.2"/>
    <row r="32374" ht="12.75" x14ac:dyDescent="0.2"/>
    <row r="32375" ht="12.75" x14ac:dyDescent="0.2"/>
    <row r="32376" ht="12.75" x14ac:dyDescent="0.2"/>
    <row r="32377" ht="12.75" x14ac:dyDescent="0.2"/>
    <row r="32378" ht="12.75" x14ac:dyDescent="0.2"/>
    <row r="32379" ht="12.75" x14ac:dyDescent="0.2"/>
    <row r="32380" ht="12.75" x14ac:dyDescent="0.2"/>
    <row r="32381" ht="12.75" x14ac:dyDescent="0.2"/>
    <row r="32382" ht="12.75" x14ac:dyDescent="0.2"/>
    <row r="32383" ht="12.75" x14ac:dyDescent="0.2"/>
    <row r="32384" ht="12.75" x14ac:dyDescent="0.2"/>
    <row r="32385" ht="12.75" x14ac:dyDescent="0.2"/>
    <row r="32386" ht="12.75" x14ac:dyDescent="0.2"/>
    <row r="32387" ht="12.75" x14ac:dyDescent="0.2"/>
    <row r="32388" ht="12.75" x14ac:dyDescent="0.2"/>
    <row r="32389" ht="12.75" x14ac:dyDescent="0.2"/>
    <row r="32390" ht="12.75" x14ac:dyDescent="0.2"/>
    <row r="32391" ht="12.75" x14ac:dyDescent="0.2"/>
    <row r="32392" ht="12.75" x14ac:dyDescent="0.2"/>
    <row r="32393" ht="12.75" x14ac:dyDescent="0.2"/>
    <row r="32394" ht="12.75" x14ac:dyDescent="0.2"/>
    <row r="32395" ht="12.75" x14ac:dyDescent="0.2"/>
    <row r="32396" ht="12.75" x14ac:dyDescent="0.2"/>
    <row r="32397" ht="12.75" x14ac:dyDescent="0.2"/>
    <row r="32398" ht="12.75" x14ac:dyDescent="0.2"/>
    <row r="32399" ht="12.75" x14ac:dyDescent="0.2"/>
    <row r="32400" ht="12.75" x14ac:dyDescent="0.2"/>
    <row r="32401" ht="12.75" x14ac:dyDescent="0.2"/>
    <row r="32402" ht="12.75" x14ac:dyDescent="0.2"/>
    <row r="32403" ht="12.75" x14ac:dyDescent="0.2"/>
    <row r="32404" ht="12.75" x14ac:dyDescent="0.2"/>
    <row r="32405" ht="12.75" x14ac:dyDescent="0.2"/>
    <row r="32406" ht="12.75" x14ac:dyDescent="0.2"/>
    <row r="32407" ht="12.75" x14ac:dyDescent="0.2"/>
    <row r="32408" ht="12.75" x14ac:dyDescent="0.2"/>
    <row r="32409" ht="12.75" x14ac:dyDescent="0.2"/>
    <row r="32410" ht="12.75" x14ac:dyDescent="0.2"/>
    <row r="32411" ht="12.75" x14ac:dyDescent="0.2"/>
    <row r="32412" ht="12.75" x14ac:dyDescent="0.2"/>
    <row r="32413" ht="12.75" x14ac:dyDescent="0.2"/>
    <row r="32414" ht="12.75" x14ac:dyDescent="0.2"/>
    <row r="32415" ht="12.75" x14ac:dyDescent="0.2"/>
    <row r="32416" ht="12.75" x14ac:dyDescent="0.2"/>
    <row r="32417" ht="12.75" x14ac:dyDescent="0.2"/>
    <row r="32418" ht="12.75" x14ac:dyDescent="0.2"/>
    <row r="32419" ht="12.75" x14ac:dyDescent="0.2"/>
    <row r="32420" ht="12.75" x14ac:dyDescent="0.2"/>
    <row r="32421" ht="12.75" x14ac:dyDescent="0.2"/>
    <row r="32422" ht="12.75" x14ac:dyDescent="0.2"/>
    <row r="32423" ht="12.75" x14ac:dyDescent="0.2"/>
    <row r="32424" ht="12.75" x14ac:dyDescent="0.2"/>
    <row r="32425" ht="12.75" x14ac:dyDescent="0.2"/>
    <row r="32426" ht="12.75" x14ac:dyDescent="0.2"/>
    <row r="32427" ht="12.75" x14ac:dyDescent="0.2"/>
    <row r="32428" ht="12.75" x14ac:dyDescent="0.2"/>
    <row r="32429" ht="12.75" x14ac:dyDescent="0.2"/>
    <row r="32430" ht="12.75" x14ac:dyDescent="0.2"/>
    <row r="32431" ht="12.75" x14ac:dyDescent="0.2"/>
    <row r="32432" ht="12.75" x14ac:dyDescent="0.2"/>
    <row r="32433" ht="12.75" x14ac:dyDescent="0.2"/>
    <row r="32434" ht="12.75" x14ac:dyDescent="0.2"/>
    <row r="32435" ht="12.75" x14ac:dyDescent="0.2"/>
    <row r="32436" ht="12.75" x14ac:dyDescent="0.2"/>
    <row r="32437" ht="12.75" x14ac:dyDescent="0.2"/>
    <row r="32438" ht="12.75" x14ac:dyDescent="0.2"/>
    <row r="32439" ht="12.75" x14ac:dyDescent="0.2"/>
    <row r="32440" ht="12.75" x14ac:dyDescent="0.2"/>
    <row r="32441" ht="12.75" x14ac:dyDescent="0.2"/>
    <row r="32442" ht="12.75" x14ac:dyDescent="0.2"/>
    <row r="32443" ht="12.75" x14ac:dyDescent="0.2"/>
    <row r="32444" ht="12.75" x14ac:dyDescent="0.2"/>
    <row r="32445" ht="12.75" x14ac:dyDescent="0.2"/>
    <row r="32446" ht="12.75" x14ac:dyDescent="0.2"/>
    <row r="32447" ht="12.75" x14ac:dyDescent="0.2"/>
    <row r="32448" ht="12.75" x14ac:dyDescent="0.2"/>
    <row r="32449" ht="12.75" x14ac:dyDescent="0.2"/>
    <row r="32450" ht="12.75" x14ac:dyDescent="0.2"/>
    <row r="32451" ht="12.75" x14ac:dyDescent="0.2"/>
    <row r="32452" ht="12.75" x14ac:dyDescent="0.2"/>
    <row r="32453" ht="12.75" x14ac:dyDescent="0.2"/>
    <row r="32454" ht="12.75" x14ac:dyDescent="0.2"/>
    <row r="32455" ht="12.75" x14ac:dyDescent="0.2"/>
    <row r="32456" ht="12.75" x14ac:dyDescent="0.2"/>
    <row r="32457" ht="12.75" x14ac:dyDescent="0.2"/>
    <row r="32458" ht="12.75" x14ac:dyDescent="0.2"/>
    <row r="32459" ht="12.75" x14ac:dyDescent="0.2"/>
    <row r="32460" ht="12.75" x14ac:dyDescent="0.2"/>
    <row r="32461" ht="12.75" x14ac:dyDescent="0.2"/>
    <row r="32462" ht="12.75" x14ac:dyDescent="0.2"/>
    <row r="32463" ht="12.75" x14ac:dyDescent="0.2"/>
    <row r="32464" ht="12.75" x14ac:dyDescent="0.2"/>
    <row r="32465" ht="12.75" x14ac:dyDescent="0.2"/>
    <row r="32466" ht="12.75" x14ac:dyDescent="0.2"/>
    <row r="32467" ht="12.75" x14ac:dyDescent="0.2"/>
    <row r="32468" ht="12.75" x14ac:dyDescent="0.2"/>
    <row r="32469" ht="12.75" x14ac:dyDescent="0.2"/>
    <row r="32470" ht="12.75" x14ac:dyDescent="0.2"/>
    <row r="32471" ht="12.75" x14ac:dyDescent="0.2"/>
    <row r="32472" ht="12.75" x14ac:dyDescent="0.2"/>
    <row r="32473" ht="12.75" x14ac:dyDescent="0.2"/>
    <row r="32474" ht="12.75" x14ac:dyDescent="0.2"/>
    <row r="32475" ht="12.75" x14ac:dyDescent="0.2"/>
    <row r="32476" ht="12.75" x14ac:dyDescent="0.2"/>
    <row r="32477" ht="12.75" x14ac:dyDescent="0.2"/>
    <row r="32478" ht="12.75" x14ac:dyDescent="0.2"/>
    <row r="32479" ht="12.75" x14ac:dyDescent="0.2"/>
    <row r="32480" ht="12.75" x14ac:dyDescent="0.2"/>
    <row r="32481" ht="12.75" x14ac:dyDescent="0.2"/>
    <row r="32482" ht="12.75" x14ac:dyDescent="0.2"/>
    <row r="32483" ht="12.75" x14ac:dyDescent="0.2"/>
    <row r="32484" ht="12.75" x14ac:dyDescent="0.2"/>
    <row r="32485" ht="12.75" x14ac:dyDescent="0.2"/>
    <row r="32486" ht="12.75" x14ac:dyDescent="0.2"/>
    <row r="32487" ht="12.75" x14ac:dyDescent="0.2"/>
    <row r="32488" ht="12.75" x14ac:dyDescent="0.2"/>
    <row r="32489" ht="12.75" x14ac:dyDescent="0.2"/>
    <row r="32490" ht="12.75" x14ac:dyDescent="0.2"/>
    <row r="32491" ht="12.75" x14ac:dyDescent="0.2"/>
    <row r="32492" ht="12.75" x14ac:dyDescent="0.2"/>
    <row r="32493" ht="12.75" x14ac:dyDescent="0.2"/>
    <row r="32494" ht="12.75" x14ac:dyDescent="0.2"/>
    <row r="32495" ht="12.75" x14ac:dyDescent="0.2"/>
    <row r="32496" ht="12.75" x14ac:dyDescent="0.2"/>
    <row r="32497" ht="12.75" x14ac:dyDescent="0.2"/>
    <row r="32498" ht="12.75" x14ac:dyDescent="0.2"/>
    <row r="32499" ht="12.75" x14ac:dyDescent="0.2"/>
    <row r="32500" ht="12.75" x14ac:dyDescent="0.2"/>
    <row r="32501" ht="12.75" x14ac:dyDescent="0.2"/>
    <row r="32502" ht="12.75" x14ac:dyDescent="0.2"/>
    <row r="32503" ht="12.75" x14ac:dyDescent="0.2"/>
    <row r="32504" ht="12.75" x14ac:dyDescent="0.2"/>
    <row r="32505" ht="12.75" x14ac:dyDescent="0.2"/>
    <row r="32506" ht="12.75" x14ac:dyDescent="0.2"/>
    <row r="32507" ht="12.75" x14ac:dyDescent="0.2"/>
    <row r="32508" ht="12.75" x14ac:dyDescent="0.2"/>
    <row r="32509" ht="12.75" x14ac:dyDescent="0.2"/>
    <row r="32510" ht="12.75" x14ac:dyDescent="0.2"/>
    <row r="32511" ht="12.75" x14ac:dyDescent="0.2"/>
    <row r="32512" ht="12.75" x14ac:dyDescent="0.2"/>
    <row r="32513" ht="12.75" x14ac:dyDescent="0.2"/>
    <row r="32514" ht="12.75" x14ac:dyDescent="0.2"/>
    <row r="32515" ht="12.75" x14ac:dyDescent="0.2"/>
    <row r="32516" ht="12.75" x14ac:dyDescent="0.2"/>
    <row r="32517" ht="12.75" x14ac:dyDescent="0.2"/>
    <row r="32518" ht="12.75" x14ac:dyDescent="0.2"/>
    <row r="32519" ht="12.75" x14ac:dyDescent="0.2"/>
    <row r="32520" ht="12.75" x14ac:dyDescent="0.2"/>
    <row r="32521" ht="12.75" x14ac:dyDescent="0.2"/>
    <row r="32522" ht="12.75" x14ac:dyDescent="0.2"/>
    <row r="32523" ht="12.75" x14ac:dyDescent="0.2"/>
    <row r="32524" ht="12.75" x14ac:dyDescent="0.2"/>
    <row r="32525" ht="12.75" x14ac:dyDescent="0.2"/>
    <row r="32526" ht="12.75" x14ac:dyDescent="0.2"/>
    <row r="32527" ht="12.75" x14ac:dyDescent="0.2"/>
    <row r="32528" ht="12.75" x14ac:dyDescent="0.2"/>
    <row r="32529" ht="12.75" x14ac:dyDescent="0.2"/>
    <row r="32530" ht="12.75" x14ac:dyDescent="0.2"/>
    <row r="32531" ht="12.75" x14ac:dyDescent="0.2"/>
    <row r="32532" ht="12.75" x14ac:dyDescent="0.2"/>
    <row r="32533" ht="12.75" x14ac:dyDescent="0.2"/>
    <row r="32534" ht="12.75" x14ac:dyDescent="0.2"/>
    <row r="32535" ht="12.75" x14ac:dyDescent="0.2"/>
    <row r="32536" ht="12.75" x14ac:dyDescent="0.2"/>
    <row r="32537" ht="12.75" x14ac:dyDescent="0.2"/>
    <row r="32538" ht="12.75" x14ac:dyDescent="0.2"/>
    <row r="32539" ht="12.75" x14ac:dyDescent="0.2"/>
    <row r="32540" ht="12.75" x14ac:dyDescent="0.2"/>
    <row r="32541" ht="12.75" x14ac:dyDescent="0.2"/>
    <row r="32542" ht="12.75" x14ac:dyDescent="0.2"/>
    <row r="32543" ht="12.75" x14ac:dyDescent="0.2"/>
    <row r="32544" ht="12.75" x14ac:dyDescent="0.2"/>
    <row r="32545" ht="12.75" x14ac:dyDescent="0.2"/>
    <row r="32546" ht="12.75" x14ac:dyDescent="0.2"/>
    <row r="32547" ht="12.75" x14ac:dyDescent="0.2"/>
    <row r="32548" ht="12.75" x14ac:dyDescent="0.2"/>
    <row r="32549" ht="12.75" x14ac:dyDescent="0.2"/>
    <row r="32550" ht="12.75" x14ac:dyDescent="0.2"/>
    <row r="32551" ht="12.75" x14ac:dyDescent="0.2"/>
    <row r="32552" ht="12.75" x14ac:dyDescent="0.2"/>
    <row r="32553" ht="12.75" x14ac:dyDescent="0.2"/>
    <row r="32554" ht="12.75" x14ac:dyDescent="0.2"/>
    <row r="32555" ht="12.75" x14ac:dyDescent="0.2"/>
    <row r="32556" ht="12.75" x14ac:dyDescent="0.2"/>
    <row r="32557" ht="12.75" x14ac:dyDescent="0.2"/>
    <row r="32558" ht="12.75" x14ac:dyDescent="0.2"/>
    <row r="32559" ht="12.75" x14ac:dyDescent="0.2"/>
    <row r="32560" ht="12.75" x14ac:dyDescent="0.2"/>
    <row r="32561" ht="12.75" x14ac:dyDescent="0.2"/>
    <row r="32562" ht="12.75" x14ac:dyDescent="0.2"/>
    <row r="32563" ht="12.75" x14ac:dyDescent="0.2"/>
    <row r="32564" ht="12.75" x14ac:dyDescent="0.2"/>
    <row r="32565" ht="12.75" x14ac:dyDescent="0.2"/>
    <row r="32566" ht="12.75" x14ac:dyDescent="0.2"/>
    <row r="32567" ht="12.75" x14ac:dyDescent="0.2"/>
    <row r="32568" ht="12.75" x14ac:dyDescent="0.2"/>
    <row r="32569" ht="12.75" x14ac:dyDescent="0.2"/>
    <row r="32570" ht="12.75" x14ac:dyDescent="0.2"/>
    <row r="32571" ht="12.75" x14ac:dyDescent="0.2"/>
    <row r="32572" ht="12.75" x14ac:dyDescent="0.2"/>
    <row r="32573" ht="12.75" x14ac:dyDescent="0.2"/>
    <row r="32574" ht="12.75" x14ac:dyDescent="0.2"/>
    <row r="32575" ht="12.75" x14ac:dyDescent="0.2"/>
    <row r="32576" ht="12.75" x14ac:dyDescent="0.2"/>
    <row r="32577" ht="12.75" x14ac:dyDescent="0.2"/>
    <row r="32578" ht="12.75" x14ac:dyDescent="0.2"/>
    <row r="32579" ht="12.75" x14ac:dyDescent="0.2"/>
    <row r="32580" ht="12.75" x14ac:dyDescent="0.2"/>
    <row r="32581" ht="12.75" x14ac:dyDescent="0.2"/>
    <row r="32582" ht="12.75" x14ac:dyDescent="0.2"/>
    <row r="32583" ht="12.75" x14ac:dyDescent="0.2"/>
    <row r="32584" ht="12.75" x14ac:dyDescent="0.2"/>
    <row r="32585" ht="12.75" x14ac:dyDescent="0.2"/>
    <row r="32586" ht="12.75" x14ac:dyDescent="0.2"/>
    <row r="32587" ht="12.75" x14ac:dyDescent="0.2"/>
    <row r="32588" ht="12.75" x14ac:dyDescent="0.2"/>
    <row r="32589" ht="12.75" x14ac:dyDescent="0.2"/>
    <row r="32590" ht="12.75" x14ac:dyDescent="0.2"/>
    <row r="32591" ht="12.75" x14ac:dyDescent="0.2"/>
    <row r="32592" ht="12.75" x14ac:dyDescent="0.2"/>
    <row r="32593" ht="12.75" x14ac:dyDescent="0.2"/>
    <row r="32594" ht="12.75" x14ac:dyDescent="0.2"/>
    <row r="32595" ht="12.75" x14ac:dyDescent="0.2"/>
    <row r="32596" ht="12.75" x14ac:dyDescent="0.2"/>
    <row r="32597" ht="12.75" x14ac:dyDescent="0.2"/>
    <row r="32598" ht="12.75" x14ac:dyDescent="0.2"/>
    <row r="32599" ht="12.75" x14ac:dyDescent="0.2"/>
    <row r="32600" ht="12.75" x14ac:dyDescent="0.2"/>
    <row r="32601" ht="12.75" x14ac:dyDescent="0.2"/>
    <row r="32602" ht="12.75" x14ac:dyDescent="0.2"/>
    <row r="32603" ht="12.75" x14ac:dyDescent="0.2"/>
    <row r="32604" ht="12.75" x14ac:dyDescent="0.2"/>
    <row r="32605" ht="12.75" x14ac:dyDescent="0.2"/>
    <row r="32606" ht="12.75" x14ac:dyDescent="0.2"/>
    <row r="32607" ht="12.75" x14ac:dyDescent="0.2"/>
    <row r="32608" ht="12.75" x14ac:dyDescent="0.2"/>
    <row r="32609" ht="12.75" x14ac:dyDescent="0.2"/>
    <row r="32610" ht="12.75" x14ac:dyDescent="0.2"/>
    <row r="32611" ht="12.75" x14ac:dyDescent="0.2"/>
    <row r="32612" ht="12.75" x14ac:dyDescent="0.2"/>
    <row r="32613" ht="12.75" x14ac:dyDescent="0.2"/>
    <row r="32614" ht="12.75" x14ac:dyDescent="0.2"/>
    <row r="32615" ht="12.75" x14ac:dyDescent="0.2"/>
    <row r="32616" ht="12.75" x14ac:dyDescent="0.2"/>
    <row r="32617" ht="12.75" x14ac:dyDescent="0.2"/>
    <row r="32618" ht="12.75" x14ac:dyDescent="0.2"/>
    <row r="32619" ht="12.75" x14ac:dyDescent="0.2"/>
    <row r="32620" ht="12.75" x14ac:dyDescent="0.2"/>
    <row r="32621" ht="12.75" x14ac:dyDescent="0.2"/>
    <row r="32622" ht="12.75" x14ac:dyDescent="0.2"/>
    <row r="32623" ht="12.75" x14ac:dyDescent="0.2"/>
    <row r="32624" ht="12.75" x14ac:dyDescent="0.2"/>
    <row r="32625" ht="12.75" x14ac:dyDescent="0.2"/>
    <row r="32626" ht="12.75" x14ac:dyDescent="0.2"/>
    <row r="32627" ht="12.75" x14ac:dyDescent="0.2"/>
    <row r="32628" ht="12.75" x14ac:dyDescent="0.2"/>
    <row r="32629" ht="12.75" x14ac:dyDescent="0.2"/>
    <row r="32630" ht="12.75" x14ac:dyDescent="0.2"/>
    <row r="32631" ht="12.75" x14ac:dyDescent="0.2"/>
    <row r="32632" ht="12.75" x14ac:dyDescent="0.2"/>
    <row r="32633" ht="12.75" x14ac:dyDescent="0.2"/>
    <row r="32634" ht="12.75" x14ac:dyDescent="0.2"/>
    <row r="32635" ht="12.75" x14ac:dyDescent="0.2"/>
    <row r="32636" ht="12.75" x14ac:dyDescent="0.2"/>
    <row r="32637" ht="12.75" x14ac:dyDescent="0.2"/>
    <row r="32638" ht="12.75" x14ac:dyDescent="0.2"/>
    <row r="32639" ht="12.75" x14ac:dyDescent="0.2"/>
    <row r="32640" ht="12.75" x14ac:dyDescent="0.2"/>
    <row r="32641" ht="12.75" x14ac:dyDescent="0.2"/>
    <row r="32642" ht="12.75" x14ac:dyDescent="0.2"/>
    <row r="32643" ht="12.75" x14ac:dyDescent="0.2"/>
    <row r="32644" ht="12.75" x14ac:dyDescent="0.2"/>
    <row r="32645" ht="12.75" x14ac:dyDescent="0.2"/>
    <row r="32646" ht="12.75" x14ac:dyDescent="0.2"/>
    <row r="32647" ht="12.75" x14ac:dyDescent="0.2"/>
    <row r="32648" ht="12.75" x14ac:dyDescent="0.2"/>
    <row r="32649" ht="12.75" x14ac:dyDescent="0.2"/>
    <row r="32650" ht="12.75" x14ac:dyDescent="0.2"/>
    <row r="32651" ht="12.75" x14ac:dyDescent="0.2"/>
    <row r="32652" ht="12.75" x14ac:dyDescent="0.2"/>
    <row r="32653" ht="12.75" x14ac:dyDescent="0.2"/>
    <row r="32654" ht="12.75" x14ac:dyDescent="0.2"/>
    <row r="32655" ht="12.75" x14ac:dyDescent="0.2"/>
    <row r="32656" ht="12.75" x14ac:dyDescent="0.2"/>
    <row r="32657" ht="12.75" x14ac:dyDescent="0.2"/>
    <row r="32658" ht="12.75" x14ac:dyDescent="0.2"/>
    <row r="32659" ht="12.75" x14ac:dyDescent="0.2"/>
    <row r="32660" ht="12.75" x14ac:dyDescent="0.2"/>
    <row r="32661" ht="12.75" x14ac:dyDescent="0.2"/>
    <row r="32662" ht="12.75" x14ac:dyDescent="0.2"/>
    <row r="32663" ht="12.75" x14ac:dyDescent="0.2"/>
    <row r="32664" ht="12.75" x14ac:dyDescent="0.2"/>
    <row r="32665" ht="12.75" x14ac:dyDescent="0.2"/>
    <row r="32666" ht="12.75" x14ac:dyDescent="0.2"/>
    <row r="32667" ht="12.75" x14ac:dyDescent="0.2"/>
    <row r="32668" ht="12.75" x14ac:dyDescent="0.2"/>
    <row r="32669" ht="12.75" x14ac:dyDescent="0.2"/>
    <row r="32670" ht="12.75" x14ac:dyDescent="0.2"/>
    <row r="32671" ht="12.75" x14ac:dyDescent="0.2"/>
    <row r="32672" ht="12.75" x14ac:dyDescent="0.2"/>
    <row r="32673" ht="12.75" x14ac:dyDescent="0.2"/>
    <row r="32674" ht="12.75" x14ac:dyDescent="0.2"/>
    <row r="32675" ht="12.75" x14ac:dyDescent="0.2"/>
    <row r="32676" ht="12.75" x14ac:dyDescent="0.2"/>
    <row r="32677" ht="12.75" x14ac:dyDescent="0.2"/>
    <row r="32678" ht="12.75" x14ac:dyDescent="0.2"/>
    <row r="32679" ht="12.75" x14ac:dyDescent="0.2"/>
    <row r="32680" ht="12.75" x14ac:dyDescent="0.2"/>
    <row r="32681" ht="12.75" x14ac:dyDescent="0.2"/>
    <row r="32682" ht="12.75" x14ac:dyDescent="0.2"/>
    <row r="32683" ht="12.75" x14ac:dyDescent="0.2"/>
    <row r="32684" ht="12.75" x14ac:dyDescent="0.2"/>
    <row r="32685" ht="12.75" x14ac:dyDescent="0.2"/>
    <row r="32686" ht="12.75" x14ac:dyDescent="0.2"/>
    <row r="32687" ht="12.75" x14ac:dyDescent="0.2"/>
    <row r="32688" ht="12.75" x14ac:dyDescent="0.2"/>
    <row r="32689" ht="12.75" x14ac:dyDescent="0.2"/>
    <row r="32690" ht="12.75" x14ac:dyDescent="0.2"/>
    <row r="32691" ht="12.75" x14ac:dyDescent="0.2"/>
    <row r="32692" ht="12.75" x14ac:dyDescent="0.2"/>
    <row r="32693" ht="12.75" x14ac:dyDescent="0.2"/>
    <row r="32694" ht="12.75" x14ac:dyDescent="0.2"/>
    <row r="32695" ht="12.75" x14ac:dyDescent="0.2"/>
    <row r="32696" ht="12.75" x14ac:dyDescent="0.2"/>
    <row r="32697" ht="12.75" x14ac:dyDescent="0.2"/>
    <row r="32698" ht="12.75" x14ac:dyDescent="0.2"/>
    <row r="32699" ht="12.75" x14ac:dyDescent="0.2"/>
    <row r="32700" ht="12.75" x14ac:dyDescent="0.2"/>
    <row r="32701" ht="12.75" x14ac:dyDescent="0.2"/>
    <row r="32702" ht="12.75" x14ac:dyDescent="0.2"/>
    <row r="32703" ht="12.75" x14ac:dyDescent="0.2"/>
    <row r="32704" ht="12.75" x14ac:dyDescent="0.2"/>
    <row r="32705" ht="12.75" x14ac:dyDescent="0.2"/>
    <row r="32706" ht="12.75" x14ac:dyDescent="0.2"/>
    <row r="32707" ht="12.75" x14ac:dyDescent="0.2"/>
    <row r="32708" ht="12.75" x14ac:dyDescent="0.2"/>
    <row r="32709" ht="12.75" x14ac:dyDescent="0.2"/>
    <row r="32710" ht="12.75" x14ac:dyDescent="0.2"/>
    <row r="32711" ht="12.75" x14ac:dyDescent="0.2"/>
    <row r="32712" ht="12.75" x14ac:dyDescent="0.2"/>
    <row r="32713" ht="12.75" x14ac:dyDescent="0.2"/>
    <row r="32714" ht="12.75" x14ac:dyDescent="0.2"/>
    <row r="32715" ht="12.75" x14ac:dyDescent="0.2"/>
    <row r="32716" ht="12.75" x14ac:dyDescent="0.2"/>
    <row r="32717" ht="12.75" x14ac:dyDescent="0.2"/>
    <row r="32718" ht="12.75" x14ac:dyDescent="0.2"/>
    <row r="32719" ht="12.75" x14ac:dyDescent="0.2"/>
    <row r="32720" ht="12.75" x14ac:dyDescent="0.2"/>
    <row r="32721" ht="12.75" x14ac:dyDescent="0.2"/>
    <row r="32722" ht="12.75" x14ac:dyDescent="0.2"/>
    <row r="32723" ht="12.75" x14ac:dyDescent="0.2"/>
    <row r="32724" ht="12.75" x14ac:dyDescent="0.2"/>
    <row r="32725" ht="12.75" x14ac:dyDescent="0.2"/>
    <row r="32726" ht="12.75" x14ac:dyDescent="0.2"/>
    <row r="32727" ht="12.75" x14ac:dyDescent="0.2"/>
    <row r="32728" ht="12.75" x14ac:dyDescent="0.2"/>
    <row r="32729" ht="12.75" x14ac:dyDescent="0.2"/>
    <row r="32730" ht="12.75" x14ac:dyDescent="0.2"/>
    <row r="32731" ht="12.75" x14ac:dyDescent="0.2"/>
    <row r="32732" ht="12.75" x14ac:dyDescent="0.2"/>
    <row r="32733" ht="12.75" x14ac:dyDescent="0.2"/>
    <row r="32734" ht="12.75" x14ac:dyDescent="0.2"/>
    <row r="32735" ht="12.75" x14ac:dyDescent="0.2"/>
    <row r="32736" ht="12.75" x14ac:dyDescent="0.2"/>
    <row r="32737" ht="12.75" x14ac:dyDescent="0.2"/>
    <row r="32738" ht="12.75" x14ac:dyDescent="0.2"/>
    <row r="32739" ht="12.75" x14ac:dyDescent="0.2"/>
    <row r="32740" ht="12.75" x14ac:dyDescent="0.2"/>
    <row r="32741" ht="12.75" x14ac:dyDescent="0.2"/>
    <row r="32742" ht="12.75" x14ac:dyDescent="0.2"/>
    <row r="32743" ht="12.75" x14ac:dyDescent="0.2"/>
    <row r="32744" ht="12.75" x14ac:dyDescent="0.2"/>
    <row r="32745" ht="12.75" x14ac:dyDescent="0.2"/>
    <row r="32746" ht="12.75" x14ac:dyDescent="0.2"/>
    <row r="32747" ht="12.75" x14ac:dyDescent="0.2"/>
    <row r="32748" ht="12.75" x14ac:dyDescent="0.2"/>
    <row r="32749" ht="12.75" x14ac:dyDescent="0.2"/>
    <row r="32750" ht="12.75" x14ac:dyDescent="0.2"/>
    <row r="32751" ht="12.75" x14ac:dyDescent="0.2"/>
    <row r="32752" ht="12.75" x14ac:dyDescent="0.2"/>
    <row r="32753" ht="12.75" x14ac:dyDescent="0.2"/>
    <row r="32754" ht="12.75" x14ac:dyDescent="0.2"/>
    <row r="32755" ht="12.75" x14ac:dyDescent="0.2"/>
    <row r="32756" ht="12.75" x14ac:dyDescent="0.2"/>
    <row r="32757" ht="12.75" x14ac:dyDescent="0.2"/>
    <row r="32758" ht="12.75" x14ac:dyDescent="0.2"/>
    <row r="32759" ht="12.75" x14ac:dyDescent="0.2"/>
    <row r="32760" ht="12.75" x14ac:dyDescent="0.2"/>
    <row r="32761" ht="12.75" x14ac:dyDescent="0.2"/>
    <row r="32762" ht="12.75" x14ac:dyDescent="0.2"/>
    <row r="32763" ht="12.75" x14ac:dyDescent="0.2"/>
    <row r="32764" ht="12.75" x14ac:dyDescent="0.2"/>
    <row r="32765" ht="12.75" x14ac:dyDescent="0.2"/>
    <row r="32766" ht="12.75" x14ac:dyDescent="0.2"/>
    <row r="32767" ht="12.75" x14ac:dyDescent="0.2"/>
    <row r="32768" ht="12.75" x14ac:dyDescent="0.2"/>
    <row r="32769" ht="12.75" x14ac:dyDescent="0.2"/>
    <row r="32770" ht="12.75" x14ac:dyDescent="0.2"/>
    <row r="32771" ht="12.75" x14ac:dyDescent="0.2"/>
    <row r="32772" ht="12.75" x14ac:dyDescent="0.2"/>
    <row r="32773" ht="12.75" x14ac:dyDescent="0.2"/>
    <row r="32774" ht="12.75" x14ac:dyDescent="0.2"/>
    <row r="32775" ht="12.75" x14ac:dyDescent="0.2"/>
    <row r="32776" ht="12.75" x14ac:dyDescent="0.2"/>
    <row r="32777" ht="12.75" x14ac:dyDescent="0.2"/>
    <row r="32778" ht="12.75" x14ac:dyDescent="0.2"/>
    <row r="32779" ht="12.75" x14ac:dyDescent="0.2"/>
    <row r="32780" ht="12.75" x14ac:dyDescent="0.2"/>
    <row r="32781" ht="12.75" x14ac:dyDescent="0.2"/>
    <row r="32782" ht="12.75" x14ac:dyDescent="0.2"/>
    <row r="32783" ht="12.75" x14ac:dyDescent="0.2"/>
    <row r="32784" ht="12.75" x14ac:dyDescent="0.2"/>
    <row r="32785" ht="12.75" x14ac:dyDescent="0.2"/>
    <row r="32786" ht="12.75" x14ac:dyDescent="0.2"/>
    <row r="32787" ht="12.75" x14ac:dyDescent="0.2"/>
    <row r="32788" ht="12.75" x14ac:dyDescent="0.2"/>
    <row r="32789" ht="12.75" x14ac:dyDescent="0.2"/>
    <row r="32790" ht="12.75" x14ac:dyDescent="0.2"/>
    <row r="32791" ht="12.75" x14ac:dyDescent="0.2"/>
    <row r="32792" ht="12.75" x14ac:dyDescent="0.2"/>
    <row r="32793" ht="12.75" x14ac:dyDescent="0.2"/>
    <row r="32794" ht="12.75" x14ac:dyDescent="0.2"/>
    <row r="32795" ht="12.75" x14ac:dyDescent="0.2"/>
    <row r="32796" ht="12.75" x14ac:dyDescent="0.2"/>
    <row r="32797" ht="12.75" x14ac:dyDescent="0.2"/>
    <row r="32798" ht="12.75" x14ac:dyDescent="0.2"/>
    <row r="32799" ht="12.75" x14ac:dyDescent="0.2"/>
    <row r="32800" ht="12.75" x14ac:dyDescent="0.2"/>
    <row r="32801" ht="12.75" x14ac:dyDescent="0.2"/>
    <row r="32802" ht="12.75" x14ac:dyDescent="0.2"/>
    <row r="32803" ht="12.75" x14ac:dyDescent="0.2"/>
    <row r="32804" ht="12.75" x14ac:dyDescent="0.2"/>
    <row r="32805" ht="12.75" x14ac:dyDescent="0.2"/>
    <row r="32806" ht="12.75" x14ac:dyDescent="0.2"/>
    <row r="32807" ht="12.75" x14ac:dyDescent="0.2"/>
    <row r="32808" ht="12.75" x14ac:dyDescent="0.2"/>
    <row r="32809" ht="12.75" x14ac:dyDescent="0.2"/>
    <row r="32810" ht="12.75" x14ac:dyDescent="0.2"/>
    <row r="32811" ht="12.75" x14ac:dyDescent="0.2"/>
    <row r="32812" ht="12.75" x14ac:dyDescent="0.2"/>
    <row r="32813" ht="12.75" x14ac:dyDescent="0.2"/>
    <row r="32814" ht="12.75" x14ac:dyDescent="0.2"/>
    <row r="32815" ht="12.75" x14ac:dyDescent="0.2"/>
    <row r="32816" ht="12.75" x14ac:dyDescent="0.2"/>
    <row r="32817" ht="12.75" x14ac:dyDescent="0.2"/>
    <row r="32818" ht="12.75" x14ac:dyDescent="0.2"/>
    <row r="32819" ht="12.75" x14ac:dyDescent="0.2"/>
    <row r="32820" ht="12.75" x14ac:dyDescent="0.2"/>
    <row r="32821" ht="12.75" x14ac:dyDescent="0.2"/>
    <row r="32822" ht="12.75" x14ac:dyDescent="0.2"/>
    <row r="32823" ht="12.75" x14ac:dyDescent="0.2"/>
    <row r="32824" ht="12.75" x14ac:dyDescent="0.2"/>
    <row r="32825" ht="12.75" x14ac:dyDescent="0.2"/>
    <row r="32826" ht="12.75" x14ac:dyDescent="0.2"/>
    <row r="32827" ht="12.75" x14ac:dyDescent="0.2"/>
    <row r="32828" ht="12.75" x14ac:dyDescent="0.2"/>
    <row r="32829" ht="12.75" x14ac:dyDescent="0.2"/>
    <row r="32830" ht="12.75" x14ac:dyDescent="0.2"/>
    <row r="32831" ht="12.75" x14ac:dyDescent="0.2"/>
    <row r="32832" ht="12.75" x14ac:dyDescent="0.2"/>
    <row r="32833" ht="12.75" x14ac:dyDescent="0.2"/>
    <row r="32834" ht="12.75" x14ac:dyDescent="0.2"/>
    <row r="32835" ht="12.75" x14ac:dyDescent="0.2"/>
    <row r="32836" ht="12.75" x14ac:dyDescent="0.2"/>
    <row r="32837" ht="12.75" x14ac:dyDescent="0.2"/>
    <row r="32838" ht="12.75" x14ac:dyDescent="0.2"/>
    <row r="32839" ht="12.75" x14ac:dyDescent="0.2"/>
    <row r="32840" ht="12.75" x14ac:dyDescent="0.2"/>
    <row r="32841" ht="12.75" x14ac:dyDescent="0.2"/>
    <row r="32842" ht="12.75" x14ac:dyDescent="0.2"/>
    <row r="32843" ht="12.75" x14ac:dyDescent="0.2"/>
    <row r="32844" ht="12.75" x14ac:dyDescent="0.2"/>
    <row r="32845" ht="12.75" x14ac:dyDescent="0.2"/>
    <row r="32846" ht="12.75" x14ac:dyDescent="0.2"/>
    <row r="32847" ht="12.75" x14ac:dyDescent="0.2"/>
    <row r="32848" ht="12.75" x14ac:dyDescent="0.2"/>
    <row r="32849" ht="12.75" x14ac:dyDescent="0.2"/>
    <row r="32850" ht="12.75" x14ac:dyDescent="0.2"/>
    <row r="32851" ht="12.75" x14ac:dyDescent="0.2"/>
    <row r="32852" ht="12.75" x14ac:dyDescent="0.2"/>
    <row r="32853" ht="12.75" x14ac:dyDescent="0.2"/>
    <row r="32854" ht="12.75" x14ac:dyDescent="0.2"/>
    <row r="32855" ht="12.75" x14ac:dyDescent="0.2"/>
    <row r="32856" ht="12.75" x14ac:dyDescent="0.2"/>
    <row r="32857" ht="12.75" x14ac:dyDescent="0.2"/>
    <row r="32858" ht="12.75" x14ac:dyDescent="0.2"/>
    <row r="32859" ht="12.75" x14ac:dyDescent="0.2"/>
    <row r="32860" ht="12.75" x14ac:dyDescent="0.2"/>
    <row r="32861" ht="12.75" x14ac:dyDescent="0.2"/>
    <row r="32862" ht="12.75" x14ac:dyDescent="0.2"/>
    <row r="32863" ht="12.75" x14ac:dyDescent="0.2"/>
    <row r="32864" ht="12.75" x14ac:dyDescent="0.2"/>
    <row r="32865" ht="12.75" x14ac:dyDescent="0.2"/>
    <row r="32866" ht="12.75" x14ac:dyDescent="0.2"/>
    <row r="32867" ht="12.75" x14ac:dyDescent="0.2"/>
    <row r="32868" ht="12.75" x14ac:dyDescent="0.2"/>
    <row r="32869" ht="12.75" x14ac:dyDescent="0.2"/>
    <row r="32870" ht="12.75" x14ac:dyDescent="0.2"/>
    <row r="32871" ht="12.75" x14ac:dyDescent="0.2"/>
    <row r="32872" ht="12.75" x14ac:dyDescent="0.2"/>
    <row r="32873" ht="12.75" x14ac:dyDescent="0.2"/>
    <row r="32874" ht="12.75" x14ac:dyDescent="0.2"/>
    <row r="32875" ht="12.75" x14ac:dyDescent="0.2"/>
    <row r="32876" ht="12.75" x14ac:dyDescent="0.2"/>
    <row r="32877" ht="12.75" x14ac:dyDescent="0.2"/>
    <row r="32878" ht="12.75" x14ac:dyDescent="0.2"/>
    <row r="32879" ht="12.75" x14ac:dyDescent="0.2"/>
    <row r="32880" ht="12.75" x14ac:dyDescent="0.2"/>
    <row r="32881" ht="12.75" x14ac:dyDescent="0.2"/>
    <row r="32882" ht="12.75" x14ac:dyDescent="0.2"/>
    <row r="32883" ht="12.75" x14ac:dyDescent="0.2"/>
    <row r="32884" ht="12.75" x14ac:dyDescent="0.2"/>
    <row r="32885" ht="12.75" x14ac:dyDescent="0.2"/>
    <row r="32886" ht="12.75" x14ac:dyDescent="0.2"/>
    <row r="32887" ht="12.75" x14ac:dyDescent="0.2"/>
    <row r="32888" ht="12.75" x14ac:dyDescent="0.2"/>
    <row r="32889" ht="12.75" x14ac:dyDescent="0.2"/>
    <row r="32890" ht="12.75" x14ac:dyDescent="0.2"/>
    <row r="32891" ht="12.75" x14ac:dyDescent="0.2"/>
    <row r="32892" ht="12.75" x14ac:dyDescent="0.2"/>
    <row r="32893" ht="12.75" x14ac:dyDescent="0.2"/>
    <row r="32894" ht="12.75" x14ac:dyDescent="0.2"/>
    <row r="32895" ht="12.75" x14ac:dyDescent="0.2"/>
    <row r="32896" ht="12.75" x14ac:dyDescent="0.2"/>
    <row r="32897" ht="12.75" x14ac:dyDescent="0.2"/>
    <row r="32898" ht="12.75" x14ac:dyDescent="0.2"/>
    <row r="32899" ht="12.75" x14ac:dyDescent="0.2"/>
    <row r="32900" ht="12.75" x14ac:dyDescent="0.2"/>
    <row r="32901" ht="12.75" x14ac:dyDescent="0.2"/>
    <row r="32902" ht="12.75" x14ac:dyDescent="0.2"/>
    <row r="32903" ht="12.75" x14ac:dyDescent="0.2"/>
    <row r="32904" ht="12.75" x14ac:dyDescent="0.2"/>
    <row r="32905" ht="12.75" x14ac:dyDescent="0.2"/>
    <row r="32906" ht="12.75" x14ac:dyDescent="0.2"/>
    <row r="32907" ht="12.75" x14ac:dyDescent="0.2"/>
    <row r="32908" ht="12.75" x14ac:dyDescent="0.2"/>
    <row r="32909" ht="12.75" x14ac:dyDescent="0.2"/>
    <row r="32910" ht="12.75" x14ac:dyDescent="0.2"/>
    <row r="32911" ht="12.75" x14ac:dyDescent="0.2"/>
    <row r="32912" ht="12.75" x14ac:dyDescent="0.2"/>
    <row r="32913" ht="12.75" x14ac:dyDescent="0.2"/>
    <row r="32914" ht="12.75" x14ac:dyDescent="0.2"/>
    <row r="32915" ht="12.75" x14ac:dyDescent="0.2"/>
    <row r="32916" ht="12.75" x14ac:dyDescent="0.2"/>
    <row r="32917" ht="12.75" x14ac:dyDescent="0.2"/>
    <row r="32918" ht="12.75" x14ac:dyDescent="0.2"/>
    <row r="32919" ht="12.75" x14ac:dyDescent="0.2"/>
    <row r="32920" ht="12.75" x14ac:dyDescent="0.2"/>
    <row r="32921" ht="12.75" x14ac:dyDescent="0.2"/>
    <row r="32922" ht="12.75" x14ac:dyDescent="0.2"/>
    <row r="32923" ht="12.75" x14ac:dyDescent="0.2"/>
    <row r="32924" ht="12.75" x14ac:dyDescent="0.2"/>
    <row r="32925" ht="12.75" x14ac:dyDescent="0.2"/>
    <row r="32926" ht="12.75" x14ac:dyDescent="0.2"/>
    <row r="32927" ht="12.75" x14ac:dyDescent="0.2"/>
    <row r="32928" ht="12.75" x14ac:dyDescent="0.2"/>
    <row r="32929" ht="12.75" x14ac:dyDescent="0.2"/>
    <row r="32930" ht="12.75" x14ac:dyDescent="0.2"/>
    <row r="32931" ht="12.75" x14ac:dyDescent="0.2"/>
    <row r="32932" ht="12.75" x14ac:dyDescent="0.2"/>
    <row r="32933" ht="12.75" x14ac:dyDescent="0.2"/>
    <row r="32934" ht="12.75" x14ac:dyDescent="0.2"/>
    <row r="32935" ht="12.75" x14ac:dyDescent="0.2"/>
    <row r="32936" ht="12.75" x14ac:dyDescent="0.2"/>
    <row r="32937" ht="12.75" x14ac:dyDescent="0.2"/>
    <row r="32938" ht="12.75" x14ac:dyDescent="0.2"/>
    <row r="32939" ht="12.75" x14ac:dyDescent="0.2"/>
    <row r="32940" ht="12.75" x14ac:dyDescent="0.2"/>
    <row r="32941" ht="12.75" x14ac:dyDescent="0.2"/>
    <row r="32942" ht="12.75" x14ac:dyDescent="0.2"/>
    <row r="32943" ht="12.75" x14ac:dyDescent="0.2"/>
    <row r="32944" ht="12.75" x14ac:dyDescent="0.2"/>
    <row r="32945" ht="12.75" x14ac:dyDescent="0.2"/>
    <row r="32946" ht="12.75" x14ac:dyDescent="0.2"/>
    <row r="32947" ht="12.75" x14ac:dyDescent="0.2"/>
    <row r="32948" ht="12.75" x14ac:dyDescent="0.2"/>
    <row r="32949" ht="12.75" x14ac:dyDescent="0.2"/>
    <row r="32950" ht="12.75" x14ac:dyDescent="0.2"/>
    <row r="32951" ht="12.75" x14ac:dyDescent="0.2"/>
    <row r="32952" ht="12.75" x14ac:dyDescent="0.2"/>
    <row r="32953" ht="12.75" x14ac:dyDescent="0.2"/>
    <row r="32954" ht="12.75" x14ac:dyDescent="0.2"/>
    <row r="32955" ht="12.75" x14ac:dyDescent="0.2"/>
    <row r="32956" ht="12.75" x14ac:dyDescent="0.2"/>
    <row r="32957" ht="12.75" x14ac:dyDescent="0.2"/>
    <row r="32958" ht="12.75" x14ac:dyDescent="0.2"/>
    <row r="32959" ht="12.75" x14ac:dyDescent="0.2"/>
    <row r="32960" ht="12.75" x14ac:dyDescent="0.2"/>
    <row r="32961" ht="12.75" x14ac:dyDescent="0.2"/>
    <row r="32962" ht="12.75" x14ac:dyDescent="0.2"/>
    <row r="32963" ht="12.75" x14ac:dyDescent="0.2"/>
    <row r="32964" ht="12.75" x14ac:dyDescent="0.2"/>
    <row r="32965" ht="12.75" x14ac:dyDescent="0.2"/>
    <row r="32966" ht="12.75" x14ac:dyDescent="0.2"/>
    <row r="32967" ht="12.75" x14ac:dyDescent="0.2"/>
    <row r="32968" ht="12.75" x14ac:dyDescent="0.2"/>
    <row r="32969" ht="12.75" x14ac:dyDescent="0.2"/>
    <row r="32970" ht="12.75" x14ac:dyDescent="0.2"/>
    <row r="32971" ht="12.75" x14ac:dyDescent="0.2"/>
    <row r="32972" ht="12.75" x14ac:dyDescent="0.2"/>
    <row r="32973" ht="12.75" x14ac:dyDescent="0.2"/>
    <row r="32974" ht="12.75" x14ac:dyDescent="0.2"/>
    <row r="32975" ht="12.75" x14ac:dyDescent="0.2"/>
    <row r="32976" ht="12.75" x14ac:dyDescent="0.2"/>
    <row r="32977" ht="12.75" x14ac:dyDescent="0.2"/>
    <row r="32978" ht="12.75" x14ac:dyDescent="0.2"/>
    <row r="32979" ht="12.75" x14ac:dyDescent="0.2"/>
    <row r="32980" ht="12.75" x14ac:dyDescent="0.2"/>
    <row r="32981" ht="12.75" x14ac:dyDescent="0.2"/>
    <row r="32982" ht="12.75" x14ac:dyDescent="0.2"/>
    <row r="32983" ht="12.75" x14ac:dyDescent="0.2"/>
    <row r="32984" ht="12.75" x14ac:dyDescent="0.2"/>
    <row r="32985" ht="12.75" x14ac:dyDescent="0.2"/>
    <row r="32986" ht="12.75" x14ac:dyDescent="0.2"/>
    <row r="32987" ht="12.75" x14ac:dyDescent="0.2"/>
    <row r="32988" ht="12.75" x14ac:dyDescent="0.2"/>
    <row r="32989" ht="12.75" x14ac:dyDescent="0.2"/>
    <row r="32990" ht="12.75" x14ac:dyDescent="0.2"/>
    <row r="32991" ht="12.75" x14ac:dyDescent="0.2"/>
    <row r="32992" ht="12.75" x14ac:dyDescent="0.2"/>
    <row r="32993" ht="12.75" x14ac:dyDescent="0.2"/>
    <row r="32994" ht="12.75" x14ac:dyDescent="0.2"/>
    <row r="32995" ht="12.75" x14ac:dyDescent="0.2"/>
    <row r="32996" ht="12.75" x14ac:dyDescent="0.2"/>
    <row r="32997" ht="12.75" x14ac:dyDescent="0.2"/>
    <row r="32998" ht="12.75" x14ac:dyDescent="0.2"/>
    <row r="32999" ht="12.75" x14ac:dyDescent="0.2"/>
    <row r="33000" ht="12.75" x14ac:dyDescent="0.2"/>
    <row r="33001" ht="12.75" x14ac:dyDescent="0.2"/>
    <row r="33002" ht="12.75" x14ac:dyDescent="0.2"/>
    <row r="33003" ht="12.75" x14ac:dyDescent="0.2"/>
    <row r="33004" ht="12.75" x14ac:dyDescent="0.2"/>
    <row r="33005" ht="12.75" x14ac:dyDescent="0.2"/>
    <row r="33006" ht="12.75" x14ac:dyDescent="0.2"/>
    <row r="33007" ht="12.75" x14ac:dyDescent="0.2"/>
    <row r="33008" ht="12.75" x14ac:dyDescent="0.2"/>
    <row r="33009" ht="12.75" x14ac:dyDescent="0.2"/>
    <row r="33010" ht="12.75" x14ac:dyDescent="0.2"/>
    <row r="33011" ht="12.75" x14ac:dyDescent="0.2"/>
    <row r="33012" ht="12.75" x14ac:dyDescent="0.2"/>
    <row r="33013" ht="12.75" x14ac:dyDescent="0.2"/>
    <row r="33014" ht="12.75" x14ac:dyDescent="0.2"/>
    <row r="33015" ht="12.75" x14ac:dyDescent="0.2"/>
    <row r="33016" ht="12.75" x14ac:dyDescent="0.2"/>
    <row r="33017" ht="12.75" x14ac:dyDescent="0.2"/>
    <row r="33018" ht="12.75" x14ac:dyDescent="0.2"/>
    <row r="33019" ht="12.75" x14ac:dyDescent="0.2"/>
    <row r="33020" ht="12.75" x14ac:dyDescent="0.2"/>
    <row r="33021" ht="12.75" x14ac:dyDescent="0.2"/>
    <row r="33022" ht="12.75" x14ac:dyDescent="0.2"/>
    <row r="33023" ht="12.75" x14ac:dyDescent="0.2"/>
    <row r="33024" ht="12.75" x14ac:dyDescent="0.2"/>
    <row r="33025" ht="12.75" x14ac:dyDescent="0.2"/>
    <row r="33026" ht="12.75" x14ac:dyDescent="0.2"/>
    <row r="33027" ht="12.75" x14ac:dyDescent="0.2"/>
    <row r="33028" ht="12.75" x14ac:dyDescent="0.2"/>
    <row r="33029" ht="12.75" x14ac:dyDescent="0.2"/>
    <row r="33030" ht="12.75" x14ac:dyDescent="0.2"/>
    <row r="33031" ht="12.75" x14ac:dyDescent="0.2"/>
    <row r="33032" ht="12.75" x14ac:dyDescent="0.2"/>
    <row r="33033" ht="12.75" x14ac:dyDescent="0.2"/>
    <row r="33034" ht="12.75" x14ac:dyDescent="0.2"/>
    <row r="33035" ht="12.75" x14ac:dyDescent="0.2"/>
    <row r="33036" ht="12.75" x14ac:dyDescent="0.2"/>
    <row r="33037" ht="12.75" x14ac:dyDescent="0.2"/>
    <row r="33038" ht="12.75" x14ac:dyDescent="0.2"/>
    <row r="33039" ht="12.75" x14ac:dyDescent="0.2"/>
    <row r="33040" ht="12.75" x14ac:dyDescent="0.2"/>
    <row r="33041" ht="12.75" x14ac:dyDescent="0.2"/>
    <row r="33042" ht="12.75" x14ac:dyDescent="0.2"/>
    <row r="33043" ht="12.75" x14ac:dyDescent="0.2"/>
    <row r="33044" ht="12.75" x14ac:dyDescent="0.2"/>
    <row r="33045" ht="12.75" x14ac:dyDescent="0.2"/>
    <row r="33046" ht="12.75" x14ac:dyDescent="0.2"/>
    <row r="33047" ht="12.75" x14ac:dyDescent="0.2"/>
    <row r="33048" ht="12.75" x14ac:dyDescent="0.2"/>
    <row r="33049" ht="12.75" x14ac:dyDescent="0.2"/>
    <row r="33050" ht="12.75" x14ac:dyDescent="0.2"/>
    <row r="33051" ht="12.75" x14ac:dyDescent="0.2"/>
    <row r="33052" ht="12.75" x14ac:dyDescent="0.2"/>
    <row r="33053" ht="12.75" x14ac:dyDescent="0.2"/>
    <row r="33054" ht="12.75" x14ac:dyDescent="0.2"/>
    <row r="33055" ht="12.75" x14ac:dyDescent="0.2"/>
    <row r="33056" ht="12.75" x14ac:dyDescent="0.2"/>
    <row r="33057" ht="12.75" x14ac:dyDescent="0.2"/>
    <row r="33058" ht="12.75" x14ac:dyDescent="0.2"/>
    <row r="33059" ht="12.75" x14ac:dyDescent="0.2"/>
    <row r="33060" ht="12.75" x14ac:dyDescent="0.2"/>
    <row r="33061" ht="12.75" x14ac:dyDescent="0.2"/>
    <row r="33062" ht="12.75" x14ac:dyDescent="0.2"/>
    <row r="33063" ht="12.75" x14ac:dyDescent="0.2"/>
    <row r="33064" ht="12.75" x14ac:dyDescent="0.2"/>
    <row r="33065" ht="12.75" x14ac:dyDescent="0.2"/>
    <row r="33066" ht="12.75" x14ac:dyDescent="0.2"/>
    <row r="33067" ht="12.75" x14ac:dyDescent="0.2"/>
    <row r="33068" ht="12.75" x14ac:dyDescent="0.2"/>
    <row r="33069" ht="12.75" x14ac:dyDescent="0.2"/>
    <row r="33070" ht="12.75" x14ac:dyDescent="0.2"/>
    <row r="33071" ht="12.75" x14ac:dyDescent="0.2"/>
    <row r="33072" ht="12.75" x14ac:dyDescent="0.2"/>
    <row r="33073" ht="12.75" x14ac:dyDescent="0.2"/>
    <row r="33074" ht="12.75" x14ac:dyDescent="0.2"/>
    <row r="33075" ht="12.75" x14ac:dyDescent="0.2"/>
    <row r="33076" ht="12.75" x14ac:dyDescent="0.2"/>
    <row r="33077" ht="12.75" x14ac:dyDescent="0.2"/>
    <row r="33078" ht="12.75" x14ac:dyDescent="0.2"/>
    <row r="33079" ht="12.75" x14ac:dyDescent="0.2"/>
    <row r="33080" ht="12.75" x14ac:dyDescent="0.2"/>
    <row r="33081" ht="12.75" x14ac:dyDescent="0.2"/>
    <row r="33082" ht="12.75" x14ac:dyDescent="0.2"/>
    <row r="33083" ht="12.75" x14ac:dyDescent="0.2"/>
    <row r="33084" ht="12.75" x14ac:dyDescent="0.2"/>
    <row r="33085" ht="12.75" x14ac:dyDescent="0.2"/>
    <row r="33086" ht="12.75" x14ac:dyDescent="0.2"/>
    <row r="33087" ht="12.75" x14ac:dyDescent="0.2"/>
    <row r="33088" ht="12.75" x14ac:dyDescent="0.2"/>
    <row r="33089" ht="12.75" x14ac:dyDescent="0.2"/>
    <row r="33090" ht="12.75" x14ac:dyDescent="0.2"/>
    <row r="33091" ht="12.75" x14ac:dyDescent="0.2"/>
    <row r="33092" ht="12.75" x14ac:dyDescent="0.2"/>
    <row r="33093" ht="12.75" x14ac:dyDescent="0.2"/>
    <row r="33094" ht="12.75" x14ac:dyDescent="0.2"/>
    <row r="33095" ht="12.75" x14ac:dyDescent="0.2"/>
    <row r="33096" ht="12.75" x14ac:dyDescent="0.2"/>
    <row r="33097" ht="12.75" x14ac:dyDescent="0.2"/>
    <row r="33098" ht="12.75" x14ac:dyDescent="0.2"/>
    <row r="33099" ht="12.75" x14ac:dyDescent="0.2"/>
    <row r="33100" ht="12.75" x14ac:dyDescent="0.2"/>
    <row r="33101" ht="12.75" x14ac:dyDescent="0.2"/>
    <row r="33102" ht="12.75" x14ac:dyDescent="0.2"/>
    <row r="33103" ht="12.75" x14ac:dyDescent="0.2"/>
    <row r="33104" ht="12.75" x14ac:dyDescent="0.2"/>
    <row r="33105" ht="12.75" x14ac:dyDescent="0.2"/>
    <row r="33106" ht="12.75" x14ac:dyDescent="0.2"/>
    <row r="33107" ht="12.75" x14ac:dyDescent="0.2"/>
    <row r="33108" ht="12.75" x14ac:dyDescent="0.2"/>
    <row r="33109" ht="12.75" x14ac:dyDescent="0.2"/>
    <row r="33110" ht="12.75" x14ac:dyDescent="0.2"/>
    <row r="33111" ht="12.75" x14ac:dyDescent="0.2"/>
    <row r="33112" ht="12.75" x14ac:dyDescent="0.2"/>
    <row r="33113" ht="12.75" x14ac:dyDescent="0.2"/>
    <row r="33114" ht="12.75" x14ac:dyDescent="0.2"/>
    <row r="33115" ht="12.75" x14ac:dyDescent="0.2"/>
    <row r="33116" ht="12.75" x14ac:dyDescent="0.2"/>
    <row r="33117" ht="12.75" x14ac:dyDescent="0.2"/>
    <row r="33118" ht="12.75" x14ac:dyDescent="0.2"/>
    <row r="33119" ht="12.75" x14ac:dyDescent="0.2"/>
    <row r="33120" ht="12.75" x14ac:dyDescent="0.2"/>
    <row r="33121" ht="12.75" x14ac:dyDescent="0.2"/>
    <row r="33122" ht="12.75" x14ac:dyDescent="0.2"/>
    <row r="33123" ht="12.75" x14ac:dyDescent="0.2"/>
    <row r="33124" ht="12.75" x14ac:dyDescent="0.2"/>
    <row r="33125" ht="12.75" x14ac:dyDescent="0.2"/>
    <row r="33126" ht="12.75" x14ac:dyDescent="0.2"/>
    <row r="33127" ht="12.75" x14ac:dyDescent="0.2"/>
    <row r="33128" ht="12.75" x14ac:dyDescent="0.2"/>
    <row r="33129" ht="12.75" x14ac:dyDescent="0.2"/>
    <row r="33130" ht="12.75" x14ac:dyDescent="0.2"/>
    <row r="33131" ht="12.75" x14ac:dyDescent="0.2"/>
    <row r="33132" ht="12.75" x14ac:dyDescent="0.2"/>
    <row r="33133" ht="12.75" x14ac:dyDescent="0.2"/>
    <row r="33134" ht="12.75" x14ac:dyDescent="0.2"/>
    <row r="33135" ht="12.75" x14ac:dyDescent="0.2"/>
    <row r="33136" ht="12.75" x14ac:dyDescent="0.2"/>
    <row r="33137" ht="12.75" x14ac:dyDescent="0.2"/>
    <row r="33138" ht="12.75" x14ac:dyDescent="0.2"/>
    <row r="33139" ht="12.75" x14ac:dyDescent="0.2"/>
    <row r="33140" ht="12.75" x14ac:dyDescent="0.2"/>
    <row r="33141" ht="12.75" x14ac:dyDescent="0.2"/>
    <row r="33142" ht="12.75" x14ac:dyDescent="0.2"/>
    <row r="33143" ht="12.75" x14ac:dyDescent="0.2"/>
    <row r="33144" ht="12.75" x14ac:dyDescent="0.2"/>
    <row r="33145" ht="12.75" x14ac:dyDescent="0.2"/>
    <row r="33146" ht="12.75" x14ac:dyDescent="0.2"/>
    <row r="33147" ht="12.75" x14ac:dyDescent="0.2"/>
    <row r="33148" ht="12.75" x14ac:dyDescent="0.2"/>
    <row r="33149" ht="12.75" x14ac:dyDescent="0.2"/>
    <row r="33150" ht="12.75" x14ac:dyDescent="0.2"/>
    <row r="33151" ht="12.75" x14ac:dyDescent="0.2"/>
    <row r="33152" ht="12.75" x14ac:dyDescent="0.2"/>
    <row r="33153" ht="12.75" x14ac:dyDescent="0.2"/>
    <row r="33154" ht="12.75" x14ac:dyDescent="0.2"/>
    <row r="33155" ht="12.75" x14ac:dyDescent="0.2"/>
    <row r="33156" ht="12.75" x14ac:dyDescent="0.2"/>
    <row r="33157" ht="12.75" x14ac:dyDescent="0.2"/>
    <row r="33158" ht="12.75" x14ac:dyDescent="0.2"/>
    <row r="33159" ht="12.75" x14ac:dyDescent="0.2"/>
    <row r="33160" ht="12.75" x14ac:dyDescent="0.2"/>
    <row r="33161" ht="12.75" x14ac:dyDescent="0.2"/>
    <row r="33162" ht="12.75" x14ac:dyDescent="0.2"/>
    <row r="33163" ht="12.75" x14ac:dyDescent="0.2"/>
    <row r="33164" ht="12.75" x14ac:dyDescent="0.2"/>
    <row r="33165" ht="12.75" x14ac:dyDescent="0.2"/>
    <row r="33166" ht="12.75" x14ac:dyDescent="0.2"/>
    <row r="33167" ht="12.75" x14ac:dyDescent="0.2"/>
    <row r="33168" ht="12.75" x14ac:dyDescent="0.2"/>
    <row r="33169" ht="12.75" x14ac:dyDescent="0.2"/>
    <row r="33170" ht="12.75" x14ac:dyDescent="0.2"/>
    <row r="33171" ht="12.75" x14ac:dyDescent="0.2"/>
    <row r="33172" ht="12.75" x14ac:dyDescent="0.2"/>
    <row r="33173" ht="12.75" x14ac:dyDescent="0.2"/>
    <row r="33174" ht="12.75" x14ac:dyDescent="0.2"/>
    <row r="33175" ht="12.75" x14ac:dyDescent="0.2"/>
    <row r="33176" ht="12.75" x14ac:dyDescent="0.2"/>
    <row r="33177" ht="12.75" x14ac:dyDescent="0.2"/>
    <row r="33178" ht="12.75" x14ac:dyDescent="0.2"/>
    <row r="33179" ht="12.75" x14ac:dyDescent="0.2"/>
    <row r="33180" ht="12.75" x14ac:dyDescent="0.2"/>
    <row r="33181" ht="12.75" x14ac:dyDescent="0.2"/>
    <row r="33182" ht="12.75" x14ac:dyDescent="0.2"/>
    <row r="33183" ht="12.75" x14ac:dyDescent="0.2"/>
    <row r="33184" ht="12.75" x14ac:dyDescent="0.2"/>
    <row r="33185" ht="12.75" x14ac:dyDescent="0.2"/>
    <row r="33186" ht="12.75" x14ac:dyDescent="0.2"/>
    <row r="33187" ht="12.75" x14ac:dyDescent="0.2"/>
    <row r="33188" ht="12.75" x14ac:dyDescent="0.2"/>
    <row r="33189" ht="12.75" x14ac:dyDescent="0.2"/>
    <row r="33190" ht="12.75" x14ac:dyDescent="0.2"/>
    <row r="33191" ht="12.75" x14ac:dyDescent="0.2"/>
    <row r="33192" ht="12.75" x14ac:dyDescent="0.2"/>
    <row r="33193" ht="12.75" x14ac:dyDescent="0.2"/>
    <row r="33194" ht="12.75" x14ac:dyDescent="0.2"/>
    <row r="33195" ht="12.75" x14ac:dyDescent="0.2"/>
    <row r="33196" ht="12.75" x14ac:dyDescent="0.2"/>
    <row r="33197" ht="12.75" x14ac:dyDescent="0.2"/>
    <row r="33198" ht="12.75" x14ac:dyDescent="0.2"/>
    <row r="33199" ht="12.75" x14ac:dyDescent="0.2"/>
    <row r="33200" ht="12.75" x14ac:dyDescent="0.2"/>
    <row r="33201" ht="12.75" x14ac:dyDescent="0.2"/>
    <row r="33202" ht="12.75" x14ac:dyDescent="0.2"/>
    <row r="33203" ht="12.75" x14ac:dyDescent="0.2"/>
    <row r="33204" ht="12.75" x14ac:dyDescent="0.2"/>
    <row r="33205" ht="12.75" x14ac:dyDescent="0.2"/>
    <row r="33206" ht="12.75" x14ac:dyDescent="0.2"/>
    <row r="33207" ht="12.75" x14ac:dyDescent="0.2"/>
    <row r="33208" ht="12.75" x14ac:dyDescent="0.2"/>
    <row r="33209" ht="12.75" x14ac:dyDescent="0.2"/>
    <row r="33210" ht="12.75" x14ac:dyDescent="0.2"/>
    <row r="33211" ht="12.75" x14ac:dyDescent="0.2"/>
    <row r="33212" ht="12.75" x14ac:dyDescent="0.2"/>
    <row r="33213" ht="12.75" x14ac:dyDescent="0.2"/>
    <row r="33214" ht="12.75" x14ac:dyDescent="0.2"/>
    <row r="33215" ht="12.75" x14ac:dyDescent="0.2"/>
    <row r="33216" ht="12.75" x14ac:dyDescent="0.2"/>
    <row r="33217" ht="12.75" x14ac:dyDescent="0.2"/>
    <row r="33218" ht="12.75" x14ac:dyDescent="0.2"/>
    <row r="33219" ht="12.75" x14ac:dyDescent="0.2"/>
    <row r="33220" ht="12.75" x14ac:dyDescent="0.2"/>
    <row r="33221" ht="12.75" x14ac:dyDescent="0.2"/>
    <row r="33222" ht="12.75" x14ac:dyDescent="0.2"/>
    <row r="33223" ht="12.75" x14ac:dyDescent="0.2"/>
    <row r="33224" ht="12.75" x14ac:dyDescent="0.2"/>
    <row r="33225" ht="12.75" x14ac:dyDescent="0.2"/>
    <row r="33226" ht="12.75" x14ac:dyDescent="0.2"/>
    <row r="33227" ht="12.75" x14ac:dyDescent="0.2"/>
    <row r="33228" ht="12.75" x14ac:dyDescent="0.2"/>
    <row r="33229" ht="12.75" x14ac:dyDescent="0.2"/>
    <row r="33230" ht="12.75" x14ac:dyDescent="0.2"/>
    <row r="33231" ht="12.75" x14ac:dyDescent="0.2"/>
    <row r="33232" ht="12.75" x14ac:dyDescent="0.2"/>
    <row r="33233" ht="12.75" x14ac:dyDescent="0.2"/>
    <row r="33234" ht="12.75" x14ac:dyDescent="0.2"/>
    <row r="33235" ht="12.75" x14ac:dyDescent="0.2"/>
    <row r="33236" ht="12.75" x14ac:dyDescent="0.2"/>
    <row r="33237" ht="12.75" x14ac:dyDescent="0.2"/>
    <row r="33238" ht="12.75" x14ac:dyDescent="0.2"/>
    <row r="33239" ht="12.75" x14ac:dyDescent="0.2"/>
    <row r="33240" ht="12.75" x14ac:dyDescent="0.2"/>
    <row r="33241" ht="12.75" x14ac:dyDescent="0.2"/>
    <row r="33242" ht="12.75" x14ac:dyDescent="0.2"/>
    <row r="33243" ht="12.75" x14ac:dyDescent="0.2"/>
    <row r="33244" ht="12.75" x14ac:dyDescent="0.2"/>
    <row r="33245" ht="12.75" x14ac:dyDescent="0.2"/>
    <row r="33246" ht="12.75" x14ac:dyDescent="0.2"/>
    <row r="33247" ht="12.75" x14ac:dyDescent="0.2"/>
    <row r="33248" ht="12.75" x14ac:dyDescent="0.2"/>
    <row r="33249" ht="12.75" x14ac:dyDescent="0.2"/>
    <row r="33250" ht="12.75" x14ac:dyDescent="0.2"/>
    <row r="33251" ht="12.75" x14ac:dyDescent="0.2"/>
    <row r="33252" ht="12.75" x14ac:dyDescent="0.2"/>
    <row r="33253" ht="12.75" x14ac:dyDescent="0.2"/>
    <row r="33254" ht="12.75" x14ac:dyDescent="0.2"/>
    <row r="33255" ht="12.75" x14ac:dyDescent="0.2"/>
    <row r="33256" ht="12.75" x14ac:dyDescent="0.2"/>
    <row r="33257" ht="12.75" x14ac:dyDescent="0.2"/>
    <row r="33258" ht="12.75" x14ac:dyDescent="0.2"/>
    <row r="33259" ht="12.75" x14ac:dyDescent="0.2"/>
    <row r="33260" ht="12.75" x14ac:dyDescent="0.2"/>
    <row r="33261" ht="12.75" x14ac:dyDescent="0.2"/>
    <row r="33262" ht="12.75" x14ac:dyDescent="0.2"/>
    <row r="33263" ht="12.75" x14ac:dyDescent="0.2"/>
    <row r="33264" ht="12.75" x14ac:dyDescent="0.2"/>
    <row r="33265" ht="12.75" x14ac:dyDescent="0.2"/>
    <row r="33266" ht="12.75" x14ac:dyDescent="0.2"/>
    <row r="33267" ht="12.75" x14ac:dyDescent="0.2"/>
    <row r="33268" ht="12.75" x14ac:dyDescent="0.2"/>
    <row r="33269" ht="12.75" x14ac:dyDescent="0.2"/>
    <row r="33270" ht="12.75" x14ac:dyDescent="0.2"/>
    <row r="33271" ht="12.75" x14ac:dyDescent="0.2"/>
    <row r="33272" ht="12.75" x14ac:dyDescent="0.2"/>
    <row r="33273" ht="12.75" x14ac:dyDescent="0.2"/>
    <row r="33274" ht="12.75" x14ac:dyDescent="0.2"/>
    <row r="33275" ht="12.75" x14ac:dyDescent="0.2"/>
    <row r="33276" ht="12.75" x14ac:dyDescent="0.2"/>
    <row r="33277" ht="12.75" x14ac:dyDescent="0.2"/>
    <row r="33278" ht="12.75" x14ac:dyDescent="0.2"/>
    <row r="33279" ht="12.75" x14ac:dyDescent="0.2"/>
    <row r="33280" ht="12.75" x14ac:dyDescent="0.2"/>
    <row r="33281" ht="12.75" x14ac:dyDescent="0.2"/>
    <row r="33282" ht="12.75" x14ac:dyDescent="0.2"/>
    <row r="33283" ht="12.75" x14ac:dyDescent="0.2"/>
    <row r="33284" ht="12.75" x14ac:dyDescent="0.2"/>
    <row r="33285" ht="12.75" x14ac:dyDescent="0.2"/>
    <row r="33286" ht="12.75" x14ac:dyDescent="0.2"/>
    <row r="33287" ht="12.75" x14ac:dyDescent="0.2"/>
    <row r="33288" ht="12.75" x14ac:dyDescent="0.2"/>
    <row r="33289" ht="12.75" x14ac:dyDescent="0.2"/>
    <row r="33290" ht="12.75" x14ac:dyDescent="0.2"/>
    <row r="33291" ht="12.75" x14ac:dyDescent="0.2"/>
    <row r="33292" ht="12.75" x14ac:dyDescent="0.2"/>
    <row r="33293" ht="12.75" x14ac:dyDescent="0.2"/>
    <row r="33294" ht="12.75" x14ac:dyDescent="0.2"/>
    <row r="33295" ht="12.75" x14ac:dyDescent="0.2"/>
    <row r="33296" ht="12.75" x14ac:dyDescent="0.2"/>
    <row r="33297" ht="12.75" x14ac:dyDescent="0.2"/>
    <row r="33298" ht="12.75" x14ac:dyDescent="0.2"/>
    <row r="33299" ht="12.75" x14ac:dyDescent="0.2"/>
    <row r="33300" ht="12.75" x14ac:dyDescent="0.2"/>
    <row r="33301" ht="12.75" x14ac:dyDescent="0.2"/>
    <row r="33302" ht="12.75" x14ac:dyDescent="0.2"/>
    <row r="33303" ht="12.75" x14ac:dyDescent="0.2"/>
    <row r="33304" ht="12.75" x14ac:dyDescent="0.2"/>
    <row r="33305" ht="12.75" x14ac:dyDescent="0.2"/>
    <row r="33306" ht="12.75" x14ac:dyDescent="0.2"/>
    <row r="33307" ht="12.75" x14ac:dyDescent="0.2"/>
    <row r="33308" ht="12.75" x14ac:dyDescent="0.2"/>
    <row r="33309" ht="12.75" x14ac:dyDescent="0.2"/>
    <row r="33310" ht="12.75" x14ac:dyDescent="0.2"/>
    <row r="33311" ht="12.75" x14ac:dyDescent="0.2"/>
    <row r="33312" ht="12.75" x14ac:dyDescent="0.2"/>
    <row r="33313" ht="12.75" x14ac:dyDescent="0.2"/>
    <row r="33314" ht="12.75" x14ac:dyDescent="0.2"/>
    <row r="33315" ht="12.75" x14ac:dyDescent="0.2"/>
    <row r="33316" ht="12.75" x14ac:dyDescent="0.2"/>
    <row r="33317" ht="12.75" x14ac:dyDescent="0.2"/>
    <row r="33318" ht="12.75" x14ac:dyDescent="0.2"/>
    <row r="33319" ht="12.75" x14ac:dyDescent="0.2"/>
    <row r="33320" ht="12.75" x14ac:dyDescent="0.2"/>
    <row r="33321" ht="12.75" x14ac:dyDescent="0.2"/>
    <row r="33322" ht="12.75" x14ac:dyDescent="0.2"/>
    <row r="33323" ht="12.75" x14ac:dyDescent="0.2"/>
    <row r="33324" ht="12.75" x14ac:dyDescent="0.2"/>
    <row r="33325" ht="12.75" x14ac:dyDescent="0.2"/>
    <row r="33326" ht="12.75" x14ac:dyDescent="0.2"/>
    <row r="33327" ht="12.75" x14ac:dyDescent="0.2"/>
    <row r="33328" ht="12.75" x14ac:dyDescent="0.2"/>
    <row r="33329" ht="12.75" x14ac:dyDescent="0.2"/>
    <row r="33330" ht="12.75" x14ac:dyDescent="0.2"/>
    <row r="33331" ht="12.75" x14ac:dyDescent="0.2"/>
    <row r="33332" ht="12.75" x14ac:dyDescent="0.2"/>
    <row r="33333" ht="12.75" x14ac:dyDescent="0.2"/>
    <row r="33334" ht="12.75" x14ac:dyDescent="0.2"/>
    <row r="33335" ht="12.75" x14ac:dyDescent="0.2"/>
    <row r="33336" ht="12.75" x14ac:dyDescent="0.2"/>
    <row r="33337" ht="12.75" x14ac:dyDescent="0.2"/>
    <row r="33338" ht="12.75" x14ac:dyDescent="0.2"/>
    <row r="33339" ht="12.75" x14ac:dyDescent="0.2"/>
    <row r="33340" ht="12.75" x14ac:dyDescent="0.2"/>
    <row r="33341" ht="12.75" x14ac:dyDescent="0.2"/>
    <row r="33342" ht="12.75" x14ac:dyDescent="0.2"/>
    <row r="33343" ht="12.75" x14ac:dyDescent="0.2"/>
    <row r="33344" ht="12.75" x14ac:dyDescent="0.2"/>
    <row r="33345" ht="12.75" x14ac:dyDescent="0.2"/>
    <row r="33346" ht="12.75" x14ac:dyDescent="0.2"/>
    <row r="33347" ht="12.75" x14ac:dyDescent="0.2"/>
    <row r="33348" ht="12.75" x14ac:dyDescent="0.2"/>
    <row r="33349" ht="12.75" x14ac:dyDescent="0.2"/>
    <row r="33350" ht="12.75" x14ac:dyDescent="0.2"/>
    <row r="33351" ht="12.75" x14ac:dyDescent="0.2"/>
    <row r="33352" ht="12.75" x14ac:dyDescent="0.2"/>
    <row r="33353" ht="12.75" x14ac:dyDescent="0.2"/>
    <row r="33354" ht="12.75" x14ac:dyDescent="0.2"/>
    <row r="33355" ht="12.75" x14ac:dyDescent="0.2"/>
    <row r="33356" ht="12.75" x14ac:dyDescent="0.2"/>
    <row r="33357" ht="12.75" x14ac:dyDescent="0.2"/>
    <row r="33358" ht="12.75" x14ac:dyDescent="0.2"/>
    <row r="33359" ht="12.75" x14ac:dyDescent="0.2"/>
    <row r="33360" ht="12.75" x14ac:dyDescent="0.2"/>
    <row r="33361" ht="12.75" x14ac:dyDescent="0.2"/>
    <row r="33362" ht="12.75" x14ac:dyDescent="0.2"/>
    <row r="33363" ht="12.75" x14ac:dyDescent="0.2"/>
    <row r="33364" ht="12.75" x14ac:dyDescent="0.2"/>
    <row r="33365" ht="12.75" x14ac:dyDescent="0.2"/>
    <row r="33366" ht="12.75" x14ac:dyDescent="0.2"/>
    <row r="33367" ht="12.75" x14ac:dyDescent="0.2"/>
    <row r="33368" ht="12.75" x14ac:dyDescent="0.2"/>
    <row r="33369" ht="12.75" x14ac:dyDescent="0.2"/>
    <row r="33370" ht="12.75" x14ac:dyDescent="0.2"/>
    <row r="33371" ht="12.75" x14ac:dyDescent="0.2"/>
    <row r="33372" ht="12.75" x14ac:dyDescent="0.2"/>
    <row r="33373" ht="12.75" x14ac:dyDescent="0.2"/>
    <row r="33374" ht="12.75" x14ac:dyDescent="0.2"/>
    <row r="33375" ht="12.75" x14ac:dyDescent="0.2"/>
    <row r="33376" ht="12.75" x14ac:dyDescent="0.2"/>
    <row r="33377" ht="12.75" x14ac:dyDescent="0.2"/>
    <row r="33378" ht="12.75" x14ac:dyDescent="0.2"/>
    <row r="33379" ht="12.75" x14ac:dyDescent="0.2"/>
    <row r="33380" ht="12.75" x14ac:dyDescent="0.2"/>
    <row r="33381" ht="12.75" x14ac:dyDescent="0.2"/>
    <row r="33382" ht="12.75" x14ac:dyDescent="0.2"/>
    <row r="33383" ht="12.75" x14ac:dyDescent="0.2"/>
    <row r="33384" ht="12.75" x14ac:dyDescent="0.2"/>
    <row r="33385" ht="12.75" x14ac:dyDescent="0.2"/>
    <row r="33386" ht="12.75" x14ac:dyDescent="0.2"/>
    <row r="33387" ht="12.75" x14ac:dyDescent="0.2"/>
    <row r="33388" ht="12.75" x14ac:dyDescent="0.2"/>
    <row r="33389" ht="12.75" x14ac:dyDescent="0.2"/>
    <row r="33390" ht="12.75" x14ac:dyDescent="0.2"/>
    <row r="33391" ht="12.75" x14ac:dyDescent="0.2"/>
    <row r="33392" ht="12.75" x14ac:dyDescent="0.2"/>
    <row r="33393" ht="12.75" x14ac:dyDescent="0.2"/>
    <row r="33394" ht="12.75" x14ac:dyDescent="0.2"/>
    <row r="33395" ht="12.75" x14ac:dyDescent="0.2"/>
    <row r="33396" ht="12.75" x14ac:dyDescent="0.2"/>
    <row r="33397" ht="12.75" x14ac:dyDescent="0.2"/>
    <row r="33398" ht="12.75" x14ac:dyDescent="0.2"/>
    <row r="33399" ht="12.75" x14ac:dyDescent="0.2"/>
    <row r="33400" ht="12.75" x14ac:dyDescent="0.2"/>
    <row r="33401" ht="12.75" x14ac:dyDescent="0.2"/>
    <row r="33402" ht="12.75" x14ac:dyDescent="0.2"/>
    <row r="33403" ht="12.75" x14ac:dyDescent="0.2"/>
    <row r="33404" ht="12.75" x14ac:dyDescent="0.2"/>
    <row r="33405" ht="12.75" x14ac:dyDescent="0.2"/>
    <row r="33406" ht="12.75" x14ac:dyDescent="0.2"/>
    <row r="33407" ht="12.75" x14ac:dyDescent="0.2"/>
    <row r="33408" ht="12.75" x14ac:dyDescent="0.2"/>
    <row r="33409" ht="12.75" x14ac:dyDescent="0.2"/>
    <row r="33410" ht="12.75" x14ac:dyDescent="0.2"/>
    <row r="33411" ht="12.75" x14ac:dyDescent="0.2"/>
    <row r="33412" ht="12.75" x14ac:dyDescent="0.2"/>
    <row r="33413" ht="12.75" x14ac:dyDescent="0.2"/>
    <row r="33414" ht="12.75" x14ac:dyDescent="0.2"/>
    <row r="33415" ht="12.75" x14ac:dyDescent="0.2"/>
    <row r="33416" ht="12.75" x14ac:dyDescent="0.2"/>
    <row r="33417" ht="12.75" x14ac:dyDescent="0.2"/>
    <row r="33418" ht="12.75" x14ac:dyDescent="0.2"/>
    <row r="33419" ht="12.75" x14ac:dyDescent="0.2"/>
    <row r="33420" ht="12.75" x14ac:dyDescent="0.2"/>
    <row r="33421" ht="12.75" x14ac:dyDescent="0.2"/>
    <row r="33422" ht="12.75" x14ac:dyDescent="0.2"/>
    <row r="33423" ht="12.75" x14ac:dyDescent="0.2"/>
    <row r="33424" ht="12.75" x14ac:dyDescent="0.2"/>
    <row r="33425" ht="12.75" x14ac:dyDescent="0.2"/>
    <row r="33426" ht="12.75" x14ac:dyDescent="0.2"/>
    <row r="33427" ht="12.75" x14ac:dyDescent="0.2"/>
    <row r="33428" ht="12.75" x14ac:dyDescent="0.2"/>
    <row r="33429" ht="12.75" x14ac:dyDescent="0.2"/>
    <row r="33430" ht="12.75" x14ac:dyDescent="0.2"/>
    <row r="33431" ht="12.75" x14ac:dyDescent="0.2"/>
    <row r="33432" ht="12.75" x14ac:dyDescent="0.2"/>
    <row r="33433" ht="12.75" x14ac:dyDescent="0.2"/>
    <row r="33434" ht="12.75" x14ac:dyDescent="0.2"/>
    <row r="33435" ht="12.75" x14ac:dyDescent="0.2"/>
    <row r="33436" ht="12.75" x14ac:dyDescent="0.2"/>
    <row r="33437" ht="12.75" x14ac:dyDescent="0.2"/>
    <row r="33438" ht="12.75" x14ac:dyDescent="0.2"/>
    <row r="33439" ht="12.75" x14ac:dyDescent="0.2"/>
    <row r="33440" ht="12.75" x14ac:dyDescent="0.2"/>
    <row r="33441" ht="12.75" x14ac:dyDescent="0.2"/>
    <row r="33442" ht="12.75" x14ac:dyDescent="0.2"/>
    <row r="33443" ht="12.75" x14ac:dyDescent="0.2"/>
    <row r="33444" ht="12.75" x14ac:dyDescent="0.2"/>
    <row r="33445" ht="12.75" x14ac:dyDescent="0.2"/>
    <row r="33446" ht="12.75" x14ac:dyDescent="0.2"/>
    <row r="33447" ht="12.75" x14ac:dyDescent="0.2"/>
    <row r="33448" ht="12.75" x14ac:dyDescent="0.2"/>
    <row r="33449" ht="12.75" x14ac:dyDescent="0.2"/>
    <row r="33450" ht="12.75" x14ac:dyDescent="0.2"/>
    <row r="33451" ht="12.75" x14ac:dyDescent="0.2"/>
    <row r="33452" ht="12.75" x14ac:dyDescent="0.2"/>
    <row r="33453" ht="12.75" x14ac:dyDescent="0.2"/>
    <row r="33454" ht="12.75" x14ac:dyDescent="0.2"/>
    <row r="33455" ht="12.75" x14ac:dyDescent="0.2"/>
    <row r="33456" ht="12.75" x14ac:dyDescent="0.2"/>
    <row r="33457" ht="12.75" x14ac:dyDescent="0.2"/>
    <row r="33458" ht="12.75" x14ac:dyDescent="0.2"/>
    <row r="33459" ht="12.75" x14ac:dyDescent="0.2"/>
    <row r="33460" ht="12.75" x14ac:dyDescent="0.2"/>
    <row r="33461" ht="12.75" x14ac:dyDescent="0.2"/>
    <row r="33462" ht="12.75" x14ac:dyDescent="0.2"/>
    <row r="33463" ht="12.75" x14ac:dyDescent="0.2"/>
    <row r="33464" ht="12.75" x14ac:dyDescent="0.2"/>
    <row r="33465" ht="12.75" x14ac:dyDescent="0.2"/>
    <row r="33466" ht="12.75" x14ac:dyDescent="0.2"/>
    <row r="33467" ht="12.75" x14ac:dyDescent="0.2"/>
    <row r="33468" ht="12.75" x14ac:dyDescent="0.2"/>
    <row r="33469" ht="12.75" x14ac:dyDescent="0.2"/>
    <row r="33470" ht="12.75" x14ac:dyDescent="0.2"/>
    <row r="33471" ht="12.75" x14ac:dyDescent="0.2"/>
    <row r="33472" ht="12.75" x14ac:dyDescent="0.2"/>
    <row r="33473" ht="12.75" x14ac:dyDescent="0.2"/>
    <row r="33474" ht="12.75" x14ac:dyDescent="0.2"/>
    <row r="33475" ht="12.75" x14ac:dyDescent="0.2"/>
    <row r="33476" ht="12.75" x14ac:dyDescent="0.2"/>
    <row r="33477" ht="12.75" x14ac:dyDescent="0.2"/>
    <row r="33478" ht="12.75" x14ac:dyDescent="0.2"/>
    <row r="33479" ht="12.75" x14ac:dyDescent="0.2"/>
    <row r="33480" ht="12.75" x14ac:dyDescent="0.2"/>
    <row r="33481" ht="12.75" x14ac:dyDescent="0.2"/>
    <row r="33482" ht="12.75" x14ac:dyDescent="0.2"/>
    <row r="33483" ht="12.75" x14ac:dyDescent="0.2"/>
    <row r="33484" ht="12.75" x14ac:dyDescent="0.2"/>
    <row r="33485" ht="12.75" x14ac:dyDescent="0.2"/>
    <row r="33486" ht="12.75" x14ac:dyDescent="0.2"/>
    <row r="33487" ht="12.75" x14ac:dyDescent="0.2"/>
    <row r="33488" ht="12.75" x14ac:dyDescent="0.2"/>
    <row r="33489" ht="12.75" x14ac:dyDescent="0.2"/>
    <row r="33490" ht="12.75" x14ac:dyDescent="0.2"/>
    <row r="33491" ht="12.75" x14ac:dyDescent="0.2"/>
    <row r="33492" ht="12.75" x14ac:dyDescent="0.2"/>
    <row r="33493" ht="12.75" x14ac:dyDescent="0.2"/>
    <row r="33494" ht="12.75" x14ac:dyDescent="0.2"/>
    <row r="33495" ht="12.75" x14ac:dyDescent="0.2"/>
    <row r="33496" ht="12.75" x14ac:dyDescent="0.2"/>
    <row r="33497" ht="12.75" x14ac:dyDescent="0.2"/>
    <row r="33498" ht="12.75" x14ac:dyDescent="0.2"/>
    <row r="33499" ht="12.75" x14ac:dyDescent="0.2"/>
    <row r="33500" ht="12.75" x14ac:dyDescent="0.2"/>
    <row r="33501" ht="12.75" x14ac:dyDescent="0.2"/>
    <row r="33502" ht="12.75" x14ac:dyDescent="0.2"/>
    <row r="33503" ht="12.75" x14ac:dyDescent="0.2"/>
    <row r="33504" ht="12.75" x14ac:dyDescent="0.2"/>
    <row r="33505" ht="12.75" x14ac:dyDescent="0.2"/>
    <row r="33506" ht="12.75" x14ac:dyDescent="0.2"/>
    <row r="33507" ht="12.75" x14ac:dyDescent="0.2"/>
    <row r="33508" ht="12.75" x14ac:dyDescent="0.2"/>
    <row r="33509" ht="12.75" x14ac:dyDescent="0.2"/>
    <row r="33510" ht="12.75" x14ac:dyDescent="0.2"/>
    <row r="33511" ht="12.75" x14ac:dyDescent="0.2"/>
    <row r="33512" ht="12.75" x14ac:dyDescent="0.2"/>
    <row r="33513" ht="12.75" x14ac:dyDescent="0.2"/>
    <row r="33514" ht="12.75" x14ac:dyDescent="0.2"/>
    <row r="33515" ht="12.75" x14ac:dyDescent="0.2"/>
    <row r="33516" ht="12.75" x14ac:dyDescent="0.2"/>
    <row r="33517" ht="12.75" x14ac:dyDescent="0.2"/>
    <row r="33518" ht="12.75" x14ac:dyDescent="0.2"/>
    <row r="33519" ht="12.75" x14ac:dyDescent="0.2"/>
    <row r="33520" ht="12.75" x14ac:dyDescent="0.2"/>
    <row r="33521" ht="12.75" x14ac:dyDescent="0.2"/>
    <row r="33522" ht="12.75" x14ac:dyDescent="0.2"/>
    <row r="33523" ht="12.75" x14ac:dyDescent="0.2"/>
    <row r="33524" ht="12.75" x14ac:dyDescent="0.2"/>
    <row r="33525" ht="12.75" x14ac:dyDescent="0.2"/>
    <row r="33526" ht="12.75" x14ac:dyDescent="0.2"/>
    <row r="33527" ht="12.75" x14ac:dyDescent="0.2"/>
    <row r="33528" ht="12.75" x14ac:dyDescent="0.2"/>
    <row r="33529" ht="12.75" x14ac:dyDescent="0.2"/>
    <row r="33530" ht="12.75" x14ac:dyDescent="0.2"/>
    <row r="33531" ht="12.75" x14ac:dyDescent="0.2"/>
    <row r="33532" ht="12.75" x14ac:dyDescent="0.2"/>
    <row r="33533" ht="12.75" x14ac:dyDescent="0.2"/>
    <row r="33534" ht="12.75" x14ac:dyDescent="0.2"/>
    <row r="33535" ht="12.75" x14ac:dyDescent="0.2"/>
    <row r="33536" ht="12.75" x14ac:dyDescent="0.2"/>
    <row r="33537" ht="12.75" x14ac:dyDescent="0.2"/>
    <row r="33538" ht="12.75" x14ac:dyDescent="0.2"/>
    <row r="33539" ht="12.75" x14ac:dyDescent="0.2"/>
    <row r="33540" ht="12.75" x14ac:dyDescent="0.2"/>
    <row r="33541" ht="12.75" x14ac:dyDescent="0.2"/>
    <row r="33542" ht="12.75" x14ac:dyDescent="0.2"/>
    <row r="33543" ht="12.75" x14ac:dyDescent="0.2"/>
    <row r="33544" ht="12.75" x14ac:dyDescent="0.2"/>
    <row r="33545" ht="12.75" x14ac:dyDescent="0.2"/>
    <row r="33546" ht="12.75" x14ac:dyDescent="0.2"/>
    <row r="33547" ht="12.75" x14ac:dyDescent="0.2"/>
    <row r="33548" ht="12.75" x14ac:dyDescent="0.2"/>
    <row r="33549" ht="12.75" x14ac:dyDescent="0.2"/>
    <row r="33550" ht="12.75" x14ac:dyDescent="0.2"/>
    <row r="33551" ht="12.75" x14ac:dyDescent="0.2"/>
    <row r="33552" ht="12.75" x14ac:dyDescent="0.2"/>
    <row r="33553" ht="12.75" x14ac:dyDescent="0.2"/>
    <row r="33554" ht="12.75" x14ac:dyDescent="0.2"/>
    <row r="33555" ht="12.75" x14ac:dyDescent="0.2"/>
    <row r="33556" ht="12.75" x14ac:dyDescent="0.2"/>
    <row r="33557" ht="12.75" x14ac:dyDescent="0.2"/>
    <row r="33558" ht="12.75" x14ac:dyDescent="0.2"/>
    <row r="33559" ht="12.75" x14ac:dyDescent="0.2"/>
    <row r="33560" ht="12.75" x14ac:dyDescent="0.2"/>
    <row r="33561" ht="12.75" x14ac:dyDescent="0.2"/>
    <row r="33562" ht="12.75" x14ac:dyDescent="0.2"/>
    <row r="33563" ht="12.75" x14ac:dyDescent="0.2"/>
    <row r="33564" ht="12.75" x14ac:dyDescent="0.2"/>
    <row r="33565" ht="12.75" x14ac:dyDescent="0.2"/>
    <row r="33566" ht="12.75" x14ac:dyDescent="0.2"/>
    <row r="33567" ht="12.75" x14ac:dyDescent="0.2"/>
    <row r="33568" ht="12.75" x14ac:dyDescent="0.2"/>
    <row r="33569" ht="12.75" x14ac:dyDescent="0.2"/>
    <row r="33570" ht="12.75" x14ac:dyDescent="0.2"/>
    <row r="33571" ht="12.75" x14ac:dyDescent="0.2"/>
    <row r="33572" ht="12.75" x14ac:dyDescent="0.2"/>
    <row r="33573" ht="12.75" x14ac:dyDescent="0.2"/>
    <row r="33574" ht="12.75" x14ac:dyDescent="0.2"/>
    <row r="33575" ht="12.75" x14ac:dyDescent="0.2"/>
    <row r="33576" ht="12.75" x14ac:dyDescent="0.2"/>
    <row r="33577" ht="12.75" x14ac:dyDescent="0.2"/>
    <row r="33578" ht="12.75" x14ac:dyDescent="0.2"/>
    <row r="33579" ht="12.75" x14ac:dyDescent="0.2"/>
    <row r="33580" ht="12.75" x14ac:dyDescent="0.2"/>
    <row r="33581" ht="12.75" x14ac:dyDescent="0.2"/>
    <row r="33582" ht="12.75" x14ac:dyDescent="0.2"/>
    <row r="33583" ht="12.75" x14ac:dyDescent="0.2"/>
    <row r="33584" ht="12.75" x14ac:dyDescent="0.2"/>
    <row r="33585" ht="12.75" x14ac:dyDescent="0.2"/>
    <row r="33586" ht="12.75" x14ac:dyDescent="0.2"/>
    <row r="33587" ht="12.75" x14ac:dyDescent="0.2"/>
    <row r="33588" ht="12.75" x14ac:dyDescent="0.2"/>
    <row r="33589" ht="12.75" x14ac:dyDescent="0.2"/>
    <row r="33590" ht="12.75" x14ac:dyDescent="0.2"/>
    <row r="33591" ht="12.75" x14ac:dyDescent="0.2"/>
    <row r="33592" ht="12.75" x14ac:dyDescent="0.2"/>
    <row r="33593" ht="12.75" x14ac:dyDescent="0.2"/>
    <row r="33594" ht="12.75" x14ac:dyDescent="0.2"/>
    <row r="33595" ht="12.75" x14ac:dyDescent="0.2"/>
    <row r="33596" ht="12.75" x14ac:dyDescent="0.2"/>
    <row r="33597" ht="12.75" x14ac:dyDescent="0.2"/>
    <row r="33598" ht="12.75" x14ac:dyDescent="0.2"/>
    <row r="33599" ht="12.75" x14ac:dyDescent="0.2"/>
    <row r="33600" ht="12.75" x14ac:dyDescent="0.2"/>
    <row r="33601" ht="12.75" x14ac:dyDescent="0.2"/>
    <row r="33602" ht="12.75" x14ac:dyDescent="0.2"/>
    <row r="33603" ht="12.75" x14ac:dyDescent="0.2"/>
    <row r="33604" ht="12.75" x14ac:dyDescent="0.2"/>
    <row r="33605" ht="12.75" x14ac:dyDescent="0.2"/>
    <row r="33606" ht="12.75" x14ac:dyDescent="0.2"/>
    <row r="33607" ht="12.75" x14ac:dyDescent="0.2"/>
    <row r="33608" ht="12.75" x14ac:dyDescent="0.2"/>
    <row r="33609" ht="12.75" x14ac:dyDescent="0.2"/>
    <row r="33610" ht="12.75" x14ac:dyDescent="0.2"/>
    <row r="33611" ht="12.75" x14ac:dyDescent="0.2"/>
    <row r="33612" ht="12.75" x14ac:dyDescent="0.2"/>
    <row r="33613" ht="12.75" x14ac:dyDescent="0.2"/>
    <row r="33614" ht="12.75" x14ac:dyDescent="0.2"/>
    <row r="33615" ht="12.75" x14ac:dyDescent="0.2"/>
    <row r="33616" ht="12.75" x14ac:dyDescent="0.2"/>
    <row r="33617" ht="12.75" x14ac:dyDescent="0.2"/>
    <row r="33618" ht="12.75" x14ac:dyDescent="0.2"/>
    <row r="33619" ht="12.75" x14ac:dyDescent="0.2"/>
    <row r="33620" ht="12.75" x14ac:dyDescent="0.2"/>
    <row r="33621" ht="12.75" x14ac:dyDescent="0.2"/>
    <row r="33622" ht="12.75" x14ac:dyDescent="0.2"/>
    <row r="33623" ht="12.75" x14ac:dyDescent="0.2"/>
    <row r="33624" ht="12.75" x14ac:dyDescent="0.2"/>
    <row r="33625" ht="12.75" x14ac:dyDescent="0.2"/>
    <row r="33626" ht="12.75" x14ac:dyDescent="0.2"/>
    <row r="33627" ht="12.75" x14ac:dyDescent="0.2"/>
    <row r="33628" ht="12.75" x14ac:dyDescent="0.2"/>
    <row r="33629" ht="12.75" x14ac:dyDescent="0.2"/>
    <row r="33630" ht="12.75" x14ac:dyDescent="0.2"/>
    <row r="33631" ht="12.75" x14ac:dyDescent="0.2"/>
    <row r="33632" ht="12.75" x14ac:dyDescent="0.2"/>
    <row r="33633" ht="12.75" x14ac:dyDescent="0.2"/>
    <row r="33634" ht="12.75" x14ac:dyDescent="0.2"/>
    <row r="33635" ht="12.75" x14ac:dyDescent="0.2"/>
    <row r="33636" ht="12.75" x14ac:dyDescent="0.2"/>
    <row r="33637" ht="12.75" x14ac:dyDescent="0.2"/>
    <row r="33638" ht="12.75" x14ac:dyDescent="0.2"/>
    <row r="33639" ht="12.75" x14ac:dyDescent="0.2"/>
    <row r="33640" ht="12.75" x14ac:dyDescent="0.2"/>
    <row r="33641" ht="12.75" x14ac:dyDescent="0.2"/>
    <row r="33642" ht="12.75" x14ac:dyDescent="0.2"/>
    <row r="33643" ht="12.75" x14ac:dyDescent="0.2"/>
    <row r="33644" ht="12.75" x14ac:dyDescent="0.2"/>
    <row r="33645" ht="12.75" x14ac:dyDescent="0.2"/>
    <row r="33646" ht="12.75" x14ac:dyDescent="0.2"/>
    <row r="33647" ht="12.75" x14ac:dyDescent="0.2"/>
    <row r="33648" ht="12.75" x14ac:dyDescent="0.2"/>
    <row r="33649" ht="12.75" x14ac:dyDescent="0.2"/>
    <row r="33650" ht="12.75" x14ac:dyDescent="0.2"/>
    <row r="33651" ht="12.75" x14ac:dyDescent="0.2"/>
    <row r="33652" ht="12.75" x14ac:dyDescent="0.2"/>
    <row r="33653" ht="12.75" x14ac:dyDescent="0.2"/>
    <row r="33654" ht="12.75" x14ac:dyDescent="0.2"/>
    <row r="33655" ht="12.75" x14ac:dyDescent="0.2"/>
    <row r="33656" ht="12.75" x14ac:dyDescent="0.2"/>
    <row r="33657" ht="12.75" x14ac:dyDescent="0.2"/>
    <row r="33658" ht="12.75" x14ac:dyDescent="0.2"/>
    <row r="33659" ht="12.75" x14ac:dyDescent="0.2"/>
    <row r="33660" ht="12.75" x14ac:dyDescent="0.2"/>
    <row r="33661" ht="12.75" x14ac:dyDescent="0.2"/>
    <row r="33662" ht="12.75" x14ac:dyDescent="0.2"/>
    <row r="33663" ht="12.75" x14ac:dyDescent="0.2"/>
    <row r="33664" ht="12.75" x14ac:dyDescent="0.2"/>
    <row r="33665" ht="12.75" x14ac:dyDescent="0.2"/>
    <row r="33666" ht="12.75" x14ac:dyDescent="0.2"/>
    <row r="33667" ht="12.75" x14ac:dyDescent="0.2"/>
    <row r="33668" ht="12.75" x14ac:dyDescent="0.2"/>
    <row r="33669" ht="12.75" x14ac:dyDescent="0.2"/>
    <row r="33670" ht="12.75" x14ac:dyDescent="0.2"/>
    <row r="33671" ht="12.75" x14ac:dyDescent="0.2"/>
    <row r="33672" ht="12.75" x14ac:dyDescent="0.2"/>
    <row r="33673" ht="12.75" x14ac:dyDescent="0.2"/>
    <row r="33674" ht="12.75" x14ac:dyDescent="0.2"/>
    <row r="33675" ht="12.75" x14ac:dyDescent="0.2"/>
    <row r="33676" ht="12.75" x14ac:dyDescent="0.2"/>
    <row r="33677" ht="12.75" x14ac:dyDescent="0.2"/>
    <row r="33678" ht="12.75" x14ac:dyDescent="0.2"/>
    <row r="33679" ht="12.75" x14ac:dyDescent="0.2"/>
    <row r="33680" ht="12.75" x14ac:dyDescent="0.2"/>
    <row r="33681" ht="12.75" x14ac:dyDescent="0.2"/>
    <row r="33682" ht="12.75" x14ac:dyDescent="0.2"/>
    <row r="33683" ht="12.75" x14ac:dyDescent="0.2"/>
    <row r="33684" ht="12.75" x14ac:dyDescent="0.2"/>
    <row r="33685" ht="12.75" x14ac:dyDescent="0.2"/>
    <row r="33686" ht="12.75" x14ac:dyDescent="0.2"/>
    <row r="33687" ht="12.75" x14ac:dyDescent="0.2"/>
    <row r="33688" ht="12.75" x14ac:dyDescent="0.2"/>
    <row r="33689" ht="12.75" x14ac:dyDescent="0.2"/>
    <row r="33690" ht="12.75" x14ac:dyDescent="0.2"/>
    <row r="33691" ht="12.75" x14ac:dyDescent="0.2"/>
    <row r="33692" ht="12.75" x14ac:dyDescent="0.2"/>
    <row r="33693" ht="12.75" x14ac:dyDescent="0.2"/>
    <row r="33694" ht="12.75" x14ac:dyDescent="0.2"/>
    <row r="33695" ht="12.75" x14ac:dyDescent="0.2"/>
    <row r="33696" ht="12.75" x14ac:dyDescent="0.2"/>
    <row r="33697" ht="12.75" x14ac:dyDescent="0.2"/>
    <row r="33698" ht="12.75" x14ac:dyDescent="0.2"/>
    <row r="33699" ht="12.75" x14ac:dyDescent="0.2"/>
    <row r="33700" ht="12.75" x14ac:dyDescent="0.2"/>
    <row r="33701" ht="12.75" x14ac:dyDescent="0.2"/>
    <row r="33702" ht="12.75" x14ac:dyDescent="0.2"/>
    <row r="33703" ht="12.75" x14ac:dyDescent="0.2"/>
    <row r="33704" ht="12.75" x14ac:dyDescent="0.2"/>
    <row r="33705" ht="12.75" x14ac:dyDescent="0.2"/>
    <row r="33706" ht="12.75" x14ac:dyDescent="0.2"/>
    <row r="33707" ht="12.75" x14ac:dyDescent="0.2"/>
    <row r="33708" ht="12.75" x14ac:dyDescent="0.2"/>
    <row r="33709" ht="12.75" x14ac:dyDescent="0.2"/>
    <row r="33710" ht="12.75" x14ac:dyDescent="0.2"/>
    <row r="33711" ht="12.75" x14ac:dyDescent="0.2"/>
    <row r="33712" ht="12.75" x14ac:dyDescent="0.2"/>
    <row r="33713" ht="12.75" x14ac:dyDescent="0.2"/>
    <row r="33714" ht="12.75" x14ac:dyDescent="0.2"/>
    <row r="33715" ht="12.75" x14ac:dyDescent="0.2"/>
    <row r="33716" ht="12.75" x14ac:dyDescent="0.2"/>
    <row r="33717" ht="12.75" x14ac:dyDescent="0.2"/>
    <row r="33718" ht="12.75" x14ac:dyDescent="0.2"/>
    <row r="33719" ht="12.75" x14ac:dyDescent="0.2"/>
    <row r="33720" ht="12.75" x14ac:dyDescent="0.2"/>
    <row r="33721" ht="12.75" x14ac:dyDescent="0.2"/>
    <row r="33722" ht="12.75" x14ac:dyDescent="0.2"/>
    <row r="33723" ht="12.75" x14ac:dyDescent="0.2"/>
    <row r="33724" ht="12.75" x14ac:dyDescent="0.2"/>
    <row r="33725" ht="12.75" x14ac:dyDescent="0.2"/>
    <row r="33726" ht="12.75" x14ac:dyDescent="0.2"/>
    <row r="33727" ht="12.75" x14ac:dyDescent="0.2"/>
    <row r="33728" ht="12.75" x14ac:dyDescent="0.2"/>
    <row r="33729" ht="12.75" x14ac:dyDescent="0.2"/>
    <row r="33730" ht="12.75" x14ac:dyDescent="0.2"/>
    <row r="33731" ht="12.75" x14ac:dyDescent="0.2"/>
    <row r="33732" ht="12.75" x14ac:dyDescent="0.2"/>
    <row r="33733" ht="12.75" x14ac:dyDescent="0.2"/>
    <row r="33734" ht="12.75" x14ac:dyDescent="0.2"/>
    <row r="33735" ht="12.75" x14ac:dyDescent="0.2"/>
    <row r="33736" ht="12.75" x14ac:dyDescent="0.2"/>
    <row r="33737" ht="12.75" x14ac:dyDescent="0.2"/>
    <row r="33738" ht="12.75" x14ac:dyDescent="0.2"/>
    <row r="33739" ht="12.75" x14ac:dyDescent="0.2"/>
    <row r="33740" ht="12.75" x14ac:dyDescent="0.2"/>
    <row r="33741" ht="12.75" x14ac:dyDescent="0.2"/>
    <row r="33742" ht="12.75" x14ac:dyDescent="0.2"/>
    <row r="33743" ht="12.75" x14ac:dyDescent="0.2"/>
    <row r="33744" ht="12.75" x14ac:dyDescent="0.2"/>
    <row r="33745" ht="12.75" x14ac:dyDescent="0.2"/>
    <row r="33746" ht="12.75" x14ac:dyDescent="0.2"/>
    <row r="33747" ht="12.75" x14ac:dyDescent="0.2"/>
    <row r="33748" ht="12.75" x14ac:dyDescent="0.2"/>
    <row r="33749" ht="12.75" x14ac:dyDescent="0.2"/>
    <row r="33750" ht="12.75" x14ac:dyDescent="0.2"/>
    <row r="33751" ht="12.75" x14ac:dyDescent="0.2"/>
    <row r="33752" ht="12.75" x14ac:dyDescent="0.2"/>
    <row r="33753" ht="12.75" x14ac:dyDescent="0.2"/>
    <row r="33754" ht="12.75" x14ac:dyDescent="0.2"/>
    <row r="33755" ht="12.75" x14ac:dyDescent="0.2"/>
    <row r="33756" ht="12.75" x14ac:dyDescent="0.2"/>
    <row r="33757" ht="12.75" x14ac:dyDescent="0.2"/>
    <row r="33758" ht="12.75" x14ac:dyDescent="0.2"/>
    <row r="33759" ht="12.75" x14ac:dyDescent="0.2"/>
    <row r="33760" ht="12.75" x14ac:dyDescent="0.2"/>
    <row r="33761" ht="12.75" x14ac:dyDescent="0.2"/>
    <row r="33762" ht="12.75" x14ac:dyDescent="0.2"/>
    <row r="33763" ht="12.75" x14ac:dyDescent="0.2"/>
    <row r="33764" ht="12.75" x14ac:dyDescent="0.2"/>
    <row r="33765" ht="12.75" x14ac:dyDescent="0.2"/>
    <row r="33766" ht="12.75" x14ac:dyDescent="0.2"/>
    <row r="33767" ht="12.75" x14ac:dyDescent="0.2"/>
    <row r="33768" ht="12.75" x14ac:dyDescent="0.2"/>
    <row r="33769" ht="12.75" x14ac:dyDescent="0.2"/>
    <row r="33770" ht="12.75" x14ac:dyDescent="0.2"/>
    <row r="33771" ht="12.75" x14ac:dyDescent="0.2"/>
    <row r="33772" ht="12.75" x14ac:dyDescent="0.2"/>
    <row r="33773" ht="12.75" x14ac:dyDescent="0.2"/>
    <row r="33774" ht="12.75" x14ac:dyDescent="0.2"/>
    <row r="33775" ht="12.75" x14ac:dyDescent="0.2"/>
    <row r="33776" ht="12.75" x14ac:dyDescent="0.2"/>
    <row r="33777" ht="12.75" x14ac:dyDescent="0.2"/>
    <row r="33778" ht="12.75" x14ac:dyDescent="0.2"/>
    <row r="33779" ht="12.75" x14ac:dyDescent="0.2"/>
    <row r="33780" ht="12.75" x14ac:dyDescent="0.2"/>
    <row r="33781" ht="12.75" x14ac:dyDescent="0.2"/>
    <row r="33782" ht="12.75" x14ac:dyDescent="0.2"/>
    <row r="33783" ht="12.75" x14ac:dyDescent="0.2"/>
    <row r="33784" ht="12.75" x14ac:dyDescent="0.2"/>
    <row r="33785" ht="12.75" x14ac:dyDescent="0.2"/>
    <row r="33786" ht="12.75" x14ac:dyDescent="0.2"/>
    <row r="33787" ht="12.75" x14ac:dyDescent="0.2"/>
    <row r="33788" ht="12.75" x14ac:dyDescent="0.2"/>
    <row r="33789" ht="12.75" x14ac:dyDescent="0.2"/>
    <row r="33790" ht="12.75" x14ac:dyDescent="0.2"/>
    <row r="33791" ht="12.75" x14ac:dyDescent="0.2"/>
    <row r="33792" ht="12.75" x14ac:dyDescent="0.2"/>
    <row r="33793" ht="12.75" x14ac:dyDescent="0.2"/>
    <row r="33794" ht="12.75" x14ac:dyDescent="0.2"/>
    <row r="33795" ht="12.75" x14ac:dyDescent="0.2"/>
    <row r="33796" ht="12.75" x14ac:dyDescent="0.2"/>
    <row r="33797" ht="12.75" x14ac:dyDescent="0.2"/>
    <row r="33798" ht="12.75" x14ac:dyDescent="0.2"/>
    <row r="33799" ht="12.75" x14ac:dyDescent="0.2"/>
    <row r="33800" ht="12.75" x14ac:dyDescent="0.2"/>
    <row r="33801" ht="12.75" x14ac:dyDescent="0.2"/>
    <row r="33802" ht="12.75" x14ac:dyDescent="0.2"/>
    <row r="33803" ht="12.75" x14ac:dyDescent="0.2"/>
    <row r="33804" ht="12.75" x14ac:dyDescent="0.2"/>
    <row r="33805" ht="12.75" x14ac:dyDescent="0.2"/>
    <row r="33806" ht="12.75" x14ac:dyDescent="0.2"/>
    <row r="33807" ht="12.75" x14ac:dyDescent="0.2"/>
    <row r="33808" ht="12.75" x14ac:dyDescent="0.2"/>
    <row r="33809" ht="12.75" x14ac:dyDescent="0.2"/>
    <row r="33810" ht="12.75" x14ac:dyDescent="0.2"/>
    <row r="33811" ht="12.75" x14ac:dyDescent="0.2"/>
    <row r="33812" ht="12.75" x14ac:dyDescent="0.2"/>
    <row r="33813" ht="12.75" x14ac:dyDescent="0.2"/>
    <row r="33814" ht="12.75" x14ac:dyDescent="0.2"/>
    <row r="33815" ht="12.75" x14ac:dyDescent="0.2"/>
    <row r="33816" ht="12.75" x14ac:dyDescent="0.2"/>
    <row r="33817" ht="12.75" x14ac:dyDescent="0.2"/>
    <row r="33818" ht="12.75" x14ac:dyDescent="0.2"/>
    <row r="33819" ht="12.75" x14ac:dyDescent="0.2"/>
    <row r="33820" ht="12.75" x14ac:dyDescent="0.2"/>
    <row r="33821" ht="12.75" x14ac:dyDescent="0.2"/>
    <row r="33822" ht="12.75" x14ac:dyDescent="0.2"/>
    <row r="33823" ht="12.75" x14ac:dyDescent="0.2"/>
    <row r="33824" ht="12.75" x14ac:dyDescent="0.2"/>
    <row r="33825" ht="12.75" x14ac:dyDescent="0.2"/>
    <row r="33826" ht="12.75" x14ac:dyDescent="0.2"/>
    <row r="33827" ht="12.75" x14ac:dyDescent="0.2"/>
    <row r="33828" ht="12.75" x14ac:dyDescent="0.2"/>
    <row r="33829" ht="12.75" x14ac:dyDescent="0.2"/>
    <row r="33830" ht="12.75" x14ac:dyDescent="0.2"/>
    <row r="33831" ht="12.75" x14ac:dyDescent="0.2"/>
    <row r="33832" ht="12.75" x14ac:dyDescent="0.2"/>
    <row r="33833" ht="12.75" x14ac:dyDescent="0.2"/>
    <row r="33834" ht="12.75" x14ac:dyDescent="0.2"/>
    <row r="33835" ht="12.75" x14ac:dyDescent="0.2"/>
    <row r="33836" ht="12.75" x14ac:dyDescent="0.2"/>
    <row r="33837" ht="12.75" x14ac:dyDescent="0.2"/>
    <row r="33838" ht="12.75" x14ac:dyDescent="0.2"/>
    <row r="33839" ht="12.75" x14ac:dyDescent="0.2"/>
    <row r="33840" ht="12.75" x14ac:dyDescent="0.2"/>
    <row r="33841" ht="12.75" x14ac:dyDescent="0.2"/>
    <row r="33842" ht="12.75" x14ac:dyDescent="0.2"/>
    <row r="33843" ht="12.75" x14ac:dyDescent="0.2"/>
    <row r="33844" ht="12.75" x14ac:dyDescent="0.2"/>
    <row r="33845" ht="12.75" x14ac:dyDescent="0.2"/>
    <row r="33846" ht="12.75" x14ac:dyDescent="0.2"/>
    <row r="33847" ht="12.75" x14ac:dyDescent="0.2"/>
    <row r="33848" ht="12.75" x14ac:dyDescent="0.2"/>
    <row r="33849" ht="12.75" x14ac:dyDescent="0.2"/>
    <row r="33850" ht="12.75" x14ac:dyDescent="0.2"/>
    <row r="33851" ht="12.75" x14ac:dyDescent="0.2"/>
    <row r="33852" ht="12.75" x14ac:dyDescent="0.2"/>
    <row r="33853" ht="12.75" x14ac:dyDescent="0.2"/>
    <row r="33854" ht="12.75" x14ac:dyDescent="0.2"/>
    <row r="33855" ht="12.75" x14ac:dyDescent="0.2"/>
    <row r="33856" ht="12.75" x14ac:dyDescent="0.2"/>
    <row r="33857" ht="12.75" x14ac:dyDescent="0.2"/>
    <row r="33858" ht="12.75" x14ac:dyDescent="0.2"/>
    <row r="33859" ht="12.75" x14ac:dyDescent="0.2"/>
    <row r="33860" ht="12.75" x14ac:dyDescent="0.2"/>
    <row r="33861" ht="12.75" x14ac:dyDescent="0.2"/>
    <row r="33862" ht="12.75" x14ac:dyDescent="0.2"/>
    <row r="33863" ht="12.75" x14ac:dyDescent="0.2"/>
    <row r="33864" ht="12.75" x14ac:dyDescent="0.2"/>
    <row r="33865" ht="12.75" x14ac:dyDescent="0.2"/>
    <row r="33866" ht="12.75" x14ac:dyDescent="0.2"/>
    <row r="33867" ht="12.75" x14ac:dyDescent="0.2"/>
    <row r="33868" ht="12.75" x14ac:dyDescent="0.2"/>
    <row r="33869" ht="12.75" x14ac:dyDescent="0.2"/>
    <row r="33870" ht="12.75" x14ac:dyDescent="0.2"/>
    <row r="33871" ht="12.75" x14ac:dyDescent="0.2"/>
    <row r="33872" ht="12.75" x14ac:dyDescent="0.2"/>
    <row r="33873" ht="12.75" x14ac:dyDescent="0.2"/>
    <row r="33874" ht="12.75" x14ac:dyDescent="0.2"/>
    <row r="33875" ht="12.75" x14ac:dyDescent="0.2"/>
    <row r="33876" ht="12.75" x14ac:dyDescent="0.2"/>
    <row r="33877" ht="12.75" x14ac:dyDescent="0.2"/>
    <row r="33878" ht="12.75" x14ac:dyDescent="0.2"/>
    <row r="33879" ht="12.75" x14ac:dyDescent="0.2"/>
    <row r="33880" ht="12.75" x14ac:dyDescent="0.2"/>
    <row r="33881" ht="12.75" x14ac:dyDescent="0.2"/>
    <row r="33882" ht="12.75" x14ac:dyDescent="0.2"/>
    <row r="33883" ht="12.75" x14ac:dyDescent="0.2"/>
    <row r="33884" ht="12.75" x14ac:dyDescent="0.2"/>
    <row r="33885" ht="12.75" x14ac:dyDescent="0.2"/>
    <row r="33886" ht="12.75" x14ac:dyDescent="0.2"/>
    <row r="33887" ht="12.75" x14ac:dyDescent="0.2"/>
    <row r="33888" ht="12.75" x14ac:dyDescent="0.2"/>
    <row r="33889" ht="12.75" x14ac:dyDescent="0.2"/>
    <row r="33890" ht="12.75" x14ac:dyDescent="0.2"/>
    <row r="33891" ht="12.75" x14ac:dyDescent="0.2"/>
    <row r="33892" ht="12.75" x14ac:dyDescent="0.2"/>
    <row r="33893" ht="12.75" x14ac:dyDescent="0.2"/>
    <row r="33894" ht="12.75" x14ac:dyDescent="0.2"/>
    <row r="33895" ht="12.75" x14ac:dyDescent="0.2"/>
    <row r="33896" ht="12.75" x14ac:dyDescent="0.2"/>
    <row r="33897" ht="12.75" x14ac:dyDescent="0.2"/>
    <row r="33898" ht="12.75" x14ac:dyDescent="0.2"/>
    <row r="33899" ht="12.75" x14ac:dyDescent="0.2"/>
    <row r="33900" ht="12.75" x14ac:dyDescent="0.2"/>
    <row r="33901" ht="12.75" x14ac:dyDescent="0.2"/>
    <row r="33902" ht="12.75" x14ac:dyDescent="0.2"/>
    <row r="33903" ht="12.75" x14ac:dyDescent="0.2"/>
    <row r="33904" ht="12.75" x14ac:dyDescent="0.2"/>
    <row r="33905" ht="12.75" x14ac:dyDescent="0.2"/>
    <row r="33906" ht="12.75" x14ac:dyDescent="0.2"/>
    <row r="33907" ht="12.75" x14ac:dyDescent="0.2"/>
    <row r="33908" ht="12.75" x14ac:dyDescent="0.2"/>
    <row r="33909" ht="12.75" x14ac:dyDescent="0.2"/>
    <row r="33910" ht="12.75" x14ac:dyDescent="0.2"/>
    <row r="33911" ht="12.75" x14ac:dyDescent="0.2"/>
    <row r="33912" ht="12.75" x14ac:dyDescent="0.2"/>
    <row r="33913" ht="12.75" x14ac:dyDescent="0.2"/>
    <row r="33914" ht="12.75" x14ac:dyDescent="0.2"/>
    <row r="33915" ht="12.75" x14ac:dyDescent="0.2"/>
    <row r="33916" ht="12.75" x14ac:dyDescent="0.2"/>
    <row r="33917" ht="12.75" x14ac:dyDescent="0.2"/>
    <row r="33918" ht="12.75" x14ac:dyDescent="0.2"/>
    <row r="33919" ht="12.75" x14ac:dyDescent="0.2"/>
    <row r="33920" ht="12.75" x14ac:dyDescent="0.2"/>
    <row r="33921" ht="12.75" x14ac:dyDescent="0.2"/>
    <row r="33922" ht="12.75" x14ac:dyDescent="0.2"/>
    <row r="33923" ht="12.75" x14ac:dyDescent="0.2"/>
    <row r="33924" ht="12.75" x14ac:dyDescent="0.2"/>
    <row r="33925" ht="12.75" x14ac:dyDescent="0.2"/>
    <row r="33926" ht="12.75" x14ac:dyDescent="0.2"/>
    <row r="33927" ht="12.75" x14ac:dyDescent="0.2"/>
    <row r="33928" ht="12.75" x14ac:dyDescent="0.2"/>
    <row r="33929" ht="12.75" x14ac:dyDescent="0.2"/>
    <row r="33930" ht="12.75" x14ac:dyDescent="0.2"/>
    <row r="33931" ht="12.75" x14ac:dyDescent="0.2"/>
    <row r="33932" ht="12.75" x14ac:dyDescent="0.2"/>
    <row r="33933" ht="12.75" x14ac:dyDescent="0.2"/>
    <row r="33934" ht="12.75" x14ac:dyDescent="0.2"/>
    <row r="33935" ht="12.75" x14ac:dyDescent="0.2"/>
    <row r="33936" ht="12.75" x14ac:dyDescent="0.2"/>
    <row r="33937" ht="12.75" x14ac:dyDescent="0.2"/>
    <row r="33938" ht="12.75" x14ac:dyDescent="0.2"/>
    <row r="33939" ht="12.75" x14ac:dyDescent="0.2"/>
    <row r="33940" ht="12.75" x14ac:dyDescent="0.2"/>
    <row r="33941" ht="12.75" x14ac:dyDescent="0.2"/>
    <row r="33942" ht="12.75" x14ac:dyDescent="0.2"/>
    <row r="33943" ht="12.75" x14ac:dyDescent="0.2"/>
    <row r="33944" ht="12.75" x14ac:dyDescent="0.2"/>
    <row r="33945" ht="12.75" x14ac:dyDescent="0.2"/>
    <row r="33946" ht="12.75" x14ac:dyDescent="0.2"/>
    <row r="33947" ht="12.75" x14ac:dyDescent="0.2"/>
    <row r="33948" ht="12.75" x14ac:dyDescent="0.2"/>
    <row r="33949" ht="12.75" x14ac:dyDescent="0.2"/>
    <row r="33950" ht="12.75" x14ac:dyDescent="0.2"/>
    <row r="33951" ht="12.75" x14ac:dyDescent="0.2"/>
    <row r="33952" ht="12.75" x14ac:dyDescent="0.2"/>
    <row r="33953" ht="12.75" x14ac:dyDescent="0.2"/>
    <row r="33954" ht="12.75" x14ac:dyDescent="0.2"/>
    <row r="33955" ht="12.75" x14ac:dyDescent="0.2"/>
    <row r="33956" ht="12.75" x14ac:dyDescent="0.2"/>
    <row r="33957" ht="12.75" x14ac:dyDescent="0.2"/>
    <row r="33958" ht="12.75" x14ac:dyDescent="0.2"/>
    <row r="33959" ht="12.75" x14ac:dyDescent="0.2"/>
    <row r="33960" ht="12.75" x14ac:dyDescent="0.2"/>
    <row r="33961" ht="12.75" x14ac:dyDescent="0.2"/>
    <row r="33962" ht="12.75" x14ac:dyDescent="0.2"/>
    <row r="33963" ht="12.75" x14ac:dyDescent="0.2"/>
    <row r="33964" ht="12.75" x14ac:dyDescent="0.2"/>
    <row r="33965" ht="12.75" x14ac:dyDescent="0.2"/>
    <row r="33966" ht="12.75" x14ac:dyDescent="0.2"/>
    <row r="33967" ht="12.75" x14ac:dyDescent="0.2"/>
    <row r="33968" ht="12.75" x14ac:dyDescent="0.2"/>
    <row r="33969" ht="12.75" x14ac:dyDescent="0.2"/>
    <row r="33970" ht="12.75" x14ac:dyDescent="0.2"/>
    <row r="33971" ht="12.75" x14ac:dyDescent="0.2"/>
    <row r="33972" ht="12.75" x14ac:dyDescent="0.2"/>
    <row r="33973" ht="12.75" x14ac:dyDescent="0.2"/>
    <row r="33974" ht="12.75" x14ac:dyDescent="0.2"/>
    <row r="33975" ht="12.75" x14ac:dyDescent="0.2"/>
    <row r="33976" ht="12.75" x14ac:dyDescent="0.2"/>
    <row r="33977" ht="12.75" x14ac:dyDescent="0.2"/>
    <row r="33978" ht="12.75" x14ac:dyDescent="0.2"/>
    <row r="33979" ht="12.75" x14ac:dyDescent="0.2"/>
    <row r="33980" ht="12.75" x14ac:dyDescent="0.2"/>
    <row r="33981" ht="12.75" x14ac:dyDescent="0.2"/>
    <row r="33982" ht="12.75" x14ac:dyDescent="0.2"/>
    <row r="33983" ht="12.75" x14ac:dyDescent="0.2"/>
    <row r="33984" ht="12.75" x14ac:dyDescent="0.2"/>
    <row r="33985" ht="12.75" x14ac:dyDescent="0.2"/>
    <row r="33986" ht="12.75" x14ac:dyDescent="0.2"/>
    <row r="33987" ht="12.75" x14ac:dyDescent="0.2"/>
    <row r="33988" ht="12.75" x14ac:dyDescent="0.2"/>
    <row r="33989" ht="12.75" x14ac:dyDescent="0.2"/>
    <row r="33990" ht="12.75" x14ac:dyDescent="0.2"/>
    <row r="33991" ht="12.75" x14ac:dyDescent="0.2"/>
    <row r="33992" ht="12.75" x14ac:dyDescent="0.2"/>
    <row r="33993" ht="12.75" x14ac:dyDescent="0.2"/>
    <row r="33994" ht="12.75" x14ac:dyDescent="0.2"/>
    <row r="33995" ht="12.75" x14ac:dyDescent="0.2"/>
    <row r="33996" ht="12.75" x14ac:dyDescent="0.2"/>
    <row r="33997" ht="12.75" x14ac:dyDescent="0.2"/>
    <row r="33998" ht="12.75" x14ac:dyDescent="0.2"/>
    <row r="33999" ht="12.75" x14ac:dyDescent="0.2"/>
    <row r="34000" ht="12.75" x14ac:dyDescent="0.2"/>
    <row r="34001" ht="12.75" x14ac:dyDescent="0.2"/>
    <row r="34002" ht="12.75" x14ac:dyDescent="0.2"/>
    <row r="34003" ht="12.75" x14ac:dyDescent="0.2"/>
    <row r="34004" ht="12.75" x14ac:dyDescent="0.2"/>
    <row r="34005" ht="12.75" x14ac:dyDescent="0.2"/>
    <row r="34006" ht="12.75" x14ac:dyDescent="0.2"/>
    <row r="34007" ht="12.75" x14ac:dyDescent="0.2"/>
    <row r="34008" ht="12.75" x14ac:dyDescent="0.2"/>
    <row r="34009" ht="12.75" x14ac:dyDescent="0.2"/>
    <row r="34010" ht="12.75" x14ac:dyDescent="0.2"/>
    <row r="34011" ht="12.75" x14ac:dyDescent="0.2"/>
    <row r="34012" ht="12.75" x14ac:dyDescent="0.2"/>
    <row r="34013" ht="12.75" x14ac:dyDescent="0.2"/>
    <row r="34014" ht="12.75" x14ac:dyDescent="0.2"/>
    <row r="34015" ht="12.75" x14ac:dyDescent="0.2"/>
    <row r="34016" ht="12.75" x14ac:dyDescent="0.2"/>
    <row r="34017" ht="12.75" x14ac:dyDescent="0.2"/>
    <row r="34018" ht="12.75" x14ac:dyDescent="0.2"/>
    <row r="34019" ht="12.75" x14ac:dyDescent="0.2"/>
    <row r="34020" ht="12.75" x14ac:dyDescent="0.2"/>
    <row r="34021" ht="12.75" x14ac:dyDescent="0.2"/>
    <row r="34022" ht="12.75" x14ac:dyDescent="0.2"/>
    <row r="34023" ht="12.75" x14ac:dyDescent="0.2"/>
    <row r="34024" ht="12.75" x14ac:dyDescent="0.2"/>
    <row r="34025" ht="12.75" x14ac:dyDescent="0.2"/>
    <row r="34026" ht="12.75" x14ac:dyDescent="0.2"/>
    <row r="34027" ht="12.75" x14ac:dyDescent="0.2"/>
    <row r="34028" ht="12.75" x14ac:dyDescent="0.2"/>
    <row r="34029" ht="12.75" x14ac:dyDescent="0.2"/>
    <row r="34030" ht="12.75" x14ac:dyDescent="0.2"/>
    <row r="34031" ht="12.75" x14ac:dyDescent="0.2"/>
    <row r="34032" ht="12.75" x14ac:dyDescent="0.2"/>
    <row r="34033" ht="12.75" x14ac:dyDescent="0.2"/>
    <row r="34034" ht="12.75" x14ac:dyDescent="0.2"/>
    <row r="34035" ht="12.75" x14ac:dyDescent="0.2"/>
    <row r="34036" ht="12.75" x14ac:dyDescent="0.2"/>
    <row r="34037" ht="12.75" x14ac:dyDescent="0.2"/>
    <row r="34038" ht="12.75" x14ac:dyDescent="0.2"/>
    <row r="34039" ht="12.75" x14ac:dyDescent="0.2"/>
    <row r="34040" ht="12.75" x14ac:dyDescent="0.2"/>
    <row r="34041" ht="12.75" x14ac:dyDescent="0.2"/>
    <row r="34042" ht="12.75" x14ac:dyDescent="0.2"/>
    <row r="34043" ht="12.75" x14ac:dyDescent="0.2"/>
    <row r="34044" ht="12.75" x14ac:dyDescent="0.2"/>
    <row r="34045" ht="12.75" x14ac:dyDescent="0.2"/>
    <row r="34046" ht="12.75" x14ac:dyDescent="0.2"/>
    <row r="34047" ht="12.75" x14ac:dyDescent="0.2"/>
    <row r="34048" ht="12.75" x14ac:dyDescent="0.2"/>
    <row r="34049" ht="12.75" x14ac:dyDescent="0.2"/>
    <row r="34050" ht="12.75" x14ac:dyDescent="0.2"/>
    <row r="34051" ht="12.75" x14ac:dyDescent="0.2"/>
    <row r="34052" ht="12.75" x14ac:dyDescent="0.2"/>
    <row r="34053" ht="12.75" x14ac:dyDescent="0.2"/>
    <row r="34054" ht="12.75" x14ac:dyDescent="0.2"/>
    <row r="34055" ht="12.75" x14ac:dyDescent="0.2"/>
    <row r="34056" ht="12.75" x14ac:dyDescent="0.2"/>
    <row r="34057" ht="12.75" x14ac:dyDescent="0.2"/>
    <row r="34058" ht="12.75" x14ac:dyDescent="0.2"/>
    <row r="34059" ht="12.75" x14ac:dyDescent="0.2"/>
    <row r="34060" ht="12.75" x14ac:dyDescent="0.2"/>
    <row r="34061" ht="12.75" x14ac:dyDescent="0.2"/>
    <row r="34062" ht="12.75" x14ac:dyDescent="0.2"/>
    <row r="34063" ht="12.75" x14ac:dyDescent="0.2"/>
    <row r="34064" ht="12.75" x14ac:dyDescent="0.2"/>
    <row r="34065" ht="12.75" x14ac:dyDescent="0.2"/>
    <row r="34066" ht="12.75" x14ac:dyDescent="0.2"/>
    <row r="34067" ht="12.75" x14ac:dyDescent="0.2"/>
    <row r="34068" ht="12.75" x14ac:dyDescent="0.2"/>
    <row r="34069" ht="12.75" x14ac:dyDescent="0.2"/>
    <row r="34070" ht="12.75" x14ac:dyDescent="0.2"/>
    <row r="34071" ht="12.75" x14ac:dyDescent="0.2"/>
    <row r="34072" ht="12.75" x14ac:dyDescent="0.2"/>
    <row r="34073" ht="12.75" x14ac:dyDescent="0.2"/>
    <row r="34074" ht="12.75" x14ac:dyDescent="0.2"/>
    <row r="34075" ht="12.75" x14ac:dyDescent="0.2"/>
    <row r="34076" ht="12.75" x14ac:dyDescent="0.2"/>
    <row r="34077" ht="12.75" x14ac:dyDescent="0.2"/>
    <row r="34078" ht="12.75" x14ac:dyDescent="0.2"/>
    <row r="34079" ht="12.75" x14ac:dyDescent="0.2"/>
    <row r="34080" ht="12.75" x14ac:dyDescent="0.2"/>
    <row r="34081" ht="12.75" x14ac:dyDescent="0.2"/>
    <row r="34082" ht="12.75" x14ac:dyDescent="0.2"/>
    <row r="34083" ht="12.75" x14ac:dyDescent="0.2"/>
    <row r="34084" ht="12.75" x14ac:dyDescent="0.2"/>
    <row r="34085" ht="12.75" x14ac:dyDescent="0.2"/>
    <row r="34086" ht="12.75" x14ac:dyDescent="0.2"/>
    <row r="34087" ht="12.75" x14ac:dyDescent="0.2"/>
    <row r="34088" ht="12.75" x14ac:dyDescent="0.2"/>
    <row r="34089" ht="12.75" x14ac:dyDescent="0.2"/>
    <row r="34090" ht="12.75" x14ac:dyDescent="0.2"/>
    <row r="34091" ht="12.75" x14ac:dyDescent="0.2"/>
    <row r="34092" ht="12.75" x14ac:dyDescent="0.2"/>
    <row r="34093" ht="12.75" x14ac:dyDescent="0.2"/>
    <row r="34094" ht="12.75" x14ac:dyDescent="0.2"/>
    <row r="34095" ht="12.75" x14ac:dyDescent="0.2"/>
    <row r="34096" ht="12.75" x14ac:dyDescent="0.2"/>
    <row r="34097" ht="12.75" x14ac:dyDescent="0.2"/>
    <row r="34098" ht="12.75" x14ac:dyDescent="0.2"/>
    <row r="34099" ht="12.75" x14ac:dyDescent="0.2"/>
    <row r="34100" ht="12.75" x14ac:dyDescent="0.2"/>
    <row r="34101" ht="12.75" x14ac:dyDescent="0.2"/>
    <row r="34102" ht="12.75" x14ac:dyDescent="0.2"/>
    <row r="34103" ht="12.75" x14ac:dyDescent="0.2"/>
    <row r="34104" ht="12.75" x14ac:dyDescent="0.2"/>
    <row r="34105" ht="12.75" x14ac:dyDescent="0.2"/>
    <row r="34106" ht="12.75" x14ac:dyDescent="0.2"/>
    <row r="34107" ht="12.75" x14ac:dyDescent="0.2"/>
    <row r="34108" ht="12.75" x14ac:dyDescent="0.2"/>
    <row r="34109" ht="12.75" x14ac:dyDescent="0.2"/>
    <row r="34110" ht="12.75" x14ac:dyDescent="0.2"/>
    <row r="34111" ht="12.75" x14ac:dyDescent="0.2"/>
    <row r="34112" ht="12.75" x14ac:dyDescent="0.2"/>
    <row r="34113" ht="12.75" x14ac:dyDescent="0.2"/>
    <row r="34114" ht="12.75" x14ac:dyDescent="0.2"/>
    <row r="34115" ht="12.75" x14ac:dyDescent="0.2"/>
    <row r="34116" ht="12.75" x14ac:dyDescent="0.2"/>
    <row r="34117" ht="12.75" x14ac:dyDescent="0.2"/>
    <row r="34118" ht="12.75" x14ac:dyDescent="0.2"/>
    <row r="34119" ht="12.75" x14ac:dyDescent="0.2"/>
    <row r="34120" ht="12.75" x14ac:dyDescent="0.2"/>
    <row r="34121" ht="12.75" x14ac:dyDescent="0.2"/>
    <row r="34122" ht="12.75" x14ac:dyDescent="0.2"/>
    <row r="34123" ht="12.75" x14ac:dyDescent="0.2"/>
    <row r="34124" ht="12.75" x14ac:dyDescent="0.2"/>
    <row r="34125" ht="12.75" x14ac:dyDescent="0.2"/>
    <row r="34126" ht="12.75" x14ac:dyDescent="0.2"/>
    <row r="34127" ht="12.75" x14ac:dyDescent="0.2"/>
    <row r="34128" ht="12.75" x14ac:dyDescent="0.2"/>
    <row r="34129" ht="12.75" x14ac:dyDescent="0.2"/>
    <row r="34130" ht="12.75" x14ac:dyDescent="0.2"/>
    <row r="34131" ht="12.75" x14ac:dyDescent="0.2"/>
    <row r="34132" ht="12.75" x14ac:dyDescent="0.2"/>
    <row r="34133" ht="12.75" x14ac:dyDescent="0.2"/>
    <row r="34134" ht="12.75" x14ac:dyDescent="0.2"/>
    <row r="34135" ht="12.75" x14ac:dyDescent="0.2"/>
    <row r="34136" ht="12.75" x14ac:dyDescent="0.2"/>
    <row r="34137" ht="12.75" x14ac:dyDescent="0.2"/>
    <row r="34138" ht="12.75" x14ac:dyDescent="0.2"/>
    <row r="34139" ht="12.75" x14ac:dyDescent="0.2"/>
    <row r="34140" ht="12.75" x14ac:dyDescent="0.2"/>
    <row r="34141" ht="12.75" x14ac:dyDescent="0.2"/>
    <row r="34142" ht="12.75" x14ac:dyDescent="0.2"/>
    <row r="34143" ht="12.75" x14ac:dyDescent="0.2"/>
    <row r="34144" ht="12.75" x14ac:dyDescent="0.2"/>
    <row r="34145" ht="12.75" x14ac:dyDescent="0.2"/>
    <row r="34146" ht="12.75" x14ac:dyDescent="0.2"/>
    <row r="34147" ht="12.75" x14ac:dyDescent="0.2"/>
    <row r="34148" ht="12.75" x14ac:dyDescent="0.2"/>
    <row r="34149" ht="12.75" x14ac:dyDescent="0.2"/>
    <row r="34150" ht="12.75" x14ac:dyDescent="0.2"/>
    <row r="34151" ht="12.75" x14ac:dyDescent="0.2"/>
    <row r="34152" ht="12.75" x14ac:dyDescent="0.2"/>
    <row r="34153" ht="12.75" x14ac:dyDescent="0.2"/>
    <row r="34154" ht="12.75" x14ac:dyDescent="0.2"/>
    <row r="34155" ht="12.75" x14ac:dyDescent="0.2"/>
    <row r="34156" ht="12.75" x14ac:dyDescent="0.2"/>
    <row r="34157" ht="12.75" x14ac:dyDescent="0.2"/>
    <row r="34158" ht="12.75" x14ac:dyDescent="0.2"/>
    <row r="34159" ht="12.75" x14ac:dyDescent="0.2"/>
    <row r="34160" ht="12.75" x14ac:dyDescent="0.2"/>
    <row r="34161" ht="12.75" x14ac:dyDescent="0.2"/>
    <row r="34162" ht="12.75" x14ac:dyDescent="0.2"/>
    <row r="34163" ht="12.75" x14ac:dyDescent="0.2"/>
    <row r="34164" ht="12.75" x14ac:dyDescent="0.2"/>
    <row r="34165" ht="12.75" x14ac:dyDescent="0.2"/>
    <row r="34166" ht="12.75" x14ac:dyDescent="0.2"/>
    <row r="34167" ht="12.75" x14ac:dyDescent="0.2"/>
    <row r="34168" ht="12.75" x14ac:dyDescent="0.2"/>
    <row r="34169" ht="12.75" x14ac:dyDescent="0.2"/>
    <row r="34170" ht="12.75" x14ac:dyDescent="0.2"/>
    <row r="34171" ht="12.75" x14ac:dyDescent="0.2"/>
    <row r="34172" ht="12.75" x14ac:dyDescent="0.2"/>
    <row r="34173" ht="12.75" x14ac:dyDescent="0.2"/>
    <row r="34174" ht="12.75" x14ac:dyDescent="0.2"/>
    <row r="34175" ht="12.75" x14ac:dyDescent="0.2"/>
    <row r="34176" ht="12.75" x14ac:dyDescent="0.2"/>
    <row r="34177" ht="12.75" x14ac:dyDescent="0.2"/>
    <row r="34178" ht="12.75" x14ac:dyDescent="0.2"/>
    <row r="34179" ht="12.75" x14ac:dyDescent="0.2"/>
    <row r="34180" ht="12.75" x14ac:dyDescent="0.2"/>
    <row r="34181" ht="12.75" x14ac:dyDescent="0.2"/>
    <row r="34182" ht="12.75" x14ac:dyDescent="0.2"/>
    <row r="34183" ht="12.75" x14ac:dyDescent="0.2"/>
    <row r="34184" ht="12.75" x14ac:dyDescent="0.2"/>
    <row r="34185" ht="12.75" x14ac:dyDescent="0.2"/>
    <row r="34186" ht="12.75" x14ac:dyDescent="0.2"/>
    <row r="34187" ht="12.75" x14ac:dyDescent="0.2"/>
    <row r="34188" ht="12.75" x14ac:dyDescent="0.2"/>
    <row r="34189" ht="12.75" x14ac:dyDescent="0.2"/>
    <row r="34190" ht="12.75" x14ac:dyDescent="0.2"/>
    <row r="34191" ht="12.75" x14ac:dyDescent="0.2"/>
    <row r="34192" ht="12.75" x14ac:dyDescent="0.2"/>
    <row r="34193" ht="12.75" x14ac:dyDescent="0.2"/>
    <row r="34194" ht="12.75" x14ac:dyDescent="0.2"/>
    <row r="34195" ht="12.75" x14ac:dyDescent="0.2"/>
    <row r="34196" ht="12.75" x14ac:dyDescent="0.2"/>
    <row r="34197" ht="12.75" x14ac:dyDescent="0.2"/>
    <row r="34198" ht="12.75" x14ac:dyDescent="0.2"/>
    <row r="34199" ht="12.75" x14ac:dyDescent="0.2"/>
    <row r="34200" ht="12.75" x14ac:dyDescent="0.2"/>
    <row r="34201" ht="12.75" x14ac:dyDescent="0.2"/>
    <row r="34202" ht="12.75" x14ac:dyDescent="0.2"/>
    <row r="34203" ht="12.75" x14ac:dyDescent="0.2"/>
    <row r="34204" ht="12.75" x14ac:dyDescent="0.2"/>
    <row r="34205" ht="12.75" x14ac:dyDescent="0.2"/>
    <row r="34206" ht="12.75" x14ac:dyDescent="0.2"/>
    <row r="34207" ht="12.75" x14ac:dyDescent="0.2"/>
    <row r="34208" ht="12.75" x14ac:dyDescent="0.2"/>
    <row r="34209" ht="12.75" x14ac:dyDescent="0.2"/>
    <row r="34210" ht="12.75" x14ac:dyDescent="0.2"/>
    <row r="34211" ht="12.75" x14ac:dyDescent="0.2"/>
    <row r="34212" ht="12.75" x14ac:dyDescent="0.2"/>
    <row r="34213" ht="12.75" x14ac:dyDescent="0.2"/>
    <row r="34214" ht="12.75" x14ac:dyDescent="0.2"/>
    <row r="34215" ht="12.75" x14ac:dyDescent="0.2"/>
    <row r="34216" ht="12.75" x14ac:dyDescent="0.2"/>
    <row r="34217" ht="12.75" x14ac:dyDescent="0.2"/>
    <row r="34218" ht="12.75" x14ac:dyDescent="0.2"/>
    <row r="34219" ht="12.75" x14ac:dyDescent="0.2"/>
    <row r="34220" ht="12.75" x14ac:dyDescent="0.2"/>
    <row r="34221" ht="12.75" x14ac:dyDescent="0.2"/>
    <row r="34222" ht="12.75" x14ac:dyDescent="0.2"/>
    <row r="34223" ht="12.75" x14ac:dyDescent="0.2"/>
    <row r="34224" ht="12.75" x14ac:dyDescent="0.2"/>
    <row r="34225" ht="12.75" x14ac:dyDescent="0.2"/>
    <row r="34226" ht="12.75" x14ac:dyDescent="0.2"/>
    <row r="34227" ht="12.75" x14ac:dyDescent="0.2"/>
    <row r="34228" ht="12.75" x14ac:dyDescent="0.2"/>
    <row r="34229" ht="12.75" x14ac:dyDescent="0.2"/>
    <row r="34230" ht="12.75" x14ac:dyDescent="0.2"/>
    <row r="34231" ht="12.75" x14ac:dyDescent="0.2"/>
    <row r="34232" ht="12.75" x14ac:dyDescent="0.2"/>
    <row r="34233" ht="12.75" x14ac:dyDescent="0.2"/>
    <row r="34234" ht="12.75" x14ac:dyDescent="0.2"/>
    <row r="34235" ht="12.75" x14ac:dyDescent="0.2"/>
    <row r="34236" ht="12.75" x14ac:dyDescent="0.2"/>
    <row r="34237" ht="12.75" x14ac:dyDescent="0.2"/>
    <row r="34238" ht="12.75" x14ac:dyDescent="0.2"/>
    <row r="34239" ht="12.75" x14ac:dyDescent="0.2"/>
    <row r="34240" ht="12.75" x14ac:dyDescent="0.2"/>
    <row r="34241" ht="12.75" x14ac:dyDescent="0.2"/>
    <row r="34242" ht="12.75" x14ac:dyDescent="0.2"/>
    <row r="34243" ht="12.75" x14ac:dyDescent="0.2"/>
    <row r="34244" ht="12.75" x14ac:dyDescent="0.2"/>
    <row r="34245" ht="12.75" x14ac:dyDescent="0.2"/>
    <row r="34246" ht="12.75" x14ac:dyDescent="0.2"/>
    <row r="34247" ht="12.75" x14ac:dyDescent="0.2"/>
    <row r="34248" ht="12.75" x14ac:dyDescent="0.2"/>
    <row r="34249" ht="12.75" x14ac:dyDescent="0.2"/>
    <row r="34250" ht="12.75" x14ac:dyDescent="0.2"/>
    <row r="34251" ht="12.75" x14ac:dyDescent="0.2"/>
    <row r="34252" ht="12.75" x14ac:dyDescent="0.2"/>
    <row r="34253" ht="12.75" x14ac:dyDescent="0.2"/>
    <row r="34254" ht="12.75" x14ac:dyDescent="0.2"/>
    <row r="34255" ht="12.75" x14ac:dyDescent="0.2"/>
    <row r="34256" ht="12.75" x14ac:dyDescent="0.2"/>
    <row r="34257" ht="12.75" x14ac:dyDescent="0.2"/>
    <row r="34258" ht="12.75" x14ac:dyDescent="0.2"/>
    <row r="34259" ht="12.75" x14ac:dyDescent="0.2"/>
    <row r="34260" ht="12.75" x14ac:dyDescent="0.2"/>
    <row r="34261" ht="12.75" x14ac:dyDescent="0.2"/>
    <row r="34262" ht="12.75" x14ac:dyDescent="0.2"/>
    <row r="34263" ht="12.75" x14ac:dyDescent="0.2"/>
    <row r="34264" ht="12.75" x14ac:dyDescent="0.2"/>
    <row r="34265" ht="12.75" x14ac:dyDescent="0.2"/>
    <row r="34266" ht="12.75" x14ac:dyDescent="0.2"/>
    <row r="34267" ht="12.75" x14ac:dyDescent="0.2"/>
    <row r="34268" ht="12.75" x14ac:dyDescent="0.2"/>
    <row r="34269" ht="12.75" x14ac:dyDescent="0.2"/>
    <row r="34270" ht="12.75" x14ac:dyDescent="0.2"/>
    <row r="34271" ht="12.75" x14ac:dyDescent="0.2"/>
    <row r="34272" ht="12.75" x14ac:dyDescent="0.2"/>
    <row r="34273" ht="12.75" x14ac:dyDescent="0.2"/>
    <row r="34274" ht="12.75" x14ac:dyDescent="0.2"/>
    <row r="34275" ht="12.75" x14ac:dyDescent="0.2"/>
    <row r="34276" ht="12.75" x14ac:dyDescent="0.2"/>
    <row r="34277" ht="12.75" x14ac:dyDescent="0.2"/>
    <row r="34278" ht="12.75" x14ac:dyDescent="0.2"/>
    <row r="34279" ht="12.75" x14ac:dyDescent="0.2"/>
    <row r="34280" ht="12.75" x14ac:dyDescent="0.2"/>
    <row r="34281" ht="12.75" x14ac:dyDescent="0.2"/>
    <row r="34282" ht="12.75" x14ac:dyDescent="0.2"/>
    <row r="34283" ht="12.75" x14ac:dyDescent="0.2"/>
    <row r="34284" ht="12.75" x14ac:dyDescent="0.2"/>
    <row r="34285" ht="12.75" x14ac:dyDescent="0.2"/>
    <row r="34286" ht="12.75" x14ac:dyDescent="0.2"/>
    <row r="34287" ht="12.75" x14ac:dyDescent="0.2"/>
    <row r="34288" ht="12.75" x14ac:dyDescent="0.2"/>
    <row r="34289" ht="12.75" x14ac:dyDescent="0.2"/>
    <row r="34290" ht="12.75" x14ac:dyDescent="0.2"/>
    <row r="34291" ht="12.75" x14ac:dyDescent="0.2"/>
    <row r="34292" ht="12.75" x14ac:dyDescent="0.2"/>
    <row r="34293" ht="12.75" x14ac:dyDescent="0.2"/>
    <row r="34294" ht="12.75" x14ac:dyDescent="0.2"/>
    <row r="34295" ht="12.75" x14ac:dyDescent="0.2"/>
    <row r="34296" ht="12.75" x14ac:dyDescent="0.2"/>
    <row r="34297" ht="12.75" x14ac:dyDescent="0.2"/>
    <row r="34298" ht="12.75" x14ac:dyDescent="0.2"/>
    <row r="34299" ht="12.75" x14ac:dyDescent="0.2"/>
    <row r="34300" ht="12.75" x14ac:dyDescent="0.2"/>
    <row r="34301" ht="12.75" x14ac:dyDescent="0.2"/>
    <row r="34302" ht="12.75" x14ac:dyDescent="0.2"/>
    <row r="34303" ht="12.75" x14ac:dyDescent="0.2"/>
    <row r="34304" ht="12.75" x14ac:dyDescent="0.2"/>
    <row r="34305" ht="12.75" x14ac:dyDescent="0.2"/>
    <row r="34306" ht="12.75" x14ac:dyDescent="0.2"/>
    <row r="34307" ht="12.75" x14ac:dyDescent="0.2"/>
    <row r="34308" ht="12.75" x14ac:dyDescent="0.2"/>
    <row r="34309" ht="12.75" x14ac:dyDescent="0.2"/>
    <row r="34310" ht="12.75" x14ac:dyDescent="0.2"/>
    <row r="34311" ht="12.75" x14ac:dyDescent="0.2"/>
    <row r="34312" ht="12.75" x14ac:dyDescent="0.2"/>
    <row r="34313" ht="12.75" x14ac:dyDescent="0.2"/>
    <row r="34314" ht="12.75" x14ac:dyDescent="0.2"/>
    <row r="34315" ht="12.75" x14ac:dyDescent="0.2"/>
    <row r="34316" ht="12.75" x14ac:dyDescent="0.2"/>
    <row r="34317" ht="12.75" x14ac:dyDescent="0.2"/>
    <row r="34318" ht="12.75" x14ac:dyDescent="0.2"/>
    <row r="34319" ht="12.75" x14ac:dyDescent="0.2"/>
    <row r="34320" ht="12.75" x14ac:dyDescent="0.2"/>
    <row r="34321" ht="12.75" x14ac:dyDescent="0.2"/>
    <row r="34322" ht="12.75" x14ac:dyDescent="0.2"/>
    <row r="34323" ht="12.75" x14ac:dyDescent="0.2"/>
    <row r="34324" ht="12.75" x14ac:dyDescent="0.2"/>
    <row r="34325" ht="12.75" x14ac:dyDescent="0.2"/>
    <row r="34326" ht="12.75" x14ac:dyDescent="0.2"/>
    <row r="34327" ht="12.75" x14ac:dyDescent="0.2"/>
    <row r="34328" ht="12.75" x14ac:dyDescent="0.2"/>
    <row r="34329" ht="12.75" x14ac:dyDescent="0.2"/>
    <row r="34330" ht="12.75" x14ac:dyDescent="0.2"/>
    <row r="34331" ht="12.75" x14ac:dyDescent="0.2"/>
    <row r="34332" ht="12.75" x14ac:dyDescent="0.2"/>
    <row r="34333" ht="12.75" x14ac:dyDescent="0.2"/>
    <row r="34334" ht="12.75" x14ac:dyDescent="0.2"/>
    <row r="34335" ht="12.75" x14ac:dyDescent="0.2"/>
    <row r="34336" ht="12.75" x14ac:dyDescent="0.2"/>
    <row r="34337" ht="12.75" x14ac:dyDescent="0.2"/>
    <row r="34338" ht="12.75" x14ac:dyDescent="0.2"/>
    <row r="34339" ht="12.75" x14ac:dyDescent="0.2"/>
    <row r="34340" ht="12.75" x14ac:dyDescent="0.2"/>
    <row r="34341" ht="12.75" x14ac:dyDescent="0.2"/>
    <row r="34342" ht="12.75" x14ac:dyDescent="0.2"/>
    <row r="34343" ht="12.75" x14ac:dyDescent="0.2"/>
    <row r="34344" ht="12.75" x14ac:dyDescent="0.2"/>
    <row r="34345" ht="12.75" x14ac:dyDescent="0.2"/>
    <row r="34346" ht="12.75" x14ac:dyDescent="0.2"/>
    <row r="34347" ht="12.75" x14ac:dyDescent="0.2"/>
    <row r="34348" ht="12.75" x14ac:dyDescent="0.2"/>
    <row r="34349" ht="12.75" x14ac:dyDescent="0.2"/>
    <row r="34350" ht="12.75" x14ac:dyDescent="0.2"/>
    <row r="34351" ht="12.75" x14ac:dyDescent="0.2"/>
    <row r="34352" ht="12.75" x14ac:dyDescent="0.2"/>
    <row r="34353" ht="12.75" x14ac:dyDescent="0.2"/>
    <row r="34354" ht="12.75" x14ac:dyDescent="0.2"/>
    <row r="34355" ht="12.75" x14ac:dyDescent="0.2"/>
    <row r="34356" ht="12.75" x14ac:dyDescent="0.2"/>
    <row r="34357" ht="12.75" x14ac:dyDescent="0.2"/>
    <row r="34358" ht="12.75" x14ac:dyDescent="0.2"/>
    <row r="34359" ht="12.75" x14ac:dyDescent="0.2"/>
    <row r="34360" ht="12.75" x14ac:dyDescent="0.2"/>
    <row r="34361" ht="12.75" x14ac:dyDescent="0.2"/>
    <row r="34362" ht="12.75" x14ac:dyDescent="0.2"/>
    <row r="34363" ht="12.75" x14ac:dyDescent="0.2"/>
    <row r="34364" ht="12.75" x14ac:dyDescent="0.2"/>
    <row r="34365" ht="12.75" x14ac:dyDescent="0.2"/>
    <row r="34366" ht="12.75" x14ac:dyDescent="0.2"/>
    <row r="34367" ht="12.75" x14ac:dyDescent="0.2"/>
    <row r="34368" ht="12.75" x14ac:dyDescent="0.2"/>
    <row r="34369" ht="12.75" x14ac:dyDescent="0.2"/>
    <row r="34370" ht="12.75" x14ac:dyDescent="0.2"/>
    <row r="34371" ht="12.75" x14ac:dyDescent="0.2"/>
    <row r="34372" ht="12.75" x14ac:dyDescent="0.2"/>
    <row r="34373" ht="12.75" x14ac:dyDescent="0.2"/>
    <row r="34374" ht="12.75" x14ac:dyDescent="0.2"/>
    <row r="34375" ht="12.75" x14ac:dyDescent="0.2"/>
    <row r="34376" ht="12.75" x14ac:dyDescent="0.2"/>
    <row r="34377" ht="12.75" x14ac:dyDescent="0.2"/>
    <row r="34378" ht="12.75" x14ac:dyDescent="0.2"/>
    <row r="34379" ht="12.75" x14ac:dyDescent="0.2"/>
    <row r="34380" ht="12.75" x14ac:dyDescent="0.2"/>
    <row r="34381" ht="12.75" x14ac:dyDescent="0.2"/>
    <row r="34382" ht="12.75" x14ac:dyDescent="0.2"/>
    <row r="34383" ht="12.75" x14ac:dyDescent="0.2"/>
    <row r="34384" ht="12.75" x14ac:dyDescent="0.2"/>
    <row r="34385" ht="12.75" x14ac:dyDescent="0.2"/>
    <row r="34386" ht="12.75" x14ac:dyDescent="0.2"/>
    <row r="34387" ht="12.75" x14ac:dyDescent="0.2"/>
    <row r="34388" ht="12.75" x14ac:dyDescent="0.2"/>
    <row r="34389" ht="12.75" x14ac:dyDescent="0.2"/>
    <row r="34390" ht="12.75" x14ac:dyDescent="0.2"/>
    <row r="34391" ht="12.75" x14ac:dyDescent="0.2"/>
    <row r="34392" ht="12.75" x14ac:dyDescent="0.2"/>
    <row r="34393" ht="12.75" x14ac:dyDescent="0.2"/>
    <row r="34394" ht="12.75" x14ac:dyDescent="0.2"/>
    <row r="34395" ht="12.75" x14ac:dyDescent="0.2"/>
    <row r="34396" ht="12.75" x14ac:dyDescent="0.2"/>
    <row r="34397" ht="12.75" x14ac:dyDescent="0.2"/>
    <row r="34398" ht="12.75" x14ac:dyDescent="0.2"/>
    <row r="34399" ht="12.75" x14ac:dyDescent="0.2"/>
    <row r="34400" ht="12.75" x14ac:dyDescent="0.2"/>
    <row r="34401" ht="12.75" x14ac:dyDescent="0.2"/>
    <row r="34402" ht="12.75" x14ac:dyDescent="0.2"/>
    <row r="34403" ht="12.75" x14ac:dyDescent="0.2"/>
    <row r="34404" ht="12.75" x14ac:dyDescent="0.2"/>
    <row r="34405" ht="12.75" x14ac:dyDescent="0.2"/>
    <row r="34406" ht="12.75" x14ac:dyDescent="0.2"/>
    <row r="34407" ht="12.75" x14ac:dyDescent="0.2"/>
    <row r="34408" ht="12.75" x14ac:dyDescent="0.2"/>
    <row r="34409" ht="12.75" x14ac:dyDescent="0.2"/>
    <row r="34410" ht="12.75" x14ac:dyDescent="0.2"/>
    <row r="34411" ht="12.75" x14ac:dyDescent="0.2"/>
    <row r="34412" ht="12.75" x14ac:dyDescent="0.2"/>
    <row r="34413" ht="12.75" x14ac:dyDescent="0.2"/>
    <row r="34414" ht="12.75" x14ac:dyDescent="0.2"/>
    <row r="34415" ht="12.75" x14ac:dyDescent="0.2"/>
    <row r="34416" ht="12.75" x14ac:dyDescent="0.2"/>
    <row r="34417" ht="12.75" x14ac:dyDescent="0.2"/>
    <row r="34418" ht="12.75" x14ac:dyDescent="0.2"/>
    <row r="34419" ht="12.75" x14ac:dyDescent="0.2"/>
    <row r="34420" ht="12.75" x14ac:dyDescent="0.2"/>
    <row r="34421" ht="12.75" x14ac:dyDescent="0.2"/>
    <row r="34422" ht="12.75" x14ac:dyDescent="0.2"/>
    <row r="34423" ht="12.75" x14ac:dyDescent="0.2"/>
    <row r="34424" ht="12.75" x14ac:dyDescent="0.2"/>
    <row r="34425" ht="12.75" x14ac:dyDescent="0.2"/>
    <row r="34426" ht="12.75" x14ac:dyDescent="0.2"/>
    <row r="34427" ht="12.75" x14ac:dyDescent="0.2"/>
    <row r="34428" ht="12.75" x14ac:dyDescent="0.2"/>
    <row r="34429" ht="12.75" x14ac:dyDescent="0.2"/>
    <row r="34430" ht="12.75" x14ac:dyDescent="0.2"/>
    <row r="34431" ht="12.75" x14ac:dyDescent="0.2"/>
    <row r="34432" ht="12.75" x14ac:dyDescent="0.2"/>
    <row r="34433" ht="12.75" x14ac:dyDescent="0.2"/>
    <row r="34434" ht="12.75" x14ac:dyDescent="0.2"/>
    <row r="34435" ht="12.75" x14ac:dyDescent="0.2"/>
    <row r="34436" ht="12.75" x14ac:dyDescent="0.2"/>
    <row r="34437" ht="12.75" x14ac:dyDescent="0.2"/>
    <row r="34438" ht="12.75" x14ac:dyDescent="0.2"/>
    <row r="34439" ht="12.75" x14ac:dyDescent="0.2"/>
    <row r="34440" ht="12.75" x14ac:dyDescent="0.2"/>
    <row r="34441" ht="12.75" x14ac:dyDescent="0.2"/>
    <row r="34442" ht="12.75" x14ac:dyDescent="0.2"/>
    <row r="34443" ht="12.75" x14ac:dyDescent="0.2"/>
    <row r="34444" ht="12.75" x14ac:dyDescent="0.2"/>
    <row r="34445" ht="12.75" x14ac:dyDescent="0.2"/>
    <row r="34446" ht="12.75" x14ac:dyDescent="0.2"/>
    <row r="34447" ht="12.75" x14ac:dyDescent="0.2"/>
    <row r="34448" ht="12.75" x14ac:dyDescent="0.2"/>
    <row r="34449" ht="12.75" x14ac:dyDescent="0.2"/>
    <row r="34450" ht="12.75" x14ac:dyDescent="0.2"/>
    <row r="34451" ht="12.75" x14ac:dyDescent="0.2"/>
    <row r="34452" ht="12.75" x14ac:dyDescent="0.2"/>
    <row r="34453" ht="12.75" x14ac:dyDescent="0.2"/>
    <row r="34454" ht="12.75" x14ac:dyDescent="0.2"/>
    <row r="34455" ht="12.75" x14ac:dyDescent="0.2"/>
    <row r="34456" ht="12.75" x14ac:dyDescent="0.2"/>
    <row r="34457" ht="12.75" x14ac:dyDescent="0.2"/>
    <row r="34458" ht="12.75" x14ac:dyDescent="0.2"/>
    <row r="34459" ht="12.75" x14ac:dyDescent="0.2"/>
    <row r="34460" ht="12.75" x14ac:dyDescent="0.2"/>
    <row r="34461" ht="12.75" x14ac:dyDescent="0.2"/>
    <row r="34462" ht="12.75" x14ac:dyDescent="0.2"/>
    <row r="34463" ht="12.75" x14ac:dyDescent="0.2"/>
    <row r="34464" ht="12.75" x14ac:dyDescent="0.2"/>
    <row r="34465" ht="12.75" x14ac:dyDescent="0.2"/>
    <row r="34466" ht="12.75" x14ac:dyDescent="0.2"/>
    <row r="34467" ht="12.75" x14ac:dyDescent="0.2"/>
    <row r="34468" ht="12.75" x14ac:dyDescent="0.2"/>
    <row r="34469" ht="12.75" x14ac:dyDescent="0.2"/>
    <row r="34470" ht="12.75" x14ac:dyDescent="0.2"/>
    <row r="34471" ht="12.75" x14ac:dyDescent="0.2"/>
    <row r="34472" ht="12.75" x14ac:dyDescent="0.2"/>
    <row r="34473" ht="12.75" x14ac:dyDescent="0.2"/>
    <row r="34474" ht="12.75" x14ac:dyDescent="0.2"/>
    <row r="34475" ht="12.75" x14ac:dyDescent="0.2"/>
    <row r="34476" ht="12.75" x14ac:dyDescent="0.2"/>
    <row r="34477" ht="12.75" x14ac:dyDescent="0.2"/>
    <row r="34478" ht="12.75" x14ac:dyDescent="0.2"/>
    <row r="34479" ht="12.75" x14ac:dyDescent="0.2"/>
    <row r="34480" ht="12.75" x14ac:dyDescent="0.2"/>
    <row r="34481" ht="12.75" x14ac:dyDescent="0.2"/>
    <row r="34482" ht="12.75" x14ac:dyDescent="0.2"/>
    <row r="34483" ht="12.75" x14ac:dyDescent="0.2"/>
    <row r="34484" ht="12.75" x14ac:dyDescent="0.2"/>
    <row r="34485" ht="12.75" x14ac:dyDescent="0.2"/>
    <row r="34486" ht="12.75" x14ac:dyDescent="0.2"/>
    <row r="34487" ht="12.75" x14ac:dyDescent="0.2"/>
    <row r="34488" ht="12.75" x14ac:dyDescent="0.2"/>
    <row r="34489" ht="12.75" x14ac:dyDescent="0.2"/>
    <row r="34490" ht="12.75" x14ac:dyDescent="0.2"/>
    <row r="34491" ht="12.75" x14ac:dyDescent="0.2"/>
    <row r="34492" ht="12.75" x14ac:dyDescent="0.2"/>
    <row r="34493" ht="12.75" x14ac:dyDescent="0.2"/>
    <row r="34494" ht="12.75" x14ac:dyDescent="0.2"/>
    <row r="34495" ht="12.75" x14ac:dyDescent="0.2"/>
    <row r="34496" ht="12.75" x14ac:dyDescent="0.2"/>
    <row r="34497" ht="12.75" x14ac:dyDescent="0.2"/>
    <row r="34498" ht="12.75" x14ac:dyDescent="0.2"/>
    <row r="34499" ht="12.75" x14ac:dyDescent="0.2"/>
    <row r="34500" ht="12.75" x14ac:dyDescent="0.2"/>
    <row r="34501" ht="12.75" x14ac:dyDescent="0.2"/>
    <row r="34502" ht="12.75" x14ac:dyDescent="0.2"/>
    <row r="34503" ht="12.75" x14ac:dyDescent="0.2"/>
    <row r="34504" ht="12.75" x14ac:dyDescent="0.2"/>
    <row r="34505" ht="12.75" x14ac:dyDescent="0.2"/>
    <row r="34506" ht="12.75" x14ac:dyDescent="0.2"/>
    <row r="34507" ht="12.75" x14ac:dyDescent="0.2"/>
    <row r="34508" ht="12.75" x14ac:dyDescent="0.2"/>
    <row r="34509" ht="12.75" x14ac:dyDescent="0.2"/>
    <row r="34510" ht="12.75" x14ac:dyDescent="0.2"/>
    <row r="34511" ht="12.75" x14ac:dyDescent="0.2"/>
    <row r="34512" ht="12.75" x14ac:dyDescent="0.2"/>
    <row r="34513" ht="12.75" x14ac:dyDescent="0.2"/>
    <row r="34514" ht="12.75" x14ac:dyDescent="0.2"/>
    <row r="34515" ht="12.75" x14ac:dyDescent="0.2"/>
    <row r="34516" ht="12.75" x14ac:dyDescent="0.2"/>
    <row r="34517" ht="12.75" x14ac:dyDescent="0.2"/>
    <row r="34518" ht="12.75" x14ac:dyDescent="0.2"/>
    <row r="34519" ht="12.75" x14ac:dyDescent="0.2"/>
    <row r="34520" ht="12.75" x14ac:dyDescent="0.2"/>
    <row r="34521" ht="12.75" x14ac:dyDescent="0.2"/>
    <row r="34522" ht="12.75" x14ac:dyDescent="0.2"/>
    <row r="34523" ht="12.75" x14ac:dyDescent="0.2"/>
    <row r="34524" ht="12.75" x14ac:dyDescent="0.2"/>
    <row r="34525" ht="12.75" x14ac:dyDescent="0.2"/>
    <row r="34526" ht="12.75" x14ac:dyDescent="0.2"/>
    <row r="34527" ht="12.75" x14ac:dyDescent="0.2"/>
    <row r="34528" ht="12.75" x14ac:dyDescent="0.2"/>
    <row r="34529" ht="12.75" x14ac:dyDescent="0.2"/>
    <row r="34530" ht="12.75" x14ac:dyDescent="0.2"/>
    <row r="34531" ht="12.75" x14ac:dyDescent="0.2"/>
    <row r="34532" ht="12.75" x14ac:dyDescent="0.2"/>
    <row r="34533" ht="12.75" x14ac:dyDescent="0.2"/>
    <row r="34534" ht="12.75" x14ac:dyDescent="0.2"/>
    <row r="34535" ht="12.75" x14ac:dyDescent="0.2"/>
    <row r="34536" ht="12.75" x14ac:dyDescent="0.2"/>
    <row r="34537" ht="12.75" x14ac:dyDescent="0.2"/>
    <row r="34538" ht="12.75" x14ac:dyDescent="0.2"/>
    <row r="34539" ht="12.75" x14ac:dyDescent="0.2"/>
    <row r="34540" ht="12.75" x14ac:dyDescent="0.2"/>
    <row r="34541" ht="12.75" x14ac:dyDescent="0.2"/>
    <row r="34542" ht="12.75" x14ac:dyDescent="0.2"/>
    <row r="34543" ht="12.75" x14ac:dyDescent="0.2"/>
    <row r="34544" ht="12.75" x14ac:dyDescent="0.2"/>
    <row r="34545" ht="12.75" x14ac:dyDescent="0.2"/>
    <row r="34546" ht="12.75" x14ac:dyDescent="0.2"/>
    <row r="34547" ht="12.75" x14ac:dyDescent="0.2"/>
    <row r="34548" ht="12.75" x14ac:dyDescent="0.2"/>
    <row r="34549" ht="12.75" x14ac:dyDescent="0.2"/>
    <row r="34550" ht="12.75" x14ac:dyDescent="0.2"/>
    <row r="34551" ht="12.75" x14ac:dyDescent="0.2"/>
    <row r="34552" ht="12.75" x14ac:dyDescent="0.2"/>
    <row r="34553" ht="12.75" x14ac:dyDescent="0.2"/>
    <row r="34554" ht="12.75" x14ac:dyDescent="0.2"/>
    <row r="34555" ht="12.75" x14ac:dyDescent="0.2"/>
    <row r="34556" ht="12.75" x14ac:dyDescent="0.2"/>
    <row r="34557" ht="12.75" x14ac:dyDescent="0.2"/>
    <row r="34558" ht="12.75" x14ac:dyDescent="0.2"/>
    <row r="34559" ht="12.75" x14ac:dyDescent="0.2"/>
    <row r="34560" ht="12.75" x14ac:dyDescent="0.2"/>
    <row r="34561" ht="12.75" x14ac:dyDescent="0.2"/>
    <row r="34562" ht="12.75" x14ac:dyDescent="0.2"/>
    <row r="34563" ht="12.75" x14ac:dyDescent="0.2"/>
    <row r="34564" ht="12.75" x14ac:dyDescent="0.2"/>
    <row r="34565" ht="12.75" x14ac:dyDescent="0.2"/>
    <row r="34566" ht="12.75" x14ac:dyDescent="0.2"/>
    <row r="34567" ht="12.75" x14ac:dyDescent="0.2"/>
    <row r="34568" ht="12.75" x14ac:dyDescent="0.2"/>
    <row r="34569" ht="12.75" x14ac:dyDescent="0.2"/>
    <row r="34570" ht="12.75" x14ac:dyDescent="0.2"/>
    <row r="34571" ht="12.75" x14ac:dyDescent="0.2"/>
    <row r="34572" ht="12.75" x14ac:dyDescent="0.2"/>
    <row r="34573" ht="12.75" x14ac:dyDescent="0.2"/>
    <row r="34574" ht="12.75" x14ac:dyDescent="0.2"/>
    <row r="34575" ht="12.75" x14ac:dyDescent="0.2"/>
    <row r="34576" ht="12.75" x14ac:dyDescent="0.2"/>
    <row r="34577" ht="12.75" x14ac:dyDescent="0.2"/>
    <row r="34578" ht="12.75" x14ac:dyDescent="0.2"/>
    <row r="34579" ht="12.75" x14ac:dyDescent="0.2"/>
    <row r="34580" ht="12.75" x14ac:dyDescent="0.2"/>
    <row r="34581" ht="12.75" x14ac:dyDescent="0.2"/>
    <row r="34582" ht="12.75" x14ac:dyDescent="0.2"/>
    <row r="34583" ht="12.75" x14ac:dyDescent="0.2"/>
    <row r="34584" ht="12.75" x14ac:dyDescent="0.2"/>
    <row r="34585" ht="12.75" x14ac:dyDescent="0.2"/>
    <row r="34586" ht="12.75" x14ac:dyDescent="0.2"/>
    <row r="34587" ht="12.75" x14ac:dyDescent="0.2"/>
    <row r="34588" ht="12.75" x14ac:dyDescent="0.2"/>
    <row r="34589" ht="12.75" x14ac:dyDescent="0.2"/>
    <row r="34590" ht="12.75" x14ac:dyDescent="0.2"/>
    <row r="34591" ht="12.75" x14ac:dyDescent="0.2"/>
    <row r="34592" ht="12.75" x14ac:dyDescent="0.2"/>
    <row r="34593" ht="12.75" x14ac:dyDescent="0.2"/>
    <row r="34594" ht="12.75" x14ac:dyDescent="0.2"/>
    <row r="34595" ht="12.75" x14ac:dyDescent="0.2"/>
    <row r="34596" ht="12.75" x14ac:dyDescent="0.2"/>
    <row r="34597" ht="12.75" x14ac:dyDescent="0.2"/>
    <row r="34598" ht="12.75" x14ac:dyDescent="0.2"/>
    <row r="34599" ht="12.75" x14ac:dyDescent="0.2"/>
    <row r="34600" ht="12.75" x14ac:dyDescent="0.2"/>
    <row r="34601" ht="12.75" x14ac:dyDescent="0.2"/>
    <row r="34602" ht="12.75" x14ac:dyDescent="0.2"/>
    <row r="34603" ht="12.75" x14ac:dyDescent="0.2"/>
    <row r="34604" ht="12.75" x14ac:dyDescent="0.2"/>
    <row r="34605" ht="12.75" x14ac:dyDescent="0.2"/>
    <row r="34606" ht="12.75" x14ac:dyDescent="0.2"/>
    <row r="34607" ht="12.75" x14ac:dyDescent="0.2"/>
    <row r="34608" ht="12.75" x14ac:dyDescent="0.2"/>
    <row r="34609" ht="12.75" x14ac:dyDescent="0.2"/>
    <row r="34610" ht="12.75" x14ac:dyDescent="0.2"/>
    <row r="34611" ht="12.75" x14ac:dyDescent="0.2"/>
    <row r="34612" ht="12.75" x14ac:dyDescent="0.2"/>
    <row r="34613" ht="12.75" x14ac:dyDescent="0.2"/>
    <row r="34614" ht="12.75" x14ac:dyDescent="0.2"/>
    <row r="34615" ht="12.75" x14ac:dyDescent="0.2"/>
    <row r="34616" ht="12.75" x14ac:dyDescent="0.2"/>
    <row r="34617" ht="12.75" x14ac:dyDescent="0.2"/>
    <row r="34618" ht="12.75" x14ac:dyDescent="0.2"/>
    <row r="34619" ht="12.75" x14ac:dyDescent="0.2"/>
    <row r="34620" ht="12.75" x14ac:dyDescent="0.2"/>
    <row r="34621" ht="12.75" x14ac:dyDescent="0.2"/>
    <row r="34622" ht="12.75" x14ac:dyDescent="0.2"/>
    <row r="34623" ht="12.75" x14ac:dyDescent="0.2"/>
    <row r="34624" ht="12.75" x14ac:dyDescent="0.2"/>
    <row r="34625" ht="12.75" x14ac:dyDescent="0.2"/>
    <row r="34626" ht="12.75" x14ac:dyDescent="0.2"/>
    <row r="34627" ht="12.75" x14ac:dyDescent="0.2"/>
    <row r="34628" ht="12.75" x14ac:dyDescent="0.2"/>
    <row r="34629" ht="12.75" x14ac:dyDescent="0.2"/>
    <row r="34630" ht="12.75" x14ac:dyDescent="0.2"/>
    <row r="34631" ht="12.75" x14ac:dyDescent="0.2"/>
    <row r="34632" ht="12.75" x14ac:dyDescent="0.2"/>
    <row r="34633" ht="12.75" x14ac:dyDescent="0.2"/>
    <row r="34634" ht="12.75" x14ac:dyDescent="0.2"/>
    <row r="34635" ht="12.75" x14ac:dyDescent="0.2"/>
    <row r="34636" ht="12.75" x14ac:dyDescent="0.2"/>
    <row r="34637" ht="12.75" x14ac:dyDescent="0.2"/>
    <row r="34638" ht="12.75" x14ac:dyDescent="0.2"/>
    <row r="34639" ht="12.75" x14ac:dyDescent="0.2"/>
    <row r="34640" ht="12.75" x14ac:dyDescent="0.2"/>
    <row r="34641" ht="12.75" x14ac:dyDescent="0.2"/>
    <row r="34642" ht="12.75" x14ac:dyDescent="0.2"/>
    <row r="34643" ht="12.75" x14ac:dyDescent="0.2"/>
    <row r="34644" ht="12.75" x14ac:dyDescent="0.2"/>
    <row r="34645" ht="12.75" x14ac:dyDescent="0.2"/>
    <row r="34646" ht="12.75" x14ac:dyDescent="0.2"/>
    <row r="34647" ht="12.75" x14ac:dyDescent="0.2"/>
    <row r="34648" ht="12.75" x14ac:dyDescent="0.2"/>
    <row r="34649" ht="12.75" x14ac:dyDescent="0.2"/>
    <row r="34650" ht="12.75" x14ac:dyDescent="0.2"/>
    <row r="34651" ht="12.75" x14ac:dyDescent="0.2"/>
    <row r="34652" ht="12.75" x14ac:dyDescent="0.2"/>
    <row r="34653" ht="12.75" x14ac:dyDescent="0.2"/>
    <row r="34654" ht="12.75" x14ac:dyDescent="0.2"/>
    <row r="34655" ht="12.75" x14ac:dyDescent="0.2"/>
    <row r="34656" ht="12.75" x14ac:dyDescent="0.2"/>
    <row r="34657" ht="12.75" x14ac:dyDescent="0.2"/>
    <row r="34658" ht="12.75" x14ac:dyDescent="0.2"/>
    <row r="34659" ht="12.75" x14ac:dyDescent="0.2"/>
    <row r="34660" ht="12.75" x14ac:dyDescent="0.2"/>
    <row r="34661" ht="12.75" x14ac:dyDescent="0.2"/>
    <row r="34662" ht="12.75" x14ac:dyDescent="0.2"/>
    <row r="34663" ht="12.75" x14ac:dyDescent="0.2"/>
    <row r="34664" ht="12.75" x14ac:dyDescent="0.2"/>
    <row r="34665" ht="12.75" x14ac:dyDescent="0.2"/>
    <row r="34666" ht="12.75" x14ac:dyDescent="0.2"/>
    <row r="34667" ht="12.75" x14ac:dyDescent="0.2"/>
    <row r="34668" ht="12.75" x14ac:dyDescent="0.2"/>
    <row r="34669" ht="12.75" x14ac:dyDescent="0.2"/>
    <row r="34670" ht="12.75" x14ac:dyDescent="0.2"/>
    <row r="34671" ht="12.75" x14ac:dyDescent="0.2"/>
    <row r="34672" ht="12.75" x14ac:dyDescent="0.2"/>
    <row r="34673" ht="12.75" x14ac:dyDescent="0.2"/>
    <row r="34674" ht="12.75" x14ac:dyDescent="0.2"/>
    <row r="34675" ht="12.75" x14ac:dyDescent="0.2"/>
    <row r="34676" ht="12.75" x14ac:dyDescent="0.2"/>
    <row r="34677" ht="12.75" x14ac:dyDescent="0.2"/>
    <row r="34678" ht="12.75" x14ac:dyDescent="0.2"/>
    <row r="34679" ht="12.75" x14ac:dyDescent="0.2"/>
    <row r="34680" ht="12.75" x14ac:dyDescent="0.2"/>
    <row r="34681" ht="12.75" x14ac:dyDescent="0.2"/>
    <row r="34682" ht="12.75" x14ac:dyDescent="0.2"/>
    <row r="34683" ht="12.75" x14ac:dyDescent="0.2"/>
    <row r="34684" ht="12.75" x14ac:dyDescent="0.2"/>
    <row r="34685" ht="12.75" x14ac:dyDescent="0.2"/>
    <row r="34686" ht="12.75" x14ac:dyDescent="0.2"/>
    <row r="34687" ht="12.75" x14ac:dyDescent="0.2"/>
    <row r="34688" ht="12.75" x14ac:dyDescent="0.2"/>
    <row r="34689" ht="12.75" x14ac:dyDescent="0.2"/>
    <row r="34690" ht="12.75" x14ac:dyDescent="0.2"/>
    <row r="34691" ht="12.75" x14ac:dyDescent="0.2"/>
    <row r="34692" ht="12.75" x14ac:dyDescent="0.2"/>
    <row r="34693" ht="12.75" x14ac:dyDescent="0.2"/>
    <row r="34694" ht="12.75" x14ac:dyDescent="0.2"/>
    <row r="34695" ht="12.75" x14ac:dyDescent="0.2"/>
    <row r="34696" ht="12.75" x14ac:dyDescent="0.2"/>
    <row r="34697" ht="12.75" x14ac:dyDescent="0.2"/>
    <row r="34698" ht="12.75" x14ac:dyDescent="0.2"/>
    <row r="34699" ht="12.75" x14ac:dyDescent="0.2"/>
    <row r="34700" ht="12.75" x14ac:dyDescent="0.2"/>
    <row r="34701" ht="12.75" x14ac:dyDescent="0.2"/>
    <row r="34702" ht="12.75" x14ac:dyDescent="0.2"/>
    <row r="34703" ht="12.75" x14ac:dyDescent="0.2"/>
    <row r="34704" ht="12.75" x14ac:dyDescent="0.2"/>
    <row r="34705" ht="12.75" x14ac:dyDescent="0.2"/>
    <row r="34706" ht="12.75" x14ac:dyDescent="0.2"/>
    <row r="34707" ht="12.75" x14ac:dyDescent="0.2"/>
    <row r="34708" ht="12.75" x14ac:dyDescent="0.2"/>
    <row r="34709" ht="12.75" x14ac:dyDescent="0.2"/>
    <row r="34710" ht="12.75" x14ac:dyDescent="0.2"/>
    <row r="34711" ht="12.75" x14ac:dyDescent="0.2"/>
    <row r="34712" ht="12.75" x14ac:dyDescent="0.2"/>
    <row r="34713" ht="12.75" x14ac:dyDescent="0.2"/>
    <row r="34714" ht="12.75" x14ac:dyDescent="0.2"/>
    <row r="34715" ht="12.75" x14ac:dyDescent="0.2"/>
    <row r="34716" ht="12.75" x14ac:dyDescent="0.2"/>
    <row r="34717" ht="12.75" x14ac:dyDescent="0.2"/>
    <row r="34718" ht="12.75" x14ac:dyDescent="0.2"/>
    <row r="34719" ht="12.75" x14ac:dyDescent="0.2"/>
    <row r="34720" ht="12.75" x14ac:dyDescent="0.2"/>
    <row r="34721" ht="12.75" x14ac:dyDescent="0.2"/>
    <row r="34722" ht="12.75" x14ac:dyDescent="0.2"/>
    <row r="34723" ht="12.75" x14ac:dyDescent="0.2"/>
    <row r="34724" ht="12.75" x14ac:dyDescent="0.2"/>
    <row r="34725" ht="12.75" x14ac:dyDescent="0.2"/>
    <row r="34726" ht="12.75" x14ac:dyDescent="0.2"/>
    <row r="34727" ht="12.75" x14ac:dyDescent="0.2"/>
    <row r="34728" ht="12.75" x14ac:dyDescent="0.2"/>
    <row r="34729" ht="12.75" x14ac:dyDescent="0.2"/>
    <row r="34730" ht="12.75" x14ac:dyDescent="0.2"/>
    <row r="34731" ht="12.75" x14ac:dyDescent="0.2"/>
    <row r="34732" ht="12.75" x14ac:dyDescent="0.2"/>
    <row r="34733" ht="12.75" x14ac:dyDescent="0.2"/>
    <row r="34734" ht="12.75" x14ac:dyDescent="0.2"/>
    <row r="34735" ht="12.75" x14ac:dyDescent="0.2"/>
    <row r="34736" ht="12.75" x14ac:dyDescent="0.2"/>
    <row r="34737" ht="12.75" x14ac:dyDescent="0.2"/>
    <row r="34738" ht="12.75" x14ac:dyDescent="0.2"/>
    <row r="34739" ht="12.75" x14ac:dyDescent="0.2"/>
    <row r="34740" ht="12.75" x14ac:dyDescent="0.2"/>
    <row r="34741" ht="12.75" x14ac:dyDescent="0.2"/>
    <row r="34742" ht="12.75" x14ac:dyDescent="0.2"/>
    <row r="34743" ht="12.75" x14ac:dyDescent="0.2"/>
    <row r="34744" ht="12.75" x14ac:dyDescent="0.2"/>
    <row r="34745" ht="12.75" x14ac:dyDescent="0.2"/>
    <row r="34746" ht="12.75" x14ac:dyDescent="0.2"/>
    <row r="34747" ht="12.75" x14ac:dyDescent="0.2"/>
    <row r="34748" ht="12.75" x14ac:dyDescent="0.2"/>
    <row r="34749" ht="12.75" x14ac:dyDescent="0.2"/>
    <row r="34750" ht="12.75" x14ac:dyDescent="0.2"/>
    <row r="34751" ht="12.75" x14ac:dyDescent="0.2"/>
    <row r="34752" ht="12.75" x14ac:dyDescent="0.2"/>
    <row r="34753" ht="12.75" x14ac:dyDescent="0.2"/>
    <row r="34754" ht="12.75" x14ac:dyDescent="0.2"/>
    <row r="34755" ht="12.75" x14ac:dyDescent="0.2"/>
    <row r="34756" ht="12.75" x14ac:dyDescent="0.2"/>
    <row r="34757" ht="12.75" x14ac:dyDescent="0.2"/>
    <row r="34758" ht="12.75" x14ac:dyDescent="0.2"/>
    <row r="34759" ht="12.75" x14ac:dyDescent="0.2"/>
    <row r="34760" ht="12.75" x14ac:dyDescent="0.2"/>
    <row r="34761" ht="12.75" x14ac:dyDescent="0.2"/>
    <row r="34762" ht="12.75" x14ac:dyDescent="0.2"/>
    <row r="34763" ht="12.75" x14ac:dyDescent="0.2"/>
    <row r="34764" ht="12.75" x14ac:dyDescent="0.2"/>
    <row r="34765" ht="12.75" x14ac:dyDescent="0.2"/>
    <row r="34766" ht="12.75" x14ac:dyDescent="0.2"/>
    <row r="34767" ht="12.75" x14ac:dyDescent="0.2"/>
    <row r="34768" ht="12.75" x14ac:dyDescent="0.2"/>
    <row r="34769" ht="12.75" x14ac:dyDescent="0.2"/>
    <row r="34770" ht="12.75" x14ac:dyDescent="0.2"/>
    <row r="34771" ht="12.75" x14ac:dyDescent="0.2"/>
    <row r="34772" ht="12.75" x14ac:dyDescent="0.2"/>
    <row r="34773" ht="12.75" x14ac:dyDescent="0.2"/>
    <row r="34774" ht="12.75" x14ac:dyDescent="0.2"/>
    <row r="34775" ht="12.75" x14ac:dyDescent="0.2"/>
    <row r="34776" ht="12.75" x14ac:dyDescent="0.2"/>
    <row r="34777" ht="12.75" x14ac:dyDescent="0.2"/>
    <row r="34778" ht="12.75" x14ac:dyDescent="0.2"/>
    <row r="34779" ht="12.75" x14ac:dyDescent="0.2"/>
    <row r="34780" ht="12.75" x14ac:dyDescent="0.2"/>
    <row r="34781" ht="12.75" x14ac:dyDescent="0.2"/>
    <row r="34782" ht="12.75" x14ac:dyDescent="0.2"/>
    <row r="34783" ht="12.75" x14ac:dyDescent="0.2"/>
    <row r="34784" ht="12.75" x14ac:dyDescent="0.2"/>
    <row r="34785" ht="12.75" x14ac:dyDescent="0.2"/>
    <row r="34786" ht="12.75" x14ac:dyDescent="0.2"/>
    <row r="34787" ht="12.75" x14ac:dyDescent="0.2"/>
    <row r="34788" ht="12.75" x14ac:dyDescent="0.2"/>
    <row r="34789" ht="12.75" x14ac:dyDescent="0.2"/>
    <row r="34790" ht="12.75" x14ac:dyDescent="0.2"/>
    <row r="34791" ht="12.75" x14ac:dyDescent="0.2"/>
    <row r="34792" ht="12.75" x14ac:dyDescent="0.2"/>
    <row r="34793" ht="12.75" x14ac:dyDescent="0.2"/>
    <row r="34794" ht="12.75" x14ac:dyDescent="0.2"/>
    <row r="34795" ht="12.75" x14ac:dyDescent="0.2"/>
    <row r="34796" ht="12.75" x14ac:dyDescent="0.2"/>
    <row r="34797" ht="12.75" x14ac:dyDescent="0.2"/>
    <row r="34798" ht="12.75" x14ac:dyDescent="0.2"/>
    <row r="34799" ht="12.75" x14ac:dyDescent="0.2"/>
    <row r="34800" ht="12.75" x14ac:dyDescent="0.2"/>
    <row r="34801" ht="12.75" x14ac:dyDescent="0.2"/>
    <row r="34802" ht="12.75" x14ac:dyDescent="0.2"/>
    <row r="34803" ht="12.75" x14ac:dyDescent="0.2"/>
    <row r="34804" ht="12.75" x14ac:dyDescent="0.2"/>
    <row r="34805" ht="12.75" x14ac:dyDescent="0.2"/>
    <row r="34806" ht="12.75" x14ac:dyDescent="0.2"/>
    <row r="34807" ht="12.75" x14ac:dyDescent="0.2"/>
    <row r="34808" ht="12.75" x14ac:dyDescent="0.2"/>
    <row r="34809" ht="12.75" x14ac:dyDescent="0.2"/>
    <row r="34810" ht="12.75" x14ac:dyDescent="0.2"/>
    <row r="34811" ht="12.75" x14ac:dyDescent="0.2"/>
    <row r="34812" ht="12.75" x14ac:dyDescent="0.2"/>
    <row r="34813" ht="12.75" x14ac:dyDescent="0.2"/>
    <row r="34814" ht="12.75" x14ac:dyDescent="0.2"/>
    <row r="34815" ht="12.75" x14ac:dyDescent="0.2"/>
    <row r="34816" ht="12.75" x14ac:dyDescent="0.2"/>
    <row r="34817" ht="12.75" x14ac:dyDescent="0.2"/>
    <row r="34818" ht="12.75" x14ac:dyDescent="0.2"/>
    <row r="34819" ht="12.75" x14ac:dyDescent="0.2"/>
    <row r="34820" ht="12.75" x14ac:dyDescent="0.2"/>
    <row r="34821" ht="12.75" x14ac:dyDescent="0.2"/>
    <row r="34822" ht="12.75" x14ac:dyDescent="0.2"/>
    <row r="34823" ht="12.75" x14ac:dyDescent="0.2"/>
    <row r="34824" ht="12.75" x14ac:dyDescent="0.2"/>
    <row r="34825" ht="12.75" x14ac:dyDescent="0.2"/>
    <row r="34826" ht="12.75" x14ac:dyDescent="0.2"/>
    <row r="34827" ht="12.75" x14ac:dyDescent="0.2"/>
    <row r="34828" ht="12.75" x14ac:dyDescent="0.2"/>
    <row r="34829" ht="12.75" x14ac:dyDescent="0.2"/>
    <row r="34830" ht="12.75" x14ac:dyDescent="0.2"/>
    <row r="34831" ht="12.75" x14ac:dyDescent="0.2"/>
    <row r="34832" ht="12.75" x14ac:dyDescent="0.2"/>
    <row r="34833" ht="12.75" x14ac:dyDescent="0.2"/>
    <row r="34834" ht="12.75" x14ac:dyDescent="0.2"/>
    <row r="34835" ht="12.75" x14ac:dyDescent="0.2"/>
    <row r="34836" ht="12.75" x14ac:dyDescent="0.2"/>
    <row r="34837" ht="12.75" x14ac:dyDescent="0.2"/>
    <row r="34838" ht="12.75" x14ac:dyDescent="0.2"/>
    <row r="34839" ht="12.75" x14ac:dyDescent="0.2"/>
    <row r="34840" ht="12.75" x14ac:dyDescent="0.2"/>
    <row r="34841" ht="12.75" x14ac:dyDescent="0.2"/>
    <row r="34842" ht="12.75" x14ac:dyDescent="0.2"/>
    <row r="34843" ht="12.75" x14ac:dyDescent="0.2"/>
    <row r="34844" ht="12.75" x14ac:dyDescent="0.2"/>
    <row r="34845" ht="12.75" x14ac:dyDescent="0.2"/>
    <row r="34846" ht="12.75" x14ac:dyDescent="0.2"/>
    <row r="34847" ht="12.75" x14ac:dyDescent="0.2"/>
    <row r="34848" ht="12.75" x14ac:dyDescent="0.2"/>
    <row r="34849" ht="12.75" x14ac:dyDescent="0.2"/>
    <row r="34850" ht="12.75" x14ac:dyDescent="0.2"/>
    <row r="34851" ht="12.75" x14ac:dyDescent="0.2"/>
    <row r="34852" ht="12.75" x14ac:dyDescent="0.2"/>
    <row r="34853" ht="12.75" x14ac:dyDescent="0.2"/>
    <row r="34854" ht="12.75" x14ac:dyDescent="0.2"/>
    <row r="34855" ht="12.75" x14ac:dyDescent="0.2"/>
    <row r="34856" ht="12.75" x14ac:dyDescent="0.2"/>
    <row r="34857" ht="12.75" x14ac:dyDescent="0.2"/>
    <row r="34858" ht="12.75" x14ac:dyDescent="0.2"/>
    <row r="34859" ht="12.75" x14ac:dyDescent="0.2"/>
    <row r="34860" ht="12.75" x14ac:dyDescent="0.2"/>
    <row r="34861" ht="12.75" x14ac:dyDescent="0.2"/>
    <row r="34862" ht="12.75" x14ac:dyDescent="0.2"/>
    <row r="34863" ht="12.75" x14ac:dyDescent="0.2"/>
    <row r="34864" ht="12.75" x14ac:dyDescent="0.2"/>
    <row r="34865" ht="12.75" x14ac:dyDescent="0.2"/>
    <row r="34866" ht="12.75" x14ac:dyDescent="0.2"/>
    <row r="34867" ht="12.75" x14ac:dyDescent="0.2"/>
    <row r="34868" ht="12.75" x14ac:dyDescent="0.2"/>
    <row r="34869" ht="12.75" x14ac:dyDescent="0.2"/>
    <row r="34870" ht="12.75" x14ac:dyDescent="0.2"/>
    <row r="34871" ht="12.75" x14ac:dyDescent="0.2"/>
    <row r="34872" ht="12.75" x14ac:dyDescent="0.2"/>
    <row r="34873" ht="12.75" x14ac:dyDescent="0.2"/>
    <row r="34874" ht="12.75" x14ac:dyDescent="0.2"/>
    <row r="34875" ht="12.75" x14ac:dyDescent="0.2"/>
    <row r="34876" ht="12.75" x14ac:dyDescent="0.2"/>
    <row r="34877" ht="12.75" x14ac:dyDescent="0.2"/>
    <row r="34878" ht="12.75" x14ac:dyDescent="0.2"/>
    <row r="34879" ht="12.75" x14ac:dyDescent="0.2"/>
    <row r="34880" ht="12.75" x14ac:dyDescent="0.2"/>
    <row r="34881" ht="12.75" x14ac:dyDescent="0.2"/>
    <row r="34882" ht="12.75" x14ac:dyDescent="0.2"/>
    <row r="34883" ht="12.75" x14ac:dyDescent="0.2"/>
    <row r="34884" ht="12.75" x14ac:dyDescent="0.2"/>
    <row r="34885" ht="12.75" x14ac:dyDescent="0.2"/>
    <row r="34886" ht="12.75" x14ac:dyDescent="0.2"/>
    <row r="34887" ht="12.75" x14ac:dyDescent="0.2"/>
    <row r="34888" ht="12.75" x14ac:dyDescent="0.2"/>
    <row r="34889" ht="12.75" x14ac:dyDescent="0.2"/>
    <row r="34890" ht="12.75" x14ac:dyDescent="0.2"/>
    <row r="34891" ht="12.75" x14ac:dyDescent="0.2"/>
    <row r="34892" ht="12.75" x14ac:dyDescent="0.2"/>
    <row r="34893" ht="12.75" x14ac:dyDescent="0.2"/>
    <row r="34894" ht="12.75" x14ac:dyDescent="0.2"/>
    <row r="34895" ht="12.75" x14ac:dyDescent="0.2"/>
    <row r="34896" ht="12.75" x14ac:dyDescent="0.2"/>
    <row r="34897" ht="12.75" x14ac:dyDescent="0.2"/>
    <row r="34898" ht="12.75" x14ac:dyDescent="0.2"/>
    <row r="34899" ht="12.75" x14ac:dyDescent="0.2"/>
    <row r="34900" ht="12.75" x14ac:dyDescent="0.2"/>
    <row r="34901" ht="12.75" x14ac:dyDescent="0.2"/>
    <row r="34902" ht="12.75" x14ac:dyDescent="0.2"/>
    <row r="34903" ht="12.75" x14ac:dyDescent="0.2"/>
    <row r="34904" ht="12.75" x14ac:dyDescent="0.2"/>
    <row r="34905" ht="12.75" x14ac:dyDescent="0.2"/>
    <row r="34906" ht="12.75" x14ac:dyDescent="0.2"/>
    <row r="34907" ht="12.75" x14ac:dyDescent="0.2"/>
    <row r="34908" ht="12.75" x14ac:dyDescent="0.2"/>
    <row r="34909" ht="12.75" x14ac:dyDescent="0.2"/>
    <row r="34910" ht="12.75" x14ac:dyDescent="0.2"/>
    <row r="34911" ht="12.75" x14ac:dyDescent="0.2"/>
    <row r="34912" ht="12.75" x14ac:dyDescent="0.2"/>
    <row r="34913" ht="12.75" x14ac:dyDescent="0.2"/>
    <row r="34914" ht="12.75" x14ac:dyDescent="0.2"/>
    <row r="34915" ht="12.75" x14ac:dyDescent="0.2"/>
    <row r="34916" ht="12.75" x14ac:dyDescent="0.2"/>
    <row r="34917" ht="12.75" x14ac:dyDescent="0.2"/>
    <row r="34918" ht="12.75" x14ac:dyDescent="0.2"/>
    <row r="34919" ht="12.75" x14ac:dyDescent="0.2"/>
    <row r="34920" ht="12.75" x14ac:dyDescent="0.2"/>
    <row r="34921" ht="12.75" x14ac:dyDescent="0.2"/>
    <row r="34922" ht="12.75" x14ac:dyDescent="0.2"/>
    <row r="34923" ht="12.75" x14ac:dyDescent="0.2"/>
    <row r="34924" ht="12.75" x14ac:dyDescent="0.2"/>
    <row r="34925" ht="12.75" x14ac:dyDescent="0.2"/>
    <row r="34926" ht="12.75" x14ac:dyDescent="0.2"/>
    <row r="34927" ht="12.75" x14ac:dyDescent="0.2"/>
    <row r="34928" ht="12.75" x14ac:dyDescent="0.2"/>
    <row r="34929" ht="12.75" x14ac:dyDescent="0.2"/>
    <row r="34930" ht="12.75" x14ac:dyDescent="0.2"/>
    <row r="34931" ht="12.75" x14ac:dyDescent="0.2"/>
    <row r="34932" ht="12.75" x14ac:dyDescent="0.2"/>
    <row r="34933" ht="12.75" x14ac:dyDescent="0.2"/>
    <row r="34934" ht="12.75" x14ac:dyDescent="0.2"/>
    <row r="34935" ht="12.75" x14ac:dyDescent="0.2"/>
    <row r="34936" ht="12.75" x14ac:dyDescent="0.2"/>
    <row r="34937" ht="12.75" x14ac:dyDescent="0.2"/>
    <row r="34938" ht="12.75" x14ac:dyDescent="0.2"/>
    <row r="34939" ht="12.75" x14ac:dyDescent="0.2"/>
    <row r="34940" ht="12.75" x14ac:dyDescent="0.2"/>
    <row r="34941" ht="12.75" x14ac:dyDescent="0.2"/>
    <row r="34942" ht="12.75" x14ac:dyDescent="0.2"/>
    <row r="34943" ht="12.75" x14ac:dyDescent="0.2"/>
    <row r="34944" ht="12.75" x14ac:dyDescent="0.2"/>
    <row r="34945" ht="12.75" x14ac:dyDescent="0.2"/>
    <row r="34946" ht="12.75" x14ac:dyDescent="0.2"/>
    <row r="34947" ht="12.75" x14ac:dyDescent="0.2"/>
    <row r="34948" ht="12.75" x14ac:dyDescent="0.2"/>
    <row r="34949" ht="12.75" x14ac:dyDescent="0.2"/>
    <row r="34950" ht="12.75" x14ac:dyDescent="0.2"/>
    <row r="34951" ht="12.75" x14ac:dyDescent="0.2"/>
    <row r="34952" ht="12.75" x14ac:dyDescent="0.2"/>
    <row r="34953" ht="12.75" x14ac:dyDescent="0.2"/>
    <row r="34954" ht="12.75" x14ac:dyDescent="0.2"/>
    <row r="34955" ht="12.75" x14ac:dyDescent="0.2"/>
    <row r="34956" ht="12.75" x14ac:dyDescent="0.2"/>
    <row r="34957" ht="12.75" x14ac:dyDescent="0.2"/>
    <row r="34958" ht="12.75" x14ac:dyDescent="0.2"/>
    <row r="34959" ht="12.75" x14ac:dyDescent="0.2"/>
    <row r="34960" ht="12.75" x14ac:dyDescent="0.2"/>
    <row r="34961" ht="12.75" x14ac:dyDescent="0.2"/>
    <row r="34962" ht="12.75" x14ac:dyDescent="0.2"/>
    <row r="34963" ht="12.75" x14ac:dyDescent="0.2"/>
    <row r="34964" ht="12.75" x14ac:dyDescent="0.2"/>
    <row r="34965" ht="12.75" x14ac:dyDescent="0.2"/>
    <row r="34966" ht="12.75" x14ac:dyDescent="0.2"/>
    <row r="34967" ht="12.75" x14ac:dyDescent="0.2"/>
    <row r="34968" ht="12.75" x14ac:dyDescent="0.2"/>
    <row r="34969" ht="12.75" x14ac:dyDescent="0.2"/>
    <row r="34970" ht="12.75" x14ac:dyDescent="0.2"/>
    <row r="34971" ht="12.75" x14ac:dyDescent="0.2"/>
    <row r="34972" ht="12.75" x14ac:dyDescent="0.2"/>
    <row r="34973" ht="12.75" x14ac:dyDescent="0.2"/>
    <row r="34974" ht="12.75" x14ac:dyDescent="0.2"/>
    <row r="34975" ht="12.75" x14ac:dyDescent="0.2"/>
    <row r="34976" ht="12.75" x14ac:dyDescent="0.2"/>
    <row r="34977" ht="12.75" x14ac:dyDescent="0.2"/>
    <row r="34978" ht="12.75" x14ac:dyDescent="0.2"/>
    <row r="34979" ht="12.75" x14ac:dyDescent="0.2"/>
    <row r="34980" ht="12.75" x14ac:dyDescent="0.2"/>
    <row r="34981" ht="12.75" x14ac:dyDescent="0.2"/>
    <row r="34982" ht="12.75" x14ac:dyDescent="0.2"/>
    <row r="34983" ht="12.75" x14ac:dyDescent="0.2"/>
    <row r="34984" ht="12.75" x14ac:dyDescent="0.2"/>
    <row r="34985" ht="12.75" x14ac:dyDescent="0.2"/>
    <row r="34986" ht="12.75" x14ac:dyDescent="0.2"/>
    <row r="34987" ht="12.75" x14ac:dyDescent="0.2"/>
    <row r="34988" ht="12.75" x14ac:dyDescent="0.2"/>
    <row r="34989" ht="12.75" x14ac:dyDescent="0.2"/>
    <row r="34990" ht="12.75" x14ac:dyDescent="0.2"/>
    <row r="34991" ht="12.75" x14ac:dyDescent="0.2"/>
    <row r="34992" ht="12.75" x14ac:dyDescent="0.2"/>
    <row r="34993" ht="12.75" x14ac:dyDescent="0.2"/>
    <row r="34994" ht="12.75" x14ac:dyDescent="0.2"/>
    <row r="34995" ht="12.75" x14ac:dyDescent="0.2"/>
    <row r="34996" ht="12.75" x14ac:dyDescent="0.2"/>
    <row r="34997" ht="12.75" x14ac:dyDescent="0.2"/>
    <row r="34998" ht="12.75" x14ac:dyDescent="0.2"/>
    <row r="34999" ht="12.75" x14ac:dyDescent="0.2"/>
    <row r="35000" ht="12.75" x14ac:dyDescent="0.2"/>
    <row r="35001" ht="12.75" x14ac:dyDescent="0.2"/>
    <row r="35002" ht="12.75" x14ac:dyDescent="0.2"/>
    <row r="35003" ht="12.75" x14ac:dyDescent="0.2"/>
    <row r="35004" ht="12.75" x14ac:dyDescent="0.2"/>
    <row r="35005" ht="12.75" x14ac:dyDescent="0.2"/>
    <row r="35006" ht="12.75" x14ac:dyDescent="0.2"/>
    <row r="35007" ht="12.75" x14ac:dyDescent="0.2"/>
    <row r="35008" ht="12.75" x14ac:dyDescent="0.2"/>
    <row r="35009" ht="12.75" x14ac:dyDescent="0.2"/>
    <row r="35010" ht="12.75" x14ac:dyDescent="0.2"/>
    <row r="35011" ht="12.75" x14ac:dyDescent="0.2"/>
    <row r="35012" ht="12.75" x14ac:dyDescent="0.2"/>
    <row r="35013" ht="12.75" x14ac:dyDescent="0.2"/>
    <row r="35014" ht="12.75" x14ac:dyDescent="0.2"/>
    <row r="35015" ht="12.75" x14ac:dyDescent="0.2"/>
    <row r="35016" ht="12.75" x14ac:dyDescent="0.2"/>
    <row r="35017" ht="12.75" x14ac:dyDescent="0.2"/>
    <row r="35018" ht="12.75" x14ac:dyDescent="0.2"/>
    <row r="35019" ht="12.75" x14ac:dyDescent="0.2"/>
    <row r="35020" ht="12.75" x14ac:dyDescent="0.2"/>
    <row r="35021" ht="12.75" x14ac:dyDescent="0.2"/>
    <row r="35022" ht="12.75" x14ac:dyDescent="0.2"/>
    <row r="35023" ht="12.75" x14ac:dyDescent="0.2"/>
    <row r="35024" ht="12.75" x14ac:dyDescent="0.2"/>
    <row r="35025" ht="12.75" x14ac:dyDescent="0.2"/>
    <row r="35026" ht="12.75" x14ac:dyDescent="0.2"/>
    <row r="35027" ht="12.75" x14ac:dyDescent="0.2"/>
    <row r="35028" ht="12.75" x14ac:dyDescent="0.2"/>
    <row r="35029" ht="12.75" x14ac:dyDescent="0.2"/>
    <row r="35030" ht="12.75" x14ac:dyDescent="0.2"/>
    <row r="35031" ht="12.75" x14ac:dyDescent="0.2"/>
    <row r="35032" ht="12.75" x14ac:dyDescent="0.2"/>
    <row r="35033" ht="12.75" x14ac:dyDescent="0.2"/>
    <row r="35034" ht="12.75" x14ac:dyDescent="0.2"/>
    <row r="35035" ht="12.75" x14ac:dyDescent="0.2"/>
    <row r="35036" ht="12.75" x14ac:dyDescent="0.2"/>
    <row r="35037" ht="12.75" x14ac:dyDescent="0.2"/>
    <row r="35038" ht="12.75" x14ac:dyDescent="0.2"/>
    <row r="35039" ht="12.75" x14ac:dyDescent="0.2"/>
    <row r="35040" ht="12.75" x14ac:dyDescent="0.2"/>
    <row r="35041" ht="12.75" x14ac:dyDescent="0.2"/>
    <row r="35042" ht="12.75" x14ac:dyDescent="0.2"/>
    <row r="35043" ht="12.75" x14ac:dyDescent="0.2"/>
    <row r="35044" ht="12.75" x14ac:dyDescent="0.2"/>
    <row r="35045" ht="12.75" x14ac:dyDescent="0.2"/>
    <row r="35046" ht="12.75" x14ac:dyDescent="0.2"/>
    <row r="35047" ht="12.75" x14ac:dyDescent="0.2"/>
    <row r="35048" ht="12.75" x14ac:dyDescent="0.2"/>
    <row r="35049" ht="12.75" x14ac:dyDescent="0.2"/>
    <row r="35050" ht="12.75" x14ac:dyDescent="0.2"/>
    <row r="35051" ht="12.75" x14ac:dyDescent="0.2"/>
    <row r="35052" ht="12.75" x14ac:dyDescent="0.2"/>
    <row r="35053" ht="12.75" x14ac:dyDescent="0.2"/>
    <row r="35054" ht="12.75" x14ac:dyDescent="0.2"/>
    <row r="35055" ht="12.75" x14ac:dyDescent="0.2"/>
    <row r="35056" ht="12.75" x14ac:dyDescent="0.2"/>
    <row r="35057" ht="12.75" x14ac:dyDescent="0.2"/>
    <row r="35058" ht="12.75" x14ac:dyDescent="0.2"/>
    <row r="35059" ht="12.75" x14ac:dyDescent="0.2"/>
    <row r="35060" ht="12.75" x14ac:dyDescent="0.2"/>
    <row r="35061" ht="12.75" x14ac:dyDescent="0.2"/>
    <row r="35062" ht="12.75" x14ac:dyDescent="0.2"/>
    <row r="35063" ht="12.75" x14ac:dyDescent="0.2"/>
    <row r="35064" ht="12.75" x14ac:dyDescent="0.2"/>
    <row r="35065" ht="12.75" x14ac:dyDescent="0.2"/>
    <row r="35066" ht="12.75" x14ac:dyDescent="0.2"/>
    <row r="35067" ht="12.75" x14ac:dyDescent="0.2"/>
    <row r="35068" ht="12.75" x14ac:dyDescent="0.2"/>
    <row r="35069" ht="12.75" x14ac:dyDescent="0.2"/>
    <row r="35070" ht="12.75" x14ac:dyDescent="0.2"/>
    <row r="35071" ht="12.75" x14ac:dyDescent="0.2"/>
    <row r="35072" ht="12.75" x14ac:dyDescent="0.2"/>
    <row r="35073" ht="12.75" x14ac:dyDescent="0.2"/>
    <row r="35074" ht="12.75" x14ac:dyDescent="0.2"/>
    <row r="35075" ht="12.75" x14ac:dyDescent="0.2"/>
    <row r="35076" ht="12.75" x14ac:dyDescent="0.2"/>
    <row r="35077" ht="12.75" x14ac:dyDescent="0.2"/>
    <row r="35078" ht="12.75" x14ac:dyDescent="0.2"/>
    <row r="35079" ht="12.75" x14ac:dyDescent="0.2"/>
    <row r="35080" ht="12.75" x14ac:dyDescent="0.2"/>
    <row r="35081" ht="12.75" x14ac:dyDescent="0.2"/>
    <row r="35082" ht="12.75" x14ac:dyDescent="0.2"/>
    <row r="35083" ht="12.75" x14ac:dyDescent="0.2"/>
    <row r="35084" ht="12.75" x14ac:dyDescent="0.2"/>
    <row r="35085" ht="12.75" x14ac:dyDescent="0.2"/>
    <row r="35086" ht="12.75" x14ac:dyDescent="0.2"/>
    <row r="35087" ht="12.75" x14ac:dyDescent="0.2"/>
    <row r="35088" ht="12.75" x14ac:dyDescent="0.2"/>
    <row r="35089" ht="12.75" x14ac:dyDescent="0.2"/>
    <row r="35090" ht="12.75" x14ac:dyDescent="0.2"/>
    <row r="35091" ht="12.75" x14ac:dyDescent="0.2"/>
    <row r="35092" ht="12.75" x14ac:dyDescent="0.2"/>
    <row r="35093" ht="12.75" x14ac:dyDescent="0.2"/>
    <row r="35094" ht="12.75" x14ac:dyDescent="0.2"/>
    <row r="35095" ht="12.75" x14ac:dyDescent="0.2"/>
    <row r="35096" ht="12.75" x14ac:dyDescent="0.2"/>
    <row r="35097" ht="12.75" x14ac:dyDescent="0.2"/>
    <row r="35098" ht="12.75" x14ac:dyDescent="0.2"/>
    <row r="35099" ht="12.75" x14ac:dyDescent="0.2"/>
    <row r="35100" ht="12.75" x14ac:dyDescent="0.2"/>
    <row r="35101" ht="12.75" x14ac:dyDescent="0.2"/>
    <row r="35102" ht="12.75" x14ac:dyDescent="0.2"/>
    <row r="35103" ht="12.75" x14ac:dyDescent="0.2"/>
    <row r="35104" ht="12.75" x14ac:dyDescent="0.2"/>
    <row r="35105" ht="12.75" x14ac:dyDescent="0.2"/>
    <row r="35106" ht="12.75" x14ac:dyDescent="0.2"/>
    <row r="35107" ht="12.75" x14ac:dyDescent="0.2"/>
    <row r="35108" ht="12.75" x14ac:dyDescent="0.2"/>
    <row r="35109" ht="12.75" x14ac:dyDescent="0.2"/>
    <row r="35110" ht="12.75" x14ac:dyDescent="0.2"/>
    <row r="35111" ht="12.75" x14ac:dyDescent="0.2"/>
    <row r="35112" ht="12.75" x14ac:dyDescent="0.2"/>
    <row r="35113" ht="12.75" x14ac:dyDescent="0.2"/>
    <row r="35114" ht="12.75" x14ac:dyDescent="0.2"/>
    <row r="35115" ht="12.75" x14ac:dyDescent="0.2"/>
    <row r="35116" ht="12.75" x14ac:dyDescent="0.2"/>
    <row r="35117" ht="12.75" x14ac:dyDescent="0.2"/>
    <row r="35118" ht="12.75" x14ac:dyDescent="0.2"/>
    <row r="35119" ht="12.75" x14ac:dyDescent="0.2"/>
    <row r="35120" ht="12.75" x14ac:dyDescent="0.2"/>
    <row r="35121" ht="12.75" x14ac:dyDescent="0.2"/>
    <row r="35122" ht="12.75" x14ac:dyDescent="0.2"/>
    <row r="35123" ht="12.75" x14ac:dyDescent="0.2"/>
    <row r="35124" ht="12.75" x14ac:dyDescent="0.2"/>
    <row r="35125" ht="12.75" x14ac:dyDescent="0.2"/>
    <row r="35126" ht="12.75" x14ac:dyDescent="0.2"/>
    <row r="35127" ht="12.75" x14ac:dyDescent="0.2"/>
    <row r="35128" ht="12.75" x14ac:dyDescent="0.2"/>
    <row r="35129" ht="12.75" x14ac:dyDescent="0.2"/>
    <row r="35130" ht="12.75" x14ac:dyDescent="0.2"/>
    <row r="35131" ht="12.75" x14ac:dyDescent="0.2"/>
    <row r="35132" ht="12.75" x14ac:dyDescent="0.2"/>
    <row r="35133" ht="12.75" x14ac:dyDescent="0.2"/>
    <row r="35134" ht="12.75" x14ac:dyDescent="0.2"/>
    <row r="35135" ht="12.75" x14ac:dyDescent="0.2"/>
    <row r="35136" ht="12.75" x14ac:dyDescent="0.2"/>
    <row r="35137" ht="12.75" x14ac:dyDescent="0.2"/>
    <row r="35138" ht="12.75" x14ac:dyDescent="0.2"/>
    <row r="35139" ht="12.75" x14ac:dyDescent="0.2"/>
    <row r="35140" ht="12.75" x14ac:dyDescent="0.2"/>
    <row r="35141" ht="12.75" x14ac:dyDescent="0.2"/>
    <row r="35142" ht="12.75" x14ac:dyDescent="0.2"/>
    <row r="35143" ht="12.75" x14ac:dyDescent="0.2"/>
    <row r="35144" ht="12.75" x14ac:dyDescent="0.2"/>
    <row r="35145" ht="12.75" x14ac:dyDescent="0.2"/>
    <row r="35146" ht="12.75" x14ac:dyDescent="0.2"/>
    <row r="35147" ht="12.75" x14ac:dyDescent="0.2"/>
    <row r="35148" ht="12.75" x14ac:dyDescent="0.2"/>
    <row r="35149" ht="12.75" x14ac:dyDescent="0.2"/>
    <row r="35150" ht="12.75" x14ac:dyDescent="0.2"/>
    <row r="35151" ht="12.75" x14ac:dyDescent="0.2"/>
    <row r="35152" ht="12.75" x14ac:dyDescent="0.2"/>
    <row r="35153" ht="12.75" x14ac:dyDescent="0.2"/>
    <row r="35154" ht="12.75" x14ac:dyDescent="0.2"/>
    <row r="35155" ht="12.75" x14ac:dyDescent="0.2"/>
    <row r="35156" ht="12.75" x14ac:dyDescent="0.2"/>
    <row r="35157" ht="12.75" x14ac:dyDescent="0.2"/>
    <row r="35158" ht="12.75" x14ac:dyDescent="0.2"/>
    <row r="35159" ht="12.75" x14ac:dyDescent="0.2"/>
    <row r="35160" ht="12.75" x14ac:dyDescent="0.2"/>
    <row r="35161" ht="12.75" x14ac:dyDescent="0.2"/>
    <row r="35162" ht="12.75" x14ac:dyDescent="0.2"/>
    <row r="35163" ht="12.75" x14ac:dyDescent="0.2"/>
    <row r="35164" ht="12.75" x14ac:dyDescent="0.2"/>
    <row r="35165" ht="12.75" x14ac:dyDescent="0.2"/>
    <row r="35166" ht="12.75" x14ac:dyDescent="0.2"/>
    <row r="35167" ht="12.75" x14ac:dyDescent="0.2"/>
    <row r="35168" ht="12.75" x14ac:dyDescent="0.2"/>
    <row r="35169" ht="12.75" x14ac:dyDescent="0.2"/>
    <row r="35170" ht="12.75" x14ac:dyDescent="0.2"/>
    <row r="35171" ht="12.75" x14ac:dyDescent="0.2"/>
    <row r="35172" ht="12.75" x14ac:dyDescent="0.2"/>
    <row r="35173" ht="12.75" x14ac:dyDescent="0.2"/>
    <row r="35174" ht="12.75" x14ac:dyDescent="0.2"/>
    <row r="35175" ht="12.75" x14ac:dyDescent="0.2"/>
    <row r="35176" ht="12.75" x14ac:dyDescent="0.2"/>
    <row r="35177" ht="12.75" x14ac:dyDescent="0.2"/>
    <row r="35178" ht="12.75" x14ac:dyDescent="0.2"/>
    <row r="35179" ht="12.75" x14ac:dyDescent="0.2"/>
    <row r="35180" ht="12.75" x14ac:dyDescent="0.2"/>
    <row r="35181" ht="12.75" x14ac:dyDescent="0.2"/>
    <row r="35182" ht="12.75" x14ac:dyDescent="0.2"/>
    <row r="35183" ht="12.75" x14ac:dyDescent="0.2"/>
    <row r="35184" ht="12.75" x14ac:dyDescent="0.2"/>
    <row r="35185" ht="12.75" x14ac:dyDescent="0.2"/>
    <row r="35186" ht="12.75" x14ac:dyDescent="0.2"/>
    <row r="35187" ht="12.75" x14ac:dyDescent="0.2"/>
    <row r="35188" ht="12.75" x14ac:dyDescent="0.2"/>
    <row r="35189" ht="12.75" x14ac:dyDescent="0.2"/>
    <row r="35190" ht="12.75" x14ac:dyDescent="0.2"/>
    <row r="35191" ht="12.75" x14ac:dyDescent="0.2"/>
    <row r="35192" ht="12.75" x14ac:dyDescent="0.2"/>
    <row r="35193" ht="12.75" x14ac:dyDescent="0.2"/>
    <row r="35194" ht="12.75" x14ac:dyDescent="0.2"/>
    <row r="35195" ht="12.75" x14ac:dyDescent="0.2"/>
    <row r="35196" ht="12.75" x14ac:dyDescent="0.2"/>
    <row r="35197" ht="12.75" x14ac:dyDescent="0.2"/>
    <row r="35198" ht="12.75" x14ac:dyDescent="0.2"/>
    <row r="35199" ht="12.75" x14ac:dyDescent="0.2"/>
    <row r="35200" ht="12.75" x14ac:dyDescent="0.2"/>
    <row r="35201" ht="12.75" x14ac:dyDescent="0.2"/>
    <row r="35202" ht="12.75" x14ac:dyDescent="0.2"/>
    <row r="35203" ht="12.75" x14ac:dyDescent="0.2"/>
    <row r="35204" ht="12.75" x14ac:dyDescent="0.2"/>
    <row r="35205" ht="12.75" x14ac:dyDescent="0.2"/>
    <row r="35206" ht="12.75" x14ac:dyDescent="0.2"/>
    <row r="35207" ht="12.75" x14ac:dyDescent="0.2"/>
    <row r="35208" ht="12.75" x14ac:dyDescent="0.2"/>
    <row r="35209" ht="12.75" x14ac:dyDescent="0.2"/>
    <row r="35210" ht="12.75" x14ac:dyDescent="0.2"/>
    <row r="35211" ht="12.75" x14ac:dyDescent="0.2"/>
    <row r="35212" ht="12.75" x14ac:dyDescent="0.2"/>
    <row r="35213" ht="12.75" x14ac:dyDescent="0.2"/>
    <row r="35214" ht="12.75" x14ac:dyDescent="0.2"/>
    <row r="35215" ht="12.75" x14ac:dyDescent="0.2"/>
    <row r="35216" ht="12.75" x14ac:dyDescent="0.2"/>
    <row r="35217" ht="12.75" x14ac:dyDescent="0.2"/>
    <row r="35218" ht="12.75" x14ac:dyDescent="0.2"/>
    <row r="35219" ht="12.75" x14ac:dyDescent="0.2"/>
    <row r="35220" ht="12.75" x14ac:dyDescent="0.2"/>
    <row r="35221" ht="12.75" x14ac:dyDescent="0.2"/>
    <row r="35222" ht="12.75" x14ac:dyDescent="0.2"/>
    <row r="35223" ht="12.75" x14ac:dyDescent="0.2"/>
    <row r="35224" ht="12.75" x14ac:dyDescent="0.2"/>
    <row r="35225" ht="12.75" x14ac:dyDescent="0.2"/>
    <row r="35226" ht="12.75" x14ac:dyDescent="0.2"/>
    <row r="35227" ht="12.75" x14ac:dyDescent="0.2"/>
    <row r="35228" ht="12.75" x14ac:dyDescent="0.2"/>
    <row r="35229" ht="12.75" x14ac:dyDescent="0.2"/>
    <row r="35230" ht="12.75" x14ac:dyDescent="0.2"/>
    <row r="35231" ht="12.75" x14ac:dyDescent="0.2"/>
    <row r="35232" ht="12.75" x14ac:dyDescent="0.2"/>
    <row r="35233" ht="12.75" x14ac:dyDescent="0.2"/>
    <row r="35234" ht="12.75" x14ac:dyDescent="0.2"/>
    <row r="35235" ht="12.75" x14ac:dyDescent="0.2"/>
    <row r="35236" ht="12.75" x14ac:dyDescent="0.2"/>
    <row r="35237" ht="12.75" x14ac:dyDescent="0.2"/>
    <row r="35238" ht="12.75" x14ac:dyDescent="0.2"/>
    <row r="35239" ht="12.75" x14ac:dyDescent="0.2"/>
    <row r="35240" ht="12.75" x14ac:dyDescent="0.2"/>
    <row r="35241" ht="12.75" x14ac:dyDescent="0.2"/>
    <row r="35242" ht="12.75" x14ac:dyDescent="0.2"/>
    <row r="35243" ht="12.75" x14ac:dyDescent="0.2"/>
    <row r="35244" ht="12.75" x14ac:dyDescent="0.2"/>
    <row r="35245" ht="12.75" x14ac:dyDescent="0.2"/>
    <row r="35246" ht="12.75" x14ac:dyDescent="0.2"/>
    <row r="35247" ht="12.75" x14ac:dyDescent="0.2"/>
    <row r="35248" ht="12.75" x14ac:dyDescent="0.2"/>
    <row r="35249" ht="12.75" x14ac:dyDescent="0.2"/>
    <row r="35250" ht="12.75" x14ac:dyDescent="0.2"/>
    <row r="35251" ht="12.75" x14ac:dyDescent="0.2"/>
    <row r="35252" ht="12.75" x14ac:dyDescent="0.2"/>
    <row r="35253" ht="12.75" x14ac:dyDescent="0.2"/>
    <row r="35254" ht="12.75" x14ac:dyDescent="0.2"/>
    <row r="35255" ht="12.75" x14ac:dyDescent="0.2"/>
    <row r="35256" ht="12.75" x14ac:dyDescent="0.2"/>
    <row r="35257" ht="12.75" x14ac:dyDescent="0.2"/>
    <row r="35258" ht="12.75" x14ac:dyDescent="0.2"/>
    <row r="35259" ht="12.75" x14ac:dyDescent="0.2"/>
    <row r="35260" ht="12.75" x14ac:dyDescent="0.2"/>
    <row r="35261" ht="12.75" x14ac:dyDescent="0.2"/>
    <row r="35262" ht="12.75" x14ac:dyDescent="0.2"/>
    <row r="35263" ht="12.75" x14ac:dyDescent="0.2"/>
    <row r="35264" ht="12.75" x14ac:dyDescent="0.2"/>
    <row r="35265" ht="12.75" x14ac:dyDescent="0.2"/>
    <row r="35266" ht="12.75" x14ac:dyDescent="0.2"/>
    <row r="35267" ht="12.75" x14ac:dyDescent="0.2"/>
    <row r="35268" ht="12.75" x14ac:dyDescent="0.2"/>
    <row r="35269" ht="12.75" x14ac:dyDescent="0.2"/>
    <row r="35270" ht="12.75" x14ac:dyDescent="0.2"/>
    <row r="35271" ht="12.75" x14ac:dyDescent="0.2"/>
    <row r="35272" ht="12.75" x14ac:dyDescent="0.2"/>
    <row r="35273" ht="12.75" x14ac:dyDescent="0.2"/>
    <row r="35274" ht="12.75" x14ac:dyDescent="0.2"/>
    <row r="35275" ht="12.75" x14ac:dyDescent="0.2"/>
    <row r="35276" ht="12.75" x14ac:dyDescent="0.2"/>
    <row r="35277" ht="12.75" x14ac:dyDescent="0.2"/>
    <row r="35278" ht="12.75" x14ac:dyDescent="0.2"/>
    <row r="35279" ht="12.75" x14ac:dyDescent="0.2"/>
    <row r="35280" ht="12.75" x14ac:dyDescent="0.2"/>
    <row r="35281" ht="12.75" x14ac:dyDescent="0.2"/>
    <row r="35282" ht="12.75" x14ac:dyDescent="0.2"/>
    <row r="35283" ht="12.75" x14ac:dyDescent="0.2"/>
    <row r="35284" ht="12.75" x14ac:dyDescent="0.2"/>
    <row r="35285" ht="12.75" x14ac:dyDescent="0.2"/>
    <row r="35286" ht="12.75" x14ac:dyDescent="0.2"/>
    <row r="35287" ht="12.75" x14ac:dyDescent="0.2"/>
    <row r="35288" ht="12.75" x14ac:dyDescent="0.2"/>
    <row r="35289" ht="12.75" x14ac:dyDescent="0.2"/>
    <row r="35290" ht="12.75" x14ac:dyDescent="0.2"/>
    <row r="35291" ht="12.75" x14ac:dyDescent="0.2"/>
    <row r="35292" ht="12.75" x14ac:dyDescent="0.2"/>
    <row r="35293" ht="12.75" x14ac:dyDescent="0.2"/>
    <row r="35294" ht="12.75" x14ac:dyDescent="0.2"/>
    <row r="35295" ht="12.75" x14ac:dyDescent="0.2"/>
    <row r="35296" ht="12.75" x14ac:dyDescent="0.2"/>
    <row r="35297" ht="12.75" x14ac:dyDescent="0.2"/>
    <row r="35298" ht="12.75" x14ac:dyDescent="0.2"/>
    <row r="35299" ht="12.75" x14ac:dyDescent="0.2"/>
    <row r="35300" ht="12.75" x14ac:dyDescent="0.2"/>
    <row r="35301" ht="12.75" x14ac:dyDescent="0.2"/>
    <row r="35302" ht="12.75" x14ac:dyDescent="0.2"/>
    <row r="35303" ht="12.75" x14ac:dyDescent="0.2"/>
    <row r="35304" ht="12.75" x14ac:dyDescent="0.2"/>
    <row r="35305" ht="12.75" x14ac:dyDescent="0.2"/>
    <row r="35306" ht="12.75" x14ac:dyDescent="0.2"/>
    <row r="35307" ht="12.75" x14ac:dyDescent="0.2"/>
    <row r="35308" ht="12.75" x14ac:dyDescent="0.2"/>
    <row r="35309" ht="12.75" x14ac:dyDescent="0.2"/>
    <row r="35310" ht="12.75" x14ac:dyDescent="0.2"/>
    <row r="35311" ht="12.75" x14ac:dyDescent="0.2"/>
    <row r="35312" ht="12.75" x14ac:dyDescent="0.2"/>
    <row r="35313" ht="12.75" x14ac:dyDescent="0.2"/>
    <row r="35314" ht="12.75" x14ac:dyDescent="0.2"/>
    <row r="35315" ht="12.75" x14ac:dyDescent="0.2"/>
    <row r="35316" ht="12.75" x14ac:dyDescent="0.2"/>
    <row r="35317" ht="12.75" x14ac:dyDescent="0.2"/>
    <row r="35318" ht="12.75" x14ac:dyDescent="0.2"/>
    <row r="35319" ht="12.75" x14ac:dyDescent="0.2"/>
    <row r="35320" ht="12.75" x14ac:dyDescent="0.2"/>
    <row r="35321" ht="12.75" x14ac:dyDescent="0.2"/>
    <row r="35322" ht="12.75" x14ac:dyDescent="0.2"/>
    <row r="35323" ht="12.75" x14ac:dyDescent="0.2"/>
    <row r="35324" ht="12.75" x14ac:dyDescent="0.2"/>
    <row r="35325" ht="12.75" x14ac:dyDescent="0.2"/>
    <row r="35326" ht="12.75" x14ac:dyDescent="0.2"/>
    <row r="35327" ht="12.75" x14ac:dyDescent="0.2"/>
    <row r="35328" ht="12.75" x14ac:dyDescent="0.2"/>
    <row r="35329" ht="12.75" x14ac:dyDescent="0.2"/>
    <row r="35330" ht="12.75" x14ac:dyDescent="0.2"/>
    <row r="35331" ht="12.75" x14ac:dyDescent="0.2"/>
    <row r="35332" ht="12.75" x14ac:dyDescent="0.2"/>
    <row r="35333" ht="12.75" x14ac:dyDescent="0.2"/>
    <row r="35334" ht="12.75" x14ac:dyDescent="0.2"/>
    <row r="35335" ht="12.75" x14ac:dyDescent="0.2"/>
    <row r="35336" ht="12.75" x14ac:dyDescent="0.2"/>
    <row r="35337" ht="12.75" x14ac:dyDescent="0.2"/>
    <row r="35338" ht="12.75" x14ac:dyDescent="0.2"/>
    <row r="35339" ht="12.75" x14ac:dyDescent="0.2"/>
    <row r="35340" ht="12.75" x14ac:dyDescent="0.2"/>
    <row r="35341" ht="12.75" x14ac:dyDescent="0.2"/>
    <row r="35342" ht="12.75" x14ac:dyDescent="0.2"/>
    <row r="35343" ht="12.75" x14ac:dyDescent="0.2"/>
    <row r="35344" ht="12.75" x14ac:dyDescent="0.2"/>
    <row r="35345" ht="12.75" x14ac:dyDescent="0.2"/>
    <row r="35346" ht="12.75" x14ac:dyDescent="0.2"/>
    <row r="35347" ht="12.75" x14ac:dyDescent="0.2"/>
    <row r="35348" ht="12.75" x14ac:dyDescent="0.2"/>
    <row r="35349" ht="12.75" x14ac:dyDescent="0.2"/>
    <row r="35350" ht="12.75" x14ac:dyDescent="0.2"/>
    <row r="35351" ht="12.75" x14ac:dyDescent="0.2"/>
    <row r="35352" ht="12.75" x14ac:dyDescent="0.2"/>
    <row r="35353" ht="12.75" x14ac:dyDescent="0.2"/>
    <row r="35354" ht="12.75" x14ac:dyDescent="0.2"/>
    <row r="35355" ht="12.75" x14ac:dyDescent="0.2"/>
    <row r="35356" ht="12.75" x14ac:dyDescent="0.2"/>
    <row r="35357" ht="12.75" x14ac:dyDescent="0.2"/>
    <row r="35358" ht="12.75" x14ac:dyDescent="0.2"/>
    <row r="35359" ht="12.75" x14ac:dyDescent="0.2"/>
    <row r="35360" ht="12.75" x14ac:dyDescent="0.2"/>
    <row r="35361" ht="12.75" x14ac:dyDescent="0.2"/>
    <row r="35362" ht="12.75" x14ac:dyDescent="0.2"/>
    <row r="35363" ht="12.75" x14ac:dyDescent="0.2"/>
    <row r="35364" ht="12.75" x14ac:dyDescent="0.2"/>
    <row r="35365" ht="12.75" x14ac:dyDescent="0.2"/>
    <row r="35366" ht="12.75" x14ac:dyDescent="0.2"/>
    <row r="35367" ht="12.75" x14ac:dyDescent="0.2"/>
    <row r="35368" ht="12.75" x14ac:dyDescent="0.2"/>
    <row r="35369" ht="12.75" x14ac:dyDescent="0.2"/>
    <row r="35370" ht="12.75" x14ac:dyDescent="0.2"/>
    <row r="35371" ht="12.75" x14ac:dyDescent="0.2"/>
    <row r="35372" ht="12.75" x14ac:dyDescent="0.2"/>
    <row r="35373" ht="12.75" x14ac:dyDescent="0.2"/>
    <row r="35374" ht="12.75" x14ac:dyDescent="0.2"/>
    <row r="35375" ht="12.75" x14ac:dyDescent="0.2"/>
    <row r="35376" ht="12.75" x14ac:dyDescent="0.2"/>
    <row r="35377" ht="12.75" x14ac:dyDescent="0.2"/>
    <row r="35378" ht="12.75" x14ac:dyDescent="0.2"/>
    <row r="35379" ht="12.75" x14ac:dyDescent="0.2"/>
    <row r="35380" ht="12.75" x14ac:dyDescent="0.2"/>
    <row r="35381" ht="12.75" x14ac:dyDescent="0.2"/>
    <row r="35382" ht="12.75" x14ac:dyDescent="0.2"/>
    <row r="35383" ht="12.75" x14ac:dyDescent="0.2"/>
    <row r="35384" ht="12.75" x14ac:dyDescent="0.2"/>
    <row r="35385" ht="12.75" x14ac:dyDescent="0.2"/>
    <row r="35386" ht="12.75" x14ac:dyDescent="0.2"/>
    <row r="35387" ht="12.75" x14ac:dyDescent="0.2"/>
    <row r="35388" ht="12.75" x14ac:dyDescent="0.2"/>
    <row r="35389" ht="12.75" x14ac:dyDescent="0.2"/>
    <row r="35390" ht="12.75" x14ac:dyDescent="0.2"/>
    <row r="35391" ht="12.75" x14ac:dyDescent="0.2"/>
    <row r="35392" ht="12.75" x14ac:dyDescent="0.2"/>
    <row r="35393" ht="12.75" x14ac:dyDescent="0.2"/>
    <row r="35394" ht="12.75" x14ac:dyDescent="0.2"/>
    <row r="35395" ht="12.75" x14ac:dyDescent="0.2"/>
    <row r="35396" ht="12.75" x14ac:dyDescent="0.2"/>
    <row r="35397" ht="12.75" x14ac:dyDescent="0.2"/>
    <row r="35398" ht="12.75" x14ac:dyDescent="0.2"/>
    <row r="35399" ht="12.75" x14ac:dyDescent="0.2"/>
    <row r="35400" ht="12.75" x14ac:dyDescent="0.2"/>
    <row r="35401" ht="12.75" x14ac:dyDescent="0.2"/>
    <row r="35402" ht="12.75" x14ac:dyDescent="0.2"/>
    <row r="35403" ht="12.75" x14ac:dyDescent="0.2"/>
    <row r="35404" ht="12.75" x14ac:dyDescent="0.2"/>
    <row r="35405" ht="12.75" x14ac:dyDescent="0.2"/>
    <row r="35406" ht="12.75" x14ac:dyDescent="0.2"/>
    <row r="35407" ht="12.75" x14ac:dyDescent="0.2"/>
    <row r="35408" ht="12.75" x14ac:dyDescent="0.2"/>
    <row r="35409" ht="12.75" x14ac:dyDescent="0.2"/>
    <row r="35410" ht="12.75" x14ac:dyDescent="0.2"/>
    <row r="35411" ht="12.75" x14ac:dyDescent="0.2"/>
    <row r="35412" ht="12.75" x14ac:dyDescent="0.2"/>
    <row r="35413" ht="12.75" x14ac:dyDescent="0.2"/>
    <row r="35414" ht="12.75" x14ac:dyDescent="0.2"/>
    <row r="35415" ht="12.75" x14ac:dyDescent="0.2"/>
    <row r="35416" ht="12.75" x14ac:dyDescent="0.2"/>
    <row r="35417" ht="12.75" x14ac:dyDescent="0.2"/>
    <row r="35418" ht="12.75" x14ac:dyDescent="0.2"/>
    <row r="35419" ht="12.75" x14ac:dyDescent="0.2"/>
    <row r="35420" ht="12.75" x14ac:dyDescent="0.2"/>
    <row r="35421" ht="12.75" x14ac:dyDescent="0.2"/>
    <row r="35422" ht="12.75" x14ac:dyDescent="0.2"/>
    <row r="35423" ht="12.75" x14ac:dyDescent="0.2"/>
    <row r="35424" ht="12.75" x14ac:dyDescent="0.2"/>
    <row r="35425" ht="12.75" x14ac:dyDescent="0.2"/>
    <row r="35426" ht="12.75" x14ac:dyDescent="0.2"/>
    <row r="35427" ht="12.75" x14ac:dyDescent="0.2"/>
    <row r="35428" ht="12.75" x14ac:dyDescent="0.2"/>
    <row r="35429" ht="12.75" x14ac:dyDescent="0.2"/>
    <row r="35430" ht="12.75" x14ac:dyDescent="0.2"/>
    <row r="35431" ht="12.75" x14ac:dyDescent="0.2"/>
    <row r="35432" ht="12.75" x14ac:dyDescent="0.2"/>
    <row r="35433" ht="12.75" x14ac:dyDescent="0.2"/>
    <row r="35434" ht="12.75" x14ac:dyDescent="0.2"/>
    <row r="35435" ht="12.75" x14ac:dyDescent="0.2"/>
    <row r="35436" ht="12.75" x14ac:dyDescent="0.2"/>
    <row r="35437" ht="12.75" x14ac:dyDescent="0.2"/>
    <row r="35438" ht="12.75" x14ac:dyDescent="0.2"/>
    <row r="35439" ht="12.75" x14ac:dyDescent="0.2"/>
    <row r="35440" ht="12.75" x14ac:dyDescent="0.2"/>
    <row r="35441" ht="12.75" x14ac:dyDescent="0.2"/>
    <row r="35442" ht="12.75" x14ac:dyDescent="0.2"/>
    <row r="35443" ht="12.75" x14ac:dyDescent="0.2"/>
    <row r="35444" ht="12.75" x14ac:dyDescent="0.2"/>
    <row r="35445" ht="12.75" x14ac:dyDescent="0.2"/>
    <row r="35446" ht="12.75" x14ac:dyDescent="0.2"/>
    <row r="35447" ht="12.75" x14ac:dyDescent="0.2"/>
    <row r="35448" ht="12.75" x14ac:dyDescent="0.2"/>
    <row r="35449" ht="12.75" x14ac:dyDescent="0.2"/>
    <row r="35450" ht="12.75" x14ac:dyDescent="0.2"/>
    <row r="35451" ht="12.75" x14ac:dyDescent="0.2"/>
    <row r="35452" ht="12.75" x14ac:dyDescent="0.2"/>
    <row r="35453" ht="12.75" x14ac:dyDescent="0.2"/>
    <row r="35454" ht="12.75" x14ac:dyDescent="0.2"/>
    <row r="35455" ht="12.75" x14ac:dyDescent="0.2"/>
    <row r="35456" ht="12.75" x14ac:dyDescent="0.2"/>
    <row r="35457" ht="12.75" x14ac:dyDescent="0.2"/>
    <row r="35458" ht="12.75" x14ac:dyDescent="0.2"/>
    <row r="35459" ht="12.75" x14ac:dyDescent="0.2"/>
    <row r="35460" ht="12.75" x14ac:dyDescent="0.2"/>
    <row r="35461" ht="12.75" x14ac:dyDescent="0.2"/>
    <row r="35462" ht="12.75" x14ac:dyDescent="0.2"/>
    <row r="35463" ht="12.75" x14ac:dyDescent="0.2"/>
    <row r="35464" ht="12.75" x14ac:dyDescent="0.2"/>
    <row r="35465" ht="12.75" x14ac:dyDescent="0.2"/>
    <row r="35466" ht="12.75" x14ac:dyDescent="0.2"/>
    <row r="35467" ht="12.75" x14ac:dyDescent="0.2"/>
    <row r="35468" ht="12.75" x14ac:dyDescent="0.2"/>
    <row r="35469" ht="12.75" x14ac:dyDescent="0.2"/>
    <row r="35470" ht="12.75" x14ac:dyDescent="0.2"/>
    <row r="35471" ht="12.75" x14ac:dyDescent="0.2"/>
    <row r="35472" ht="12.75" x14ac:dyDescent="0.2"/>
    <row r="35473" ht="12.75" x14ac:dyDescent="0.2"/>
    <row r="35474" ht="12.75" x14ac:dyDescent="0.2"/>
    <row r="35475" ht="12.75" x14ac:dyDescent="0.2"/>
    <row r="35476" ht="12.75" x14ac:dyDescent="0.2"/>
    <row r="35477" ht="12.75" x14ac:dyDescent="0.2"/>
    <row r="35478" ht="12.75" x14ac:dyDescent="0.2"/>
    <row r="35479" ht="12.75" x14ac:dyDescent="0.2"/>
    <row r="35480" ht="12.75" x14ac:dyDescent="0.2"/>
    <row r="35481" ht="12.75" x14ac:dyDescent="0.2"/>
    <row r="35482" ht="12.75" x14ac:dyDescent="0.2"/>
    <row r="35483" ht="12.75" x14ac:dyDescent="0.2"/>
    <row r="35484" ht="12.75" x14ac:dyDescent="0.2"/>
    <row r="35485" ht="12.75" x14ac:dyDescent="0.2"/>
    <row r="35486" ht="12.75" x14ac:dyDescent="0.2"/>
    <row r="35487" ht="12.75" x14ac:dyDescent="0.2"/>
    <row r="35488" ht="12.75" x14ac:dyDescent="0.2"/>
    <row r="35489" ht="12.75" x14ac:dyDescent="0.2"/>
    <row r="35490" ht="12.75" x14ac:dyDescent="0.2"/>
    <row r="35491" ht="12.75" x14ac:dyDescent="0.2"/>
    <row r="35492" ht="12.75" x14ac:dyDescent="0.2"/>
    <row r="35493" ht="12.75" x14ac:dyDescent="0.2"/>
    <row r="35494" ht="12.75" x14ac:dyDescent="0.2"/>
    <row r="35495" ht="12.75" x14ac:dyDescent="0.2"/>
    <row r="35496" ht="12.75" x14ac:dyDescent="0.2"/>
    <row r="35497" ht="12.75" x14ac:dyDescent="0.2"/>
    <row r="35498" ht="12.75" x14ac:dyDescent="0.2"/>
    <row r="35499" ht="12.75" x14ac:dyDescent="0.2"/>
    <row r="35500" ht="12.75" x14ac:dyDescent="0.2"/>
    <row r="35501" ht="12.75" x14ac:dyDescent="0.2"/>
    <row r="35502" ht="12.75" x14ac:dyDescent="0.2"/>
    <row r="35503" ht="12.75" x14ac:dyDescent="0.2"/>
    <row r="35504" ht="12.75" x14ac:dyDescent="0.2"/>
    <row r="35505" ht="12.75" x14ac:dyDescent="0.2"/>
    <row r="35506" ht="12.75" x14ac:dyDescent="0.2"/>
    <row r="35507" ht="12.75" x14ac:dyDescent="0.2"/>
    <row r="35508" ht="12.75" x14ac:dyDescent="0.2"/>
    <row r="35509" ht="12.75" x14ac:dyDescent="0.2"/>
    <row r="35510" ht="12.75" x14ac:dyDescent="0.2"/>
    <row r="35511" ht="12.75" x14ac:dyDescent="0.2"/>
    <row r="35512" ht="12.75" x14ac:dyDescent="0.2"/>
    <row r="35513" ht="12.75" x14ac:dyDescent="0.2"/>
    <row r="35514" ht="12.75" x14ac:dyDescent="0.2"/>
    <row r="35515" ht="12.75" x14ac:dyDescent="0.2"/>
    <row r="35516" ht="12.75" x14ac:dyDescent="0.2"/>
    <row r="35517" ht="12.75" x14ac:dyDescent="0.2"/>
    <row r="35518" ht="12.75" x14ac:dyDescent="0.2"/>
    <row r="35519" ht="12.75" x14ac:dyDescent="0.2"/>
    <row r="35520" ht="12.75" x14ac:dyDescent="0.2"/>
    <row r="35521" ht="12.75" x14ac:dyDescent="0.2"/>
    <row r="35522" ht="12.75" x14ac:dyDescent="0.2"/>
    <row r="35523" ht="12.75" x14ac:dyDescent="0.2"/>
    <row r="35524" ht="12.75" x14ac:dyDescent="0.2"/>
    <row r="35525" ht="12.75" x14ac:dyDescent="0.2"/>
    <row r="35526" ht="12.75" x14ac:dyDescent="0.2"/>
    <row r="35527" ht="12.75" x14ac:dyDescent="0.2"/>
    <row r="35528" ht="12.75" x14ac:dyDescent="0.2"/>
    <row r="35529" ht="12.75" x14ac:dyDescent="0.2"/>
    <row r="35530" ht="12.75" x14ac:dyDescent="0.2"/>
    <row r="35531" ht="12.75" x14ac:dyDescent="0.2"/>
    <row r="35532" ht="12.75" x14ac:dyDescent="0.2"/>
    <row r="35533" ht="12.75" x14ac:dyDescent="0.2"/>
    <row r="35534" ht="12.75" x14ac:dyDescent="0.2"/>
    <row r="35535" ht="12.75" x14ac:dyDescent="0.2"/>
    <row r="35536" ht="12.75" x14ac:dyDescent="0.2"/>
    <row r="35537" ht="12.75" x14ac:dyDescent="0.2"/>
    <row r="35538" ht="12.75" x14ac:dyDescent="0.2"/>
    <row r="35539" ht="12.75" x14ac:dyDescent="0.2"/>
    <row r="35540" ht="12.75" x14ac:dyDescent="0.2"/>
    <row r="35541" ht="12.75" x14ac:dyDescent="0.2"/>
    <row r="35542" ht="12.75" x14ac:dyDescent="0.2"/>
    <row r="35543" ht="12.75" x14ac:dyDescent="0.2"/>
    <row r="35544" ht="12.75" x14ac:dyDescent="0.2"/>
    <row r="35545" ht="12.75" x14ac:dyDescent="0.2"/>
    <row r="35546" ht="12.75" x14ac:dyDescent="0.2"/>
    <row r="35547" ht="12.75" x14ac:dyDescent="0.2"/>
    <row r="35548" ht="12.75" x14ac:dyDescent="0.2"/>
    <row r="35549" ht="12.75" x14ac:dyDescent="0.2"/>
    <row r="35550" ht="12.75" x14ac:dyDescent="0.2"/>
    <row r="35551" ht="12.75" x14ac:dyDescent="0.2"/>
    <row r="35552" ht="12.75" x14ac:dyDescent="0.2"/>
    <row r="35553" ht="12.75" x14ac:dyDescent="0.2"/>
    <row r="35554" ht="12.75" x14ac:dyDescent="0.2"/>
    <row r="35555" ht="12.75" x14ac:dyDescent="0.2"/>
    <row r="35556" ht="12.75" x14ac:dyDescent="0.2"/>
    <row r="35557" ht="12.75" x14ac:dyDescent="0.2"/>
    <row r="35558" ht="12.75" x14ac:dyDescent="0.2"/>
    <row r="35559" ht="12.75" x14ac:dyDescent="0.2"/>
    <row r="35560" ht="12.75" x14ac:dyDescent="0.2"/>
    <row r="35561" ht="12.75" x14ac:dyDescent="0.2"/>
    <row r="35562" ht="12.75" x14ac:dyDescent="0.2"/>
    <row r="35563" ht="12.75" x14ac:dyDescent="0.2"/>
    <row r="35564" ht="12.75" x14ac:dyDescent="0.2"/>
    <row r="35565" ht="12.75" x14ac:dyDescent="0.2"/>
    <row r="35566" ht="12.75" x14ac:dyDescent="0.2"/>
    <row r="35567" ht="12.75" x14ac:dyDescent="0.2"/>
    <row r="35568" ht="12.75" x14ac:dyDescent="0.2"/>
    <row r="35569" ht="12.75" x14ac:dyDescent="0.2"/>
    <row r="35570" ht="12.75" x14ac:dyDescent="0.2"/>
    <row r="35571" ht="12.75" x14ac:dyDescent="0.2"/>
    <row r="35572" ht="12.75" x14ac:dyDescent="0.2"/>
    <row r="35573" ht="12.75" x14ac:dyDescent="0.2"/>
    <row r="35574" ht="12.75" x14ac:dyDescent="0.2"/>
    <row r="35575" ht="12.75" x14ac:dyDescent="0.2"/>
    <row r="35576" ht="12.75" x14ac:dyDescent="0.2"/>
    <row r="35577" ht="12.75" x14ac:dyDescent="0.2"/>
    <row r="35578" ht="12.75" x14ac:dyDescent="0.2"/>
    <row r="35579" ht="12.75" x14ac:dyDescent="0.2"/>
    <row r="35580" ht="12.75" x14ac:dyDescent="0.2"/>
    <row r="35581" ht="12.75" x14ac:dyDescent="0.2"/>
    <row r="35582" ht="12.75" x14ac:dyDescent="0.2"/>
    <row r="35583" ht="12.75" x14ac:dyDescent="0.2"/>
    <row r="35584" ht="12.75" x14ac:dyDescent="0.2"/>
    <row r="35585" ht="12.75" x14ac:dyDescent="0.2"/>
    <row r="35586" ht="12.75" x14ac:dyDescent="0.2"/>
    <row r="35587" ht="12.75" x14ac:dyDescent="0.2"/>
    <row r="35588" ht="12.75" x14ac:dyDescent="0.2"/>
    <row r="35589" ht="12.75" x14ac:dyDescent="0.2"/>
    <row r="35590" ht="12.75" x14ac:dyDescent="0.2"/>
    <row r="35591" ht="12.75" x14ac:dyDescent="0.2"/>
    <row r="35592" ht="12.75" x14ac:dyDescent="0.2"/>
    <row r="35593" ht="12.75" x14ac:dyDescent="0.2"/>
    <row r="35594" ht="12.75" x14ac:dyDescent="0.2"/>
    <row r="35595" ht="12.75" x14ac:dyDescent="0.2"/>
    <row r="35596" ht="12.75" x14ac:dyDescent="0.2"/>
    <row r="35597" ht="12.75" x14ac:dyDescent="0.2"/>
    <row r="35598" ht="12.75" x14ac:dyDescent="0.2"/>
    <row r="35599" ht="12.75" x14ac:dyDescent="0.2"/>
    <row r="35600" ht="12.75" x14ac:dyDescent="0.2"/>
    <row r="35601" ht="12.75" x14ac:dyDescent="0.2"/>
    <row r="35602" ht="12.75" x14ac:dyDescent="0.2"/>
    <row r="35603" ht="12.75" x14ac:dyDescent="0.2"/>
    <row r="35604" ht="12.75" x14ac:dyDescent="0.2"/>
    <row r="35605" ht="12.75" x14ac:dyDescent="0.2"/>
    <row r="35606" ht="12.75" x14ac:dyDescent="0.2"/>
    <row r="35607" ht="12.75" x14ac:dyDescent="0.2"/>
    <row r="35608" ht="12.75" x14ac:dyDescent="0.2"/>
    <row r="35609" ht="12.75" x14ac:dyDescent="0.2"/>
    <row r="35610" ht="12.75" x14ac:dyDescent="0.2"/>
    <row r="35611" ht="12.75" x14ac:dyDescent="0.2"/>
    <row r="35612" ht="12.75" x14ac:dyDescent="0.2"/>
    <row r="35613" ht="12.75" x14ac:dyDescent="0.2"/>
    <row r="35614" ht="12.75" x14ac:dyDescent="0.2"/>
    <row r="35615" ht="12.75" x14ac:dyDescent="0.2"/>
    <row r="35616" ht="12.75" x14ac:dyDescent="0.2"/>
    <row r="35617" ht="12.75" x14ac:dyDescent="0.2"/>
    <row r="35618" ht="12.75" x14ac:dyDescent="0.2"/>
    <row r="35619" ht="12.75" x14ac:dyDescent="0.2"/>
    <row r="35620" ht="12.75" x14ac:dyDescent="0.2"/>
    <row r="35621" ht="12.75" x14ac:dyDescent="0.2"/>
    <row r="35622" ht="12.75" x14ac:dyDescent="0.2"/>
    <row r="35623" ht="12.75" x14ac:dyDescent="0.2"/>
    <row r="35624" ht="12.75" x14ac:dyDescent="0.2"/>
    <row r="35625" ht="12.75" x14ac:dyDescent="0.2"/>
    <row r="35626" ht="12.75" x14ac:dyDescent="0.2"/>
    <row r="35627" ht="12.75" x14ac:dyDescent="0.2"/>
    <row r="35628" ht="12.75" x14ac:dyDescent="0.2"/>
    <row r="35629" ht="12.75" x14ac:dyDescent="0.2"/>
    <row r="35630" ht="12.75" x14ac:dyDescent="0.2"/>
    <row r="35631" ht="12.75" x14ac:dyDescent="0.2"/>
    <row r="35632" ht="12.75" x14ac:dyDescent="0.2"/>
    <row r="35633" ht="12.75" x14ac:dyDescent="0.2"/>
    <row r="35634" ht="12.75" x14ac:dyDescent="0.2"/>
    <row r="35635" ht="12.75" x14ac:dyDescent="0.2"/>
    <row r="35636" ht="12.75" x14ac:dyDescent="0.2"/>
    <row r="35637" ht="12.75" x14ac:dyDescent="0.2"/>
    <row r="35638" ht="12.75" x14ac:dyDescent="0.2"/>
    <row r="35639" ht="12.75" x14ac:dyDescent="0.2"/>
    <row r="35640" ht="12.75" x14ac:dyDescent="0.2"/>
    <row r="35641" ht="12.75" x14ac:dyDescent="0.2"/>
    <row r="35642" ht="12.75" x14ac:dyDescent="0.2"/>
    <row r="35643" ht="12.75" x14ac:dyDescent="0.2"/>
    <row r="35644" ht="12.75" x14ac:dyDescent="0.2"/>
    <row r="35645" ht="12.75" x14ac:dyDescent="0.2"/>
    <row r="35646" ht="12.75" x14ac:dyDescent="0.2"/>
    <row r="35647" ht="12.75" x14ac:dyDescent="0.2"/>
    <row r="35648" ht="12.75" x14ac:dyDescent="0.2"/>
    <row r="35649" ht="12.75" x14ac:dyDescent="0.2"/>
    <row r="35650" ht="12.75" x14ac:dyDescent="0.2"/>
    <row r="35651" ht="12.75" x14ac:dyDescent="0.2"/>
    <row r="35652" ht="12.75" x14ac:dyDescent="0.2"/>
    <row r="35653" ht="12.75" x14ac:dyDescent="0.2"/>
    <row r="35654" ht="12.75" x14ac:dyDescent="0.2"/>
    <row r="35655" ht="12.75" x14ac:dyDescent="0.2"/>
    <row r="35656" ht="12.75" x14ac:dyDescent="0.2"/>
    <row r="35657" ht="12.75" x14ac:dyDescent="0.2"/>
    <row r="35658" ht="12.75" x14ac:dyDescent="0.2"/>
    <row r="35659" ht="12.75" x14ac:dyDescent="0.2"/>
    <row r="35660" ht="12.75" x14ac:dyDescent="0.2"/>
    <row r="35661" ht="12.75" x14ac:dyDescent="0.2"/>
    <row r="35662" ht="12.75" x14ac:dyDescent="0.2"/>
    <row r="35663" ht="12.75" x14ac:dyDescent="0.2"/>
    <row r="35664" ht="12.75" x14ac:dyDescent="0.2"/>
    <row r="35665" ht="12.75" x14ac:dyDescent="0.2"/>
    <row r="35666" ht="12.75" x14ac:dyDescent="0.2"/>
    <row r="35667" ht="12.75" x14ac:dyDescent="0.2"/>
    <row r="35668" ht="12.75" x14ac:dyDescent="0.2"/>
    <row r="35669" ht="12.75" x14ac:dyDescent="0.2"/>
    <row r="35670" ht="12.75" x14ac:dyDescent="0.2"/>
    <row r="35671" ht="12.75" x14ac:dyDescent="0.2"/>
    <row r="35672" ht="12.75" x14ac:dyDescent="0.2"/>
    <row r="35673" ht="12.75" x14ac:dyDescent="0.2"/>
    <row r="35674" ht="12.75" x14ac:dyDescent="0.2"/>
    <row r="35675" ht="12.75" x14ac:dyDescent="0.2"/>
    <row r="35676" ht="12.75" x14ac:dyDescent="0.2"/>
    <row r="35677" ht="12.75" x14ac:dyDescent="0.2"/>
    <row r="35678" ht="12.75" x14ac:dyDescent="0.2"/>
    <row r="35679" ht="12.75" x14ac:dyDescent="0.2"/>
    <row r="35680" ht="12.75" x14ac:dyDescent="0.2"/>
    <row r="35681" ht="12.75" x14ac:dyDescent="0.2"/>
    <row r="35682" ht="12.75" x14ac:dyDescent="0.2"/>
    <row r="35683" ht="12.75" x14ac:dyDescent="0.2"/>
    <row r="35684" ht="12.75" x14ac:dyDescent="0.2"/>
    <row r="35685" ht="12.75" x14ac:dyDescent="0.2"/>
    <row r="35686" ht="12.75" x14ac:dyDescent="0.2"/>
    <row r="35687" ht="12.75" x14ac:dyDescent="0.2"/>
    <row r="35688" ht="12.75" x14ac:dyDescent="0.2"/>
    <row r="35689" ht="12.75" x14ac:dyDescent="0.2"/>
    <row r="35690" ht="12.75" x14ac:dyDescent="0.2"/>
    <row r="35691" ht="12.75" x14ac:dyDescent="0.2"/>
    <row r="35692" ht="12.75" x14ac:dyDescent="0.2"/>
    <row r="35693" ht="12.75" x14ac:dyDescent="0.2"/>
    <row r="35694" ht="12.75" x14ac:dyDescent="0.2"/>
    <row r="35695" ht="12.75" x14ac:dyDescent="0.2"/>
    <row r="35696" ht="12.75" x14ac:dyDescent="0.2"/>
    <row r="35697" ht="12.75" x14ac:dyDescent="0.2"/>
    <row r="35698" ht="12.75" x14ac:dyDescent="0.2"/>
    <row r="35699" ht="12.75" x14ac:dyDescent="0.2"/>
    <row r="35700" ht="12.75" x14ac:dyDescent="0.2"/>
    <row r="35701" ht="12.75" x14ac:dyDescent="0.2"/>
    <row r="35702" ht="12.75" x14ac:dyDescent="0.2"/>
    <row r="35703" ht="12.75" x14ac:dyDescent="0.2"/>
    <row r="35704" ht="12.75" x14ac:dyDescent="0.2"/>
    <row r="35705" ht="12.75" x14ac:dyDescent="0.2"/>
    <row r="35706" ht="12.75" x14ac:dyDescent="0.2"/>
    <row r="35707" ht="12.75" x14ac:dyDescent="0.2"/>
    <row r="35708" ht="12.75" x14ac:dyDescent="0.2"/>
    <row r="35709" ht="12.75" x14ac:dyDescent="0.2"/>
    <row r="35710" ht="12.75" x14ac:dyDescent="0.2"/>
    <row r="35711" ht="12.75" x14ac:dyDescent="0.2"/>
    <row r="35712" ht="12.75" x14ac:dyDescent="0.2"/>
    <row r="35713" ht="12.75" x14ac:dyDescent="0.2"/>
    <row r="35714" ht="12.75" x14ac:dyDescent="0.2"/>
    <row r="35715" ht="12.75" x14ac:dyDescent="0.2"/>
    <row r="35716" ht="12.75" x14ac:dyDescent="0.2"/>
    <row r="35717" ht="12.75" x14ac:dyDescent="0.2"/>
    <row r="35718" ht="12.75" x14ac:dyDescent="0.2"/>
    <row r="35719" ht="12.75" x14ac:dyDescent="0.2"/>
    <row r="35720" ht="12.75" x14ac:dyDescent="0.2"/>
    <row r="35721" ht="12.75" x14ac:dyDescent="0.2"/>
    <row r="35722" ht="12.75" x14ac:dyDescent="0.2"/>
    <row r="35723" ht="12.75" x14ac:dyDescent="0.2"/>
    <row r="35724" ht="12.75" x14ac:dyDescent="0.2"/>
    <row r="35725" ht="12.75" x14ac:dyDescent="0.2"/>
    <row r="35726" ht="12.75" x14ac:dyDescent="0.2"/>
    <row r="35727" ht="12.75" x14ac:dyDescent="0.2"/>
    <row r="35728" ht="12.75" x14ac:dyDescent="0.2"/>
    <row r="35729" ht="12.75" x14ac:dyDescent="0.2"/>
    <row r="35730" ht="12.75" x14ac:dyDescent="0.2"/>
    <row r="35731" ht="12.75" x14ac:dyDescent="0.2"/>
    <row r="35732" ht="12.75" x14ac:dyDescent="0.2"/>
    <row r="35733" ht="12.75" x14ac:dyDescent="0.2"/>
    <row r="35734" ht="12.75" x14ac:dyDescent="0.2"/>
    <row r="35735" ht="12.75" x14ac:dyDescent="0.2"/>
    <row r="35736" ht="12.75" x14ac:dyDescent="0.2"/>
    <row r="35737" ht="12.75" x14ac:dyDescent="0.2"/>
    <row r="35738" ht="12.75" x14ac:dyDescent="0.2"/>
    <row r="35739" ht="12.75" x14ac:dyDescent="0.2"/>
    <row r="35740" ht="12.75" x14ac:dyDescent="0.2"/>
    <row r="35741" ht="12.75" x14ac:dyDescent="0.2"/>
    <row r="35742" ht="12.75" x14ac:dyDescent="0.2"/>
    <row r="35743" ht="12.75" x14ac:dyDescent="0.2"/>
    <row r="35744" ht="12.75" x14ac:dyDescent="0.2"/>
    <row r="35745" ht="12.75" x14ac:dyDescent="0.2"/>
    <row r="35746" ht="12.75" x14ac:dyDescent="0.2"/>
    <row r="35747" ht="12.75" x14ac:dyDescent="0.2"/>
    <row r="35748" ht="12.75" x14ac:dyDescent="0.2"/>
    <row r="35749" ht="12.75" x14ac:dyDescent="0.2"/>
    <row r="35750" ht="12.75" x14ac:dyDescent="0.2"/>
    <row r="35751" ht="12.75" x14ac:dyDescent="0.2"/>
    <row r="35752" ht="12.75" x14ac:dyDescent="0.2"/>
    <row r="35753" ht="12.75" x14ac:dyDescent="0.2"/>
    <row r="35754" ht="12.75" x14ac:dyDescent="0.2"/>
    <row r="35755" ht="12.75" x14ac:dyDescent="0.2"/>
    <row r="35756" ht="12.75" x14ac:dyDescent="0.2"/>
    <row r="35757" ht="12.75" x14ac:dyDescent="0.2"/>
    <row r="35758" ht="12.75" x14ac:dyDescent="0.2"/>
    <row r="35759" ht="12.75" x14ac:dyDescent="0.2"/>
    <row r="35760" ht="12.75" x14ac:dyDescent="0.2"/>
    <row r="35761" ht="12.75" x14ac:dyDescent="0.2"/>
    <row r="35762" ht="12.75" x14ac:dyDescent="0.2"/>
    <row r="35763" ht="12.75" x14ac:dyDescent="0.2"/>
    <row r="35764" ht="12.75" x14ac:dyDescent="0.2"/>
    <row r="35765" ht="12.75" x14ac:dyDescent="0.2"/>
    <row r="35766" ht="12.75" x14ac:dyDescent="0.2"/>
    <row r="35767" ht="12.75" x14ac:dyDescent="0.2"/>
    <row r="35768" ht="12.75" x14ac:dyDescent="0.2"/>
    <row r="35769" ht="12.75" x14ac:dyDescent="0.2"/>
    <row r="35770" ht="12.75" x14ac:dyDescent="0.2"/>
    <row r="35771" ht="12.75" x14ac:dyDescent="0.2"/>
    <row r="35772" ht="12.75" x14ac:dyDescent="0.2"/>
    <row r="35773" ht="12.75" x14ac:dyDescent="0.2"/>
    <row r="35774" ht="12.75" x14ac:dyDescent="0.2"/>
    <row r="35775" ht="12.75" x14ac:dyDescent="0.2"/>
    <row r="35776" ht="12.75" x14ac:dyDescent="0.2"/>
    <row r="35777" ht="12.75" x14ac:dyDescent="0.2"/>
    <row r="35778" ht="12.75" x14ac:dyDescent="0.2"/>
    <row r="35779" ht="12.75" x14ac:dyDescent="0.2"/>
    <row r="35780" ht="12.75" x14ac:dyDescent="0.2"/>
    <row r="35781" ht="12.75" x14ac:dyDescent="0.2"/>
    <row r="35782" ht="12.75" x14ac:dyDescent="0.2"/>
    <row r="35783" ht="12.75" x14ac:dyDescent="0.2"/>
    <row r="35784" ht="12.75" x14ac:dyDescent="0.2"/>
    <row r="35785" ht="12.75" x14ac:dyDescent="0.2"/>
    <row r="35786" ht="12.75" x14ac:dyDescent="0.2"/>
    <row r="35787" ht="12.75" x14ac:dyDescent="0.2"/>
    <row r="35788" ht="12.75" x14ac:dyDescent="0.2"/>
    <row r="35789" ht="12.75" x14ac:dyDescent="0.2"/>
    <row r="35790" ht="12.75" x14ac:dyDescent="0.2"/>
    <row r="35791" ht="12.75" x14ac:dyDescent="0.2"/>
    <row r="35792" ht="12.75" x14ac:dyDescent="0.2"/>
    <row r="35793" ht="12.75" x14ac:dyDescent="0.2"/>
    <row r="35794" ht="12.75" x14ac:dyDescent="0.2"/>
    <row r="35795" ht="12.75" x14ac:dyDescent="0.2"/>
    <row r="35796" ht="12.75" x14ac:dyDescent="0.2"/>
    <row r="35797" ht="12.75" x14ac:dyDescent="0.2"/>
    <row r="35798" ht="12.75" x14ac:dyDescent="0.2"/>
    <row r="35799" ht="12.75" x14ac:dyDescent="0.2"/>
    <row r="35800" ht="12.75" x14ac:dyDescent="0.2"/>
    <row r="35801" ht="12.75" x14ac:dyDescent="0.2"/>
    <row r="35802" ht="12.75" x14ac:dyDescent="0.2"/>
    <row r="35803" ht="12.75" x14ac:dyDescent="0.2"/>
    <row r="35804" ht="12.75" x14ac:dyDescent="0.2"/>
    <row r="35805" ht="12.75" x14ac:dyDescent="0.2"/>
    <row r="35806" ht="12.75" x14ac:dyDescent="0.2"/>
    <row r="35807" ht="12.75" x14ac:dyDescent="0.2"/>
    <row r="35808" ht="12.75" x14ac:dyDescent="0.2"/>
    <row r="35809" ht="12.75" x14ac:dyDescent="0.2"/>
    <row r="35810" ht="12.75" x14ac:dyDescent="0.2"/>
    <row r="35811" ht="12.75" x14ac:dyDescent="0.2"/>
    <row r="35812" ht="12.75" x14ac:dyDescent="0.2"/>
    <row r="35813" ht="12.75" x14ac:dyDescent="0.2"/>
    <row r="35814" ht="12.75" x14ac:dyDescent="0.2"/>
    <row r="35815" ht="12.75" x14ac:dyDescent="0.2"/>
    <row r="35816" ht="12.75" x14ac:dyDescent="0.2"/>
    <row r="35817" ht="12.75" x14ac:dyDescent="0.2"/>
    <row r="35818" ht="12.75" x14ac:dyDescent="0.2"/>
    <row r="35819" ht="12.75" x14ac:dyDescent="0.2"/>
    <row r="35820" ht="12.75" x14ac:dyDescent="0.2"/>
    <row r="35821" ht="12.75" x14ac:dyDescent="0.2"/>
    <row r="35822" ht="12.75" x14ac:dyDescent="0.2"/>
    <row r="35823" ht="12.75" x14ac:dyDescent="0.2"/>
    <row r="35824" ht="12.75" x14ac:dyDescent="0.2"/>
    <row r="35825" ht="12.75" x14ac:dyDescent="0.2"/>
    <row r="35826" ht="12.75" x14ac:dyDescent="0.2"/>
    <row r="35827" ht="12.75" x14ac:dyDescent="0.2"/>
    <row r="35828" ht="12.75" x14ac:dyDescent="0.2"/>
    <row r="35829" ht="12.75" x14ac:dyDescent="0.2"/>
    <row r="35830" ht="12.75" x14ac:dyDescent="0.2"/>
    <row r="35831" ht="12.75" x14ac:dyDescent="0.2"/>
    <row r="35832" ht="12.75" x14ac:dyDescent="0.2"/>
    <row r="35833" ht="12.75" x14ac:dyDescent="0.2"/>
    <row r="35834" ht="12.75" x14ac:dyDescent="0.2"/>
    <row r="35835" ht="12.75" x14ac:dyDescent="0.2"/>
    <row r="35836" ht="12.75" x14ac:dyDescent="0.2"/>
    <row r="35837" ht="12.75" x14ac:dyDescent="0.2"/>
    <row r="35838" ht="12.75" x14ac:dyDescent="0.2"/>
    <row r="35839" ht="12.75" x14ac:dyDescent="0.2"/>
    <row r="35840" ht="12.75" x14ac:dyDescent="0.2"/>
    <row r="35841" ht="12.75" x14ac:dyDescent="0.2"/>
    <row r="35842" ht="12.75" x14ac:dyDescent="0.2"/>
    <row r="35843" ht="12.75" x14ac:dyDescent="0.2"/>
    <row r="35844" ht="12.75" x14ac:dyDescent="0.2"/>
    <row r="35845" ht="12.75" x14ac:dyDescent="0.2"/>
    <row r="35846" ht="12.75" x14ac:dyDescent="0.2"/>
    <row r="35847" ht="12.75" x14ac:dyDescent="0.2"/>
    <row r="35848" ht="12.75" x14ac:dyDescent="0.2"/>
    <row r="35849" ht="12.75" x14ac:dyDescent="0.2"/>
    <row r="35850" ht="12.75" x14ac:dyDescent="0.2"/>
    <row r="35851" ht="12.75" x14ac:dyDescent="0.2"/>
    <row r="35852" ht="12.75" x14ac:dyDescent="0.2"/>
    <row r="35853" ht="12.75" x14ac:dyDescent="0.2"/>
    <row r="35854" ht="12.75" x14ac:dyDescent="0.2"/>
    <row r="35855" ht="12.75" x14ac:dyDescent="0.2"/>
    <row r="35856" ht="12.75" x14ac:dyDescent="0.2"/>
    <row r="35857" ht="12.75" x14ac:dyDescent="0.2"/>
    <row r="35858" ht="12.75" x14ac:dyDescent="0.2"/>
    <row r="35859" ht="12.75" x14ac:dyDescent="0.2"/>
    <row r="35860" ht="12.75" x14ac:dyDescent="0.2"/>
    <row r="35861" ht="12.75" x14ac:dyDescent="0.2"/>
    <row r="35862" ht="12.75" x14ac:dyDescent="0.2"/>
    <row r="35863" ht="12.75" x14ac:dyDescent="0.2"/>
    <row r="35864" ht="12.75" x14ac:dyDescent="0.2"/>
    <row r="35865" ht="12.75" x14ac:dyDescent="0.2"/>
    <row r="35866" ht="12.75" x14ac:dyDescent="0.2"/>
    <row r="35867" ht="12.75" x14ac:dyDescent="0.2"/>
    <row r="35868" ht="12.75" x14ac:dyDescent="0.2"/>
    <row r="35869" ht="12.75" x14ac:dyDescent="0.2"/>
    <row r="35870" ht="12.75" x14ac:dyDescent="0.2"/>
    <row r="35871" ht="12.75" x14ac:dyDescent="0.2"/>
    <row r="35872" ht="12.75" x14ac:dyDescent="0.2"/>
    <row r="35873" ht="12.75" x14ac:dyDescent="0.2"/>
    <row r="35874" ht="12.75" x14ac:dyDescent="0.2"/>
    <row r="35875" ht="12.75" x14ac:dyDescent="0.2"/>
    <row r="35876" ht="12.75" x14ac:dyDescent="0.2"/>
    <row r="35877" ht="12.75" x14ac:dyDescent="0.2"/>
    <row r="35878" ht="12.75" x14ac:dyDescent="0.2"/>
    <row r="35879" ht="12.75" x14ac:dyDescent="0.2"/>
    <row r="35880" ht="12.75" x14ac:dyDescent="0.2"/>
    <row r="35881" ht="12.75" x14ac:dyDescent="0.2"/>
    <row r="35882" ht="12.75" x14ac:dyDescent="0.2"/>
    <row r="35883" ht="12.75" x14ac:dyDescent="0.2"/>
    <row r="35884" ht="12.75" x14ac:dyDescent="0.2"/>
    <row r="35885" ht="12.75" x14ac:dyDescent="0.2"/>
    <row r="35886" ht="12.75" x14ac:dyDescent="0.2"/>
    <row r="35887" ht="12.75" x14ac:dyDescent="0.2"/>
    <row r="35888" ht="12.75" x14ac:dyDescent="0.2"/>
    <row r="35889" ht="12.75" x14ac:dyDescent="0.2"/>
    <row r="35890" ht="12.75" x14ac:dyDescent="0.2"/>
    <row r="35891" ht="12.75" x14ac:dyDescent="0.2"/>
    <row r="35892" ht="12.75" x14ac:dyDescent="0.2"/>
    <row r="35893" ht="12.75" x14ac:dyDescent="0.2"/>
    <row r="35894" ht="12.75" x14ac:dyDescent="0.2"/>
    <row r="35895" ht="12.75" x14ac:dyDescent="0.2"/>
    <row r="35896" ht="12.75" x14ac:dyDescent="0.2"/>
    <row r="35897" ht="12.75" x14ac:dyDescent="0.2"/>
    <row r="35898" ht="12.75" x14ac:dyDescent="0.2"/>
    <row r="35899" ht="12.75" x14ac:dyDescent="0.2"/>
    <row r="35900" ht="12.75" x14ac:dyDescent="0.2"/>
    <row r="35901" ht="12.75" x14ac:dyDescent="0.2"/>
    <row r="35902" ht="12.75" x14ac:dyDescent="0.2"/>
    <row r="35903" ht="12.75" x14ac:dyDescent="0.2"/>
    <row r="35904" ht="12.75" x14ac:dyDescent="0.2"/>
    <row r="35905" ht="12.75" x14ac:dyDescent="0.2"/>
    <row r="35906" ht="12.75" x14ac:dyDescent="0.2"/>
    <row r="35907" ht="12.75" x14ac:dyDescent="0.2"/>
    <row r="35908" ht="12.75" x14ac:dyDescent="0.2"/>
    <row r="35909" ht="12.75" x14ac:dyDescent="0.2"/>
    <row r="35910" ht="12.75" x14ac:dyDescent="0.2"/>
    <row r="35911" ht="12.75" x14ac:dyDescent="0.2"/>
    <row r="35912" ht="12.75" x14ac:dyDescent="0.2"/>
    <row r="35913" ht="12.75" x14ac:dyDescent="0.2"/>
    <row r="35914" ht="12.75" x14ac:dyDescent="0.2"/>
    <row r="35915" ht="12.75" x14ac:dyDescent="0.2"/>
    <row r="35916" ht="12.75" x14ac:dyDescent="0.2"/>
    <row r="35917" ht="12.75" x14ac:dyDescent="0.2"/>
    <row r="35918" ht="12.75" x14ac:dyDescent="0.2"/>
    <row r="35919" ht="12.75" x14ac:dyDescent="0.2"/>
    <row r="35920" ht="12.75" x14ac:dyDescent="0.2"/>
    <row r="35921" ht="12.75" x14ac:dyDescent="0.2"/>
    <row r="35922" ht="12.75" x14ac:dyDescent="0.2"/>
    <row r="35923" ht="12.75" x14ac:dyDescent="0.2"/>
    <row r="35924" ht="12.75" x14ac:dyDescent="0.2"/>
    <row r="35925" ht="12.75" x14ac:dyDescent="0.2"/>
    <row r="35926" ht="12.75" x14ac:dyDescent="0.2"/>
    <row r="35927" ht="12.75" x14ac:dyDescent="0.2"/>
    <row r="35928" ht="12.75" x14ac:dyDescent="0.2"/>
    <row r="35929" ht="12.75" x14ac:dyDescent="0.2"/>
    <row r="35930" ht="12.75" x14ac:dyDescent="0.2"/>
    <row r="35931" ht="12.75" x14ac:dyDescent="0.2"/>
    <row r="35932" ht="12.75" x14ac:dyDescent="0.2"/>
    <row r="35933" ht="12.75" x14ac:dyDescent="0.2"/>
    <row r="35934" ht="12.75" x14ac:dyDescent="0.2"/>
    <row r="35935" ht="12.75" x14ac:dyDescent="0.2"/>
    <row r="35936" ht="12.75" x14ac:dyDescent="0.2"/>
    <row r="35937" ht="12.75" x14ac:dyDescent="0.2"/>
    <row r="35938" ht="12.75" x14ac:dyDescent="0.2"/>
    <row r="35939" ht="12.75" x14ac:dyDescent="0.2"/>
    <row r="35940" ht="12.75" x14ac:dyDescent="0.2"/>
    <row r="35941" ht="12.75" x14ac:dyDescent="0.2"/>
    <row r="35942" ht="12.75" x14ac:dyDescent="0.2"/>
    <row r="35943" ht="12.75" x14ac:dyDescent="0.2"/>
    <row r="35944" ht="12.75" x14ac:dyDescent="0.2"/>
    <row r="35945" ht="12.75" x14ac:dyDescent="0.2"/>
    <row r="35946" ht="12.75" x14ac:dyDescent="0.2"/>
    <row r="35947" ht="12.75" x14ac:dyDescent="0.2"/>
    <row r="35948" ht="12.75" x14ac:dyDescent="0.2"/>
    <row r="35949" ht="12.75" x14ac:dyDescent="0.2"/>
    <row r="35950" ht="12.75" x14ac:dyDescent="0.2"/>
    <row r="35951" ht="12.75" x14ac:dyDescent="0.2"/>
    <row r="35952" ht="12.75" x14ac:dyDescent="0.2"/>
    <row r="35953" ht="12.75" x14ac:dyDescent="0.2"/>
    <row r="35954" ht="12.75" x14ac:dyDescent="0.2"/>
    <row r="35955" ht="12.75" x14ac:dyDescent="0.2"/>
    <row r="35956" ht="12.75" x14ac:dyDescent="0.2"/>
    <row r="35957" ht="12.75" x14ac:dyDescent="0.2"/>
    <row r="35958" ht="12.75" x14ac:dyDescent="0.2"/>
    <row r="35959" ht="12.75" x14ac:dyDescent="0.2"/>
    <row r="35960" ht="12.75" x14ac:dyDescent="0.2"/>
    <row r="35961" ht="12.75" x14ac:dyDescent="0.2"/>
    <row r="35962" ht="12.75" x14ac:dyDescent="0.2"/>
    <row r="35963" ht="12.75" x14ac:dyDescent="0.2"/>
    <row r="35964" ht="12.75" x14ac:dyDescent="0.2"/>
    <row r="35965" ht="12.75" x14ac:dyDescent="0.2"/>
    <row r="35966" ht="12.75" x14ac:dyDescent="0.2"/>
    <row r="35967" ht="12.75" x14ac:dyDescent="0.2"/>
    <row r="35968" ht="12.75" x14ac:dyDescent="0.2"/>
    <row r="35969" ht="12.75" x14ac:dyDescent="0.2"/>
    <row r="35970" ht="12.75" x14ac:dyDescent="0.2"/>
    <row r="35971" ht="12.75" x14ac:dyDescent="0.2"/>
    <row r="35972" ht="12.75" x14ac:dyDescent="0.2"/>
    <row r="35973" ht="12.75" x14ac:dyDescent="0.2"/>
    <row r="35974" ht="12.75" x14ac:dyDescent="0.2"/>
    <row r="35975" ht="12.75" x14ac:dyDescent="0.2"/>
    <row r="35976" ht="12.75" x14ac:dyDescent="0.2"/>
    <row r="35977" ht="12.75" x14ac:dyDescent="0.2"/>
    <row r="35978" ht="12.75" x14ac:dyDescent="0.2"/>
    <row r="35979" ht="12.75" x14ac:dyDescent="0.2"/>
    <row r="35980" ht="12.75" x14ac:dyDescent="0.2"/>
    <row r="35981" ht="12.75" x14ac:dyDescent="0.2"/>
    <row r="35982" ht="12.75" x14ac:dyDescent="0.2"/>
    <row r="35983" ht="12.75" x14ac:dyDescent="0.2"/>
    <row r="35984" ht="12.75" x14ac:dyDescent="0.2"/>
    <row r="35985" ht="12.75" x14ac:dyDescent="0.2"/>
    <row r="35986" ht="12.75" x14ac:dyDescent="0.2"/>
    <row r="35987" ht="12.75" x14ac:dyDescent="0.2"/>
    <row r="35988" ht="12.75" x14ac:dyDescent="0.2"/>
    <row r="35989" ht="12.75" x14ac:dyDescent="0.2"/>
    <row r="35990" ht="12.75" x14ac:dyDescent="0.2"/>
    <row r="35991" ht="12.75" x14ac:dyDescent="0.2"/>
    <row r="35992" ht="12.75" x14ac:dyDescent="0.2"/>
    <row r="35993" ht="12.75" x14ac:dyDescent="0.2"/>
    <row r="35994" ht="12.75" x14ac:dyDescent="0.2"/>
    <row r="35995" ht="12.75" x14ac:dyDescent="0.2"/>
    <row r="35996" ht="12.75" x14ac:dyDescent="0.2"/>
    <row r="35997" ht="12.75" x14ac:dyDescent="0.2"/>
    <row r="35998" ht="12.75" x14ac:dyDescent="0.2"/>
    <row r="35999" ht="12.75" x14ac:dyDescent="0.2"/>
    <row r="36000" ht="12.75" x14ac:dyDescent="0.2"/>
    <row r="36001" ht="12.75" x14ac:dyDescent="0.2"/>
    <row r="36002" ht="12.75" x14ac:dyDescent="0.2"/>
    <row r="36003" ht="12.75" x14ac:dyDescent="0.2"/>
    <row r="36004" ht="12.75" x14ac:dyDescent="0.2"/>
    <row r="36005" ht="12.75" x14ac:dyDescent="0.2"/>
    <row r="36006" ht="12.75" x14ac:dyDescent="0.2"/>
    <row r="36007" ht="12.75" x14ac:dyDescent="0.2"/>
    <row r="36008" ht="12.75" x14ac:dyDescent="0.2"/>
    <row r="36009" ht="12.75" x14ac:dyDescent="0.2"/>
    <row r="36010" ht="12.75" x14ac:dyDescent="0.2"/>
    <row r="36011" ht="12.75" x14ac:dyDescent="0.2"/>
    <row r="36012" ht="12.75" x14ac:dyDescent="0.2"/>
    <row r="36013" ht="12.75" x14ac:dyDescent="0.2"/>
    <row r="36014" ht="12.75" x14ac:dyDescent="0.2"/>
    <row r="36015" ht="12.75" x14ac:dyDescent="0.2"/>
    <row r="36016" ht="12.75" x14ac:dyDescent="0.2"/>
    <row r="36017" ht="12.75" x14ac:dyDescent="0.2"/>
    <row r="36018" ht="12.75" x14ac:dyDescent="0.2"/>
    <row r="36019" ht="12.75" x14ac:dyDescent="0.2"/>
    <row r="36020" ht="12.75" x14ac:dyDescent="0.2"/>
    <row r="36021" ht="12.75" x14ac:dyDescent="0.2"/>
    <row r="36022" ht="12.75" x14ac:dyDescent="0.2"/>
    <row r="36023" ht="12.75" x14ac:dyDescent="0.2"/>
    <row r="36024" ht="12.75" x14ac:dyDescent="0.2"/>
    <row r="36025" ht="12.75" x14ac:dyDescent="0.2"/>
    <row r="36026" ht="12.75" x14ac:dyDescent="0.2"/>
    <row r="36027" ht="12.75" x14ac:dyDescent="0.2"/>
    <row r="36028" ht="12.75" x14ac:dyDescent="0.2"/>
    <row r="36029" ht="12.75" x14ac:dyDescent="0.2"/>
    <row r="36030" ht="12.75" x14ac:dyDescent="0.2"/>
    <row r="36031" ht="12.75" x14ac:dyDescent="0.2"/>
    <row r="36032" ht="12.75" x14ac:dyDescent="0.2"/>
    <row r="36033" ht="12.75" x14ac:dyDescent="0.2"/>
    <row r="36034" ht="12.75" x14ac:dyDescent="0.2"/>
    <row r="36035" ht="12.75" x14ac:dyDescent="0.2"/>
    <row r="36036" ht="12.75" x14ac:dyDescent="0.2"/>
    <row r="36037" ht="12.75" x14ac:dyDescent="0.2"/>
    <row r="36038" ht="12.75" x14ac:dyDescent="0.2"/>
    <row r="36039" ht="12.75" x14ac:dyDescent="0.2"/>
    <row r="36040" ht="12.75" x14ac:dyDescent="0.2"/>
    <row r="36041" ht="12.75" x14ac:dyDescent="0.2"/>
    <row r="36042" ht="12.75" x14ac:dyDescent="0.2"/>
    <row r="36043" ht="12.75" x14ac:dyDescent="0.2"/>
    <row r="36044" ht="12.75" x14ac:dyDescent="0.2"/>
    <row r="36045" ht="12.75" x14ac:dyDescent="0.2"/>
    <row r="36046" ht="12.75" x14ac:dyDescent="0.2"/>
    <row r="36047" ht="12.75" x14ac:dyDescent="0.2"/>
    <row r="36048" ht="12.75" x14ac:dyDescent="0.2"/>
    <row r="36049" ht="12.75" x14ac:dyDescent="0.2"/>
    <row r="36050" ht="12.75" x14ac:dyDescent="0.2"/>
    <row r="36051" ht="12.75" x14ac:dyDescent="0.2"/>
    <row r="36052" ht="12.75" x14ac:dyDescent="0.2"/>
    <row r="36053" ht="12.75" x14ac:dyDescent="0.2"/>
    <row r="36054" ht="12.75" x14ac:dyDescent="0.2"/>
    <row r="36055" ht="12.75" x14ac:dyDescent="0.2"/>
    <row r="36056" ht="12.75" x14ac:dyDescent="0.2"/>
    <row r="36057" ht="12.75" x14ac:dyDescent="0.2"/>
    <row r="36058" ht="12.75" x14ac:dyDescent="0.2"/>
    <row r="36059" ht="12.75" x14ac:dyDescent="0.2"/>
    <row r="36060" ht="12.75" x14ac:dyDescent="0.2"/>
    <row r="36061" ht="12.75" x14ac:dyDescent="0.2"/>
    <row r="36062" ht="12.75" x14ac:dyDescent="0.2"/>
    <row r="36063" ht="12.75" x14ac:dyDescent="0.2"/>
    <row r="36064" ht="12.75" x14ac:dyDescent="0.2"/>
    <row r="36065" ht="12.75" x14ac:dyDescent="0.2"/>
    <row r="36066" ht="12.75" x14ac:dyDescent="0.2"/>
    <row r="36067" ht="12.75" x14ac:dyDescent="0.2"/>
    <row r="36068" ht="12.75" x14ac:dyDescent="0.2"/>
    <row r="36069" ht="12.75" x14ac:dyDescent="0.2"/>
    <row r="36070" ht="12.75" x14ac:dyDescent="0.2"/>
    <row r="36071" ht="12.75" x14ac:dyDescent="0.2"/>
    <row r="36072" ht="12.75" x14ac:dyDescent="0.2"/>
    <row r="36073" ht="12.75" x14ac:dyDescent="0.2"/>
    <row r="36074" ht="12.75" x14ac:dyDescent="0.2"/>
    <row r="36075" ht="12.75" x14ac:dyDescent="0.2"/>
    <row r="36076" ht="12.75" x14ac:dyDescent="0.2"/>
    <row r="36077" ht="12.75" x14ac:dyDescent="0.2"/>
    <row r="36078" ht="12.75" x14ac:dyDescent="0.2"/>
    <row r="36079" ht="12.75" x14ac:dyDescent="0.2"/>
    <row r="36080" ht="12.75" x14ac:dyDescent="0.2"/>
    <row r="36081" ht="12.75" x14ac:dyDescent="0.2"/>
    <row r="36082" ht="12.75" x14ac:dyDescent="0.2"/>
    <row r="36083" ht="12.75" x14ac:dyDescent="0.2"/>
    <row r="36084" ht="12.75" x14ac:dyDescent="0.2"/>
    <row r="36085" ht="12.75" x14ac:dyDescent="0.2"/>
    <row r="36086" ht="12.75" x14ac:dyDescent="0.2"/>
    <row r="36087" ht="12.75" x14ac:dyDescent="0.2"/>
    <row r="36088" ht="12.75" x14ac:dyDescent="0.2"/>
    <row r="36089" ht="12.75" x14ac:dyDescent="0.2"/>
    <row r="36090" ht="12.75" x14ac:dyDescent="0.2"/>
    <row r="36091" ht="12.75" x14ac:dyDescent="0.2"/>
    <row r="36092" ht="12.75" x14ac:dyDescent="0.2"/>
    <row r="36093" ht="12.75" x14ac:dyDescent="0.2"/>
    <row r="36094" ht="12.75" x14ac:dyDescent="0.2"/>
    <row r="36095" ht="12.75" x14ac:dyDescent="0.2"/>
    <row r="36096" ht="12.75" x14ac:dyDescent="0.2"/>
    <row r="36097" ht="12.75" x14ac:dyDescent="0.2"/>
    <row r="36098" ht="12.75" x14ac:dyDescent="0.2"/>
    <row r="36099" ht="12.75" x14ac:dyDescent="0.2"/>
    <row r="36100" ht="12.75" x14ac:dyDescent="0.2"/>
    <row r="36101" ht="12.75" x14ac:dyDescent="0.2"/>
    <row r="36102" ht="12.75" x14ac:dyDescent="0.2"/>
    <row r="36103" ht="12.75" x14ac:dyDescent="0.2"/>
    <row r="36104" ht="12.75" x14ac:dyDescent="0.2"/>
    <row r="36105" ht="12.75" x14ac:dyDescent="0.2"/>
    <row r="36106" ht="12.75" x14ac:dyDescent="0.2"/>
    <row r="36107" ht="12.75" x14ac:dyDescent="0.2"/>
    <row r="36108" ht="12.75" x14ac:dyDescent="0.2"/>
    <row r="36109" ht="12.75" x14ac:dyDescent="0.2"/>
    <row r="36110" ht="12.75" x14ac:dyDescent="0.2"/>
    <row r="36111" ht="12.75" x14ac:dyDescent="0.2"/>
    <row r="36112" ht="12.75" x14ac:dyDescent="0.2"/>
    <row r="36113" ht="12.75" x14ac:dyDescent="0.2"/>
    <row r="36114" ht="12.75" x14ac:dyDescent="0.2"/>
    <row r="36115" ht="12.75" x14ac:dyDescent="0.2"/>
    <row r="36116" ht="12.75" x14ac:dyDescent="0.2"/>
    <row r="36117" ht="12.75" x14ac:dyDescent="0.2"/>
    <row r="36118" ht="12.75" x14ac:dyDescent="0.2"/>
    <row r="36119" ht="12.75" x14ac:dyDescent="0.2"/>
    <row r="36120" ht="12.75" x14ac:dyDescent="0.2"/>
    <row r="36121" ht="12.75" x14ac:dyDescent="0.2"/>
    <row r="36122" ht="12.75" x14ac:dyDescent="0.2"/>
    <row r="36123" ht="12.75" x14ac:dyDescent="0.2"/>
    <row r="36124" ht="12.75" x14ac:dyDescent="0.2"/>
    <row r="36125" ht="12.75" x14ac:dyDescent="0.2"/>
    <row r="36126" ht="12.75" x14ac:dyDescent="0.2"/>
    <row r="36127" ht="12.75" x14ac:dyDescent="0.2"/>
    <row r="36128" ht="12.75" x14ac:dyDescent="0.2"/>
    <row r="36129" ht="12.75" x14ac:dyDescent="0.2"/>
    <row r="36130" ht="12.75" x14ac:dyDescent="0.2"/>
    <row r="36131" ht="12.75" x14ac:dyDescent="0.2"/>
    <row r="36132" ht="12.75" x14ac:dyDescent="0.2"/>
    <row r="36133" ht="12.75" x14ac:dyDescent="0.2"/>
    <row r="36134" ht="12.75" x14ac:dyDescent="0.2"/>
    <row r="36135" ht="12.75" x14ac:dyDescent="0.2"/>
    <row r="36136" ht="12.75" x14ac:dyDescent="0.2"/>
    <row r="36137" ht="12.75" x14ac:dyDescent="0.2"/>
    <row r="36138" ht="12.75" x14ac:dyDescent="0.2"/>
    <row r="36139" ht="12.75" x14ac:dyDescent="0.2"/>
    <row r="36140" ht="12.75" x14ac:dyDescent="0.2"/>
    <row r="36141" ht="12.75" x14ac:dyDescent="0.2"/>
    <row r="36142" ht="12.75" x14ac:dyDescent="0.2"/>
    <row r="36143" ht="12.75" x14ac:dyDescent="0.2"/>
    <row r="36144" ht="12.75" x14ac:dyDescent="0.2"/>
    <row r="36145" ht="12.75" x14ac:dyDescent="0.2"/>
    <row r="36146" ht="12.75" x14ac:dyDescent="0.2"/>
    <row r="36147" ht="12.75" x14ac:dyDescent="0.2"/>
    <row r="36148" ht="12.75" x14ac:dyDescent="0.2"/>
    <row r="36149" ht="12.75" x14ac:dyDescent="0.2"/>
    <row r="36150" ht="12.75" x14ac:dyDescent="0.2"/>
    <row r="36151" ht="12.75" x14ac:dyDescent="0.2"/>
    <row r="36152" ht="12.75" x14ac:dyDescent="0.2"/>
    <row r="36153" ht="12.75" x14ac:dyDescent="0.2"/>
    <row r="36154" ht="12.75" x14ac:dyDescent="0.2"/>
    <row r="36155" ht="12.75" x14ac:dyDescent="0.2"/>
    <row r="36156" ht="12.75" x14ac:dyDescent="0.2"/>
    <row r="36157" ht="12.75" x14ac:dyDescent="0.2"/>
    <row r="36158" ht="12.75" x14ac:dyDescent="0.2"/>
    <row r="36159" ht="12.75" x14ac:dyDescent="0.2"/>
    <row r="36160" ht="12.75" x14ac:dyDescent="0.2"/>
    <row r="36161" ht="12.75" x14ac:dyDescent="0.2"/>
    <row r="36162" ht="12.75" x14ac:dyDescent="0.2"/>
    <row r="36163" ht="12.75" x14ac:dyDescent="0.2"/>
    <row r="36164" ht="12.75" x14ac:dyDescent="0.2"/>
    <row r="36165" ht="12.75" x14ac:dyDescent="0.2"/>
    <row r="36166" ht="12.75" x14ac:dyDescent="0.2"/>
    <row r="36167" ht="12.75" x14ac:dyDescent="0.2"/>
    <row r="36168" ht="12.75" x14ac:dyDescent="0.2"/>
    <row r="36169" ht="12.75" x14ac:dyDescent="0.2"/>
    <row r="36170" ht="12.75" x14ac:dyDescent="0.2"/>
    <row r="36171" ht="12.75" x14ac:dyDescent="0.2"/>
    <row r="36172" ht="12.75" x14ac:dyDescent="0.2"/>
    <row r="36173" ht="12.75" x14ac:dyDescent="0.2"/>
    <row r="36174" ht="12.75" x14ac:dyDescent="0.2"/>
    <row r="36175" ht="12.75" x14ac:dyDescent="0.2"/>
    <row r="36176" ht="12.75" x14ac:dyDescent="0.2"/>
    <row r="36177" ht="12.75" x14ac:dyDescent="0.2"/>
    <row r="36178" ht="12.75" x14ac:dyDescent="0.2"/>
    <row r="36179" ht="12.75" x14ac:dyDescent="0.2"/>
    <row r="36180" ht="12.75" x14ac:dyDescent="0.2"/>
    <row r="36181" ht="12.75" x14ac:dyDescent="0.2"/>
    <row r="36182" ht="12.75" x14ac:dyDescent="0.2"/>
    <row r="36183" ht="12.75" x14ac:dyDescent="0.2"/>
    <row r="36184" ht="12.75" x14ac:dyDescent="0.2"/>
    <row r="36185" ht="12.75" x14ac:dyDescent="0.2"/>
    <row r="36186" ht="12.75" x14ac:dyDescent="0.2"/>
    <row r="36187" ht="12.75" x14ac:dyDescent="0.2"/>
    <row r="36188" ht="12.75" x14ac:dyDescent="0.2"/>
    <row r="36189" ht="12.75" x14ac:dyDescent="0.2"/>
    <row r="36190" ht="12.75" x14ac:dyDescent="0.2"/>
    <row r="36191" ht="12.75" x14ac:dyDescent="0.2"/>
    <row r="36192" ht="12.75" x14ac:dyDescent="0.2"/>
    <row r="36193" ht="12.75" x14ac:dyDescent="0.2"/>
    <row r="36194" ht="12.75" x14ac:dyDescent="0.2"/>
    <row r="36195" ht="12.75" x14ac:dyDescent="0.2"/>
    <row r="36196" ht="12.75" x14ac:dyDescent="0.2"/>
    <row r="36197" ht="12.75" x14ac:dyDescent="0.2"/>
    <row r="36198" ht="12.75" x14ac:dyDescent="0.2"/>
    <row r="36199" ht="12.75" x14ac:dyDescent="0.2"/>
    <row r="36200" ht="12.75" x14ac:dyDescent="0.2"/>
    <row r="36201" ht="12.75" x14ac:dyDescent="0.2"/>
    <row r="36202" ht="12.75" x14ac:dyDescent="0.2"/>
    <row r="36203" ht="12.75" x14ac:dyDescent="0.2"/>
    <row r="36204" ht="12.75" x14ac:dyDescent="0.2"/>
    <row r="36205" ht="12.75" x14ac:dyDescent="0.2"/>
    <row r="36206" ht="12.75" x14ac:dyDescent="0.2"/>
    <row r="36207" ht="12.75" x14ac:dyDescent="0.2"/>
    <row r="36208" ht="12.75" x14ac:dyDescent="0.2"/>
    <row r="36209" ht="12.75" x14ac:dyDescent="0.2"/>
    <row r="36210" ht="12.75" x14ac:dyDescent="0.2"/>
    <row r="36211" ht="12.75" x14ac:dyDescent="0.2"/>
    <row r="36212" ht="12.75" x14ac:dyDescent="0.2"/>
    <row r="36213" ht="12.75" x14ac:dyDescent="0.2"/>
    <row r="36214" ht="12.75" x14ac:dyDescent="0.2"/>
    <row r="36215" ht="12.75" x14ac:dyDescent="0.2"/>
    <row r="36216" ht="12.75" x14ac:dyDescent="0.2"/>
    <row r="36217" ht="12.75" x14ac:dyDescent="0.2"/>
    <row r="36218" ht="12.75" x14ac:dyDescent="0.2"/>
    <row r="36219" ht="12.75" x14ac:dyDescent="0.2"/>
    <row r="36220" ht="12.75" x14ac:dyDescent="0.2"/>
    <row r="36221" ht="12.75" x14ac:dyDescent="0.2"/>
    <row r="36222" ht="12.75" x14ac:dyDescent="0.2"/>
    <row r="36223" ht="12.75" x14ac:dyDescent="0.2"/>
    <row r="36224" ht="12.75" x14ac:dyDescent="0.2"/>
    <row r="36225" ht="12.75" x14ac:dyDescent="0.2"/>
    <row r="36226" ht="12.75" x14ac:dyDescent="0.2"/>
    <row r="36227" ht="12.75" x14ac:dyDescent="0.2"/>
    <row r="36228" ht="12.75" x14ac:dyDescent="0.2"/>
    <row r="36229" ht="12.75" x14ac:dyDescent="0.2"/>
    <row r="36230" ht="12.75" x14ac:dyDescent="0.2"/>
    <row r="36231" ht="12.75" x14ac:dyDescent="0.2"/>
    <row r="36232" ht="12.75" x14ac:dyDescent="0.2"/>
    <row r="36233" ht="12.75" x14ac:dyDescent="0.2"/>
    <row r="36234" ht="12.75" x14ac:dyDescent="0.2"/>
    <row r="36235" ht="12.75" x14ac:dyDescent="0.2"/>
    <row r="36236" ht="12.75" x14ac:dyDescent="0.2"/>
    <row r="36237" ht="12.75" x14ac:dyDescent="0.2"/>
    <row r="36238" ht="12.75" x14ac:dyDescent="0.2"/>
    <row r="36239" ht="12.75" x14ac:dyDescent="0.2"/>
    <row r="36240" ht="12.75" x14ac:dyDescent="0.2"/>
    <row r="36241" ht="12.75" x14ac:dyDescent="0.2"/>
    <row r="36242" ht="12.75" x14ac:dyDescent="0.2"/>
    <row r="36243" ht="12.75" x14ac:dyDescent="0.2"/>
    <row r="36244" ht="12.75" x14ac:dyDescent="0.2"/>
    <row r="36245" ht="12.75" x14ac:dyDescent="0.2"/>
    <row r="36246" ht="12.75" x14ac:dyDescent="0.2"/>
    <row r="36247" ht="12.75" x14ac:dyDescent="0.2"/>
    <row r="36248" ht="12.75" x14ac:dyDescent="0.2"/>
    <row r="36249" ht="12.75" x14ac:dyDescent="0.2"/>
    <row r="36250" ht="12.75" x14ac:dyDescent="0.2"/>
    <row r="36251" ht="12.75" x14ac:dyDescent="0.2"/>
    <row r="36252" ht="12.75" x14ac:dyDescent="0.2"/>
    <row r="36253" ht="12.75" x14ac:dyDescent="0.2"/>
    <row r="36254" ht="12.75" x14ac:dyDescent="0.2"/>
    <row r="36255" ht="12.75" x14ac:dyDescent="0.2"/>
    <row r="36256" ht="12.75" x14ac:dyDescent="0.2"/>
    <row r="36257" ht="12.75" x14ac:dyDescent="0.2"/>
    <row r="36258" ht="12.75" x14ac:dyDescent="0.2"/>
    <row r="36259" ht="12.75" x14ac:dyDescent="0.2"/>
    <row r="36260" ht="12.75" x14ac:dyDescent="0.2"/>
    <row r="36261" ht="12.75" x14ac:dyDescent="0.2"/>
    <row r="36262" ht="12.75" x14ac:dyDescent="0.2"/>
    <row r="36263" ht="12.75" x14ac:dyDescent="0.2"/>
    <row r="36264" ht="12.75" x14ac:dyDescent="0.2"/>
    <row r="36265" ht="12.75" x14ac:dyDescent="0.2"/>
    <row r="36266" ht="12.75" x14ac:dyDescent="0.2"/>
    <row r="36267" ht="12.75" x14ac:dyDescent="0.2"/>
    <row r="36268" ht="12.75" x14ac:dyDescent="0.2"/>
    <row r="36269" ht="12.75" x14ac:dyDescent="0.2"/>
    <row r="36270" ht="12.75" x14ac:dyDescent="0.2"/>
    <row r="36271" ht="12.75" x14ac:dyDescent="0.2"/>
    <row r="36272" ht="12.75" x14ac:dyDescent="0.2"/>
    <row r="36273" ht="12.75" x14ac:dyDescent="0.2"/>
    <row r="36274" ht="12.75" x14ac:dyDescent="0.2"/>
    <row r="36275" ht="12.75" x14ac:dyDescent="0.2"/>
    <row r="36276" ht="12.75" x14ac:dyDescent="0.2"/>
    <row r="36277" ht="12.75" x14ac:dyDescent="0.2"/>
    <row r="36278" ht="12.75" x14ac:dyDescent="0.2"/>
    <row r="36279" ht="12.75" x14ac:dyDescent="0.2"/>
    <row r="36280" ht="12.75" x14ac:dyDescent="0.2"/>
    <row r="36281" ht="12.75" x14ac:dyDescent="0.2"/>
    <row r="36282" ht="12.75" x14ac:dyDescent="0.2"/>
    <row r="36283" ht="12.75" x14ac:dyDescent="0.2"/>
    <row r="36284" ht="12.75" x14ac:dyDescent="0.2"/>
    <row r="36285" ht="12.75" x14ac:dyDescent="0.2"/>
    <row r="36286" ht="12.75" x14ac:dyDescent="0.2"/>
    <row r="36287" ht="12.75" x14ac:dyDescent="0.2"/>
    <row r="36288" ht="12.75" x14ac:dyDescent="0.2"/>
    <row r="36289" ht="12.75" x14ac:dyDescent="0.2"/>
    <row r="36290" ht="12.75" x14ac:dyDescent="0.2"/>
    <row r="36291" ht="12.75" x14ac:dyDescent="0.2"/>
    <row r="36292" ht="12.75" x14ac:dyDescent="0.2"/>
    <row r="36293" ht="12.75" x14ac:dyDescent="0.2"/>
    <row r="36294" ht="12.75" x14ac:dyDescent="0.2"/>
    <row r="36295" ht="12.75" x14ac:dyDescent="0.2"/>
    <row r="36296" ht="12.75" x14ac:dyDescent="0.2"/>
    <row r="36297" ht="12.75" x14ac:dyDescent="0.2"/>
    <row r="36298" ht="12.75" x14ac:dyDescent="0.2"/>
    <row r="36299" ht="12.75" x14ac:dyDescent="0.2"/>
    <row r="36300" ht="12.75" x14ac:dyDescent="0.2"/>
    <row r="36301" ht="12.75" x14ac:dyDescent="0.2"/>
    <row r="36302" ht="12.75" x14ac:dyDescent="0.2"/>
    <row r="36303" ht="12.75" x14ac:dyDescent="0.2"/>
    <row r="36304" ht="12.75" x14ac:dyDescent="0.2"/>
    <row r="36305" ht="12.75" x14ac:dyDescent="0.2"/>
    <row r="36306" ht="12.75" x14ac:dyDescent="0.2"/>
    <row r="36307" ht="12.75" x14ac:dyDescent="0.2"/>
    <row r="36308" ht="12.75" x14ac:dyDescent="0.2"/>
    <row r="36309" ht="12.75" x14ac:dyDescent="0.2"/>
    <row r="36310" ht="12.75" x14ac:dyDescent="0.2"/>
    <row r="36311" ht="12.75" x14ac:dyDescent="0.2"/>
    <row r="36312" ht="12.75" x14ac:dyDescent="0.2"/>
    <row r="36313" ht="12.75" x14ac:dyDescent="0.2"/>
    <row r="36314" ht="12.75" x14ac:dyDescent="0.2"/>
    <row r="36315" ht="12.75" x14ac:dyDescent="0.2"/>
    <row r="36316" ht="12.75" x14ac:dyDescent="0.2"/>
    <row r="36317" ht="12.75" x14ac:dyDescent="0.2"/>
    <row r="36318" ht="12.75" x14ac:dyDescent="0.2"/>
    <row r="36319" ht="12.75" x14ac:dyDescent="0.2"/>
    <row r="36320" ht="12.75" x14ac:dyDescent="0.2"/>
    <row r="36321" ht="12.75" x14ac:dyDescent="0.2"/>
    <row r="36322" ht="12.75" x14ac:dyDescent="0.2"/>
    <row r="36323" ht="12.75" x14ac:dyDescent="0.2"/>
    <row r="36324" ht="12.75" x14ac:dyDescent="0.2"/>
    <row r="36325" ht="12.75" x14ac:dyDescent="0.2"/>
    <row r="36326" ht="12.75" x14ac:dyDescent="0.2"/>
    <row r="36327" ht="12.75" x14ac:dyDescent="0.2"/>
    <row r="36328" ht="12.75" x14ac:dyDescent="0.2"/>
    <row r="36329" ht="12.75" x14ac:dyDescent="0.2"/>
    <row r="36330" ht="12.75" x14ac:dyDescent="0.2"/>
    <row r="36331" ht="12.75" x14ac:dyDescent="0.2"/>
    <row r="36332" ht="12.75" x14ac:dyDescent="0.2"/>
    <row r="36333" ht="12.75" x14ac:dyDescent="0.2"/>
    <row r="36334" ht="12.75" x14ac:dyDescent="0.2"/>
    <row r="36335" ht="12.75" x14ac:dyDescent="0.2"/>
    <row r="36336" ht="12.75" x14ac:dyDescent="0.2"/>
    <row r="36337" ht="12.75" x14ac:dyDescent="0.2"/>
    <row r="36338" ht="12.75" x14ac:dyDescent="0.2"/>
    <row r="36339" ht="12.75" x14ac:dyDescent="0.2"/>
    <row r="36340" ht="12.75" x14ac:dyDescent="0.2"/>
    <row r="36341" ht="12.75" x14ac:dyDescent="0.2"/>
    <row r="36342" ht="12.75" x14ac:dyDescent="0.2"/>
    <row r="36343" ht="12.75" x14ac:dyDescent="0.2"/>
    <row r="36344" ht="12.75" x14ac:dyDescent="0.2"/>
    <row r="36345" ht="12.75" x14ac:dyDescent="0.2"/>
    <row r="36346" ht="12.75" x14ac:dyDescent="0.2"/>
    <row r="36347" ht="12.75" x14ac:dyDescent="0.2"/>
    <row r="36348" ht="12.75" x14ac:dyDescent="0.2"/>
    <row r="36349" ht="12.75" x14ac:dyDescent="0.2"/>
    <row r="36350" ht="12.75" x14ac:dyDescent="0.2"/>
    <row r="36351" ht="12.75" x14ac:dyDescent="0.2"/>
    <row r="36352" ht="12.75" x14ac:dyDescent="0.2"/>
    <row r="36353" ht="12.75" x14ac:dyDescent="0.2"/>
    <row r="36354" ht="12.75" x14ac:dyDescent="0.2"/>
    <row r="36355" ht="12.75" x14ac:dyDescent="0.2"/>
    <row r="36356" ht="12.75" x14ac:dyDescent="0.2"/>
    <row r="36357" ht="12.75" x14ac:dyDescent="0.2"/>
    <row r="36358" ht="12.75" x14ac:dyDescent="0.2"/>
    <row r="36359" ht="12.75" x14ac:dyDescent="0.2"/>
    <row r="36360" ht="12.75" x14ac:dyDescent="0.2"/>
    <row r="36361" ht="12.75" x14ac:dyDescent="0.2"/>
    <row r="36362" ht="12.75" x14ac:dyDescent="0.2"/>
    <row r="36363" ht="12.75" x14ac:dyDescent="0.2"/>
    <row r="36364" ht="12.75" x14ac:dyDescent="0.2"/>
    <row r="36365" ht="12.75" x14ac:dyDescent="0.2"/>
    <row r="36366" ht="12.75" x14ac:dyDescent="0.2"/>
    <row r="36367" ht="12.75" x14ac:dyDescent="0.2"/>
    <row r="36368" ht="12.75" x14ac:dyDescent="0.2"/>
    <row r="36369" ht="12.75" x14ac:dyDescent="0.2"/>
    <row r="36370" ht="12.75" x14ac:dyDescent="0.2"/>
    <row r="36371" ht="12.75" x14ac:dyDescent="0.2"/>
    <row r="36372" ht="12.75" x14ac:dyDescent="0.2"/>
    <row r="36373" ht="12.75" x14ac:dyDescent="0.2"/>
    <row r="36374" ht="12.75" x14ac:dyDescent="0.2"/>
    <row r="36375" ht="12.75" x14ac:dyDescent="0.2"/>
    <row r="36376" ht="12.75" x14ac:dyDescent="0.2"/>
    <row r="36377" ht="12.75" x14ac:dyDescent="0.2"/>
    <row r="36378" ht="12.75" x14ac:dyDescent="0.2"/>
    <row r="36379" ht="12.75" x14ac:dyDescent="0.2"/>
    <row r="36380" ht="12.75" x14ac:dyDescent="0.2"/>
    <row r="36381" ht="12.75" x14ac:dyDescent="0.2"/>
    <row r="36382" ht="12.75" x14ac:dyDescent="0.2"/>
    <row r="36383" ht="12.75" x14ac:dyDescent="0.2"/>
    <row r="36384" ht="12.75" x14ac:dyDescent="0.2"/>
    <row r="36385" ht="12.75" x14ac:dyDescent="0.2"/>
    <row r="36386" ht="12.75" x14ac:dyDescent="0.2"/>
    <row r="36387" ht="12.75" x14ac:dyDescent="0.2"/>
    <row r="36388" ht="12.75" x14ac:dyDescent="0.2"/>
    <row r="36389" ht="12.75" x14ac:dyDescent="0.2"/>
    <row r="36390" ht="12.75" x14ac:dyDescent="0.2"/>
    <row r="36391" ht="12.75" x14ac:dyDescent="0.2"/>
    <row r="36392" ht="12.75" x14ac:dyDescent="0.2"/>
    <row r="36393" ht="12.75" x14ac:dyDescent="0.2"/>
    <row r="36394" ht="12.75" x14ac:dyDescent="0.2"/>
    <row r="36395" ht="12.75" x14ac:dyDescent="0.2"/>
    <row r="36396" ht="12.75" x14ac:dyDescent="0.2"/>
    <row r="36397" ht="12.75" x14ac:dyDescent="0.2"/>
    <row r="36398" ht="12.75" x14ac:dyDescent="0.2"/>
    <row r="36399" ht="12.75" x14ac:dyDescent="0.2"/>
    <row r="36400" ht="12.75" x14ac:dyDescent="0.2"/>
    <row r="36401" ht="12.75" x14ac:dyDescent="0.2"/>
    <row r="36402" ht="12.75" x14ac:dyDescent="0.2"/>
    <row r="36403" ht="12.75" x14ac:dyDescent="0.2"/>
    <row r="36404" ht="12.75" x14ac:dyDescent="0.2"/>
    <row r="36405" ht="12.75" x14ac:dyDescent="0.2"/>
    <row r="36406" ht="12.75" x14ac:dyDescent="0.2"/>
    <row r="36407" ht="12.75" x14ac:dyDescent="0.2"/>
    <row r="36408" ht="12.75" x14ac:dyDescent="0.2"/>
    <row r="36409" ht="12.75" x14ac:dyDescent="0.2"/>
    <row r="36410" ht="12.75" x14ac:dyDescent="0.2"/>
    <row r="36411" ht="12.75" x14ac:dyDescent="0.2"/>
    <row r="36412" ht="12.75" x14ac:dyDescent="0.2"/>
    <row r="36413" ht="12.75" x14ac:dyDescent="0.2"/>
    <row r="36414" ht="12.75" x14ac:dyDescent="0.2"/>
    <row r="36415" ht="12.75" x14ac:dyDescent="0.2"/>
    <row r="36416" ht="12.75" x14ac:dyDescent="0.2"/>
    <row r="36417" ht="12.75" x14ac:dyDescent="0.2"/>
    <row r="36418" ht="12.75" x14ac:dyDescent="0.2"/>
    <row r="36419" ht="12.75" x14ac:dyDescent="0.2"/>
    <row r="36420" ht="12.75" x14ac:dyDescent="0.2"/>
    <row r="36421" ht="12.75" x14ac:dyDescent="0.2"/>
    <row r="36422" ht="12.75" x14ac:dyDescent="0.2"/>
    <row r="36423" ht="12.75" x14ac:dyDescent="0.2"/>
    <row r="36424" ht="12.75" x14ac:dyDescent="0.2"/>
    <row r="36425" ht="12.75" x14ac:dyDescent="0.2"/>
    <row r="36426" ht="12.75" x14ac:dyDescent="0.2"/>
    <row r="36427" ht="12.75" x14ac:dyDescent="0.2"/>
    <row r="36428" ht="12.75" x14ac:dyDescent="0.2"/>
    <row r="36429" ht="12.75" x14ac:dyDescent="0.2"/>
    <row r="36430" ht="12.75" x14ac:dyDescent="0.2"/>
    <row r="36431" ht="12.75" x14ac:dyDescent="0.2"/>
    <row r="36432" ht="12.75" x14ac:dyDescent="0.2"/>
    <row r="36433" ht="12.75" x14ac:dyDescent="0.2"/>
    <row r="36434" ht="12.75" x14ac:dyDescent="0.2"/>
    <row r="36435" ht="12.75" x14ac:dyDescent="0.2"/>
    <row r="36436" ht="12.75" x14ac:dyDescent="0.2"/>
    <row r="36437" ht="12.75" x14ac:dyDescent="0.2"/>
    <row r="36438" ht="12.75" x14ac:dyDescent="0.2"/>
    <row r="36439" ht="12.75" x14ac:dyDescent="0.2"/>
    <row r="36440" ht="12.75" x14ac:dyDescent="0.2"/>
    <row r="36441" ht="12.75" x14ac:dyDescent="0.2"/>
    <row r="36442" ht="12.75" x14ac:dyDescent="0.2"/>
    <row r="36443" ht="12.75" x14ac:dyDescent="0.2"/>
    <row r="36444" ht="12.75" x14ac:dyDescent="0.2"/>
    <row r="36445" ht="12.75" x14ac:dyDescent="0.2"/>
    <row r="36446" ht="12.75" x14ac:dyDescent="0.2"/>
    <row r="36447" ht="12.75" x14ac:dyDescent="0.2"/>
    <row r="36448" ht="12.75" x14ac:dyDescent="0.2"/>
    <row r="36449" ht="12.75" x14ac:dyDescent="0.2"/>
    <row r="36450" ht="12.75" x14ac:dyDescent="0.2"/>
    <row r="36451" ht="12.75" x14ac:dyDescent="0.2"/>
    <row r="36452" ht="12.75" x14ac:dyDescent="0.2"/>
    <row r="36453" ht="12.75" x14ac:dyDescent="0.2"/>
    <row r="36454" ht="12.75" x14ac:dyDescent="0.2"/>
    <row r="36455" ht="12.75" x14ac:dyDescent="0.2"/>
    <row r="36456" ht="12.75" x14ac:dyDescent="0.2"/>
    <row r="36457" ht="12.75" x14ac:dyDescent="0.2"/>
    <row r="36458" ht="12.75" x14ac:dyDescent="0.2"/>
    <row r="36459" ht="12.75" x14ac:dyDescent="0.2"/>
    <row r="36460" ht="12.75" x14ac:dyDescent="0.2"/>
    <row r="36461" ht="12.75" x14ac:dyDescent="0.2"/>
    <row r="36462" ht="12.75" x14ac:dyDescent="0.2"/>
    <row r="36463" ht="12.75" x14ac:dyDescent="0.2"/>
    <row r="36464" ht="12.75" x14ac:dyDescent="0.2"/>
    <row r="36465" ht="12.75" x14ac:dyDescent="0.2"/>
    <row r="36466" ht="12.75" x14ac:dyDescent="0.2"/>
    <row r="36467" ht="12.75" x14ac:dyDescent="0.2"/>
    <row r="36468" ht="12.75" x14ac:dyDescent="0.2"/>
    <row r="36469" ht="12.75" x14ac:dyDescent="0.2"/>
    <row r="36470" ht="12.75" x14ac:dyDescent="0.2"/>
    <row r="36471" ht="12.75" x14ac:dyDescent="0.2"/>
    <row r="36472" ht="12.75" x14ac:dyDescent="0.2"/>
    <row r="36473" ht="12.75" x14ac:dyDescent="0.2"/>
    <row r="36474" ht="12.75" x14ac:dyDescent="0.2"/>
    <row r="36475" ht="12.75" x14ac:dyDescent="0.2"/>
    <row r="36476" ht="12.75" x14ac:dyDescent="0.2"/>
    <row r="36477" ht="12.75" x14ac:dyDescent="0.2"/>
    <row r="36478" ht="12.75" x14ac:dyDescent="0.2"/>
    <row r="36479" ht="12.75" x14ac:dyDescent="0.2"/>
    <row r="36480" ht="12.75" x14ac:dyDescent="0.2"/>
    <row r="36481" ht="12.75" x14ac:dyDescent="0.2"/>
    <row r="36482" ht="12.75" x14ac:dyDescent="0.2"/>
    <row r="36483" ht="12.75" x14ac:dyDescent="0.2"/>
    <row r="36484" ht="12.75" x14ac:dyDescent="0.2"/>
    <row r="36485" ht="12.75" x14ac:dyDescent="0.2"/>
    <row r="36486" ht="12.75" x14ac:dyDescent="0.2"/>
    <row r="36487" ht="12.75" x14ac:dyDescent="0.2"/>
    <row r="36488" ht="12.75" x14ac:dyDescent="0.2"/>
    <row r="36489" ht="12.75" x14ac:dyDescent="0.2"/>
    <row r="36490" ht="12.75" x14ac:dyDescent="0.2"/>
    <row r="36491" ht="12.75" x14ac:dyDescent="0.2"/>
    <row r="36492" ht="12.75" x14ac:dyDescent="0.2"/>
    <row r="36493" ht="12.75" x14ac:dyDescent="0.2"/>
    <row r="36494" ht="12.75" x14ac:dyDescent="0.2"/>
    <row r="36495" ht="12.75" x14ac:dyDescent="0.2"/>
    <row r="36496" ht="12.75" x14ac:dyDescent="0.2"/>
    <row r="36497" ht="12.75" x14ac:dyDescent="0.2"/>
    <row r="36498" ht="12.75" x14ac:dyDescent="0.2"/>
    <row r="36499" ht="12.75" x14ac:dyDescent="0.2"/>
    <row r="36500" ht="12.75" x14ac:dyDescent="0.2"/>
    <row r="36501" ht="12.75" x14ac:dyDescent="0.2"/>
    <row r="36502" ht="12.75" x14ac:dyDescent="0.2"/>
    <row r="36503" ht="12.75" x14ac:dyDescent="0.2"/>
    <row r="36504" ht="12.75" x14ac:dyDescent="0.2"/>
    <row r="36505" ht="12.75" x14ac:dyDescent="0.2"/>
    <row r="36506" ht="12.75" x14ac:dyDescent="0.2"/>
    <row r="36507" ht="12.75" x14ac:dyDescent="0.2"/>
    <row r="36508" ht="12.75" x14ac:dyDescent="0.2"/>
    <row r="36509" ht="12.75" x14ac:dyDescent="0.2"/>
    <row r="36510" ht="12.75" x14ac:dyDescent="0.2"/>
    <row r="36511" ht="12.75" x14ac:dyDescent="0.2"/>
    <row r="36512" ht="12.75" x14ac:dyDescent="0.2"/>
    <row r="36513" ht="12.75" x14ac:dyDescent="0.2"/>
    <row r="36514" ht="12.75" x14ac:dyDescent="0.2"/>
    <row r="36515" ht="12.75" x14ac:dyDescent="0.2"/>
    <row r="36516" ht="12.75" x14ac:dyDescent="0.2"/>
    <row r="36517" ht="12.75" x14ac:dyDescent="0.2"/>
    <row r="36518" ht="12.75" x14ac:dyDescent="0.2"/>
    <row r="36519" ht="12.75" x14ac:dyDescent="0.2"/>
    <row r="36520" ht="12.75" x14ac:dyDescent="0.2"/>
    <row r="36521" ht="12.75" x14ac:dyDescent="0.2"/>
    <row r="36522" ht="12.75" x14ac:dyDescent="0.2"/>
    <row r="36523" ht="12.75" x14ac:dyDescent="0.2"/>
    <row r="36524" ht="12.75" x14ac:dyDescent="0.2"/>
    <row r="36525" ht="12.75" x14ac:dyDescent="0.2"/>
    <row r="36526" ht="12.75" x14ac:dyDescent="0.2"/>
    <row r="36527" ht="12.75" x14ac:dyDescent="0.2"/>
    <row r="36528" ht="12.75" x14ac:dyDescent="0.2"/>
    <row r="36529" ht="12.75" x14ac:dyDescent="0.2"/>
    <row r="36530" ht="12.75" x14ac:dyDescent="0.2"/>
    <row r="36531" ht="12.75" x14ac:dyDescent="0.2"/>
    <row r="36532" ht="12.75" x14ac:dyDescent="0.2"/>
    <row r="36533" ht="12.75" x14ac:dyDescent="0.2"/>
    <row r="36534" ht="12.75" x14ac:dyDescent="0.2"/>
    <row r="36535" ht="12.75" x14ac:dyDescent="0.2"/>
    <row r="36536" ht="12.75" x14ac:dyDescent="0.2"/>
    <row r="36537" ht="12.75" x14ac:dyDescent="0.2"/>
    <row r="36538" ht="12.75" x14ac:dyDescent="0.2"/>
    <row r="36539" ht="12.75" x14ac:dyDescent="0.2"/>
    <row r="36540" ht="12.75" x14ac:dyDescent="0.2"/>
    <row r="36541" ht="12.75" x14ac:dyDescent="0.2"/>
    <row r="36542" ht="12.75" x14ac:dyDescent="0.2"/>
    <row r="36543" ht="12.75" x14ac:dyDescent="0.2"/>
    <row r="36544" ht="12.75" x14ac:dyDescent="0.2"/>
    <row r="36545" ht="12.75" x14ac:dyDescent="0.2"/>
    <row r="36546" ht="12.75" x14ac:dyDescent="0.2"/>
    <row r="36547" ht="12.75" x14ac:dyDescent="0.2"/>
    <row r="36548" ht="12.75" x14ac:dyDescent="0.2"/>
    <row r="36549" ht="12.75" x14ac:dyDescent="0.2"/>
    <row r="36550" ht="12.75" x14ac:dyDescent="0.2"/>
    <row r="36551" ht="12.75" x14ac:dyDescent="0.2"/>
    <row r="36552" ht="12.75" x14ac:dyDescent="0.2"/>
    <row r="36553" ht="12.75" x14ac:dyDescent="0.2"/>
    <row r="36554" ht="12.75" x14ac:dyDescent="0.2"/>
    <row r="36555" ht="12.75" x14ac:dyDescent="0.2"/>
    <row r="36556" ht="12.75" x14ac:dyDescent="0.2"/>
    <row r="36557" ht="12.75" x14ac:dyDescent="0.2"/>
    <row r="36558" ht="12.75" x14ac:dyDescent="0.2"/>
    <row r="36559" ht="12.75" x14ac:dyDescent="0.2"/>
    <row r="36560" ht="12.75" x14ac:dyDescent="0.2"/>
    <row r="36561" ht="12.75" x14ac:dyDescent="0.2"/>
    <row r="36562" ht="12.75" x14ac:dyDescent="0.2"/>
    <row r="36563" ht="12.75" x14ac:dyDescent="0.2"/>
    <row r="36564" ht="12.75" x14ac:dyDescent="0.2"/>
    <row r="36565" ht="12.75" x14ac:dyDescent="0.2"/>
    <row r="36566" ht="12.75" x14ac:dyDescent="0.2"/>
    <row r="36567" ht="12.75" x14ac:dyDescent="0.2"/>
    <row r="36568" ht="12.75" x14ac:dyDescent="0.2"/>
    <row r="36569" ht="12.75" x14ac:dyDescent="0.2"/>
    <row r="36570" ht="12.75" x14ac:dyDescent="0.2"/>
    <row r="36571" ht="12.75" x14ac:dyDescent="0.2"/>
    <row r="36572" ht="12.75" x14ac:dyDescent="0.2"/>
    <row r="36573" ht="12.75" x14ac:dyDescent="0.2"/>
    <row r="36574" ht="12.75" x14ac:dyDescent="0.2"/>
    <row r="36575" ht="12.75" x14ac:dyDescent="0.2"/>
    <row r="36576" ht="12.75" x14ac:dyDescent="0.2"/>
    <row r="36577" ht="12.75" x14ac:dyDescent="0.2"/>
    <row r="36578" ht="12.75" x14ac:dyDescent="0.2"/>
    <row r="36579" ht="12.75" x14ac:dyDescent="0.2"/>
    <row r="36580" ht="12.75" x14ac:dyDescent="0.2"/>
    <row r="36581" ht="12.75" x14ac:dyDescent="0.2"/>
    <row r="36582" ht="12.75" x14ac:dyDescent="0.2"/>
    <row r="36583" ht="12.75" x14ac:dyDescent="0.2"/>
    <row r="36584" ht="12.75" x14ac:dyDescent="0.2"/>
    <row r="36585" ht="12.75" x14ac:dyDescent="0.2"/>
    <row r="36586" ht="12.75" x14ac:dyDescent="0.2"/>
    <row r="36587" ht="12.75" x14ac:dyDescent="0.2"/>
    <row r="36588" ht="12.75" x14ac:dyDescent="0.2"/>
    <row r="36589" ht="12.75" x14ac:dyDescent="0.2"/>
    <row r="36590" ht="12.75" x14ac:dyDescent="0.2"/>
    <row r="36591" ht="12.75" x14ac:dyDescent="0.2"/>
    <row r="36592" ht="12.75" x14ac:dyDescent="0.2"/>
    <row r="36593" ht="12.75" x14ac:dyDescent="0.2"/>
    <row r="36594" ht="12.75" x14ac:dyDescent="0.2"/>
    <row r="36595" ht="12.75" x14ac:dyDescent="0.2"/>
    <row r="36596" ht="12.75" x14ac:dyDescent="0.2"/>
    <row r="36597" ht="12.75" x14ac:dyDescent="0.2"/>
    <row r="36598" ht="12.75" x14ac:dyDescent="0.2"/>
    <row r="36599" ht="12.75" x14ac:dyDescent="0.2"/>
    <row r="36600" ht="12.75" x14ac:dyDescent="0.2"/>
    <row r="36601" ht="12.75" x14ac:dyDescent="0.2"/>
    <row r="36602" ht="12.75" x14ac:dyDescent="0.2"/>
    <row r="36603" ht="12.75" x14ac:dyDescent="0.2"/>
    <row r="36604" ht="12.75" x14ac:dyDescent="0.2"/>
    <row r="36605" ht="12.75" x14ac:dyDescent="0.2"/>
    <row r="36606" ht="12.75" x14ac:dyDescent="0.2"/>
    <row r="36607" ht="12.75" x14ac:dyDescent="0.2"/>
    <row r="36608" ht="12.75" x14ac:dyDescent="0.2"/>
    <row r="36609" ht="12.75" x14ac:dyDescent="0.2"/>
    <row r="36610" ht="12.75" x14ac:dyDescent="0.2"/>
    <row r="36611" ht="12.75" x14ac:dyDescent="0.2"/>
    <row r="36612" ht="12.75" x14ac:dyDescent="0.2"/>
    <row r="36613" ht="12.75" x14ac:dyDescent="0.2"/>
    <row r="36614" ht="12.75" x14ac:dyDescent="0.2"/>
    <row r="36615" ht="12.75" x14ac:dyDescent="0.2"/>
    <row r="36616" ht="12.75" x14ac:dyDescent="0.2"/>
    <row r="36617" ht="12.75" x14ac:dyDescent="0.2"/>
    <row r="36618" ht="12.75" x14ac:dyDescent="0.2"/>
    <row r="36619" ht="12.75" x14ac:dyDescent="0.2"/>
    <row r="36620" ht="12.75" x14ac:dyDescent="0.2"/>
    <row r="36621" ht="12.75" x14ac:dyDescent="0.2"/>
    <row r="36622" ht="12.75" x14ac:dyDescent="0.2"/>
    <row r="36623" ht="12.75" x14ac:dyDescent="0.2"/>
    <row r="36624" ht="12.75" x14ac:dyDescent="0.2"/>
    <row r="36625" ht="12.75" x14ac:dyDescent="0.2"/>
    <row r="36626" ht="12.75" x14ac:dyDescent="0.2"/>
    <row r="36627" ht="12.75" x14ac:dyDescent="0.2"/>
    <row r="36628" ht="12.75" x14ac:dyDescent="0.2"/>
    <row r="36629" ht="12.75" x14ac:dyDescent="0.2"/>
    <row r="36630" ht="12.75" x14ac:dyDescent="0.2"/>
    <row r="36631" ht="12.75" x14ac:dyDescent="0.2"/>
    <row r="36632" ht="12.75" x14ac:dyDescent="0.2"/>
    <row r="36633" ht="12.75" x14ac:dyDescent="0.2"/>
    <row r="36634" ht="12.75" x14ac:dyDescent="0.2"/>
    <row r="36635" ht="12.75" x14ac:dyDescent="0.2"/>
    <row r="36636" ht="12.75" x14ac:dyDescent="0.2"/>
    <row r="36637" ht="12.75" x14ac:dyDescent="0.2"/>
    <row r="36638" ht="12.75" x14ac:dyDescent="0.2"/>
    <row r="36639" ht="12.75" x14ac:dyDescent="0.2"/>
    <row r="36640" ht="12.75" x14ac:dyDescent="0.2"/>
    <row r="36641" ht="12.75" x14ac:dyDescent="0.2"/>
    <row r="36642" ht="12.75" x14ac:dyDescent="0.2"/>
    <row r="36643" ht="12.75" x14ac:dyDescent="0.2"/>
    <row r="36644" ht="12.75" x14ac:dyDescent="0.2"/>
    <row r="36645" ht="12.75" x14ac:dyDescent="0.2"/>
    <row r="36646" ht="12.75" x14ac:dyDescent="0.2"/>
    <row r="36647" ht="12.75" x14ac:dyDescent="0.2"/>
    <row r="36648" ht="12.75" x14ac:dyDescent="0.2"/>
    <row r="36649" ht="12.75" x14ac:dyDescent="0.2"/>
    <row r="36650" ht="12.75" x14ac:dyDescent="0.2"/>
    <row r="36651" ht="12.75" x14ac:dyDescent="0.2"/>
    <row r="36652" ht="12.75" x14ac:dyDescent="0.2"/>
    <row r="36653" ht="12.75" x14ac:dyDescent="0.2"/>
    <row r="36654" ht="12.75" x14ac:dyDescent="0.2"/>
    <row r="36655" ht="12.75" x14ac:dyDescent="0.2"/>
    <row r="36656" ht="12.75" x14ac:dyDescent="0.2"/>
    <row r="36657" ht="12.75" x14ac:dyDescent="0.2"/>
    <row r="36658" ht="12.75" x14ac:dyDescent="0.2"/>
    <row r="36659" ht="12.75" x14ac:dyDescent="0.2"/>
    <row r="36660" ht="12.75" x14ac:dyDescent="0.2"/>
    <row r="36661" ht="12.75" x14ac:dyDescent="0.2"/>
    <row r="36662" ht="12.75" x14ac:dyDescent="0.2"/>
    <row r="36663" ht="12.75" x14ac:dyDescent="0.2"/>
    <row r="36664" ht="12.75" x14ac:dyDescent="0.2"/>
    <row r="36665" ht="12.75" x14ac:dyDescent="0.2"/>
    <row r="36666" ht="12.75" x14ac:dyDescent="0.2"/>
    <row r="36667" ht="12.75" x14ac:dyDescent="0.2"/>
    <row r="36668" ht="12.75" x14ac:dyDescent="0.2"/>
    <row r="36669" ht="12.75" x14ac:dyDescent="0.2"/>
    <row r="36670" ht="12.75" x14ac:dyDescent="0.2"/>
    <row r="36671" ht="12.75" x14ac:dyDescent="0.2"/>
    <row r="36672" ht="12.75" x14ac:dyDescent="0.2"/>
    <row r="36673" ht="12.75" x14ac:dyDescent="0.2"/>
    <row r="36674" ht="12.75" x14ac:dyDescent="0.2"/>
    <row r="36675" ht="12.75" x14ac:dyDescent="0.2"/>
    <row r="36676" ht="12.75" x14ac:dyDescent="0.2"/>
    <row r="36677" ht="12.75" x14ac:dyDescent="0.2"/>
    <row r="36678" ht="12.75" x14ac:dyDescent="0.2"/>
    <row r="36679" ht="12.75" x14ac:dyDescent="0.2"/>
    <row r="36680" ht="12.75" x14ac:dyDescent="0.2"/>
    <row r="36681" ht="12.75" x14ac:dyDescent="0.2"/>
    <row r="36682" ht="12.75" x14ac:dyDescent="0.2"/>
    <row r="36683" ht="12.75" x14ac:dyDescent="0.2"/>
    <row r="36684" ht="12.75" x14ac:dyDescent="0.2"/>
    <row r="36685" ht="12.75" x14ac:dyDescent="0.2"/>
    <row r="36686" ht="12.75" x14ac:dyDescent="0.2"/>
    <row r="36687" ht="12.75" x14ac:dyDescent="0.2"/>
    <row r="36688" ht="12.75" x14ac:dyDescent="0.2"/>
    <row r="36689" ht="12.75" x14ac:dyDescent="0.2"/>
    <row r="36690" ht="12.75" x14ac:dyDescent="0.2"/>
    <row r="36691" ht="12.75" x14ac:dyDescent="0.2"/>
    <row r="36692" ht="12.75" x14ac:dyDescent="0.2"/>
    <row r="36693" ht="12.75" x14ac:dyDescent="0.2"/>
    <row r="36694" ht="12.75" x14ac:dyDescent="0.2"/>
    <row r="36695" ht="12.75" x14ac:dyDescent="0.2"/>
    <row r="36696" ht="12.75" x14ac:dyDescent="0.2"/>
    <row r="36697" ht="12.75" x14ac:dyDescent="0.2"/>
    <row r="36698" ht="12.75" x14ac:dyDescent="0.2"/>
    <row r="36699" ht="12.75" x14ac:dyDescent="0.2"/>
    <row r="36700" ht="12.75" x14ac:dyDescent="0.2"/>
    <row r="36701" ht="12.75" x14ac:dyDescent="0.2"/>
    <row r="36702" ht="12.75" x14ac:dyDescent="0.2"/>
    <row r="36703" ht="12.75" x14ac:dyDescent="0.2"/>
    <row r="36704" ht="12.75" x14ac:dyDescent="0.2"/>
    <row r="36705" ht="12.75" x14ac:dyDescent="0.2"/>
    <row r="36706" ht="12.75" x14ac:dyDescent="0.2"/>
    <row r="36707" ht="12.75" x14ac:dyDescent="0.2"/>
    <row r="36708" ht="12.75" x14ac:dyDescent="0.2"/>
    <row r="36709" ht="12.75" x14ac:dyDescent="0.2"/>
    <row r="36710" ht="12.75" x14ac:dyDescent="0.2"/>
    <row r="36711" ht="12.75" x14ac:dyDescent="0.2"/>
    <row r="36712" ht="12.75" x14ac:dyDescent="0.2"/>
    <row r="36713" ht="12.75" x14ac:dyDescent="0.2"/>
    <row r="36714" ht="12.75" x14ac:dyDescent="0.2"/>
    <row r="36715" ht="12.75" x14ac:dyDescent="0.2"/>
    <row r="36716" ht="12.75" x14ac:dyDescent="0.2"/>
    <row r="36717" ht="12.75" x14ac:dyDescent="0.2"/>
    <row r="36718" ht="12.75" x14ac:dyDescent="0.2"/>
    <row r="36719" ht="12.75" x14ac:dyDescent="0.2"/>
    <row r="36720" ht="12.75" x14ac:dyDescent="0.2"/>
    <row r="36721" ht="12.75" x14ac:dyDescent="0.2"/>
    <row r="36722" ht="12.75" x14ac:dyDescent="0.2"/>
    <row r="36723" ht="12.75" x14ac:dyDescent="0.2"/>
    <row r="36724" ht="12.75" x14ac:dyDescent="0.2"/>
    <row r="36725" ht="12.75" x14ac:dyDescent="0.2"/>
    <row r="36726" ht="12.75" x14ac:dyDescent="0.2"/>
    <row r="36727" ht="12.75" x14ac:dyDescent="0.2"/>
    <row r="36728" ht="12.75" x14ac:dyDescent="0.2"/>
    <row r="36729" ht="12.75" x14ac:dyDescent="0.2"/>
    <row r="36730" ht="12.75" x14ac:dyDescent="0.2"/>
    <row r="36731" ht="12.75" x14ac:dyDescent="0.2"/>
    <row r="36732" ht="12.75" x14ac:dyDescent="0.2"/>
    <row r="36733" ht="12.75" x14ac:dyDescent="0.2"/>
    <row r="36734" ht="12.75" x14ac:dyDescent="0.2"/>
    <row r="36735" ht="12.75" x14ac:dyDescent="0.2"/>
    <row r="36736" ht="12.75" x14ac:dyDescent="0.2"/>
    <row r="36737" ht="12.75" x14ac:dyDescent="0.2"/>
    <row r="36738" ht="12.75" x14ac:dyDescent="0.2"/>
    <row r="36739" ht="12.75" x14ac:dyDescent="0.2"/>
    <row r="36740" ht="12.75" x14ac:dyDescent="0.2"/>
    <row r="36741" ht="12.75" x14ac:dyDescent="0.2"/>
    <row r="36742" ht="12.75" x14ac:dyDescent="0.2"/>
    <row r="36743" ht="12.75" x14ac:dyDescent="0.2"/>
    <row r="36744" ht="12.75" x14ac:dyDescent="0.2"/>
    <row r="36745" ht="12.75" x14ac:dyDescent="0.2"/>
    <row r="36746" ht="12.75" x14ac:dyDescent="0.2"/>
    <row r="36747" ht="12.75" x14ac:dyDescent="0.2"/>
    <row r="36748" ht="12.75" x14ac:dyDescent="0.2"/>
    <row r="36749" ht="12.75" x14ac:dyDescent="0.2"/>
    <row r="36750" ht="12.75" x14ac:dyDescent="0.2"/>
    <row r="36751" ht="12.75" x14ac:dyDescent="0.2"/>
    <row r="36752" ht="12.75" x14ac:dyDescent="0.2"/>
    <row r="36753" ht="12.75" x14ac:dyDescent="0.2"/>
    <row r="36754" ht="12.75" x14ac:dyDescent="0.2"/>
    <row r="36755" ht="12.75" x14ac:dyDescent="0.2"/>
    <row r="36756" ht="12.75" x14ac:dyDescent="0.2"/>
    <row r="36757" ht="12.75" x14ac:dyDescent="0.2"/>
    <row r="36758" ht="12.75" x14ac:dyDescent="0.2"/>
    <row r="36759" ht="12.75" x14ac:dyDescent="0.2"/>
    <row r="36760" ht="12.75" x14ac:dyDescent="0.2"/>
    <row r="36761" ht="12.75" x14ac:dyDescent="0.2"/>
    <row r="36762" ht="12.75" x14ac:dyDescent="0.2"/>
    <row r="36763" ht="12.75" x14ac:dyDescent="0.2"/>
    <row r="36764" ht="12.75" x14ac:dyDescent="0.2"/>
    <row r="36765" ht="12.75" x14ac:dyDescent="0.2"/>
    <row r="36766" ht="12.75" x14ac:dyDescent="0.2"/>
    <row r="36767" ht="12.75" x14ac:dyDescent="0.2"/>
    <row r="36768" ht="12.75" x14ac:dyDescent="0.2"/>
    <row r="36769" ht="12.75" x14ac:dyDescent="0.2"/>
    <row r="36770" ht="12.75" x14ac:dyDescent="0.2"/>
    <row r="36771" ht="12.75" x14ac:dyDescent="0.2"/>
    <row r="36772" ht="12.75" x14ac:dyDescent="0.2"/>
    <row r="36773" ht="12.75" x14ac:dyDescent="0.2"/>
    <row r="36774" ht="12.75" x14ac:dyDescent="0.2"/>
    <row r="36775" ht="12.75" x14ac:dyDescent="0.2"/>
    <row r="36776" ht="12.75" x14ac:dyDescent="0.2"/>
    <row r="36777" ht="12.75" x14ac:dyDescent="0.2"/>
    <row r="36778" ht="12.75" x14ac:dyDescent="0.2"/>
    <row r="36779" ht="12.75" x14ac:dyDescent="0.2"/>
    <row r="36780" ht="12.75" x14ac:dyDescent="0.2"/>
    <row r="36781" ht="12.75" x14ac:dyDescent="0.2"/>
    <row r="36782" ht="12.75" x14ac:dyDescent="0.2"/>
    <row r="36783" ht="12.75" x14ac:dyDescent="0.2"/>
    <row r="36784" ht="12.75" x14ac:dyDescent="0.2"/>
    <row r="36785" ht="12.75" x14ac:dyDescent="0.2"/>
    <row r="36786" ht="12.75" x14ac:dyDescent="0.2"/>
    <row r="36787" ht="12.75" x14ac:dyDescent="0.2"/>
    <row r="36788" ht="12.75" x14ac:dyDescent="0.2"/>
    <row r="36789" ht="12.75" x14ac:dyDescent="0.2"/>
    <row r="36790" ht="12.75" x14ac:dyDescent="0.2"/>
    <row r="36791" ht="12.75" x14ac:dyDescent="0.2"/>
    <row r="36792" ht="12.75" x14ac:dyDescent="0.2"/>
    <row r="36793" ht="12.75" x14ac:dyDescent="0.2"/>
    <row r="36794" ht="12.75" x14ac:dyDescent="0.2"/>
    <row r="36795" ht="12.75" x14ac:dyDescent="0.2"/>
    <row r="36796" ht="12.75" x14ac:dyDescent="0.2"/>
    <row r="36797" ht="12.75" x14ac:dyDescent="0.2"/>
    <row r="36798" ht="12.75" x14ac:dyDescent="0.2"/>
    <row r="36799" ht="12.75" x14ac:dyDescent="0.2"/>
    <row r="36800" ht="12.75" x14ac:dyDescent="0.2"/>
    <row r="36801" ht="12.75" x14ac:dyDescent="0.2"/>
    <row r="36802" ht="12.75" x14ac:dyDescent="0.2"/>
    <row r="36803" ht="12.75" x14ac:dyDescent="0.2"/>
    <row r="36804" ht="12.75" x14ac:dyDescent="0.2"/>
    <row r="36805" ht="12.75" x14ac:dyDescent="0.2"/>
    <row r="36806" ht="12.75" x14ac:dyDescent="0.2"/>
    <row r="36807" ht="12.75" x14ac:dyDescent="0.2"/>
    <row r="36808" ht="12.75" x14ac:dyDescent="0.2"/>
    <row r="36809" ht="12.75" x14ac:dyDescent="0.2"/>
    <row r="36810" ht="12.75" x14ac:dyDescent="0.2"/>
    <row r="36811" ht="12.75" x14ac:dyDescent="0.2"/>
    <row r="36812" ht="12.75" x14ac:dyDescent="0.2"/>
    <row r="36813" ht="12.75" x14ac:dyDescent="0.2"/>
    <row r="36814" ht="12.75" x14ac:dyDescent="0.2"/>
    <row r="36815" ht="12.75" x14ac:dyDescent="0.2"/>
    <row r="36816" ht="12.75" x14ac:dyDescent="0.2"/>
    <row r="36817" ht="12.75" x14ac:dyDescent="0.2"/>
    <row r="36818" ht="12.75" x14ac:dyDescent="0.2"/>
    <row r="36819" ht="12.75" x14ac:dyDescent="0.2"/>
    <row r="36820" ht="12.75" x14ac:dyDescent="0.2"/>
    <row r="36821" ht="12.75" x14ac:dyDescent="0.2"/>
    <row r="36822" ht="12.75" x14ac:dyDescent="0.2"/>
    <row r="36823" ht="12.75" x14ac:dyDescent="0.2"/>
    <row r="36824" ht="12.75" x14ac:dyDescent="0.2"/>
    <row r="36825" ht="12.75" x14ac:dyDescent="0.2"/>
    <row r="36826" ht="12.75" x14ac:dyDescent="0.2"/>
    <row r="36827" ht="12.75" x14ac:dyDescent="0.2"/>
    <row r="36828" ht="12.75" x14ac:dyDescent="0.2"/>
    <row r="36829" ht="12.75" x14ac:dyDescent="0.2"/>
    <row r="36830" ht="12.75" x14ac:dyDescent="0.2"/>
    <row r="36831" ht="12.75" x14ac:dyDescent="0.2"/>
    <row r="36832" ht="12.75" x14ac:dyDescent="0.2"/>
    <row r="36833" ht="12.75" x14ac:dyDescent="0.2"/>
    <row r="36834" ht="12.75" x14ac:dyDescent="0.2"/>
    <row r="36835" ht="12.75" x14ac:dyDescent="0.2"/>
    <row r="36836" ht="12.75" x14ac:dyDescent="0.2"/>
    <row r="36837" ht="12.75" x14ac:dyDescent="0.2"/>
    <row r="36838" ht="12.75" x14ac:dyDescent="0.2"/>
    <row r="36839" ht="12.75" x14ac:dyDescent="0.2"/>
    <row r="36840" ht="12.75" x14ac:dyDescent="0.2"/>
    <row r="36841" ht="12.75" x14ac:dyDescent="0.2"/>
    <row r="36842" ht="12.75" x14ac:dyDescent="0.2"/>
    <row r="36843" ht="12.75" x14ac:dyDescent="0.2"/>
    <row r="36844" ht="12.75" x14ac:dyDescent="0.2"/>
    <row r="36845" ht="12.75" x14ac:dyDescent="0.2"/>
    <row r="36846" ht="12.75" x14ac:dyDescent="0.2"/>
    <row r="36847" ht="12.75" x14ac:dyDescent="0.2"/>
    <row r="36848" ht="12.75" x14ac:dyDescent="0.2"/>
    <row r="36849" ht="12.75" x14ac:dyDescent="0.2"/>
    <row r="36850" ht="12.75" x14ac:dyDescent="0.2"/>
    <row r="36851" ht="12.75" x14ac:dyDescent="0.2"/>
    <row r="36852" ht="12.75" x14ac:dyDescent="0.2"/>
    <row r="36853" ht="12.75" x14ac:dyDescent="0.2"/>
    <row r="36854" ht="12.75" x14ac:dyDescent="0.2"/>
    <row r="36855" ht="12.75" x14ac:dyDescent="0.2"/>
    <row r="36856" ht="12.75" x14ac:dyDescent="0.2"/>
    <row r="36857" ht="12.75" x14ac:dyDescent="0.2"/>
    <row r="36858" ht="12.75" x14ac:dyDescent="0.2"/>
    <row r="36859" ht="12.75" x14ac:dyDescent="0.2"/>
    <row r="36860" ht="12.75" x14ac:dyDescent="0.2"/>
    <row r="36861" ht="12.75" x14ac:dyDescent="0.2"/>
    <row r="36862" ht="12.75" x14ac:dyDescent="0.2"/>
    <row r="36863" ht="12.75" x14ac:dyDescent="0.2"/>
    <row r="36864" ht="12.75" x14ac:dyDescent="0.2"/>
    <row r="36865" ht="12.75" x14ac:dyDescent="0.2"/>
    <row r="36866" ht="12.75" x14ac:dyDescent="0.2"/>
    <row r="36867" ht="12.75" x14ac:dyDescent="0.2"/>
    <row r="36868" ht="12.75" x14ac:dyDescent="0.2"/>
    <row r="36869" ht="12.75" x14ac:dyDescent="0.2"/>
    <row r="36870" ht="12.75" x14ac:dyDescent="0.2"/>
    <row r="36871" ht="12.75" x14ac:dyDescent="0.2"/>
    <row r="36872" ht="12.75" x14ac:dyDescent="0.2"/>
    <row r="36873" ht="12.75" x14ac:dyDescent="0.2"/>
    <row r="36874" ht="12.75" x14ac:dyDescent="0.2"/>
    <row r="36875" ht="12.75" x14ac:dyDescent="0.2"/>
    <row r="36876" ht="12.75" x14ac:dyDescent="0.2"/>
    <row r="36877" ht="12.75" x14ac:dyDescent="0.2"/>
    <row r="36878" ht="12.75" x14ac:dyDescent="0.2"/>
    <row r="36879" ht="12.75" x14ac:dyDescent="0.2"/>
    <row r="36880" ht="12.75" x14ac:dyDescent="0.2"/>
    <row r="36881" ht="12.75" x14ac:dyDescent="0.2"/>
    <row r="36882" ht="12.75" x14ac:dyDescent="0.2"/>
    <row r="36883" ht="12.75" x14ac:dyDescent="0.2"/>
    <row r="36884" ht="12.75" x14ac:dyDescent="0.2"/>
    <row r="36885" ht="12.75" x14ac:dyDescent="0.2"/>
    <row r="36886" ht="12.75" x14ac:dyDescent="0.2"/>
    <row r="36887" ht="12.75" x14ac:dyDescent="0.2"/>
    <row r="36888" ht="12.75" x14ac:dyDescent="0.2"/>
    <row r="36889" ht="12.75" x14ac:dyDescent="0.2"/>
    <row r="36890" ht="12.75" x14ac:dyDescent="0.2"/>
    <row r="36891" ht="12.75" x14ac:dyDescent="0.2"/>
    <row r="36892" ht="12.75" x14ac:dyDescent="0.2"/>
    <row r="36893" ht="12.75" x14ac:dyDescent="0.2"/>
    <row r="36894" ht="12.75" x14ac:dyDescent="0.2"/>
    <row r="36895" ht="12.75" x14ac:dyDescent="0.2"/>
    <row r="36896" ht="12.75" x14ac:dyDescent="0.2"/>
    <row r="36897" ht="12.75" x14ac:dyDescent="0.2"/>
    <row r="36898" ht="12.75" x14ac:dyDescent="0.2"/>
    <row r="36899" ht="12.75" x14ac:dyDescent="0.2"/>
    <row r="36900" ht="12.75" x14ac:dyDescent="0.2"/>
    <row r="36901" ht="12.75" x14ac:dyDescent="0.2"/>
    <row r="36902" ht="12.75" x14ac:dyDescent="0.2"/>
    <row r="36903" ht="12.75" x14ac:dyDescent="0.2"/>
    <row r="36904" ht="12.75" x14ac:dyDescent="0.2"/>
    <row r="36905" ht="12.75" x14ac:dyDescent="0.2"/>
    <row r="36906" ht="12.75" x14ac:dyDescent="0.2"/>
    <row r="36907" ht="12.75" x14ac:dyDescent="0.2"/>
    <row r="36908" ht="12.75" x14ac:dyDescent="0.2"/>
    <row r="36909" ht="12.75" x14ac:dyDescent="0.2"/>
    <row r="36910" ht="12.75" x14ac:dyDescent="0.2"/>
    <row r="36911" ht="12.75" x14ac:dyDescent="0.2"/>
    <row r="36912" ht="12.75" x14ac:dyDescent="0.2"/>
    <row r="36913" ht="12.75" x14ac:dyDescent="0.2"/>
    <row r="36914" ht="12.75" x14ac:dyDescent="0.2"/>
    <row r="36915" ht="12.75" x14ac:dyDescent="0.2"/>
    <row r="36916" ht="12.75" x14ac:dyDescent="0.2"/>
    <row r="36917" ht="12.75" x14ac:dyDescent="0.2"/>
    <row r="36918" ht="12.75" x14ac:dyDescent="0.2"/>
    <row r="36919" ht="12.75" x14ac:dyDescent="0.2"/>
    <row r="36920" ht="12.75" x14ac:dyDescent="0.2"/>
    <row r="36921" ht="12.75" x14ac:dyDescent="0.2"/>
    <row r="36922" ht="12.75" x14ac:dyDescent="0.2"/>
    <row r="36923" ht="12.75" x14ac:dyDescent="0.2"/>
    <row r="36924" ht="12.75" x14ac:dyDescent="0.2"/>
    <row r="36925" ht="12.75" x14ac:dyDescent="0.2"/>
    <row r="36926" ht="12.75" x14ac:dyDescent="0.2"/>
    <row r="36927" ht="12.75" x14ac:dyDescent="0.2"/>
    <row r="36928" ht="12.75" x14ac:dyDescent="0.2"/>
    <row r="36929" ht="12.75" x14ac:dyDescent="0.2"/>
    <row r="36930" ht="12.75" x14ac:dyDescent="0.2"/>
    <row r="36931" ht="12.75" x14ac:dyDescent="0.2"/>
    <row r="36932" ht="12.75" x14ac:dyDescent="0.2"/>
    <row r="36933" ht="12.75" x14ac:dyDescent="0.2"/>
    <row r="36934" ht="12.75" x14ac:dyDescent="0.2"/>
    <row r="36935" ht="12.75" x14ac:dyDescent="0.2"/>
    <row r="36936" ht="12.75" x14ac:dyDescent="0.2"/>
    <row r="36937" ht="12.75" x14ac:dyDescent="0.2"/>
    <row r="36938" ht="12.75" x14ac:dyDescent="0.2"/>
    <row r="36939" ht="12.75" x14ac:dyDescent="0.2"/>
    <row r="36940" ht="12.75" x14ac:dyDescent="0.2"/>
    <row r="36941" ht="12.75" x14ac:dyDescent="0.2"/>
    <row r="36942" ht="12.75" x14ac:dyDescent="0.2"/>
    <row r="36943" ht="12.75" x14ac:dyDescent="0.2"/>
    <row r="36944" ht="12.75" x14ac:dyDescent="0.2"/>
    <row r="36945" ht="12.75" x14ac:dyDescent="0.2"/>
    <row r="36946" ht="12.75" x14ac:dyDescent="0.2"/>
    <row r="36947" ht="12.75" x14ac:dyDescent="0.2"/>
    <row r="36948" ht="12.75" x14ac:dyDescent="0.2"/>
    <row r="36949" ht="12.75" x14ac:dyDescent="0.2"/>
    <row r="36950" ht="12.75" x14ac:dyDescent="0.2"/>
    <row r="36951" ht="12.75" x14ac:dyDescent="0.2"/>
    <row r="36952" ht="12.75" x14ac:dyDescent="0.2"/>
    <row r="36953" ht="12.75" x14ac:dyDescent="0.2"/>
    <row r="36954" ht="12.75" x14ac:dyDescent="0.2"/>
    <row r="36955" ht="12.75" x14ac:dyDescent="0.2"/>
    <row r="36956" ht="12.75" x14ac:dyDescent="0.2"/>
    <row r="36957" ht="12.75" x14ac:dyDescent="0.2"/>
    <row r="36958" ht="12.75" x14ac:dyDescent="0.2"/>
    <row r="36959" ht="12.75" x14ac:dyDescent="0.2"/>
    <row r="36960" ht="12.75" x14ac:dyDescent="0.2"/>
    <row r="36961" ht="12.75" x14ac:dyDescent="0.2"/>
    <row r="36962" ht="12.75" x14ac:dyDescent="0.2"/>
    <row r="36963" ht="12.75" x14ac:dyDescent="0.2"/>
    <row r="36964" ht="12.75" x14ac:dyDescent="0.2"/>
    <row r="36965" ht="12.75" x14ac:dyDescent="0.2"/>
    <row r="36966" ht="12.75" x14ac:dyDescent="0.2"/>
    <row r="36967" ht="12.75" x14ac:dyDescent="0.2"/>
    <row r="36968" ht="12.75" x14ac:dyDescent="0.2"/>
    <row r="36969" ht="12.75" x14ac:dyDescent="0.2"/>
    <row r="36970" ht="12.75" x14ac:dyDescent="0.2"/>
    <row r="36971" ht="12.75" x14ac:dyDescent="0.2"/>
    <row r="36972" ht="12.75" x14ac:dyDescent="0.2"/>
    <row r="36973" ht="12.75" x14ac:dyDescent="0.2"/>
    <row r="36974" ht="12.75" x14ac:dyDescent="0.2"/>
    <row r="36975" ht="12.75" x14ac:dyDescent="0.2"/>
    <row r="36976" ht="12.75" x14ac:dyDescent="0.2"/>
    <row r="36977" ht="12.75" x14ac:dyDescent="0.2"/>
    <row r="36978" ht="12.75" x14ac:dyDescent="0.2"/>
    <row r="36979" ht="12.75" x14ac:dyDescent="0.2"/>
    <row r="36980" ht="12.75" x14ac:dyDescent="0.2"/>
    <row r="36981" ht="12.75" x14ac:dyDescent="0.2"/>
    <row r="36982" ht="12.75" x14ac:dyDescent="0.2"/>
    <row r="36983" ht="12.75" x14ac:dyDescent="0.2"/>
    <row r="36984" ht="12.75" x14ac:dyDescent="0.2"/>
    <row r="36985" ht="12.75" x14ac:dyDescent="0.2"/>
    <row r="36986" ht="12.75" x14ac:dyDescent="0.2"/>
    <row r="36987" ht="12.75" x14ac:dyDescent="0.2"/>
    <row r="36988" ht="12.75" x14ac:dyDescent="0.2"/>
    <row r="36989" ht="12.75" x14ac:dyDescent="0.2"/>
    <row r="36990" ht="12.75" x14ac:dyDescent="0.2"/>
    <row r="36991" ht="12.75" x14ac:dyDescent="0.2"/>
    <row r="36992" ht="12.75" x14ac:dyDescent="0.2"/>
    <row r="36993" ht="12.75" x14ac:dyDescent="0.2"/>
    <row r="36994" ht="12.75" x14ac:dyDescent="0.2"/>
    <row r="36995" ht="12.75" x14ac:dyDescent="0.2"/>
    <row r="36996" ht="12.75" x14ac:dyDescent="0.2"/>
    <row r="36997" ht="12.75" x14ac:dyDescent="0.2"/>
    <row r="36998" ht="12.75" x14ac:dyDescent="0.2"/>
    <row r="36999" ht="12.75" x14ac:dyDescent="0.2"/>
    <row r="37000" ht="12.75" x14ac:dyDescent="0.2"/>
    <row r="37001" ht="12.75" x14ac:dyDescent="0.2"/>
    <row r="37002" ht="12.75" x14ac:dyDescent="0.2"/>
    <row r="37003" ht="12.75" x14ac:dyDescent="0.2"/>
    <row r="37004" ht="12.75" x14ac:dyDescent="0.2"/>
    <row r="37005" ht="12.75" x14ac:dyDescent="0.2"/>
    <row r="37006" ht="12.75" x14ac:dyDescent="0.2"/>
    <row r="37007" ht="12.75" x14ac:dyDescent="0.2"/>
    <row r="37008" ht="12.75" x14ac:dyDescent="0.2"/>
    <row r="37009" ht="12.75" x14ac:dyDescent="0.2"/>
    <row r="37010" ht="12.75" x14ac:dyDescent="0.2"/>
    <row r="37011" ht="12.75" x14ac:dyDescent="0.2"/>
    <row r="37012" ht="12.75" x14ac:dyDescent="0.2"/>
    <row r="37013" ht="12.75" x14ac:dyDescent="0.2"/>
    <row r="37014" ht="12.75" x14ac:dyDescent="0.2"/>
    <row r="37015" ht="12.75" x14ac:dyDescent="0.2"/>
    <row r="37016" ht="12.75" x14ac:dyDescent="0.2"/>
    <row r="37017" ht="12.75" x14ac:dyDescent="0.2"/>
    <row r="37018" ht="12.75" x14ac:dyDescent="0.2"/>
    <row r="37019" ht="12.75" x14ac:dyDescent="0.2"/>
    <row r="37020" ht="12.75" x14ac:dyDescent="0.2"/>
    <row r="37021" ht="12.75" x14ac:dyDescent="0.2"/>
    <row r="37022" ht="12.75" x14ac:dyDescent="0.2"/>
    <row r="37023" ht="12.75" x14ac:dyDescent="0.2"/>
    <row r="37024" ht="12.75" x14ac:dyDescent="0.2"/>
    <row r="37025" ht="12.75" x14ac:dyDescent="0.2"/>
    <row r="37026" ht="12.75" x14ac:dyDescent="0.2"/>
    <row r="37027" ht="12.75" x14ac:dyDescent="0.2"/>
    <row r="37028" ht="12.75" x14ac:dyDescent="0.2"/>
    <row r="37029" ht="12.75" x14ac:dyDescent="0.2"/>
    <row r="37030" ht="12.75" x14ac:dyDescent="0.2"/>
    <row r="37031" ht="12.75" x14ac:dyDescent="0.2"/>
    <row r="37032" ht="12.75" x14ac:dyDescent="0.2"/>
    <row r="37033" ht="12.75" x14ac:dyDescent="0.2"/>
    <row r="37034" ht="12.75" x14ac:dyDescent="0.2"/>
    <row r="37035" ht="12.75" x14ac:dyDescent="0.2"/>
    <row r="37036" ht="12.75" x14ac:dyDescent="0.2"/>
    <row r="37037" ht="12.75" x14ac:dyDescent="0.2"/>
    <row r="37038" ht="12.75" x14ac:dyDescent="0.2"/>
    <row r="37039" ht="12.75" x14ac:dyDescent="0.2"/>
    <row r="37040" ht="12.75" x14ac:dyDescent="0.2"/>
    <row r="37041" ht="12.75" x14ac:dyDescent="0.2"/>
    <row r="37042" ht="12.75" x14ac:dyDescent="0.2"/>
    <row r="37043" ht="12.75" x14ac:dyDescent="0.2"/>
    <row r="37044" ht="12.75" x14ac:dyDescent="0.2"/>
    <row r="37045" ht="12.75" x14ac:dyDescent="0.2"/>
    <row r="37046" ht="12.75" x14ac:dyDescent="0.2"/>
    <row r="37047" ht="12.75" x14ac:dyDescent="0.2"/>
    <row r="37048" ht="12.75" x14ac:dyDescent="0.2"/>
    <row r="37049" ht="12.75" x14ac:dyDescent="0.2"/>
    <row r="37050" ht="12.75" x14ac:dyDescent="0.2"/>
    <row r="37051" ht="12.75" x14ac:dyDescent="0.2"/>
    <row r="37052" ht="12.75" x14ac:dyDescent="0.2"/>
    <row r="37053" ht="12.75" x14ac:dyDescent="0.2"/>
    <row r="37054" ht="12.75" x14ac:dyDescent="0.2"/>
    <row r="37055" ht="12.75" x14ac:dyDescent="0.2"/>
    <row r="37056" ht="12.75" x14ac:dyDescent="0.2"/>
    <row r="37057" ht="12.75" x14ac:dyDescent="0.2"/>
    <row r="37058" ht="12.75" x14ac:dyDescent="0.2"/>
    <row r="37059" ht="12.75" x14ac:dyDescent="0.2"/>
    <row r="37060" ht="12.75" x14ac:dyDescent="0.2"/>
    <row r="37061" ht="12.75" x14ac:dyDescent="0.2"/>
    <row r="37062" ht="12.75" x14ac:dyDescent="0.2"/>
    <row r="37063" ht="12.75" x14ac:dyDescent="0.2"/>
    <row r="37064" ht="12.75" x14ac:dyDescent="0.2"/>
    <row r="37065" ht="12.75" x14ac:dyDescent="0.2"/>
    <row r="37066" ht="12.75" x14ac:dyDescent="0.2"/>
    <row r="37067" ht="12.75" x14ac:dyDescent="0.2"/>
    <row r="37068" ht="12.75" x14ac:dyDescent="0.2"/>
    <row r="37069" ht="12.75" x14ac:dyDescent="0.2"/>
    <row r="37070" ht="12.75" x14ac:dyDescent="0.2"/>
    <row r="37071" ht="12.75" x14ac:dyDescent="0.2"/>
    <row r="37072" ht="12.75" x14ac:dyDescent="0.2"/>
    <row r="37073" ht="12.75" x14ac:dyDescent="0.2"/>
    <row r="37074" ht="12.75" x14ac:dyDescent="0.2"/>
    <row r="37075" ht="12.75" x14ac:dyDescent="0.2"/>
    <row r="37076" ht="12.75" x14ac:dyDescent="0.2"/>
    <row r="37077" ht="12.75" x14ac:dyDescent="0.2"/>
    <row r="37078" ht="12.75" x14ac:dyDescent="0.2"/>
    <row r="37079" ht="12.75" x14ac:dyDescent="0.2"/>
    <row r="37080" ht="12.75" x14ac:dyDescent="0.2"/>
    <row r="37081" ht="12.75" x14ac:dyDescent="0.2"/>
    <row r="37082" ht="12.75" x14ac:dyDescent="0.2"/>
    <row r="37083" ht="12.75" x14ac:dyDescent="0.2"/>
    <row r="37084" ht="12.75" x14ac:dyDescent="0.2"/>
    <row r="37085" ht="12.75" x14ac:dyDescent="0.2"/>
    <row r="37086" ht="12.75" x14ac:dyDescent="0.2"/>
    <row r="37087" ht="12.75" x14ac:dyDescent="0.2"/>
    <row r="37088" ht="12.75" x14ac:dyDescent="0.2"/>
    <row r="37089" ht="12.75" x14ac:dyDescent="0.2"/>
    <row r="37090" ht="12.75" x14ac:dyDescent="0.2"/>
    <row r="37091" ht="12.75" x14ac:dyDescent="0.2"/>
    <row r="37092" ht="12.75" x14ac:dyDescent="0.2"/>
    <row r="37093" ht="12.75" x14ac:dyDescent="0.2"/>
    <row r="37094" ht="12.75" x14ac:dyDescent="0.2"/>
    <row r="37095" ht="12.75" x14ac:dyDescent="0.2"/>
    <row r="37096" ht="12.75" x14ac:dyDescent="0.2"/>
    <row r="37097" ht="12.75" x14ac:dyDescent="0.2"/>
    <row r="37098" ht="12.75" x14ac:dyDescent="0.2"/>
    <row r="37099" ht="12.75" x14ac:dyDescent="0.2"/>
    <row r="37100" ht="12.75" x14ac:dyDescent="0.2"/>
    <row r="37101" ht="12.75" x14ac:dyDescent="0.2"/>
    <row r="37102" ht="12.75" x14ac:dyDescent="0.2"/>
    <row r="37103" ht="12.75" x14ac:dyDescent="0.2"/>
    <row r="37104" ht="12.75" x14ac:dyDescent="0.2"/>
    <row r="37105" ht="12.75" x14ac:dyDescent="0.2"/>
    <row r="37106" ht="12.75" x14ac:dyDescent="0.2"/>
    <row r="37107" ht="12.75" x14ac:dyDescent="0.2"/>
    <row r="37108" ht="12.75" x14ac:dyDescent="0.2"/>
    <row r="37109" ht="12.75" x14ac:dyDescent="0.2"/>
    <row r="37110" ht="12.75" x14ac:dyDescent="0.2"/>
    <row r="37111" ht="12.75" x14ac:dyDescent="0.2"/>
    <row r="37112" ht="12.75" x14ac:dyDescent="0.2"/>
    <row r="37113" ht="12.75" x14ac:dyDescent="0.2"/>
    <row r="37114" ht="12.75" x14ac:dyDescent="0.2"/>
    <row r="37115" ht="12.75" x14ac:dyDescent="0.2"/>
    <row r="37116" ht="12.75" x14ac:dyDescent="0.2"/>
    <row r="37117" ht="12.75" x14ac:dyDescent="0.2"/>
    <row r="37118" ht="12.75" x14ac:dyDescent="0.2"/>
    <row r="37119" ht="12.75" x14ac:dyDescent="0.2"/>
    <row r="37120" ht="12.75" x14ac:dyDescent="0.2"/>
    <row r="37121" ht="12.75" x14ac:dyDescent="0.2"/>
    <row r="37122" ht="12.75" x14ac:dyDescent="0.2"/>
    <row r="37123" ht="12.75" x14ac:dyDescent="0.2"/>
    <row r="37124" ht="12.75" x14ac:dyDescent="0.2"/>
    <row r="37125" ht="12.75" x14ac:dyDescent="0.2"/>
    <row r="37126" ht="12.75" x14ac:dyDescent="0.2"/>
    <row r="37127" ht="12.75" x14ac:dyDescent="0.2"/>
    <row r="37128" ht="12.75" x14ac:dyDescent="0.2"/>
    <row r="37129" ht="12.75" x14ac:dyDescent="0.2"/>
    <row r="37130" ht="12.75" x14ac:dyDescent="0.2"/>
    <row r="37131" ht="12.75" x14ac:dyDescent="0.2"/>
    <row r="37132" ht="12.75" x14ac:dyDescent="0.2"/>
    <row r="37133" ht="12.75" x14ac:dyDescent="0.2"/>
    <row r="37134" ht="12.75" x14ac:dyDescent="0.2"/>
    <row r="37135" ht="12.75" x14ac:dyDescent="0.2"/>
    <row r="37136" ht="12.75" x14ac:dyDescent="0.2"/>
    <row r="37137" ht="12.75" x14ac:dyDescent="0.2"/>
    <row r="37138" ht="12.75" x14ac:dyDescent="0.2"/>
    <row r="37139" ht="12.75" x14ac:dyDescent="0.2"/>
    <row r="37140" ht="12.75" x14ac:dyDescent="0.2"/>
    <row r="37141" ht="12.75" x14ac:dyDescent="0.2"/>
    <row r="37142" ht="12.75" x14ac:dyDescent="0.2"/>
    <row r="37143" ht="12.75" x14ac:dyDescent="0.2"/>
    <row r="37144" ht="12.75" x14ac:dyDescent="0.2"/>
    <row r="37145" ht="12.75" x14ac:dyDescent="0.2"/>
    <row r="37146" ht="12.75" x14ac:dyDescent="0.2"/>
    <row r="37147" ht="12.75" x14ac:dyDescent="0.2"/>
    <row r="37148" ht="12.75" x14ac:dyDescent="0.2"/>
    <row r="37149" ht="12.75" x14ac:dyDescent="0.2"/>
    <row r="37150" ht="12.75" x14ac:dyDescent="0.2"/>
    <row r="37151" ht="12.75" x14ac:dyDescent="0.2"/>
    <row r="37152" ht="12.75" x14ac:dyDescent="0.2"/>
    <row r="37153" ht="12.75" x14ac:dyDescent="0.2"/>
    <row r="37154" ht="12.75" x14ac:dyDescent="0.2"/>
    <row r="37155" ht="12.75" x14ac:dyDescent="0.2"/>
    <row r="37156" ht="12.75" x14ac:dyDescent="0.2"/>
    <row r="37157" ht="12.75" x14ac:dyDescent="0.2"/>
    <row r="37158" ht="12.75" x14ac:dyDescent="0.2"/>
    <row r="37159" ht="12.75" x14ac:dyDescent="0.2"/>
    <row r="37160" ht="12.75" x14ac:dyDescent="0.2"/>
    <row r="37161" ht="12.75" x14ac:dyDescent="0.2"/>
    <row r="37162" ht="12.75" x14ac:dyDescent="0.2"/>
    <row r="37163" ht="12.75" x14ac:dyDescent="0.2"/>
    <row r="37164" ht="12.75" x14ac:dyDescent="0.2"/>
    <row r="37165" ht="12.75" x14ac:dyDescent="0.2"/>
    <row r="37166" ht="12.75" x14ac:dyDescent="0.2"/>
    <row r="37167" ht="12.75" x14ac:dyDescent="0.2"/>
    <row r="37168" ht="12.75" x14ac:dyDescent="0.2"/>
    <row r="37169" ht="12.75" x14ac:dyDescent="0.2"/>
    <row r="37170" ht="12.75" x14ac:dyDescent="0.2"/>
    <row r="37171" ht="12.75" x14ac:dyDescent="0.2"/>
    <row r="37172" ht="12.75" x14ac:dyDescent="0.2"/>
    <row r="37173" ht="12.75" x14ac:dyDescent="0.2"/>
    <row r="37174" ht="12.75" x14ac:dyDescent="0.2"/>
    <row r="37175" ht="12.75" x14ac:dyDescent="0.2"/>
    <row r="37176" ht="12.75" x14ac:dyDescent="0.2"/>
    <row r="37177" ht="12.75" x14ac:dyDescent="0.2"/>
    <row r="37178" ht="12.75" x14ac:dyDescent="0.2"/>
    <row r="37179" ht="12.75" x14ac:dyDescent="0.2"/>
    <row r="37180" ht="12.75" x14ac:dyDescent="0.2"/>
    <row r="37181" ht="12.75" x14ac:dyDescent="0.2"/>
    <row r="37182" ht="12.75" x14ac:dyDescent="0.2"/>
    <row r="37183" ht="12.75" x14ac:dyDescent="0.2"/>
    <row r="37184" ht="12.75" x14ac:dyDescent="0.2"/>
    <row r="37185" ht="12.75" x14ac:dyDescent="0.2"/>
    <row r="37186" ht="12.75" x14ac:dyDescent="0.2"/>
    <row r="37187" ht="12.75" x14ac:dyDescent="0.2"/>
    <row r="37188" ht="12.75" x14ac:dyDescent="0.2"/>
    <row r="37189" ht="12.75" x14ac:dyDescent="0.2"/>
    <row r="37190" ht="12.75" x14ac:dyDescent="0.2"/>
    <row r="37191" ht="12.75" x14ac:dyDescent="0.2"/>
    <row r="37192" ht="12.75" x14ac:dyDescent="0.2"/>
    <row r="37193" ht="12.75" x14ac:dyDescent="0.2"/>
    <row r="37194" ht="12.75" x14ac:dyDescent="0.2"/>
    <row r="37195" ht="12.75" x14ac:dyDescent="0.2"/>
    <row r="37196" ht="12.75" x14ac:dyDescent="0.2"/>
    <row r="37197" ht="12.75" x14ac:dyDescent="0.2"/>
    <row r="37198" ht="12.75" x14ac:dyDescent="0.2"/>
    <row r="37199" ht="12.75" x14ac:dyDescent="0.2"/>
    <row r="37200" ht="12.75" x14ac:dyDescent="0.2"/>
    <row r="37201" ht="12.75" x14ac:dyDescent="0.2"/>
    <row r="37202" ht="12.75" x14ac:dyDescent="0.2"/>
    <row r="37203" ht="12.75" x14ac:dyDescent="0.2"/>
    <row r="37204" ht="12.75" x14ac:dyDescent="0.2"/>
    <row r="37205" ht="12.75" x14ac:dyDescent="0.2"/>
    <row r="37206" ht="12.75" x14ac:dyDescent="0.2"/>
    <row r="37207" ht="12.75" x14ac:dyDescent="0.2"/>
    <row r="37208" ht="12.75" x14ac:dyDescent="0.2"/>
    <row r="37209" ht="12.75" x14ac:dyDescent="0.2"/>
    <row r="37210" ht="12.75" x14ac:dyDescent="0.2"/>
    <row r="37211" ht="12.75" x14ac:dyDescent="0.2"/>
    <row r="37212" ht="12.75" x14ac:dyDescent="0.2"/>
    <row r="37213" ht="12.75" x14ac:dyDescent="0.2"/>
    <row r="37214" ht="12.75" x14ac:dyDescent="0.2"/>
    <row r="37215" ht="12.75" x14ac:dyDescent="0.2"/>
    <row r="37216" ht="12.75" x14ac:dyDescent="0.2"/>
    <row r="37217" ht="12.75" x14ac:dyDescent="0.2"/>
    <row r="37218" ht="12.75" x14ac:dyDescent="0.2"/>
    <row r="37219" ht="12.75" x14ac:dyDescent="0.2"/>
    <row r="37220" ht="12.75" x14ac:dyDescent="0.2"/>
    <row r="37221" ht="12.75" x14ac:dyDescent="0.2"/>
    <row r="37222" ht="12.75" x14ac:dyDescent="0.2"/>
    <row r="37223" ht="12.75" x14ac:dyDescent="0.2"/>
    <row r="37224" ht="12.75" x14ac:dyDescent="0.2"/>
    <row r="37225" ht="12.75" x14ac:dyDescent="0.2"/>
    <row r="37226" ht="12.75" x14ac:dyDescent="0.2"/>
    <row r="37227" ht="12.75" x14ac:dyDescent="0.2"/>
    <row r="37228" ht="12.75" x14ac:dyDescent="0.2"/>
    <row r="37229" ht="12.75" x14ac:dyDescent="0.2"/>
    <row r="37230" ht="12.75" x14ac:dyDescent="0.2"/>
    <row r="37231" ht="12.75" x14ac:dyDescent="0.2"/>
    <row r="37232" ht="12.75" x14ac:dyDescent="0.2"/>
    <row r="37233" ht="12.75" x14ac:dyDescent="0.2"/>
    <row r="37234" ht="12.75" x14ac:dyDescent="0.2"/>
    <row r="37235" ht="12.75" x14ac:dyDescent="0.2"/>
    <row r="37236" ht="12.75" x14ac:dyDescent="0.2"/>
    <row r="37237" ht="12.75" x14ac:dyDescent="0.2"/>
    <row r="37238" ht="12.75" x14ac:dyDescent="0.2"/>
    <row r="37239" ht="12.75" x14ac:dyDescent="0.2"/>
    <row r="37240" ht="12.75" x14ac:dyDescent="0.2"/>
    <row r="37241" ht="12.75" x14ac:dyDescent="0.2"/>
    <row r="37242" ht="12.75" x14ac:dyDescent="0.2"/>
    <row r="37243" ht="12.75" x14ac:dyDescent="0.2"/>
    <row r="37244" ht="12.75" x14ac:dyDescent="0.2"/>
    <row r="37245" ht="12.75" x14ac:dyDescent="0.2"/>
    <row r="37246" ht="12.75" x14ac:dyDescent="0.2"/>
    <row r="37247" ht="12.75" x14ac:dyDescent="0.2"/>
    <row r="37248" ht="12.75" x14ac:dyDescent="0.2"/>
    <row r="37249" ht="12.75" x14ac:dyDescent="0.2"/>
    <row r="37250" ht="12.75" x14ac:dyDescent="0.2"/>
    <row r="37251" ht="12.75" x14ac:dyDescent="0.2"/>
    <row r="37252" ht="12.75" x14ac:dyDescent="0.2"/>
    <row r="37253" ht="12.75" x14ac:dyDescent="0.2"/>
    <row r="37254" ht="12.75" x14ac:dyDescent="0.2"/>
    <row r="37255" ht="12.75" x14ac:dyDescent="0.2"/>
    <row r="37256" ht="12.75" x14ac:dyDescent="0.2"/>
    <row r="37257" ht="12.75" x14ac:dyDescent="0.2"/>
    <row r="37258" ht="12.75" x14ac:dyDescent="0.2"/>
    <row r="37259" ht="12.75" x14ac:dyDescent="0.2"/>
    <row r="37260" ht="12.75" x14ac:dyDescent="0.2"/>
    <row r="37261" ht="12.75" x14ac:dyDescent="0.2"/>
    <row r="37262" ht="12.75" x14ac:dyDescent="0.2"/>
    <row r="37263" ht="12.75" x14ac:dyDescent="0.2"/>
    <row r="37264" ht="12.75" x14ac:dyDescent="0.2"/>
    <row r="37265" ht="12.75" x14ac:dyDescent="0.2"/>
    <row r="37266" ht="12.75" x14ac:dyDescent="0.2"/>
    <row r="37267" ht="12.75" x14ac:dyDescent="0.2"/>
    <row r="37268" ht="12.75" x14ac:dyDescent="0.2"/>
    <row r="37269" ht="12.75" x14ac:dyDescent="0.2"/>
    <row r="37270" ht="12.75" x14ac:dyDescent="0.2"/>
    <row r="37271" ht="12.75" x14ac:dyDescent="0.2"/>
    <row r="37272" ht="12.75" x14ac:dyDescent="0.2"/>
    <row r="37273" ht="12.75" x14ac:dyDescent="0.2"/>
    <row r="37274" ht="12.75" x14ac:dyDescent="0.2"/>
    <row r="37275" ht="12.75" x14ac:dyDescent="0.2"/>
    <row r="37276" ht="12.75" x14ac:dyDescent="0.2"/>
    <row r="37277" ht="12.75" x14ac:dyDescent="0.2"/>
    <row r="37278" ht="12.75" x14ac:dyDescent="0.2"/>
    <row r="37279" ht="12.75" x14ac:dyDescent="0.2"/>
    <row r="37280" ht="12.75" x14ac:dyDescent="0.2"/>
    <row r="37281" ht="12.75" x14ac:dyDescent="0.2"/>
    <row r="37282" ht="12.75" x14ac:dyDescent="0.2"/>
    <row r="37283" ht="12.75" x14ac:dyDescent="0.2"/>
    <row r="37284" ht="12.75" x14ac:dyDescent="0.2"/>
    <row r="37285" ht="12.75" x14ac:dyDescent="0.2"/>
    <row r="37286" ht="12.75" x14ac:dyDescent="0.2"/>
    <row r="37287" ht="12.75" x14ac:dyDescent="0.2"/>
    <row r="37288" ht="12.75" x14ac:dyDescent="0.2"/>
    <row r="37289" ht="12.75" x14ac:dyDescent="0.2"/>
    <row r="37290" ht="12.75" x14ac:dyDescent="0.2"/>
    <row r="37291" ht="12.75" x14ac:dyDescent="0.2"/>
    <row r="37292" ht="12.75" x14ac:dyDescent="0.2"/>
    <row r="37293" ht="12.75" x14ac:dyDescent="0.2"/>
    <row r="37294" ht="12.75" x14ac:dyDescent="0.2"/>
    <row r="37295" ht="12.75" x14ac:dyDescent="0.2"/>
    <row r="37296" ht="12.75" x14ac:dyDescent="0.2"/>
    <row r="37297" ht="12.75" x14ac:dyDescent="0.2"/>
    <row r="37298" ht="12.75" x14ac:dyDescent="0.2"/>
    <row r="37299" ht="12.75" x14ac:dyDescent="0.2"/>
    <row r="37300" ht="12.75" x14ac:dyDescent="0.2"/>
    <row r="37301" ht="12.75" x14ac:dyDescent="0.2"/>
    <row r="37302" ht="12.75" x14ac:dyDescent="0.2"/>
    <row r="37303" ht="12.75" x14ac:dyDescent="0.2"/>
    <row r="37304" ht="12.75" x14ac:dyDescent="0.2"/>
    <row r="37305" ht="12.75" x14ac:dyDescent="0.2"/>
    <row r="37306" ht="12.75" x14ac:dyDescent="0.2"/>
    <row r="37307" ht="12.75" x14ac:dyDescent="0.2"/>
    <row r="37308" ht="12.75" x14ac:dyDescent="0.2"/>
    <row r="37309" ht="12.75" x14ac:dyDescent="0.2"/>
    <row r="37310" ht="12.75" x14ac:dyDescent="0.2"/>
    <row r="37311" ht="12.75" x14ac:dyDescent="0.2"/>
    <row r="37312" ht="12.75" x14ac:dyDescent="0.2"/>
    <row r="37313" ht="12.75" x14ac:dyDescent="0.2"/>
    <row r="37314" ht="12.75" x14ac:dyDescent="0.2"/>
    <row r="37315" ht="12.75" x14ac:dyDescent="0.2"/>
    <row r="37316" ht="12.75" x14ac:dyDescent="0.2"/>
    <row r="37317" ht="12.75" x14ac:dyDescent="0.2"/>
    <row r="37318" ht="12.75" x14ac:dyDescent="0.2"/>
    <row r="37319" ht="12.75" x14ac:dyDescent="0.2"/>
    <row r="37320" ht="12.75" x14ac:dyDescent="0.2"/>
    <row r="37321" ht="12.75" x14ac:dyDescent="0.2"/>
    <row r="37322" ht="12.75" x14ac:dyDescent="0.2"/>
    <row r="37323" ht="12.75" x14ac:dyDescent="0.2"/>
    <row r="37324" ht="12.75" x14ac:dyDescent="0.2"/>
    <row r="37325" ht="12.75" x14ac:dyDescent="0.2"/>
    <row r="37326" ht="12.75" x14ac:dyDescent="0.2"/>
    <row r="37327" ht="12.75" x14ac:dyDescent="0.2"/>
    <row r="37328" ht="12.75" x14ac:dyDescent="0.2"/>
    <row r="37329" ht="12.75" x14ac:dyDescent="0.2"/>
    <row r="37330" ht="12.75" x14ac:dyDescent="0.2"/>
    <row r="37331" ht="12.75" x14ac:dyDescent="0.2"/>
    <row r="37332" ht="12.75" x14ac:dyDescent="0.2"/>
    <row r="37333" ht="12.75" x14ac:dyDescent="0.2"/>
    <row r="37334" ht="12.75" x14ac:dyDescent="0.2"/>
    <row r="37335" ht="12.75" x14ac:dyDescent="0.2"/>
    <row r="37336" ht="12.75" x14ac:dyDescent="0.2"/>
    <row r="37337" ht="12.75" x14ac:dyDescent="0.2"/>
    <row r="37338" ht="12.75" x14ac:dyDescent="0.2"/>
    <row r="37339" ht="12.75" x14ac:dyDescent="0.2"/>
    <row r="37340" ht="12.75" x14ac:dyDescent="0.2"/>
    <row r="37341" ht="12.75" x14ac:dyDescent="0.2"/>
    <row r="37342" ht="12.75" x14ac:dyDescent="0.2"/>
    <row r="37343" ht="12.75" x14ac:dyDescent="0.2"/>
    <row r="37344" ht="12.75" x14ac:dyDescent="0.2"/>
    <row r="37345" ht="12.75" x14ac:dyDescent="0.2"/>
    <row r="37346" ht="12.75" x14ac:dyDescent="0.2"/>
    <row r="37347" ht="12.75" x14ac:dyDescent="0.2"/>
    <row r="37348" ht="12.75" x14ac:dyDescent="0.2"/>
    <row r="37349" ht="12.75" x14ac:dyDescent="0.2"/>
    <row r="37350" ht="12.75" x14ac:dyDescent="0.2"/>
    <row r="37351" ht="12.75" x14ac:dyDescent="0.2"/>
    <row r="37352" ht="12.75" x14ac:dyDescent="0.2"/>
    <row r="37353" ht="12.75" x14ac:dyDescent="0.2"/>
    <row r="37354" ht="12.75" x14ac:dyDescent="0.2"/>
    <row r="37355" ht="12.75" x14ac:dyDescent="0.2"/>
    <row r="37356" ht="12.75" x14ac:dyDescent="0.2"/>
    <row r="37357" ht="12.75" x14ac:dyDescent="0.2"/>
    <row r="37358" ht="12.75" x14ac:dyDescent="0.2"/>
    <row r="37359" ht="12.75" x14ac:dyDescent="0.2"/>
    <row r="37360" ht="12.75" x14ac:dyDescent="0.2"/>
    <row r="37361" ht="12.75" x14ac:dyDescent="0.2"/>
    <row r="37362" ht="12.75" x14ac:dyDescent="0.2"/>
    <row r="37363" ht="12.75" x14ac:dyDescent="0.2"/>
    <row r="37364" ht="12.75" x14ac:dyDescent="0.2"/>
    <row r="37365" ht="12.75" x14ac:dyDescent="0.2"/>
    <row r="37366" ht="12.75" x14ac:dyDescent="0.2"/>
    <row r="37367" ht="12.75" x14ac:dyDescent="0.2"/>
    <row r="37368" ht="12.75" x14ac:dyDescent="0.2"/>
    <row r="37369" ht="12.75" x14ac:dyDescent="0.2"/>
    <row r="37370" ht="12.75" x14ac:dyDescent="0.2"/>
    <row r="37371" ht="12.75" x14ac:dyDescent="0.2"/>
    <row r="37372" ht="12.75" x14ac:dyDescent="0.2"/>
    <row r="37373" ht="12.75" x14ac:dyDescent="0.2"/>
    <row r="37374" ht="12.75" x14ac:dyDescent="0.2"/>
    <row r="37375" ht="12.75" x14ac:dyDescent="0.2"/>
    <row r="37376" ht="12.75" x14ac:dyDescent="0.2"/>
    <row r="37377" ht="12.75" x14ac:dyDescent="0.2"/>
    <row r="37378" ht="12.75" x14ac:dyDescent="0.2"/>
    <row r="37379" ht="12.75" x14ac:dyDescent="0.2"/>
    <row r="37380" ht="12.75" x14ac:dyDescent="0.2"/>
    <row r="37381" ht="12.75" x14ac:dyDescent="0.2"/>
    <row r="37382" ht="12.75" x14ac:dyDescent="0.2"/>
    <row r="37383" ht="12.75" x14ac:dyDescent="0.2"/>
    <row r="37384" ht="12.75" x14ac:dyDescent="0.2"/>
    <row r="37385" ht="12.75" x14ac:dyDescent="0.2"/>
    <row r="37386" ht="12.75" x14ac:dyDescent="0.2"/>
    <row r="37387" ht="12.75" x14ac:dyDescent="0.2"/>
    <row r="37388" ht="12.75" x14ac:dyDescent="0.2"/>
    <row r="37389" ht="12.75" x14ac:dyDescent="0.2"/>
    <row r="37390" ht="12.75" x14ac:dyDescent="0.2"/>
    <row r="37391" ht="12.75" x14ac:dyDescent="0.2"/>
    <row r="37392" ht="12.75" x14ac:dyDescent="0.2"/>
    <row r="37393" ht="12.75" x14ac:dyDescent="0.2"/>
    <row r="37394" ht="12.75" x14ac:dyDescent="0.2"/>
    <row r="37395" ht="12.75" x14ac:dyDescent="0.2"/>
    <row r="37396" ht="12.75" x14ac:dyDescent="0.2"/>
    <row r="37397" ht="12.75" x14ac:dyDescent="0.2"/>
    <row r="37398" ht="12.75" x14ac:dyDescent="0.2"/>
    <row r="37399" ht="12.75" x14ac:dyDescent="0.2"/>
    <row r="37400" ht="12.75" x14ac:dyDescent="0.2"/>
    <row r="37401" ht="12.75" x14ac:dyDescent="0.2"/>
    <row r="37402" ht="12.75" x14ac:dyDescent="0.2"/>
    <row r="37403" ht="12.75" x14ac:dyDescent="0.2"/>
    <row r="37404" ht="12.75" x14ac:dyDescent="0.2"/>
    <row r="37405" ht="12.75" x14ac:dyDescent="0.2"/>
    <row r="37406" ht="12.75" x14ac:dyDescent="0.2"/>
    <row r="37407" ht="12.75" x14ac:dyDescent="0.2"/>
    <row r="37408" ht="12.75" x14ac:dyDescent="0.2"/>
    <row r="37409" ht="12.75" x14ac:dyDescent="0.2"/>
    <row r="37410" ht="12.75" x14ac:dyDescent="0.2"/>
    <row r="37411" ht="12.75" x14ac:dyDescent="0.2"/>
    <row r="37412" ht="12.75" x14ac:dyDescent="0.2"/>
    <row r="37413" ht="12.75" x14ac:dyDescent="0.2"/>
    <row r="37414" ht="12.75" x14ac:dyDescent="0.2"/>
    <row r="37415" ht="12.75" x14ac:dyDescent="0.2"/>
    <row r="37416" ht="12.75" x14ac:dyDescent="0.2"/>
    <row r="37417" ht="12.75" x14ac:dyDescent="0.2"/>
    <row r="37418" ht="12.75" x14ac:dyDescent="0.2"/>
    <row r="37419" ht="12.75" x14ac:dyDescent="0.2"/>
    <row r="37420" ht="12.75" x14ac:dyDescent="0.2"/>
    <row r="37421" ht="12.75" x14ac:dyDescent="0.2"/>
    <row r="37422" ht="12.75" x14ac:dyDescent="0.2"/>
    <row r="37423" ht="12.75" x14ac:dyDescent="0.2"/>
    <row r="37424" ht="12.75" x14ac:dyDescent="0.2"/>
    <row r="37425" ht="12.75" x14ac:dyDescent="0.2"/>
    <row r="37426" ht="12.75" x14ac:dyDescent="0.2"/>
    <row r="37427" ht="12.75" x14ac:dyDescent="0.2"/>
    <row r="37428" ht="12.75" x14ac:dyDescent="0.2"/>
    <row r="37429" ht="12.75" x14ac:dyDescent="0.2"/>
    <row r="37430" ht="12.75" x14ac:dyDescent="0.2"/>
    <row r="37431" ht="12.75" x14ac:dyDescent="0.2"/>
    <row r="37432" ht="12.75" x14ac:dyDescent="0.2"/>
    <row r="37433" ht="12.75" x14ac:dyDescent="0.2"/>
    <row r="37434" ht="12.75" x14ac:dyDescent="0.2"/>
    <row r="37435" ht="12.75" x14ac:dyDescent="0.2"/>
    <row r="37436" ht="12.75" x14ac:dyDescent="0.2"/>
    <row r="37437" ht="12.75" x14ac:dyDescent="0.2"/>
    <row r="37438" ht="12.75" x14ac:dyDescent="0.2"/>
    <row r="37439" ht="12.75" x14ac:dyDescent="0.2"/>
    <row r="37440" ht="12.75" x14ac:dyDescent="0.2"/>
    <row r="37441" ht="12.75" x14ac:dyDescent="0.2"/>
    <row r="37442" ht="12.75" x14ac:dyDescent="0.2"/>
    <row r="37443" ht="12.75" x14ac:dyDescent="0.2"/>
    <row r="37444" ht="12.75" x14ac:dyDescent="0.2"/>
    <row r="37445" ht="12.75" x14ac:dyDescent="0.2"/>
    <row r="37446" ht="12.75" x14ac:dyDescent="0.2"/>
    <row r="37447" ht="12.75" x14ac:dyDescent="0.2"/>
    <row r="37448" ht="12.75" x14ac:dyDescent="0.2"/>
    <row r="37449" ht="12.75" x14ac:dyDescent="0.2"/>
    <row r="37450" ht="12.75" x14ac:dyDescent="0.2"/>
    <row r="37451" ht="12.75" x14ac:dyDescent="0.2"/>
    <row r="37452" ht="12.75" x14ac:dyDescent="0.2"/>
    <row r="37453" ht="12.75" x14ac:dyDescent="0.2"/>
    <row r="37454" ht="12.75" x14ac:dyDescent="0.2"/>
    <row r="37455" ht="12.75" x14ac:dyDescent="0.2"/>
    <row r="37456" ht="12.75" x14ac:dyDescent="0.2"/>
    <row r="37457" ht="12.75" x14ac:dyDescent="0.2"/>
    <row r="37458" ht="12.75" x14ac:dyDescent="0.2"/>
    <row r="37459" ht="12.75" x14ac:dyDescent="0.2"/>
    <row r="37460" ht="12.75" x14ac:dyDescent="0.2"/>
    <row r="37461" ht="12.75" x14ac:dyDescent="0.2"/>
    <row r="37462" ht="12.75" x14ac:dyDescent="0.2"/>
    <row r="37463" ht="12.75" x14ac:dyDescent="0.2"/>
    <row r="37464" ht="12.75" x14ac:dyDescent="0.2"/>
    <row r="37465" ht="12.75" x14ac:dyDescent="0.2"/>
    <row r="37466" ht="12.75" x14ac:dyDescent="0.2"/>
    <row r="37467" ht="12.75" x14ac:dyDescent="0.2"/>
    <row r="37468" ht="12.75" x14ac:dyDescent="0.2"/>
    <row r="37469" ht="12.75" x14ac:dyDescent="0.2"/>
    <row r="37470" ht="12.75" x14ac:dyDescent="0.2"/>
    <row r="37471" ht="12.75" x14ac:dyDescent="0.2"/>
    <row r="37472" ht="12.75" x14ac:dyDescent="0.2"/>
    <row r="37473" ht="12.75" x14ac:dyDescent="0.2"/>
    <row r="37474" ht="12.75" x14ac:dyDescent="0.2"/>
    <row r="37475" ht="12.75" x14ac:dyDescent="0.2"/>
    <row r="37476" ht="12.75" x14ac:dyDescent="0.2"/>
    <row r="37477" ht="12.75" x14ac:dyDescent="0.2"/>
    <row r="37478" ht="12.75" x14ac:dyDescent="0.2"/>
    <row r="37479" ht="12.75" x14ac:dyDescent="0.2"/>
    <row r="37480" ht="12.75" x14ac:dyDescent="0.2"/>
    <row r="37481" ht="12.75" x14ac:dyDescent="0.2"/>
    <row r="37482" ht="12.75" x14ac:dyDescent="0.2"/>
    <row r="37483" ht="12.75" x14ac:dyDescent="0.2"/>
    <row r="37484" ht="12.75" x14ac:dyDescent="0.2"/>
    <row r="37485" ht="12.75" x14ac:dyDescent="0.2"/>
    <row r="37486" ht="12.75" x14ac:dyDescent="0.2"/>
    <row r="37487" ht="12.75" x14ac:dyDescent="0.2"/>
    <row r="37488" ht="12.75" x14ac:dyDescent="0.2"/>
    <row r="37489" ht="12.75" x14ac:dyDescent="0.2"/>
    <row r="37490" ht="12.75" x14ac:dyDescent="0.2"/>
    <row r="37491" ht="12.75" x14ac:dyDescent="0.2"/>
    <row r="37492" ht="12.75" x14ac:dyDescent="0.2"/>
    <row r="37493" ht="12.75" x14ac:dyDescent="0.2"/>
    <row r="37494" ht="12.75" x14ac:dyDescent="0.2"/>
    <row r="37495" ht="12.75" x14ac:dyDescent="0.2"/>
    <row r="37496" ht="12.75" x14ac:dyDescent="0.2"/>
    <row r="37497" ht="12.75" x14ac:dyDescent="0.2"/>
    <row r="37498" ht="12.75" x14ac:dyDescent="0.2"/>
    <row r="37499" ht="12.75" x14ac:dyDescent="0.2"/>
    <row r="37500" ht="12.75" x14ac:dyDescent="0.2"/>
    <row r="37501" ht="12.75" x14ac:dyDescent="0.2"/>
    <row r="37502" ht="12.75" x14ac:dyDescent="0.2"/>
    <row r="37503" ht="12.75" x14ac:dyDescent="0.2"/>
    <row r="37504" ht="12.75" x14ac:dyDescent="0.2"/>
    <row r="37505" ht="12.75" x14ac:dyDescent="0.2"/>
    <row r="37506" ht="12.75" x14ac:dyDescent="0.2"/>
    <row r="37507" ht="12.75" x14ac:dyDescent="0.2"/>
    <row r="37508" ht="12.75" x14ac:dyDescent="0.2"/>
    <row r="37509" ht="12.75" x14ac:dyDescent="0.2"/>
    <row r="37510" ht="12.75" x14ac:dyDescent="0.2"/>
    <row r="37511" ht="12.75" x14ac:dyDescent="0.2"/>
    <row r="37512" ht="12.75" x14ac:dyDescent="0.2"/>
    <row r="37513" ht="12.75" x14ac:dyDescent="0.2"/>
    <row r="37514" ht="12.75" x14ac:dyDescent="0.2"/>
    <row r="37515" ht="12.75" x14ac:dyDescent="0.2"/>
    <row r="37516" ht="12.75" x14ac:dyDescent="0.2"/>
    <row r="37517" ht="12.75" x14ac:dyDescent="0.2"/>
    <row r="37518" ht="12.75" x14ac:dyDescent="0.2"/>
    <row r="37519" ht="12.75" x14ac:dyDescent="0.2"/>
    <row r="37520" ht="12.75" x14ac:dyDescent="0.2"/>
    <row r="37521" ht="12.75" x14ac:dyDescent="0.2"/>
    <row r="37522" ht="12.75" x14ac:dyDescent="0.2"/>
    <row r="37523" ht="12.75" x14ac:dyDescent="0.2"/>
    <row r="37524" ht="12.75" x14ac:dyDescent="0.2"/>
    <row r="37525" ht="12.75" x14ac:dyDescent="0.2"/>
    <row r="37526" ht="12.75" x14ac:dyDescent="0.2"/>
    <row r="37527" ht="12.75" x14ac:dyDescent="0.2"/>
    <row r="37528" ht="12.75" x14ac:dyDescent="0.2"/>
    <row r="37529" ht="12.75" x14ac:dyDescent="0.2"/>
    <row r="37530" ht="12.75" x14ac:dyDescent="0.2"/>
    <row r="37531" ht="12.75" x14ac:dyDescent="0.2"/>
    <row r="37532" ht="12.75" x14ac:dyDescent="0.2"/>
    <row r="37533" ht="12.75" x14ac:dyDescent="0.2"/>
    <row r="37534" ht="12.75" x14ac:dyDescent="0.2"/>
    <row r="37535" ht="12.75" x14ac:dyDescent="0.2"/>
    <row r="37536" ht="12.75" x14ac:dyDescent="0.2"/>
    <row r="37537" ht="12.75" x14ac:dyDescent="0.2"/>
    <row r="37538" ht="12.75" x14ac:dyDescent="0.2"/>
    <row r="37539" ht="12.75" x14ac:dyDescent="0.2"/>
    <row r="37540" ht="12.75" x14ac:dyDescent="0.2"/>
    <row r="37541" ht="12.75" x14ac:dyDescent="0.2"/>
    <row r="37542" ht="12.75" x14ac:dyDescent="0.2"/>
    <row r="37543" ht="12.75" x14ac:dyDescent="0.2"/>
    <row r="37544" ht="12.75" x14ac:dyDescent="0.2"/>
    <row r="37545" ht="12.75" x14ac:dyDescent="0.2"/>
    <row r="37546" ht="12.75" x14ac:dyDescent="0.2"/>
    <row r="37547" ht="12.75" x14ac:dyDescent="0.2"/>
    <row r="37548" ht="12.75" x14ac:dyDescent="0.2"/>
    <row r="37549" ht="12.75" x14ac:dyDescent="0.2"/>
    <row r="37550" ht="12.75" x14ac:dyDescent="0.2"/>
    <row r="37551" ht="12.75" x14ac:dyDescent="0.2"/>
    <row r="37552" ht="12.75" x14ac:dyDescent="0.2"/>
    <row r="37553" ht="12.75" x14ac:dyDescent="0.2"/>
    <row r="37554" ht="12.75" x14ac:dyDescent="0.2"/>
    <row r="37555" ht="12.75" x14ac:dyDescent="0.2"/>
    <row r="37556" ht="12.75" x14ac:dyDescent="0.2"/>
    <row r="37557" ht="12.75" x14ac:dyDescent="0.2"/>
    <row r="37558" ht="12.75" x14ac:dyDescent="0.2"/>
    <row r="37559" ht="12.75" x14ac:dyDescent="0.2"/>
    <row r="37560" ht="12.75" x14ac:dyDescent="0.2"/>
    <row r="37561" ht="12.75" x14ac:dyDescent="0.2"/>
    <row r="37562" ht="12.75" x14ac:dyDescent="0.2"/>
    <row r="37563" ht="12.75" x14ac:dyDescent="0.2"/>
    <row r="37564" ht="12.75" x14ac:dyDescent="0.2"/>
    <row r="37565" ht="12.75" x14ac:dyDescent="0.2"/>
    <row r="37566" ht="12.75" x14ac:dyDescent="0.2"/>
    <row r="37567" ht="12.75" x14ac:dyDescent="0.2"/>
    <row r="37568" ht="12.75" x14ac:dyDescent="0.2"/>
    <row r="37569" ht="12.75" x14ac:dyDescent="0.2"/>
    <row r="37570" ht="12.75" x14ac:dyDescent="0.2"/>
    <row r="37571" ht="12.75" x14ac:dyDescent="0.2"/>
    <row r="37572" ht="12.75" x14ac:dyDescent="0.2"/>
    <row r="37573" ht="12.75" x14ac:dyDescent="0.2"/>
    <row r="37574" ht="12.75" x14ac:dyDescent="0.2"/>
    <row r="37575" ht="12.75" x14ac:dyDescent="0.2"/>
    <row r="37576" ht="12.75" x14ac:dyDescent="0.2"/>
    <row r="37577" ht="12.75" x14ac:dyDescent="0.2"/>
    <row r="37578" ht="12.75" x14ac:dyDescent="0.2"/>
    <row r="37579" ht="12.75" x14ac:dyDescent="0.2"/>
    <row r="37580" ht="12.75" x14ac:dyDescent="0.2"/>
    <row r="37581" ht="12.75" x14ac:dyDescent="0.2"/>
    <row r="37582" ht="12.75" x14ac:dyDescent="0.2"/>
    <row r="37583" ht="12.75" x14ac:dyDescent="0.2"/>
    <row r="37584" ht="12.75" x14ac:dyDescent="0.2"/>
    <row r="37585" ht="12.75" x14ac:dyDescent="0.2"/>
    <row r="37586" ht="12.75" x14ac:dyDescent="0.2"/>
    <row r="37587" ht="12.75" x14ac:dyDescent="0.2"/>
    <row r="37588" ht="12.75" x14ac:dyDescent="0.2"/>
    <row r="37589" ht="12.75" x14ac:dyDescent="0.2"/>
    <row r="37590" ht="12.75" x14ac:dyDescent="0.2"/>
    <row r="37591" ht="12.75" x14ac:dyDescent="0.2"/>
    <row r="37592" ht="12.75" x14ac:dyDescent="0.2"/>
    <row r="37593" ht="12.75" x14ac:dyDescent="0.2"/>
    <row r="37594" ht="12.75" x14ac:dyDescent="0.2"/>
    <row r="37595" ht="12.75" x14ac:dyDescent="0.2"/>
    <row r="37596" ht="12.75" x14ac:dyDescent="0.2"/>
    <row r="37597" ht="12.75" x14ac:dyDescent="0.2"/>
    <row r="37598" ht="12.75" x14ac:dyDescent="0.2"/>
    <row r="37599" ht="12.75" x14ac:dyDescent="0.2"/>
    <row r="37600" ht="12.75" x14ac:dyDescent="0.2"/>
    <row r="37601" ht="12.75" x14ac:dyDescent="0.2"/>
    <row r="37602" ht="12.75" x14ac:dyDescent="0.2"/>
    <row r="37603" ht="12.75" x14ac:dyDescent="0.2"/>
    <row r="37604" ht="12.75" x14ac:dyDescent="0.2"/>
    <row r="37605" ht="12.75" x14ac:dyDescent="0.2"/>
    <row r="37606" ht="12.75" x14ac:dyDescent="0.2"/>
    <row r="37607" ht="12.75" x14ac:dyDescent="0.2"/>
    <row r="37608" ht="12.75" x14ac:dyDescent="0.2"/>
    <row r="37609" ht="12.75" x14ac:dyDescent="0.2"/>
    <row r="37610" ht="12.75" x14ac:dyDescent="0.2"/>
    <row r="37611" ht="12.75" x14ac:dyDescent="0.2"/>
    <row r="37612" ht="12.75" x14ac:dyDescent="0.2"/>
    <row r="37613" ht="12.75" x14ac:dyDescent="0.2"/>
    <row r="37614" ht="12.75" x14ac:dyDescent="0.2"/>
    <row r="37615" ht="12.75" x14ac:dyDescent="0.2"/>
    <row r="37616" ht="12.75" x14ac:dyDescent="0.2"/>
    <row r="37617" ht="12.75" x14ac:dyDescent="0.2"/>
    <row r="37618" ht="12.75" x14ac:dyDescent="0.2"/>
    <row r="37619" ht="12.75" x14ac:dyDescent="0.2"/>
    <row r="37620" ht="12.75" x14ac:dyDescent="0.2"/>
    <row r="37621" ht="12.75" x14ac:dyDescent="0.2"/>
    <row r="37622" ht="12.75" x14ac:dyDescent="0.2"/>
    <row r="37623" ht="12.75" x14ac:dyDescent="0.2"/>
    <row r="37624" ht="12.75" x14ac:dyDescent="0.2"/>
    <row r="37625" ht="12.75" x14ac:dyDescent="0.2"/>
    <row r="37626" ht="12.75" x14ac:dyDescent="0.2"/>
    <row r="37627" ht="12.75" x14ac:dyDescent="0.2"/>
    <row r="37628" ht="12.75" x14ac:dyDescent="0.2"/>
    <row r="37629" ht="12.75" x14ac:dyDescent="0.2"/>
    <row r="37630" ht="12.75" x14ac:dyDescent="0.2"/>
    <row r="37631" ht="12.75" x14ac:dyDescent="0.2"/>
    <row r="37632" ht="12.75" x14ac:dyDescent="0.2"/>
    <row r="37633" ht="12.75" x14ac:dyDescent="0.2"/>
    <row r="37634" ht="12.75" x14ac:dyDescent="0.2"/>
    <row r="37635" ht="12.75" x14ac:dyDescent="0.2"/>
    <row r="37636" ht="12.75" x14ac:dyDescent="0.2"/>
    <row r="37637" ht="12.75" x14ac:dyDescent="0.2"/>
    <row r="37638" ht="12.75" x14ac:dyDescent="0.2"/>
    <row r="37639" ht="12.75" x14ac:dyDescent="0.2"/>
    <row r="37640" ht="12.75" x14ac:dyDescent="0.2"/>
    <row r="37641" ht="12.75" x14ac:dyDescent="0.2"/>
    <row r="37642" ht="12.75" x14ac:dyDescent="0.2"/>
    <row r="37643" ht="12.75" x14ac:dyDescent="0.2"/>
    <row r="37644" ht="12.75" x14ac:dyDescent="0.2"/>
    <row r="37645" ht="12.75" x14ac:dyDescent="0.2"/>
    <row r="37646" ht="12.75" x14ac:dyDescent="0.2"/>
    <row r="37647" ht="12.75" x14ac:dyDescent="0.2"/>
    <row r="37648" ht="12.75" x14ac:dyDescent="0.2"/>
    <row r="37649" ht="12.75" x14ac:dyDescent="0.2"/>
    <row r="37650" ht="12.75" x14ac:dyDescent="0.2"/>
    <row r="37651" ht="12.75" x14ac:dyDescent="0.2"/>
    <row r="37652" ht="12.75" x14ac:dyDescent="0.2"/>
    <row r="37653" ht="12.75" x14ac:dyDescent="0.2"/>
    <row r="37654" ht="12.75" x14ac:dyDescent="0.2"/>
    <row r="37655" ht="12.75" x14ac:dyDescent="0.2"/>
    <row r="37656" ht="12.75" x14ac:dyDescent="0.2"/>
    <row r="37657" ht="12.75" x14ac:dyDescent="0.2"/>
    <row r="37658" ht="12.75" x14ac:dyDescent="0.2"/>
    <row r="37659" ht="12.75" x14ac:dyDescent="0.2"/>
    <row r="37660" ht="12.75" x14ac:dyDescent="0.2"/>
    <row r="37661" ht="12.75" x14ac:dyDescent="0.2"/>
    <row r="37662" ht="12.75" x14ac:dyDescent="0.2"/>
    <row r="37663" ht="12.75" x14ac:dyDescent="0.2"/>
    <row r="37664" ht="12.75" x14ac:dyDescent="0.2"/>
    <row r="37665" ht="12.75" x14ac:dyDescent="0.2"/>
    <row r="37666" ht="12.75" x14ac:dyDescent="0.2"/>
    <row r="37667" ht="12.75" x14ac:dyDescent="0.2"/>
    <row r="37668" ht="12.75" x14ac:dyDescent="0.2"/>
    <row r="37669" ht="12.75" x14ac:dyDescent="0.2"/>
    <row r="37670" ht="12.75" x14ac:dyDescent="0.2"/>
    <row r="37671" ht="12.75" x14ac:dyDescent="0.2"/>
    <row r="37672" ht="12.75" x14ac:dyDescent="0.2"/>
    <row r="37673" ht="12.75" x14ac:dyDescent="0.2"/>
    <row r="37674" ht="12.75" x14ac:dyDescent="0.2"/>
    <row r="37675" ht="12.75" x14ac:dyDescent="0.2"/>
    <row r="37676" ht="12.75" x14ac:dyDescent="0.2"/>
    <row r="37677" ht="12.75" x14ac:dyDescent="0.2"/>
    <row r="37678" ht="12.75" x14ac:dyDescent="0.2"/>
    <row r="37679" ht="12.75" x14ac:dyDescent="0.2"/>
    <row r="37680" ht="12.75" x14ac:dyDescent="0.2"/>
    <row r="37681" ht="12.75" x14ac:dyDescent="0.2"/>
    <row r="37682" ht="12.75" x14ac:dyDescent="0.2"/>
    <row r="37683" ht="12.75" x14ac:dyDescent="0.2"/>
    <row r="37684" ht="12.75" x14ac:dyDescent="0.2"/>
    <row r="37685" ht="12.75" x14ac:dyDescent="0.2"/>
    <row r="37686" ht="12.75" x14ac:dyDescent="0.2"/>
    <row r="37687" ht="12.75" x14ac:dyDescent="0.2"/>
    <row r="37688" ht="12.75" x14ac:dyDescent="0.2"/>
    <row r="37689" ht="12.75" x14ac:dyDescent="0.2"/>
    <row r="37690" ht="12.75" x14ac:dyDescent="0.2"/>
    <row r="37691" ht="12.75" x14ac:dyDescent="0.2"/>
    <row r="37692" ht="12.75" x14ac:dyDescent="0.2"/>
    <row r="37693" ht="12.75" x14ac:dyDescent="0.2"/>
    <row r="37694" ht="12.75" x14ac:dyDescent="0.2"/>
    <row r="37695" ht="12.75" x14ac:dyDescent="0.2"/>
    <row r="37696" ht="12.75" x14ac:dyDescent="0.2"/>
    <row r="37697" ht="12.75" x14ac:dyDescent="0.2"/>
    <row r="37698" ht="12.75" x14ac:dyDescent="0.2"/>
    <row r="37699" ht="12.75" x14ac:dyDescent="0.2"/>
    <row r="37700" ht="12.75" x14ac:dyDescent="0.2"/>
    <row r="37701" ht="12.75" x14ac:dyDescent="0.2"/>
    <row r="37702" ht="12.75" x14ac:dyDescent="0.2"/>
    <row r="37703" ht="12.75" x14ac:dyDescent="0.2"/>
    <row r="37704" ht="12.75" x14ac:dyDescent="0.2"/>
    <row r="37705" ht="12.75" x14ac:dyDescent="0.2"/>
    <row r="37706" ht="12.75" x14ac:dyDescent="0.2"/>
    <row r="37707" ht="12.75" x14ac:dyDescent="0.2"/>
    <row r="37708" ht="12.75" x14ac:dyDescent="0.2"/>
    <row r="37709" ht="12.75" x14ac:dyDescent="0.2"/>
    <row r="37710" ht="12.75" x14ac:dyDescent="0.2"/>
    <row r="37711" ht="12.75" x14ac:dyDescent="0.2"/>
    <row r="37712" ht="12.75" x14ac:dyDescent="0.2"/>
    <row r="37713" ht="12.75" x14ac:dyDescent="0.2"/>
    <row r="37714" ht="12.75" x14ac:dyDescent="0.2"/>
    <row r="37715" ht="12.75" x14ac:dyDescent="0.2"/>
    <row r="37716" ht="12.75" x14ac:dyDescent="0.2"/>
    <row r="37717" ht="12.75" x14ac:dyDescent="0.2"/>
    <row r="37718" ht="12.75" x14ac:dyDescent="0.2"/>
    <row r="37719" ht="12.75" x14ac:dyDescent="0.2"/>
    <row r="37720" ht="12.75" x14ac:dyDescent="0.2"/>
    <row r="37721" ht="12.75" x14ac:dyDescent="0.2"/>
    <row r="37722" ht="12.75" x14ac:dyDescent="0.2"/>
    <row r="37723" ht="12.75" x14ac:dyDescent="0.2"/>
    <row r="37724" ht="12.75" x14ac:dyDescent="0.2"/>
    <row r="37725" ht="12.75" x14ac:dyDescent="0.2"/>
    <row r="37726" ht="12.75" x14ac:dyDescent="0.2"/>
    <row r="37727" ht="12.75" x14ac:dyDescent="0.2"/>
    <row r="37728" ht="12.75" x14ac:dyDescent="0.2"/>
    <row r="37729" ht="12.75" x14ac:dyDescent="0.2"/>
    <row r="37730" ht="12.75" x14ac:dyDescent="0.2"/>
    <row r="37731" ht="12.75" x14ac:dyDescent="0.2"/>
    <row r="37732" ht="12.75" x14ac:dyDescent="0.2"/>
    <row r="37733" ht="12.75" x14ac:dyDescent="0.2"/>
    <row r="37734" ht="12.75" x14ac:dyDescent="0.2"/>
    <row r="37735" ht="12.75" x14ac:dyDescent="0.2"/>
    <row r="37736" ht="12.75" x14ac:dyDescent="0.2"/>
    <row r="37737" ht="12.75" x14ac:dyDescent="0.2"/>
    <row r="37738" ht="12.75" x14ac:dyDescent="0.2"/>
    <row r="37739" ht="12.75" x14ac:dyDescent="0.2"/>
    <row r="37740" ht="12.75" x14ac:dyDescent="0.2"/>
    <row r="37741" ht="12.75" x14ac:dyDescent="0.2"/>
    <row r="37742" ht="12.75" x14ac:dyDescent="0.2"/>
    <row r="37743" ht="12.75" x14ac:dyDescent="0.2"/>
    <row r="37744" ht="12.75" x14ac:dyDescent="0.2"/>
    <row r="37745" ht="12.75" x14ac:dyDescent="0.2"/>
    <row r="37746" ht="12.75" x14ac:dyDescent="0.2"/>
    <row r="37747" ht="12.75" x14ac:dyDescent="0.2"/>
    <row r="37748" ht="12.75" x14ac:dyDescent="0.2"/>
    <row r="37749" ht="12.75" x14ac:dyDescent="0.2"/>
    <row r="37750" ht="12.75" x14ac:dyDescent="0.2"/>
    <row r="37751" ht="12.75" x14ac:dyDescent="0.2"/>
    <row r="37752" ht="12.75" x14ac:dyDescent="0.2"/>
    <row r="37753" ht="12.75" x14ac:dyDescent="0.2"/>
    <row r="37754" ht="12.75" x14ac:dyDescent="0.2"/>
    <row r="37755" ht="12.75" x14ac:dyDescent="0.2"/>
    <row r="37756" ht="12.75" x14ac:dyDescent="0.2"/>
    <row r="37757" ht="12.75" x14ac:dyDescent="0.2"/>
    <row r="37758" ht="12.75" x14ac:dyDescent="0.2"/>
    <row r="37759" ht="12.75" x14ac:dyDescent="0.2"/>
    <row r="37760" ht="12.75" x14ac:dyDescent="0.2"/>
    <row r="37761" ht="12.75" x14ac:dyDescent="0.2"/>
    <row r="37762" ht="12.75" x14ac:dyDescent="0.2"/>
    <row r="37763" ht="12.75" x14ac:dyDescent="0.2"/>
    <row r="37764" ht="12.75" x14ac:dyDescent="0.2"/>
    <row r="37765" ht="12.75" x14ac:dyDescent="0.2"/>
    <row r="37766" ht="12.75" x14ac:dyDescent="0.2"/>
    <row r="37767" ht="12.75" x14ac:dyDescent="0.2"/>
    <row r="37768" ht="12.75" x14ac:dyDescent="0.2"/>
    <row r="37769" ht="12.75" x14ac:dyDescent="0.2"/>
    <row r="37770" ht="12.75" x14ac:dyDescent="0.2"/>
    <row r="37771" ht="12.75" x14ac:dyDescent="0.2"/>
    <row r="37772" ht="12.75" x14ac:dyDescent="0.2"/>
    <row r="37773" ht="12.75" x14ac:dyDescent="0.2"/>
    <row r="37774" ht="12.75" x14ac:dyDescent="0.2"/>
    <row r="37775" ht="12.75" x14ac:dyDescent="0.2"/>
    <row r="37776" ht="12.75" x14ac:dyDescent="0.2"/>
    <row r="37777" ht="12.75" x14ac:dyDescent="0.2"/>
    <row r="37778" ht="12.75" x14ac:dyDescent="0.2"/>
    <row r="37779" ht="12.75" x14ac:dyDescent="0.2"/>
    <row r="37780" ht="12.75" x14ac:dyDescent="0.2"/>
    <row r="37781" ht="12.75" x14ac:dyDescent="0.2"/>
    <row r="37782" ht="12.75" x14ac:dyDescent="0.2"/>
    <row r="37783" ht="12.75" x14ac:dyDescent="0.2"/>
    <row r="37784" ht="12.75" x14ac:dyDescent="0.2"/>
    <row r="37785" ht="12.75" x14ac:dyDescent="0.2"/>
    <row r="37786" ht="12.75" x14ac:dyDescent="0.2"/>
    <row r="37787" ht="12.75" x14ac:dyDescent="0.2"/>
    <row r="37788" ht="12.75" x14ac:dyDescent="0.2"/>
    <row r="37789" ht="12.75" x14ac:dyDescent="0.2"/>
    <row r="37790" ht="12.75" x14ac:dyDescent="0.2"/>
    <row r="37791" ht="12.75" x14ac:dyDescent="0.2"/>
    <row r="37792" ht="12.75" x14ac:dyDescent="0.2"/>
    <row r="37793" ht="12.75" x14ac:dyDescent="0.2"/>
    <row r="37794" ht="12.75" x14ac:dyDescent="0.2"/>
    <row r="37795" ht="12.75" x14ac:dyDescent="0.2"/>
    <row r="37796" ht="12.75" x14ac:dyDescent="0.2"/>
    <row r="37797" ht="12.75" x14ac:dyDescent="0.2"/>
    <row r="37798" ht="12.75" x14ac:dyDescent="0.2"/>
    <row r="37799" ht="12.75" x14ac:dyDescent="0.2"/>
    <row r="37800" ht="12.75" x14ac:dyDescent="0.2"/>
    <row r="37801" ht="12.75" x14ac:dyDescent="0.2"/>
    <row r="37802" ht="12.75" x14ac:dyDescent="0.2"/>
    <row r="37803" ht="12.75" x14ac:dyDescent="0.2"/>
    <row r="37804" ht="12.75" x14ac:dyDescent="0.2"/>
    <row r="37805" ht="12.75" x14ac:dyDescent="0.2"/>
    <row r="37806" ht="12.75" x14ac:dyDescent="0.2"/>
    <row r="37807" ht="12.75" x14ac:dyDescent="0.2"/>
    <row r="37808" ht="12.75" x14ac:dyDescent="0.2"/>
    <row r="37809" ht="12.75" x14ac:dyDescent="0.2"/>
    <row r="37810" ht="12.75" x14ac:dyDescent="0.2"/>
    <row r="37811" ht="12.75" x14ac:dyDescent="0.2"/>
    <row r="37812" ht="12.75" x14ac:dyDescent="0.2"/>
    <row r="37813" ht="12.75" x14ac:dyDescent="0.2"/>
    <row r="37814" ht="12.75" x14ac:dyDescent="0.2"/>
    <row r="37815" ht="12.75" x14ac:dyDescent="0.2"/>
    <row r="37816" ht="12.75" x14ac:dyDescent="0.2"/>
    <row r="37817" ht="12.75" x14ac:dyDescent="0.2"/>
    <row r="37818" ht="12.75" x14ac:dyDescent="0.2"/>
    <row r="37819" ht="12.75" x14ac:dyDescent="0.2"/>
    <row r="37820" ht="12.75" x14ac:dyDescent="0.2"/>
    <row r="37821" ht="12.75" x14ac:dyDescent="0.2"/>
    <row r="37822" ht="12.75" x14ac:dyDescent="0.2"/>
    <row r="37823" ht="12.75" x14ac:dyDescent="0.2"/>
    <row r="37824" ht="12.75" x14ac:dyDescent="0.2"/>
    <row r="37825" ht="12.75" x14ac:dyDescent="0.2"/>
    <row r="37826" ht="12.75" x14ac:dyDescent="0.2"/>
    <row r="37827" ht="12.75" x14ac:dyDescent="0.2"/>
    <row r="37828" ht="12.75" x14ac:dyDescent="0.2"/>
    <row r="37829" ht="12.75" x14ac:dyDescent="0.2"/>
    <row r="37830" ht="12.75" x14ac:dyDescent="0.2"/>
    <row r="37831" ht="12.75" x14ac:dyDescent="0.2"/>
    <row r="37832" ht="12.75" x14ac:dyDescent="0.2"/>
    <row r="37833" ht="12.75" x14ac:dyDescent="0.2"/>
    <row r="37834" ht="12.75" x14ac:dyDescent="0.2"/>
    <row r="37835" ht="12.75" x14ac:dyDescent="0.2"/>
    <row r="37836" ht="12.75" x14ac:dyDescent="0.2"/>
    <row r="37837" ht="12.75" x14ac:dyDescent="0.2"/>
    <row r="37838" ht="12.75" x14ac:dyDescent="0.2"/>
    <row r="37839" ht="12.75" x14ac:dyDescent="0.2"/>
    <row r="37840" ht="12.75" x14ac:dyDescent="0.2"/>
    <row r="37841" ht="12.75" x14ac:dyDescent="0.2"/>
    <row r="37842" ht="12.75" x14ac:dyDescent="0.2"/>
    <row r="37843" ht="12.75" x14ac:dyDescent="0.2"/>
    <row r="37844" ht="12.75" x14ac:dyDescent="0.2"/>
    <row r="37845" ht="12.75" x14ac:dyDescent="0.2"/>
    <row r="37846" ht="12.75" x14ac:dyDescent="0.2"/>
    <row r="37847" ht="12.75" x14ac:dyDescent="0.2"/>
    <row r="37848" ht="12.75" x14ac:dyDescent="0.2"/>
    <row r="37849" ht="12.75" x14ac:dyDescent="0.2"/>
    <row r="37850" ht="12.75" x14ac:dyDescent="0.2"/>
    <row r="37851" ht="12.75" x14ac:dyDescent="0.2"/>
    <row r="37852" ht="12.75" x14ac:dyDescent="0.2"/>
    <row r="37853" ht="12.75" x14ac:dyDescent="0.2"/>
    <row r="37854" ht="12.75" x14ac:dyDescent="0.2"/>
    <row r="37855" ht="12.75" x14ac:dyDescent="0.2"/>
    <row r="37856" ht="12.75" x14ac:dyDescent="0.2"/>
    <row r="37857" ht="12.75" x14ac:dyDescent="0.2"/>
    <row r="37858" ht="12.75" x14ac:dyDescent="0.2"/>
    <row r="37859" ht="12.75" x14ac:dyDescent="0.2"/>
    <row r="37860" ht="12.75" x14ac:dyDescent="0.2"/>
    <row r="37861" ht="12.75" x14ac:dyDescent="0.2"/>
    <row r="37862" ht="12.75" x14ac:dyDescent="0.2"/>
    <row r="37863" ht="12.75" x14ac:dyDescent="0.2"/>
    <row r="37864" ht="12.75" x14ac:dyDescent="0.2"/>
    <row r="37865" ht="12.75" x14ac:dyDescent="0.2"/>
    <row r="37866" ht="12.75" x14ac:dyDescent="0.2"/>
    <row r="37867" ht="12.75" x14ac:dyDescent="0.2"/>
    <row r="37868" ht="12.75" x14ac:dyDescent="0.2"/>
    <row r="37869" ht="12.75" x14ac:dyDescent="0.2"/>
    <row r="37870" ht="12.75" x14ac:dyDescent="0.2"/>
    <row r="37871" ht="12.75" x14ac:dyDescent="0.2"/>
    <row r="37872" ht="12.75" x14ac:dyDescent="0.2"/>
    <row r="37873" ht="12.75" x14ac:dyDescent="0.2"/>
    <row r="37874" ht="12.75" x14ac:dyDescent="0.2"/>
    <row r="37875" ht="12.75" x14ac:dyDescent="0.2"/>
    <row r="37876" ht="12.75" x14ac:dyDescent="0.2"/>
    <row r="37877" ht="12.75" x14ac:dyDescent="0.2"/>
    <row r="37878" ht="12.75" x14ac:dyDescent="0.2"/>
    <row r="37879" ht="12.75" x14ac:dyDescent="0.2"/>
    <row r="37880" ht="12.75" x14ac:dyDescent="0.2"/>
    <row r="37881" ht="12.75" x14ac:dyDescent="0.2"/>
    <row r="37882" ht="12.75" x14ac:dyDescent="0.2"/>
    <row r="37883" ht="12.75" x14ac:dyDescent="0.2"/>
    <row r="37884" ht="12.75" x14ac:dyDescent="0.2"/>
    <row r="37885" ht="12.75" x14ac:dyDescent="0.2"/>
    <row r="37886" ht="12.75" x14ac:dyDescent="0.2"/>
    <row r="37887" ht="12.75" x14ac:dyDescent="0.2"/>
    <row r="37888" ht="12.75" x14ac:dyDescent="0.2"/>
    <row r="37889" ht="12.75" x14ac:dyDescent="0.2"/>
    <row r="37890" ht="12.75" x14ac:dyDescent="0.2"/>
    <row r="37891" ht="12.75" x14ac:dyDescent="0.2"/>
    <row r="37892" ht="12.75" x14ac:dyDescent="0.2"/>
    <row r="37893" ht="12.75" x14ac:dyDescent="0.2"/>
    <row r="37894" ht="12.75" x14ac:dyDescent="0.2"/>
    <row r="37895" ht="12.75" x14ac:dyDescent="0.2"/>
    <row r="37896" ht="12.75" x14ac:dyDescent="0.2"/>
    <row r="37897" ht="12.75" x14ac:dyDescent="0.2"/>
    <row r="37898" ht="12.75" x14ac:dyDescent="0.2"/>
    <row r="37899" ht="12.75" x14ac:dyDescent="0.2"/>
    <row r="37900" ht="12.75" x14ac:dyDescent="0.2"/>
    <row r="37901" ht="12.75" x14ac:dyDescent="0.2"/>
    <row r="37902" ht="12.75" x14ac:dyDescent="0.2"/>
    <row r="37903" ht="12.75" x14ac:dyDescent="0.2"/>
    <row r="37904" ht="12.75" x14ac:dyDescent="0.2"/>
    <row r="37905" ht="12.75" x14ac:dyDescent="0.2"/>
    <row r="37906" ht="12.75" x14ac:dyDescent="0.2"/>
    <row r="37907" ht="12.75" x14ac:dyDescent="0.2"/>
    <row r="37908" ht="12.75" x14ac:dyDescent="0.2"/>
    <row r="37909" ht="12.75" x14ac:dyDescent="0.2"/>
    <row r="37910" ht="12.75" x14ac:dyDescent="0.2"/>
    <row r="37911" ht="12.75" x14ac:dyDescent="0.2"/>
    <row r="37912" ht="12.75" x14ac:dyDescent="0.2"/>
    <row r="37913" ht="12.75" x14ac:dyDescent="0.2"/>
    <row r="37914" ht="12.75" x14ac:dyDescent="0.2"/>
    <row r="37915" ht="12.75" x14ac:dyDescent="0.2"/>
    <row r="37916" ht="12.75" x14ac:dyDescent="0.2"/>
    <row r="37917" ht="12.75" x14ac:dyDescent="0.2"/>
    <row r="37918" ht="12.75" x14ac:dyDescent="0.2"/>
    <row r="37919" ht="12.75" x14ac:dyDescent="0.2"/>
    <row r="37920" ht="12.75" x14ac:dyDescent="0.2"/>
    <row r="37921" ht="12.75" x14ac:dyDescent="0.2"/>
    <row r="37922" ht="12.75" x14ac:dyDescent="0.2"/>
    <row r="37923" ht="12.75" x14ac:dyDescent="0.2"/>
    <row r="37924" ht="12.75" x14ac:dyDescent="0.2"/>
    <row r="37925" ht="12.75" x14ac:dyDescent="0.2"/>
    <row r="37926" ht="12.75" x14ac:dyDescent="0.2"/>
    <row r="37927" ht="12.75" x14ac:dyDescent="0.2"/>
    <row r="37928" ht="12.75" x14ac:dyDescent="0.2"/>
    <row r="37929" ht="12.75" x14ac:dyDescent="0.2"/>
    <row r="37930" ht="12.75" x14ac:dyDescent="0.2"/>
    <row r="37931" ht="12.75" x14ac:dyDescent="0.2"/>
    <row r="37932" ht="12.75" x14ac:dyDescent="0.2"/>
    <row r="37933" ht="12.75" x14ac:dyDescent="0.2"/>
    <row r="37934" ht="12.75" x14ac:dyDescent="0.2"/>
    <row r="37935" ht="12.75" x14ac:dyDescent="0.2"/>
    <row r="37936" ht="12.75" x14ac:dyDescent="0.2"/>
    <row r="37937" ht="12.75" x14ac:dyDescent="0.2"/>
    <row r="37938" ht="12.75" x14ac:dyDescent="0.2"/>
    <row r="37939" ht="12.75" x14ac:dyDescent="0.2"/>
    <row r="37940" ht="12.75" x14ac:dyDescent="0.2"/>
    <row r="37941" ht="12.75" x14ac:dyDescent="0.2"/>
    <row r="37942" ht="12.75" x14ac:dyDescent="0.2"/>
    <row r="37943" ht="12.75" x14ac:dyDescent="0.2"/>
    <row r="37944" ht="12.75" x14ac:dyDescent="0.2"/>
    <row r="37945" ht="12.75" x14ac:dyDescent="0.2"/>
    <row r="37946" ht="12.75" x14ac:dyDescent="0.2"/>
    <row r="37947" ht="12.75" x14ac:dyDescent="0.2"/>
    <row r="37948" ht="12.75" x14ac:dyDescent="0.2"/>
    <row r="37949" ht="12.75" x14ac:dyDescent="0.2"/>
    <row r="37950" ht="12.75" x14ac:dyDescent="0.2"/>
    <row r="37951" ht="12.75" x14ac:dyDescent="0.2"/>
    <row r="37952" ht="12.75" x14ac:dyDescent="0.2"/>
    <row r="37953" ht="12.75" x14ac:dyDescent="0.2"/>
    <row r="37954" ht="12.75" x14ac:dyDescent="0.2"/>
    <row r="37955" ht="12.75" x14ac:dyDescent="0.2"/>
    <row r="37956" ht="12.75" x14ac:dyDescent="0.2"/>
    <row r="37957" ht="12.75" x14ac:dyDescent="0.2"/>
    <row r="37958" ht="12.75" x14ac:dyDescent="0.2"/>
    <row r="37959" ht="12.75" x14ac:dyDescent="0.2"/>
    <row r="37960" ht="12.75" x14ac:dyDescent="0.2"/>
    <row r="37961" ht="12.75" x14ac:dyDescent="0.2"/>
    <row r="37962" ht="12.75" x14ac:dyDescent="0.2"/>
    <row r="37963" ht="12.75" x14ac:dyDescent="0.2"/>
    <row r="37964" ht="12.75" x14ac:dyDescent="0.2"/>
    <row r="37965" ht="12.75" x14ac:dyDescent="0.2"/>
    <row r="37966" ht="12.75" x14ac:dyDescent="0.2"/>
    <row r="37967" ht="12.75" x14ac:dyDescent="0.2"/>
    <row r="37968" ht="12.75" x14ac:dyDescent="0.2"/>
    <row r="37969" ht="12.75" x14ac:dyDescent="0.2"/>
    <row r="37970" ht="12.75" x14ac:dyDescent="0.2"/>
    <row r="37971" ht="12.75" x14ac:dyDescent="0.2"/>
    <row r="37972" ht="12.75" x14ac:dyDescent="0.2"/>
    <row r="37973" ht="12.75" x14ac:dyDescent="0.2"/>
    <row r="37974" ht="12.75" x14ac:dyDescent="0.2"/>
    <row r="37975" ht="12.75" x14ac:dyDescent="0.2"/>
    <row r="37976" ht="12.75" x14ac:dyDescent="0.2"/>
    <row r="37977" ht="12.75" x14ac:dyDescent="0.2"/>
    <row r="37978" ht="12.75" x14ac:dyDescent="0.2"/>
    <row r="37979" ht="12.75" x14ac:dyDescent="0.2"/>
    <row r="37980" ht="12.75" x14ac:dyDescent="0.2"/>
    <row r="37981" ht="12.75" x14ac:dyDescent="0.2"/>
    <row r="37982" ht="12.75" x14ac:dyDescent="0.2"/>
    <row r="37983" ht="12.75" x14ac:dyDescent="0.2"/>
    <row r="37984" ht="12.75" x14ac:dyDescent="0.2"/>
    <row r="37985" ht="12.75" x14ac:dyDescent="0.2"/>
    <row r="37986" ht="12.75" x14ac:dyDescent="0.2"/>
    <row r="37987" ht="12.75" x14ac:dyDescent="0.2"/>
    <row r="37988" ht="12.75" x14ac:dyDescent="0.2"/>
    <row r="37989" ht="12.75" x14ac:dyDescent="0.2"/>
    <row r="37990" ht="12.75" x14ac:dyDescent="0.2"/>
    <row r="37991" ht="12.75" x14ac:dyDescent="0.2"/>
    <row r="37992" ht="12.75" x14ac:dyDescent="0.2"/>
    <row r="37993" ht="12.75" x14ac:dyDescent="0.2"/>
    <row r="37994" ht="12.75" x14ac:dyDescent="0.2"/>
    <row r="37995" ht="12.75" x14ac:dyDescent="0.2"/>
    <row r="37996" ht="12.75" x14ac:dyDescent="0.2"/>
    <row r="37997" ht="12.75" x14ac:dyDescent="0.2"/>
    <row r="37998" ht="12.75" x14ac:dyDescent="0.2"/>
    <row r="37999" ht="12.75" x14ac:dyDescent="0.2"/>
    <row r="38000" ht="12.75" x14ac:dyDescent="0.2"/>
    <row r="38001" ht="12.75" x14ac:dyDescent="0.2"/>
    <row r="38002" ht="12.75" x14ac:dyDescent="0.2"/>
    <row r="38003" ht="12.75" x14ac:dyDescent="0.2"/>
    <row r="38004" ht="12.75" x14ac:dyDescent="0.2"/>
    <row r="38005" ht="12.75" x14ac:dyDescent="0.2"/>
    <row r="38006" ht="12.75" x14ac:dyDescent="0.2"/>
    <row r="38007" ht="12.75" x14ac:dyDescent="0.2"/>
    <row r="38008" ht="12.75" x14ac:dyDescent="0.2"/>
    <row r="38009" ht="12.75" x14ac:dyDescent="0.2"/>
    <row r="38010" ht="12.75" x14ac:dyDescent="0.2"/>
    <row r="38011" ht="12.75" x14ac:dyDescent="0.2"/>
    <row r="38012" ht="12.75" x14ac:dyDescent="0.2"/>
    <row r="38013" ht="12.75" x14ac:dyDescent="0.2"/>
    <row r="38014" ht="12.75" x14ac:dyDescent="0.2"/>
    <row r="38015" ht="12.75" x14ac:dyDescent="0.2"/>
    <row r="38016" ht="12.75" x14ac:dyDescent="0.2"/>
    <row r="38017" ht="12.75" x14ac:dyDescent="0.2"/>
    <row r="38018" ht="12.75" x14ac:dyDescent="0.2"/>
    <row r="38019" ht="12.75" x14ac:dyDescent="0.2"/>
    <row r="38020" ht="12.75" x14ac:dyDescent="0.2"/>
    <row r="38021" ht="12.75" x14ac:dyDescent="0.2"/>
    <row r="38022" ht="12.75" x14ac:dyDescent="0.2"/>
    <row r="38023" ht="12.75" x14ac:dyDescent="0.2"/>
    <row r="38024" ht="12.75" x14ac:dyDescent="0.2"/>
    <row r="38025" ht="12.75" x14ac:dyDescent="0.2"/>
    <row r="38026" ht="12.75" x14ac:dyDescent="0.2"/>
    <row r="38027" ht="12.75" x14ac:dyDescent="0.2"/>
    <row r="38028" ht="12.75" x14ac:dyDescent="0.2"/>
    <row r="38029" ht="12.75" x14ac:dyDescent="0.2"/>
    <row r="38030" ht="12.75" x14ac:dyDescent="0.2"/>
    <row r="38031" ht="12.75" x14ac:dyDescent="0.2"/>
    <row r="38032" ht="12.75" x14ac:dyDescent="0.2"/>
    <row r="38033" ht="12.75" x14ac:dyDescent="0.2"/>
    <row r="38034" ht="12.75" x14ac:dyDescent="0.2"/>
    <row r="38035" ht="12.75" x14ac:dyDescent="0.2"/>
    <row r="38036" ht="12.75" x14ac:dyDescent="0.2"/>
    <row r="38037" ht="12.75" x14ac:dyDescent="0.2"/>
    <row r="38038" ht="12.75" x14ac:dyDescent="0.2"/>
    <row r="38039" ht="12.75" x14ac:dyDescent="0.2"/>
    <row r="38040" ht="12.75" x14ac:dyDescent="0.2"/>
    <row r="38041" ht="12.75" x14ac:dyDescent="0.2"/>
    <row r="38042" ht="12.75" x14ac:dyDescent="0.2"/>
    <row r="38043" ht="12.75" x14ac:dyDescent="0.2"/>
    <row r="38044" ht="12.75" x14ac:dyDescent="0.2"/>
    <row r="38045" ht="12.75" x14ac:dyDescent="0.2"/>
    <row r="38046" ht="12.75" x14ac:dyDescent="0.2"/>
    <row r="38047" ht="12.75" x14ac:dyDescent="0.2"/>
    <row r="38048" ht="12.75" x14ac:dyDescent="0.2"/>
    <row r="38049" ht="12.75" x14ac:dyDescent="0.2"/>
    <row r="38050" ht="12.75" x14ac:dyDescent="0.2"/>
    <row r="38051" ht="12.75" x14ac:dyDescent="0.2"/>
    <row r="38052" ht="12.75" x14ac:dyDescent="0.2"/>
    <row r="38053" ht="12.75" x14ac:dyDescent="0.2"/>
    <row r="38054" ht="12.75" x14ac:dyDescent="0.2"/>
    <row r="38055" ht="12.75" x14ac:dyDescent="0.2"/>
    <row r="38056" ht="12.75" x14ac:dyDescent="0.2"/>
    <row r="38057" ht="12.75" x14ac:dyDescent="0.2"/>
    <row r="38058" ht="12.75" x14ac:dyDescent="0.2"/>
    <row r="38059" ht="12.75" x14ac:dyDescent="0.2"/>
    <row r="38060" ht="12.75" x14ac:dyDescent="0.2"/>
    <row r="38061" ht="12.75" x14ac:dyDescent="0.2"/>
    <row r="38062" ht="12.75" x14ac:dyDescent="0.2"/>
    <row r="38063" ht="12.75" x14ac:dyDescent="0.2"/>
    <row r="38064" ht="12.75" x14ac:dyDescent="0.2"/>
    <row r="38065" ht="12.75" x14ac:dyDescent="0.2"/>
    <row r="38066" ht="12.75" x14ac:dyDescent="0.2"/>
    <row r="38067" ht="12.75" x14ac:dyDescent="0.2"/>
    <row r="38068" ht="12.75" x14ac:dyDescent="0.2"/>
    <row r="38069" ht="12.75" x14ac:dyDescent="0.2"/>
    <row r="38070" ht="12.75" x14ac:dyDescent="0.2"/>
    <row r="38071" ht="12.75" x14ac:dyDescent="0.2"/>
    <row r="38072" ht="12.75" x14ac:dyDescent="0.2"/>
    <row r="38073" ht="12.75" x14ac:dyDescent="0.2"/>
    <row r="38074" ht="12.75" x14ac:dyDescent="0.2"/>
    <row r="38075" ht="12.75" x14ac:dyDescent="0.2"/>
    <row r="38076" ht="12.75" x14ac:dyDescent="0.2"/>
    <row r="38077" ht="12.75" x14ac:dyDescent="0.2"/>
    <row r="38078" ht="12.75" x14ac:dyDescent="0.2"/>
    <row r="38079" ht="12.75" x14ac:dyDescent="0.2"/>
    <row r="38080" ht="12.75" x14ac:dyDescent="0.2"/>
    <row r="38081" ht="12.75" x14ac:dyDescent="0.2"/>
    <row r="38082" ht="12.75" x14ac:dyDescent="0.2"/>
    <row r="38083" ht="12.75" x14ac:dyDescent="0.2"/>
    <row r="38084" ht="12.75" x14ac:dyDescent="0.2"/>
    <row r="38085" ht="12.75" x14ac:dyDescent="0.2"/>
    <row r="38086" ht="12.75" x14ac:dyDescent="0.2"/>
    <row r="38087" ht="12.75" x14ac:dyDescent="0.2"/>
    <row r="38088" ht="12.75" x14ac:dyDescent="0.2"/>
    <row r="38089" ht="12.75" x14ac:dyDescent="0.2"/>
    <row r="38090" ht="12.75" x14ac:dyDescent="0.2"/>
    <row r="38091" ht="12.75" x14ac:dyDescent="0.2"/>
    <row r="38092" ht="12.75" x14ac:dyDescent="0.2"/>
    <row r="38093" ht="12.75" x14ac:dyDescent="0.2"/>
    <row r="38094" ht="12.75" x14ac:dyDescent="0.2"/>
    <row r="38095" ht="12.75" x14ac:dyDescent="0.2"/>
    <row r="38096" ht="12.75" x14ac:dyDescent="0.2"/>
    <row r="38097" ht="12.75" x14ac:dyDescent="0.2"/>
    <row r="38098" ht="12.75" x14ac:dyDescent="0.2"/>
    <row r="38099" ht="12.75" x14ac:dyDescent="0.2"/>
    <row r="38100" ht="12.75" x14ac:dyDescent="0.2"/>
    <row r="38101" ht="12.75" x14ac:dyDescent="0.2"/>
    <row r="38102" ht="12.75" x14ac:dyDescent="0.2"/>
    <row r="38103" ht="12.75" x14ac:dyDescent="0.2"/>
    <row r="38104" ht="12.75" x14ac:dyDescent="0.2"/>
    <row r="38105" ht="12.75" x14ac:dyDescent="0.2"/>
    <row r="38106" ht="12.75" x14ac:dyDescent="0.2"/>
    <row r="38107" ht="12.75" x14ac:dyDescent="0.2"/>
    <row r="38108" ht="12.75" x14ac:dyDescent="0.2"/>
    <row r="38109" ht="12.75" x14ac:dyDescent="0.2"/>
    <row r="38110" ht="12.75" x14ac:dyDescent="0.2"/>
    <row r="38111" ht="12.75" x14ac:dyDescent="0.2"/>
    <row r="38112" ht="12.75" x14ac:dyDescent="0.2"/>
    <row r="38113" ht="12.75" x14ac:dyDescent="0.2"/>
    <row r="38114" ht="12.75" x14ac:dyDescent="0.2"/>
    <row r="38115" ht="12.75" x14ac:dyDescent="0.2"/>
    <row r="38116" ht="12.75" x14ac:dyDescent="0.2"/>
    <row r="38117" ht="12.75" x14ac:dyDescent="0.2"/>
    <row r="38118" ht="12.75" x14ac:dyDescent="0.2"/>
    <row r="38119" ht="12.75" x14ac:dyDescent="0.2"/>
    <row r="38120" ht="12.75" x14ac:dyDescent="0.2"/>
    <row r="38121" ht="12.75" x14ac:dyDescent="0.2"/>
    <row r="38122" ht="12.75" x14ac:dyDescent="0.2"/>
    <row r="38123" ht="12.75" x14ac:dyDescent="0.2"/>
    <row r="38124" ht="12.75" x14ac:dyDescent="0.2"/>
    <row r="38125" ht="12.75" x14ac:dyDescent="0.2"/>
    <row r="38126" ht="12.75" x14ac:dyDescent="0.2"/>
    <row r="38127" ht="12.75" x14ac:dyDescent="0.2"/>
    <row r="38128" ht="12.75" x14ac:dyDescent="0.2"/>
    <row r="38129" ht="12.75" x14ac:dyDescent="0.2"/>
    <row r="38130" ht="12.75" x14ac:dyDescent="0.2"/>
    <row r="38131" ht="12.75" x14ac:dyDescent="0.2"/>
    <row r="38132" ht="12.75" x14ac:dyDescent="0.2"/>
    <row r="38133" ht="12.75" x14ac:dyDescent="0.2"/>
    <row r="38134" ht="12.75" x14ac:dyDescent="0.2"/>
    <row r="38135" ht="12.75" x14ac:dyDescent="0.2"/>
    <row r="38136" ht="12.75" x14ac:dyDescent="0.2"/>
    <row r="38137" ht="12.75" x14ac:dyDescent="0.2"/>
    <row r="38138" ht="12.75" x14ac:dyDescent="0.2"/>
    <row r="38139" ht="12.75" x14ac:dyDescent="0.2"/>
    <row r="38140" ht="12.75" x14ac:dyDescent="0.2"/>
    <row r="38141" ht="12.75" x14ac:dyDescent="0.2"/>
    <row r="38142" ht="12.75" x14ac:dyDescent="0.2"/>
    <row r="38143" ht="12.75" x14ac:dyDescent="0.2"/>
    <row r="38144" ht="12.75" x14ac:dyDescent="0.2"/>
    <row r="38145" ht="12.75" x14ac:dyDescent="0.2"/>
    <row r="38146" ht="12.75" x14ac:dyDescent="0.2"/>
    <row r="38147" ht="12.75" x14ac:dyDescent="0.2"/>
    <row r="38148" ht="12.75" x14ac:dyDescent="0.2"/>
    <row r="38149" ht="12.75" x14ac:dyDescent="0.2"/>
    <row r="38150" ht="12.75" x14ac:dyDescent="0.2"/>
    <row r="38151" ht="12.75" x14ac:dyDescent="0.2"/>
    <row r="38152" ht="12.75" x14ac:dyDescent="0.2"/>
    <row r="38153" ht="12.75" x14ac:dyDescent="0.2"/>
    <row r="38154" ht="12.75" x14ac:dyDescent="0.2"/>
    <row r="38155" ht="12.75" x14ac:dyDescent="0.2"/>
    <row r="38156" ht="12.75" x14ac:dyDescent="0.2"/>
    <row r="38157" ht="12.75" x14ac:dyDescent="0.2"/>
    <row r="38158" ht="12.75" x14ac:dyDescent="0.2"/>
    <row r="38159" ht="12.75" x14ac:dyDescent="0.2"/>
    <row r="38160" ht="12.75" x14ac:dyDescent="0.2"/>
    <row r="38161" ht="12.75" x14ac:dyDescent="0.2"/>
    <row r="38162" ht="12.75" x14ac:dyDescent="0.2"/>
    <row r="38163" ht="12.75" x14ac:dyDescent="0.2"/>
    <row r="38164" ht="12.75" x14ac:dyDescent="0.2"/>
    <row r="38165" ht="12.75" x14ac:dyDescent="0.2"/>
    <row r="38166" ht="12.75" x14ac:dyDescent="0.2"/>
    <row r="38167" ht="12.75" x14ac:dyDescent="0.2"/>
    <row r="38168" ht="12.75" x14ac:dyDescent="0.2"/>
    <row r="38169" ht="12.75" x14ac:dyDescent="0.2"/>
    <row r="38170" ht="12.75" x14ac:dyDescent="0.2"/>
    <row r="38171" ht="12.75" x14ac:dyDescent="0.2"/>
    <row r="38172" ht="12.75" x14ac:dyDescent="0.2"/>
    <row r="38173" ht="12.75" x14ac:dyDescent="0.2"/>
    <row r="38174" ht="12.75" x14ac:dyDescent="0.2"/>
    <row r="38175" ht="12.75" x14ac:dyDescent="0.2"/>
    <row r="38176" ht="12.75" x14ac:dyDescent="0.2"/>
    <row r="38177" ht="12.75" x14ac:dyDescent="0.2"/>
    <row r="38178" ht="12.75" x14ac:dyDescent="0.2"/>
    <row r="38179" ht="12.75" x14ac:dyDescent="0.2"/>
    <row r="38180" ht="12.75" x14ac:dyDescent="0.2"/>
    <row r="38181" ht="12.75" x14ac:dyDescent="0.2"/>
    <row r="38182" ht="12.75" x14ac:dyDescent="0.2"/>
    <row r="38183" ht="12.75" x14ac:dyDescent="0.2"/>
    <row r="38184" ht="12.75" x14ac:dyDescent="0.2"/>
    <row r="38185" ht="12.75" x14ac:dyDescent="0.2"/>
    <row r="38186" ht="12.75" x14ac:dyDescent="0.2"/>
    <row r="38187" ht="12.75" x14ac:dyDescent="0.2"/>
    <row r="38188" ht="12.75" x14ac:dyDescent="0.2"/>
    <row r="38189" ht="12.75" x14ac:dyDescent="0.2"/>
    <row r="38190" ht="12.75" x14ac:dyDescent="0.2"/>
    <row r="38191" ht="12.75" x14ac:dyDescent="0.2"/>
    <row r="38192" ht="12.75" x14ac:dyDescent="0.2"/>
    <row r="38193" ht="12.75" x14ac:dyDescent="0.2"/>
    <row r="38194" ht="12.75" x14ac:dyDescent="0.2"/>
    <row r="38195" ht="12.75" x14ac:dyDescent="0.2"/>
    <row r="38196" ht="12.75" x14ac:dyDescent="0.2"/>
    <row r="38197" ht="12.75" x14ac:dyDescent="0.2"/>
    <row r="38198" ht="12.75" x14ac:dyDescent="0.2"/>
    <row r="38199" ht="12.75" x14ac:dyDescent="0.2"/>
    <row r="38200" ht="12.75" x14ac:dyDescent="0.2"/>
    <row r="38201" ht="12.75" x14ac:dyDescent="0.2"/>
    <row r="38202" ht="12.75" x14ac:dyDescent="0.2"/>
    <row r="38203" ht="12.75" x14ac:dyDescent="0.2"/>
    <row r="38204" ht="12.75" x14ac:dyDescent="0.2"/>
    <row r="38205" ht="12.75" x14ac:dyDescent="0.2"/>
    <row r="38206" ht="12.75" x14ac:dyDescent="0.2"/>
    <row r="38207" ht="12.75" x14ac:dyDescent="0.2"/>
    <row r="38208" ht="12.75" x14ac:dyDescent="0.2"/>
    <row r="38209" ht="12.75" x14ac:dyDescent="0.2"/>
    <row r="38210" ht="12.75" x14ac:dyDescent="0.2"/>
    <row r="38211" ht="12.75" x14ac:dyDescent="0.2"/>
    <row r="38212" ht="12.75" x14ac:dyDescent="0.2"/>
    <row r="38213" ht="12.75" x14ac:dyDescent="0.2"/>
    <row r="38214" ht="12.75" x14ac:dyDescent="0.2"/>
    <row r="38215" ht="12.75" x14ac:dyDescent="0.2"/>
    <row r="38216" ht="12.75" x14ac:dyDescent="0.2"/>
    <row r="38217" ht="12.75" x14ac:dyDescent="0.2"/>
    <row r="38218" ht="12.75" x14ac:dyDescent="0.2"/>
    <row r="38219" ht="12.75" x14ac:dyDescent="0.2"/>
    <row r="38220" ht="12.75" x14ac:dyDescent="0.2"/>
    <row r="38221" ht="12.75" x14ac:dyDescent="0.2"/>
    <row r="38222" ht="12.75" x14ac:dyDescent="0.2"/>
    <row r="38223" ht="12.75" x14ac:dyDescent="0.2"/>
    <row r="38224" ht="12.75" x14ac:dyDescent="0.2"/>
    <row r="38225" ht="12.75" x14ac:dyDescent="0.2"/>
    <row r="38226" ht="12.75" x14ac:dyDescent="0.2"/>
    <row r="38227" ht="12.75" x14ac:dyDescent="0.2"/>
    <row r="38228" ht="12.75" x14ac:dyDescent="0.2"/>
    <row r="38229" ht="12.75" x14ac:dyDescent="0.2"/>
    <row r="38230" ht="12.75" x14ac:dyDescent="0.2"/>
    <row r="38231" ht="12.75" x14ac:dyDescent="0.2"/>
    <row r="38232" ht="12.75" x14ac:dyDescent="0.2"/>
    <row r="38233" ht="12.75" x14ac:dyDescent="0.2"/>
    <row r="38234" ht="12.75" x14ac:dyDescent="0.2"/>
    <row r="38235" ht="12.75" x14ac:dyDescent="0.2"/>
    <row r="38236" ht="12.75" x14ac:dyDescent="0.2"/>
    <row r="38237" ht="12.75" x14ac:dyDescent="0.2"/>
    <row r="38238" ht="12.75" x14ac:dyDescent="0.2"/>
    <row r="38239" ht="12.75" x14ac:dyDescent="0.2"/>
    <row r="38240" ht="12.75" x14ac:dyDescent="0.2"/>
    <row r="38241" ht="12.75" x14ac:dyDescent="0.2"/>
    <row r="38242" ht="12.75" x14ac:dyDescent="0.2"/>
    <row r="38243" ht="12.75" x14ac:dyDescent="0.2"/>
    <row r="38244" ht="12.75" x14ac:dyDescent="0.2"/>
    <row r="38245" ht="12.75" x14ac:dyDescent="0.2"/>
    <row r="38246" ht="12.75" x14ac:dyDescent="0.2"/>
    <row r="38247" ht="12.75" x14ac:dyDescent="0.2"/>
    <row r="38248" ht="12.75" x14ac:dyDescent="0.2"/>
    <row r="38249" ht="12.75" x14ac:dyDescent="0.2"/>
    <row r="38250" ht="12.75" x14ac:dyDescent="0.2"/>
    <row r="38251" ht="12.75" x14ac:dyDescent="0.2"/>
    <row r="38252" ht="12.75" x14ac:dyDescent="0.2"/>
    <row r="38253" ht="12.75" x14ac:dyDescent="0.2"/>
    <row r="38254" ht="12.75" x14ac:dyDescent="0.2"/>
    <row r="38255" ht="12.75" x14ac:dyDescent="0.2"/>
    <row r="38256" ht="12.75" x14ac:dyDescent="0.2"/>
    <row r="38257" ht="12.75" x14ac:dyDescent="0.2"/>
    <row r="38258" ht="12.75" x14ac:dyDescent="0.2"/>
    <row r="38259" ht="12.75" x14ac:dyDescent="0.2"/>
    <row r="38260" ht="12.75" x14ac:dyDescent="0.2"/>
    <row r="38261" ht="12.75" x14ac:dyDescent="0.2"/>
    <row r="38262" ht="12.75" x14ac:dyDescent="0.2"/>
    <row r="38263" ht="12.75" x14ac:dyDescent="0.2"/>
    <row r="38264" ht="12.75" x14ac:dyDescent="0.2"/>
    <row r="38265" ht="12.75" x14ac:dyDescent="0.2"/>
    <row r="38266" ht="12.75" x14ac:dyDescent="0.2"/>
    <row r="38267" ht="12.75" x14ac:dyDescent="0.2"/>
    <row r="38268" ht="12.75" x14ac:dyDescent="0.2"/>
    <row r="38269" ht="12.75" x14ac:dyDescent="0.2"/>
    <row r="38270" ht="12.75" x14ac:dyDescent="0.2"/>
    <row r="38271" ht="12.75" x14ac:dyDescent="0.2"/>
    <row r="38272" ht="12.75" x14ac:dyDescent="0.2"/>
    <row r="38273" ht="12.75" x14ac:dyDescent="0.2"/>
    <row r="38274" ht="12.75" x14ac:dyDescent="0.2"/>
    <row r="38275" ht="12.75" x14ac:dyDescent="0.2"/>
    <row r="38276" ht="12.75" x14ac:dyDescent="0.2"/>
    <row r="38277" ht="12.75" x14ac:dyDescent="0.2"/>
    <row r="38278" ht="12.75" x14ac:dyDescent="0.2"/>
    <row r="38279" ht="12.75" x14ac:dyDescent="0.2"/>
    <row r="38280" ht="12.75" x14ac:dyDescent="0.2"/>
    <row r="38281" ht="12.75" x14ac:dyDescent="0.2"/>
    <row r="38282" ht="12.75" x14ac:dyDescent="0.2"/>
    <row r="38283" ht="12.75" x14ac:dyDescent="0.2"/>
    <row r="38284" ht="12.75" x14ac:dyDescent="0.2"/>
    <row r="38285" ht="12.75" x14ac:dyDescent="0.2"/>
    <row r="38286" ht="12.75" x14ac:dyDescent="0.2"/>
    <row r="38287" ht="12.75" x14ac:dyDescent="0.2"/>
    <row r="38288" ht="12.75" x14ac:dyDescent="0.2"/>
    <row r="38289" ht="12.75" x14ac:dyDescent="0.2"/>
    <row r="38290" ht="12.75" x14ac:dyDescent="0.2"/>
    <row r="38291" ht="12.75" x14ac:dyDescent="0.2"/>
    <row r="38292" ht="12.75" x14ac:dyDescent="0.2"/>
    <row r="38293" ht="12.75" x14ac:dyDescent="0.2"/>
    <row r="38294" ht="12.75" x14ac:dyDescent="0.2"/>
    <row r="38295" ht="12.75" x14ac:dyDescent="0.2"/>
    <row r="38296" ht="12.75" x14ac:dyDescent="0.2"/>
    <row r="38297" ht="12.75" x14ac:dyDescent="0.2"/>
    <row r="38298" ht="12.75" x14ac:dyDescent="0.2"/>
    <row r="38299" ht="12.75" x14ac:dyDescent="0.2"/>
    <row r="38300" ht="12.75" x14ac:dyDescent="0.2"/>
    <row r="38301" ht="12.75" x14ac:dyDescent="0.2"/>
    <row r="38302" ht="12.75" x14ac:dyDescent="0.2"/>
    <row r="38303" ht="12.75" x14ac:dyDescent="0.2"/>
    <row r="38304" ht="12.75" x14ac:dyDescent="0.2"/>
    <row r="38305" ht="12.75" x14ac:dyDescent="0.2"/>
    <row r="38306" ht="12.75" x14ac:dyDescent="0.2"/>
    <row r="38307" ht="12.75" x14ac:dyDescent="0.2"/>
    <row r="38308" ht="12.75" x14ac:dyDescent="0.2"/>
    <row r="38309" ht="12.75" x14ac:dyDescent="0.2"/>
    <row r="38310" ht="12.75" x14ac:dyDescent="0.2"/>
    <row r="38311" ht="12.75" x14ac:dyDescent="0.2"/>
    <row r="38312" ht="12.75" x14ac:dyDescent="0.2"/>
    <row r="38313" ht="12.75" x14ac:dyDescent="0.2"/>
    <row r="38314" ht="12.75" x14ac:dyDescent="0.2"/>
    <row r="38315" ht="12.75" x14ac:dyDescent="0.2"/>
    <row r="38316" ht="12.75" x14ac:dyDescent="0.2"/>
    <row r="38317" ht="12.75" x14ac:dyDescent="0.2"/>
    <row r="38318" ht="12.75" x14ac:dyDescent="0.2"/>
    <row r="38319" ht="12.75" x14ac:dyDescent="0.2"/>
    <row r="38320" ht="12.75" x14ac:dyDescent="0.2"/>
    <row r="38321" ht="12.75" x14ac:dyDescent="0.2"/>
    <row r="38322" ht="12.75" x14ac:dyDescent="0.2"/>
    <row r="38323" ht="12.75" x14ac:dyDescent="0.2"/>
    <row r="38324" ht="12.75" x14ac:dyDescent="0.2"/>
    <row r="38325" ht="12.75" x14ac:dyDescent="0.2"/>
    <row r="38326" ht="12.75" x14ac:dyDescent="0.2"/>
    <row r="38327" ht="12.75" x14ac:dyDescent="0.2"/>
    <row r="38328" ht="12.75" x14ac:dyDescent="0.2"/>
    <row r="38329" ht="12.75" x14ac:dyDescent="0.2"/>
    <row r="38330" ht="12.75" x14ac:dyDescent="0.2"/>
    <row r="38331" ht="12.75" x14ac:dyDescent="0.2"/>
    <row r="38332" ht="12.75" x14ac:dyDescent="0.2"/>
    <row r="38333" ht="12.75" x14ac:dyDescent="0.2"/>
    <row r="38334" ht="12.75" x14ac:dyDescent="0.2"/>
    <row r="38335" ht="12.75" x14ac:dyDescent="0.2"/>
    <row r="38336" ht="12.75" x14ac:dyDescent="0.2"/>
    <row r="38337" ht="12.75" x14ac:dyDescent="0.2"/>
    <row r="38338" ht="12.75" x14ac:dyDescent="0.2"/>
    <row r="38339" ht="12.75" x14ac:dyDescent="0.2"/>
    <row r="38340" ht="12.75" x14ac:dyDescent="0.2"/>
    <row r="38341" ht="12.75" x14ac:dyDescent="0.2"/>
    <row r="38342" ht="12.75" x14ac:dyDescent="0.2"/>
    <row r="38343" ht="12.75" x14ac:dyDescent="0.2"/>
    <row r="38344" ht="12.75" x14ac:dyDescent="0.2"/>
    <row r="38345" ht="12.75" x14ac:dyDescent="0.2"/>
    <row r="38346" ht="12.75" x14ac:dyDescent="0.2"/>
    <row r="38347" ht="12.75" x14ac:dyDescent="0.2"/>
    <row r="38348" ht="12.75" x14ac:dyDescent="0.2"/>
    <row r="38349" ht="12.75" x14ac:dyDescent="0.2"/>
    <row r="38350" ht="12.75" x14ac:dyDescent="0.2"/>
    <row r="38351" ht="12.75" x14ac:dyDescent="0.2"/>
    <row r="38352" ht="12.75" x14ac:dyDescent="0.2"/>
    <row r="38353" ht="12.75" x14ac:dyDescent="0.2"/>
    <row r="38354" ht="12.75" x14ac:dyDescent="0.2"/>
    <row r="38355" ht="12.75" x14ac:dyDescent="0.2"/>
    <row r="38356" ht="12.75" x14ac:dyDescent="0.2"/>
    <row r="38357" ht="12.75" x14ac:dyDescent="0.2"/>
    <row r="38358" ht="12.75" x14ac:dyDescent="0.2"/>
    <row r="38359" ht="12.75" x14ac:dyDescent="0.2"/>
    <row r="38360" ht="12.75" x14ac:dyDescent="0.2"/>
    <row r="38361" ht="12.75" x14ac:dyDescent="0.2"/>
    <row r="38362" ht="12.75" x14ac:dyDescent="0.2"/>
    <row r="38363" ht="12.75" x14ac:dyDescent="0.2"/>
    <row r="38364" ht="12.75" x14ac:dyDescent="0.2"/>
    <row r="38365" ht="12.75" x14ac:dyDescent="0.2"/>
    <row r="38366" ht="12.75" x14ac:dyDescent="0.2"/>
    <row r="38367" ht="12.75" x14ac:dyDescent="0.2"/>
    <row r="38368" ht="12.75" x14ac:dyDescent="0.2"/>
    <row r="38369" ht="12.75" x14ac:dyDescent="0.2"/>
    <row r="38370" ht="12.75" x14ac:dyDescent="0.2"/>
    <row r="38371" ht="12.75" x14ac:dyDescent="0.2"/>
    <row r="38372" ht="12.75" x14ac:dyDescent="0.2"/>
    <row r="38373" ht="12.75" x14ac:dyDescent="0.2"/>
    <row r="38374" ht="12.75" x14ac:dyDescent="0.2"/>
    <row r="38375" ht="12.75" x14ac:dyDescent="0.2"/>
    <row r="38376" ht="12.75" x14ac:dyDescent="0.2"/>
    <row r="38377" ht="12.75" x14ac:dyDescent="0.2"/>
    <row r="38378" ht="12.75" x14ac:dyDescent="0.2"/>
    <row r="38379" ht="12.75" x14ac:dyDescent="0.2"/>
    <row r="38380" ht="12.75" x14ac:dyDescent="0.2"/>
    <row r="38381" ht="12.75" x14ac:dyDescent="0.2"/>
    <row r="38382" ht="12.75" x14ac:dyDescent="0.2"/>
    <row r="38383" ht="12.75" x14ac:dyDescent="0.2"/>
    <row r="38384" ht="12.75" x14ac:dyDescent="0.2"/>
    <row r="38385" ht="12.75" x14ac:dyDescent="0.2"/>
    <row r="38386" ht="12.75" x14ac:dyDescent="0.2"/>
    <row r="38387" ht="12.75" x14ac:dyDescent="0.2"/>
    <row r="38388" ht="12.75" x14ac:dyDescent="0.2"/>
    <row r="38389" ht="12.75" x14ac:dyDescent="0.2"/>
    <row r="38390" ht="12.75" x14ac:dyDescent="0.2"/>
    <row r="38391" ht="12.75" x14ac:dyDescent="0.2"/>
    <row r="38392" ht="12.75" x14ac:dyDescent="0.2"/>
    <row r="38393" ht="12.75" x14ac:dyDescent="0.2"/>
    <row r="38394" ht="12.75" x14ac:dyDescent="0.2"/>
    <row r="38395" ht="12.75" x14ac:dyDescent="0.2"/>
    <row r="38396" ht="12.75" x14ac:dyDescent="0.2"/>
    <row r="38397" ht="12.75" x14ac:dyDescent="0.2"/>
    <row r="38398" ht="12.75" x14ac:dyDescent="0.2"/>
    <row r="38399" ht="12.75" x14ac:dyDescent="0.2"/>
    <row r="38400" ht="12.75" x14ac:dyDescent="0.2"/>
    <row r="38401" ht="12.75" x14ac:dyDescent="0.2"/>
    <row r="38402" ht="12.75" x14ac:dyDescent="0.2"/>
    <row r="38403" ht="12.75" x14ac:dyDescent="0.2"/>
    <row r="38404" ht="12.75" x14ac:dyDescent="0.2"/>
    <row r="38405" ht="12.75" x14ac:dyDescent="0.2"/>
    <row r="38406" ht="12.75" x14ac:dyDescent="0.2"/>
    <row r="38407" ht="12.75" x14ac:dyDescent="0.2"/>
    <row r="38408" ht="12.75" x14ac:dyDescent="0.2"/>
    <row r="38409" ht="12.75" x14ac:dyDescent="0.2"/>
    <row r="38410" ht="12.75" x14ac:dyDescent="0.2"/>
    <row r="38411" ht="12.75" x14ac:dyDescent="0.2"/>
    <row r="38412" ht="12.75" x14ac:dyDescent="0.2"/>
    <row r="38413" ht="12.75" x14ac:dyDescent="0.2"/>
    <row r="38414" ht="12.75" x14ac:dyDescent="0.2"/>
    <row r="38415" ht="12.75" x14ac:dyDescent="0.2"/>
    <row r="38416" ht="12.75" x14ac:dyDescent="0.2"/>
    <row r="38417" ht="12.75" x14ac:dyDescent="0.2"/>
    <row r="38418" ht="12.75" x14ac:dyDescent="0.2"/>
    <row r="38419" ht="12.75" x14ac:dyDescent="0.2"/>
    <row r="38420" ht="12.75" x14ac:dyDescent="0.2"/>
    <row r="38421" ht="12.75" x14ac:dyDescent="0.2"/>
    <row r="38422" ht="12.75" x14ac:dyDescent="0.2"/>
    <row r="38423" ht="12.75" x14ac:dyDescent="0.2"/>
    <row r="38424" ht="12.75" x14ac:dyDescent="0.2"/>
    <row r="38425" ht="12.75" x14ac:dyDescent="0.2"/>
    <row r="38426" ht="12.75" x14ac:dyDescent="0.2"/>
    <row r="38427" ht="12.75" x14ac:dyDescent="0.2"/>
    <row r="38428" ht="12.75" x14ac:dyDescent="0.2"/>
    <row r="38429" ht="12.75" x14ac:dyDescent="0.2"/>
    <row r="38430" ht="12.75" x14ac:dyDescent="0.2"/>
    <row r="38431" ht="12.75" x14ac:dyDescent="0.2"/>
    <row r="38432" ht="12.75" x14ac:dyDescent="0.2"/>
    <row r="38433" ht="12.75" x14ac:dyDescent="0.2"/>
    <row r="38434" ht="12.75" x14ac:dyDescent="0.2"/>
    <row r="38435" ht="12.75" x14ac:dyDescent="0.2"/>
    <row r="38436" ht="12.75" x14ac:dyDescent="0.2"/>
    <row r="38437" ht="12.75" x14ac:dyDescent="0.2"/>
    <row r="38438" ht="12.75" x14ac:dyDescent="0.2"/>
    <row r="38439" ht="12.75" x14ac:dyDescent="0.2"/>
    <row r="38440" ht="12.75" x14ac:dyDescent="0.2"/>
    <row r="38441" ht="12.75" x14ac:dyDescent="0.2"/>
    <row r="38442" ht="12.75" x14ac:dyDescent="0.2"/>
    <row r="38443" ht="12.75" x14ac:dyDescent="0.2"/>
    <row r="38444" ht="12.75" x14ac:dyDescent="0.2"/>
    <row r="38445" ht="12.75" x14ac:dyDescent="0.2"/>
    <row r="38446" ht="12.75" x14ac:dyDescent="0.2"/>
    <row r="38447" ht="12.75" x14ac:dyDescent="0.2"/>
    <row r="38448" ht="12.75" x14ac:dyDescent="0.2"/>
    <row r="38449" ht="12.75" x14ac:dyDescent="0.2"/>
    <row r="38450" ht="12.75" x14ac:dyDescent="0.2"/>
    <row r="38451" ht="12.75" x14ac:dyDescent="0.2"/>
    <row r="38452" ht="12.75" x14ac:dyDescent="0.2"/>
    <row r="38453" ht="12.75" x14ac:dyDescent="0.2"/>
    <row r="38454" ht="12.75" x14ac:dyDescent="0.2"/>
    <row r="38455" ht="12.75" x14ac:dyDescent="0.2"/>
    <row r="38456" ht="12.75" x14ac:dyDescent="0.2"/>
    <row r="38457" ht="12.75" x14ac:dyDescent="0.2"/>
    <row r="38458" ht="12.75" x14ac:dyDescent="0.2"/>
    <row r="38459" ht="12.75" x14ac:dyDescent="0.2"/>
    <row r="38460" ht="12.75" x14ac:dyDescent="0.2"/>
    <row r="38461" ht="12.75" x14ac:dyDescent="0.2"/>
    <row r="38462" ht="12.75" x14ac:dyDescent="0.2"/>
    <row r="38463" ht="12.75" x14ac:dyDescent="0.2"/>
    <row r="38464" ht="12.75" x14ac:dyDescent="0.2"/>
    <row r="38465" ht="12.75" x14ac:dyDescent="0.2"/>
    <row r="38466" ht="12.75" x14ac:dyDescent="0.2"/>
    <row r="38467" ht="12.75" x14ac:dyDescent="0.2"/>
    <row r="38468" ht="12.75" x14ac:dyDescent="0.2"/>
    <row r="38469" ht="12.75" x14ac:dyDescent="0.2"/>
    <row r="38470" ht="12.75" x14ac:dyDescent="0.2"/>
    <row r="38471" ht="12.75" x14ac:dyDescent="0.2"/>
    <row r="38472" ht="12.75" x14ac:dyDescent="0.2"/>
    <row r="38473" ht="12.75" x14ac:dyDescent="0.2"/>
    <row r="38474" ht="12.75" x14ac:dyDescent="0.2"/>
    <row r="38475" ht="12.75" x14ac:dyDescent="0.2"/>
    <row r="38476" ht="12.75" x14ac:dyDescent="0.2"/>
    <row r="38477" ht="12.75" x14ac:dyDescent="0.2"/>
    <row r="38478" ht="12.75" x14ac:dyDescent="0.2"/>
    <row r="38479" ht="12.75" x14ac:dyDescent="0.2"/>
    <row r="38480" ht="12.75" x14ac:dyDescent="0.2"/>
    <row r="38481" ht="12.75" x14ac:dyDescent="0.2"/>
    <row r="38482" ht="12.75" x14ac:dyDescent="0.2"/>
    <row r="38483" ht="12.75" x14ac:dyDescent="0.2"/>
    <row r="38484" ht="12.75" x14ac:dyDescent="0.2"/>
    <row r="38485" ht="12.75" x14ac:dyDescent="0.2"/>
    <row r="38486" ht="12.75" x14ac:dyDescent="0.2"/>
    <row r="38487" ht="12.75" x14ac:dyDescent="0.2"/>
    <row r="38488" ht="12.75" x14ac:dyDescent="0.2"/>
    <row r="38489" ht="12.75" x14ac:dyDescent="0.2"/>
    <row r="38490" ht="12.75" x14ac:dyDescent="0.2"/>
    <row r="38491" ht="12.75" x14ac:dyDescent="0.2"/>
    <row r="38492" ht="12.75" x14ac:dyDescent="0.2"/>
    <row r="38493" ht="12.75" x14ac:dyDescent="0.2"/>
    <row r="38494" ht="12.75" x14ac:dyDescent="0.2"/>
    <row r="38495" ht="12.75" x14ac:dyDescent="0.2"/>
    <row r="38496" ht="12.75" x14ac:dyDescent="0.2"/>
    <row r="38497" ht="12.75" x14ac:dyDescent="0.2"/>
    <row r="38498" ht="12.75" x14ac:dyDescent="0.2"/>
    <row r="38499" ht="12.75" x14ac:dyDescent="0.2"/>
    <row r="38500" ht="12.75" x14ac:dyDescent="0.2"/>
    <row r="38501" ht="12.75" x14ac:dyDescent="0.2"/>
    <row r="38502" ht="12.75" x14ac:dyDescent="0.2"/>
    <row r="38503" ht="12.75" x14ac:dyDescent="0.2"/>
    <row r="38504" ht="12.75" x14ac:dyDescent="0.2"/>
    <row r="38505" ht="12.75" x14ac:dyDescent="0.2"/>
    <row r="38506" ht="12.75" x14ac:dyDescent="0.2"/>
    <row r="38507" ht="12.75" x14ac:dyDescent="0.2"/>
    <row r="38508" ht="12.75" x14ac:dyDescent="0.2"/>
    <row r="38509" ht="12.75" x14ac:dyDescent="0.2"/>
    <row r="38510" ht="12.75" x14ac:dyDescent="0.2"/>
    <row r="38511" ht="12.75" x14ac:dyDescent="0.2"/>
    <row r="38512" ht="12.75" x14ac:dyDescent="0.2"/>
    <row r="38513" ht="12.75" x14ac:dyDescent="0.2"/>
    <row r="38514" ht="12.75" x14ac:dyDescent="0.2"/>
    <row r="38515" ht="12.75" x14ac:dyDescent="0.2"/>
    <row r="38516" ht="12.75" x14ac:dyDescent="0.2"/>
    <row r="38517" ht="12.75" x14ac:dyDescent="0.2"/>
    <row r="38518" ht="12.75" x14ac:dyDescent="0.2"/>
    <row r="38519" ht="12.75" x14ac:dyDescent="0.2"/>
    <row r="38520" ht="12.75" x14ac:dyDescent="0.2"/>
    <row r="38521" ht="12.75" x14ac:dyDescent="0.2"/>
    <row r="38522" ht="12.75" x14ac:dyDescent="0.2"/>
    <row r="38523" ht="12.75" x14ac:dyDescent="0.2"/>
    <row r="38524" ht="12.75" x14ac:dyDescent="0.2"/>
    <row r="38525" ht="12.75" x14ac:dyDescent="0.2"/>
    <row r="38526" ht="12.75" x14ac:dyDescent="0.2"/>
    <row r="38527" ht="12.75" x14ac:dyDescent="0.2"/>
    <row r="38528" ht="12.75" x14ac:dyDescent="0.2"/>
    <row r="38529" ht="12.75" x14ac:dyDescent="0.2"/>
    <row r="38530" ht="12.75" x14ac:dyDescent="0.2"/>
    <row r="38531" ht="12.75" x14ac:dyDescent="0.2"/>
    <row r="38532" ht="12.75" x14ac:dyDescent="0.2"/>
    <row r="38533" ht="12.75" x14ac:dyDescent="0.2"/>
    <row r="38534" ht="12.75" x14ac:dyDescent="0.2"/>
    <row r="38535" ht="12.75" x14ac:dyDescent="0.2"/>
    <row r="38536" ht="12.75" x14ac:dyDescent="0.2"/>
    <row r="38537" ht="12.75" x14ac:dyDescent="0.2"/>
    <row r="38538" ht="12.75" x14ac:dyDescent="0.2"/>
    <row r="38539" ht="12.75" x14ac:dyDescent="0.2"/>
    <row r="38540" ht="12.75" x14ac:dyDescent="0.2"/>
    <row r="38541" ht="12.75" x14ac:dyDescent="0.2"/>
    <row r="38542" ht="12.75" x14ac:dyDescent="0.2"/>
    <row r="38543" ht="12.75" x14ac:dyDescent="0.2"/>
    <row r="38544" ht="12.75" x14ac:dyDescent="0.2"/>
    <row r="38545" ht="12.75" x14ac:dyDescent="0.2"/>
    <row r="38546" ht="12.75" x14ac:dyDescent="0.2"/>
    <row r="38547" ht="12.75" x14ac:dyDescent="0.2"/>
    <row r="38548" ht="12.75" x14ac:dyDescent="0.2"/>
    <row r="38549" ht="12.75" x14ac:dyDescent="0.2"/>
    <row r="38550" ht="12.75" x14ac:dyDescent="0.2"/>
    <row r="38551" ht="12.75" x14ac:dyDescent="0.2"/>
    <row r="38552" ht="12.75" x14ac:dyDescent="0.2"/>
    <row r="38553" ht="12.75" x14ac:dyDescent="0.2"/>
    <row r="38554" ht="12.75" x14ac:dyDescent="0.2"/>
    <row r="38555" ht="12.75" x14ac:dyDescent="0.2"/>
    <row r="38556" ht="12.75" x14ac:dyDescent="0.2"/>
    <row r="38557" ht="12.75" x14ac:dyDescent="0.2"/>
    <row r="38558" ht="12.75" x14ac:dyDescent="0.2"/>
    <row r="38559" ht="12.75" x14ac:dyDescent="0.2"/>
    <row r="38560" ht="12.75" x14ac:dyDescent="0.2"/>
    <row r="38561" ht="12.75" x14ac:dyDescent="0.2"/>
    <row r="38562" ht="12.75" x14ac:dyDescent="0.2"/>
    <row r="38563" ht="12.75" x14ac:dyDescent="0.2"/>
    <row r="38564" ht="12.75" x14ac:dyDescent="0.2"/>
    <row r="38565" ht="12.75" x14ac:dyDescent="0.2"/>
    <row r="38566" ht="12.75" x14ac:dyDescent="0.2"/>
    <row r="38567" ht="12.75" x14ac:dyDescent="0.2"/>
    <row r="38568" ht="12.75" x14ac:dyDescent="0.2"/>
    <row r="38569" ht="12.75" x14ac:dyDescent="0.2"/>
    <row r="38570" ht="12.75" x14ac:dyDescent="0.2"/>
    <row r="38571" ht="12.75" x14ac:dyDescent="0.2"/>
    <row r="38572" ht="12.75" x14ac:dyDescent="0.2"/>
    <row r="38573" ht="12.75" x14ac:dyDescent="0.2"/>
    <row r="38574" ht="12.75" x14ac:dyDescent="0.2"/>
    <row r="38575" ht="12.75" x14ac:dyDescent="0.2"/>
    <row r="38576" ht="12.75" x14ac:dyDescent="0.2"/>
    <row r="38577" ht="12.75" x14ac:dyDescent="0.2"/>
    <row r="38578" ht="12.75" x14ac:dyDescent="0.2"/>
    <row r="38579" ht="12.75" x14ac:dyDescent="0.2"/>
    <row r="38580" ht="12.75" x14ac:dyDescent="0.2"/>
    <row r="38581" ht="12.75" x14ac:dyDescent="0.2"/>
    <row r="38582" ht="12.75" x14ac:dyDescent="0.2"/>
    <row r="38583" ht="12.75" x14ac:dyDescent="0.2"/>
    <row r="38584" ht="12.75" x14ac:dyDescent="0.2"/>
    <row r="38585" ht="12.75" x14ac:dyDescent="0.2"/>
    <row r="38586" ht="12.75" x14ac:dyDescent="0.2"/>
    <row r="38587" ht="12.75" x14ac:dyDescent="0.2"/>
    <row r="38588" ht="12.75" x14ac:dyDescent="0.2"/>
    <row r="38589" ht="12.75" x14ac:dyDescent="0.2"/>
    <row r="38590" ht="12.75" x14ac:dyDescent="0.2"/>
    <row r="38591" ht="12.75" x14ac:dyDescent="0.2"/>
    <row r="38592" ht="12.75" x14ac:dyDescent="0.2"/>
    <row r="38593" ht="12.75" x14ac:dyDescent="0.2"/>
    <row r="38594" ht="12.75" x14ac:dyDescent="0.2"/>
    <row r="38595" ht="12.75" x14ac:dyDescent="0.2"/>
    <row r="38596" ht="12.75" x14ac:dyDescent="0.2"/>
    <row r="38597" ht="12.75" x14ac:dyDescent="0.2"/>
    <row r="38598" ht="12.75" x14ac:dyDescent="0.2"/>
    <row r="38599" ht="12.75" x14ac:dyDescent="0.2"/>
    <row r="38600" ht="12.75" x14ac:dyDescent="0.2"/>
    <row r="38601" ht="12.75" x14ac:dyDescent="0.2"/>
    <row r="38602" ht="12.75" x14ac:dyDescent="0.2"/>
    <row r="38603" ht="12.75" x14ac:dyDescent="0.2"/>
    <row r="38604" ht="12.75" x14ac:dyDescent="0.2"/>
    <row r="38605" ht="12.75" x14ac:dyDescent="0.2"/>
    <row r="38606" ht="12.75" x14ac:dyDescent="0.2"/>
    <row r="38607" ht="12.75" x14ac:dyDescent="0.2"/>
    <row r="38608" ht="12.75" x14ac:dyDescent="0.2"/>
    <row r="38609" ht="12.75" x14ac:dyDescent="0.2"/>
    <row r="38610" ht="12.75" x14ac:dyDescent="0.2"/>
    <row r="38611" ht="12.75" x14ac:dyDescent="0.2"/>
    <row r="38612" ht="12.75" x14ac:dyDescent="0.2"/>
    <row r="38613" ht="12.75" x14ac:dyDescent="0.2"/>
    <row r="38614" ht="12.75" x14ac:dyDescent="0.2"/>
    <row r="38615" ht="12.75" x14ac:dyDescent="0.2"/>
    <row r="38616" ht="12.75" x14ac:dyDescent="0.2"/>
    <row r="38617" ht="12.75" x14ac:dyDescent="0.2"/>
    <row r="38618" ht="12.75" x14ac:dyDescent="0.2"/>
    <row r="38619" ht="12.75" x14ac:dyDescent="0.2"/>
    <row r="38620" ht="12.75" x14ac:dyDescent="0.2"/>
    <row r="38621" ht="12.75" x14ac:dyDescent="0.2"/>
    <row r="38622" ht="12.75" x14ac:dyDescent="0.2"/>
    <row r="38623" ht="12.75" x14ac:dyDescent="0.2"/>
    <row r="38624" ht="12.75" x14ac:dyDescent="0.2"/>
    <row r="38625" ht="12.75" x14ac:dyDescent="0.2"/>
    <row r="38626" ht="12.75" x14ac:dyDescent="0.2"/>
    <row r="38627" ht="12.75" x14ac:dyDescent="0.2"/>
    <row r="38628" ht="12.75" x14ac:dyDescent="0.2"/>
    <row r="38629" ht="12.75" x14ac:dyDescent="0.2"/>
    <row r="38630" ht="12.75" x14ac:dyDescent="0.2"/>
    <row r="38631" ht="12.75" x14ac:dyDescent="0.2"/>
    <row r="38632" ht="12.75" x14ac:dyDescent="0.2"/>
    <row r="38633" ht="12.75" x14ac:dyDescent="0.2"/>
    <row r="38634" ht="12.75" x14ac:dyDescent="0.2"/>
    <row r="38635" ht="12.75" x14ac:dyDescent="0.2"/>
    <row r="38636" ht="12.75" x14ac:dyDescent="0.2"/>
    <row r="38637" ht="12.75" x14ac:dyDescent="0.2"/>
    <row r="38638" ht="12.75" x14ac:dyDescent="0.2"/>
    <row r="38639" ht="12.75" x14ac:dyDescent="0.2"/>
    <row r="38640" ht="12.75" x14ac:dyDescent="0.2"/>
    <row r="38641" ht="12.75" x14ac:dyDescent="0.2"/>
    <row r="38642" ht="12.75" x14ac:dyDescent="0.2"/>
    <row r="38643" ht="12.75" x14ac:dyDescent="0.2"/>
    <row r="38644" ht="12.75" x14ac:dyDescent="0.2"/>
    <row r="38645" ht="12.75" x14ac:dyDescent="0.2"/>
    <row r="38646" ht="12.75" x14ac:dyDescent="0.2"/>
    <row r="38647" ht="12.75" x14ac:dyDescent="0.2"/>
    <row r="38648" ht="12.75" x14ac:dyDescent="0.2"/>
    <row r="38649" ht="12.75" x14ac:dyDescent="0.2"/>
    <row r="38650" ht="12.75" x14ac:dyDescent="0.2"/>
    <row r="38651" ht="12.75" x14ac:dyDescent="0.2"/>
    <row r="38652" ht="12.75" x14ac:dyDescent="0.2"/>
    <row r="38653" ht="12.75" x14ac:dyDescent="0.2"/>
    <row r="38654" ht="12.75" x14ac:dyDescent="0.2"/>
    <row r="38655" ht="12.75" x14ac:dyDescent="0.2"/>
    <row r="38656" ht="12.75" x14ac:dyDescent="0.2"/>
    <row r="38657" ht="12.75" x14ac:dyDescent="0.2"/>
    <row r="38658" ht="12.75" x14ac:dyDescent="0.2"/>
    <row r="38659" ht="12.75" x14ac:dyDescent="0.2"/>
    <row r="38660" ht="12.75" x14ac:dyDescent="0.2"/>
    <row r="38661" ht="12.75" x14ac:dyDescent="0.2"/>
    <row r="38662" ht="12.75" x14ac:dyDescent="0.2"/>
    <row r="38663" ht="12.75" x14ac:dyDescent="0.2"/>
    <row r="38664" ht="12.75" x14ac:dyDescent="0.2"/>
    <row r="38665" ht="12.75" x14ac:dyDescent="0.2"/>
    <row r="38666" ht="12.75" x14ac:dyDescent="0.2"/>
    <row r="38667" ht="12.75" x14ac:dyDescent="0.2"/>
    <row r="38668" ht="12.75" x14ac:dyDescent="0.2"/>
    <row r="38669" ht="12.75" x14ac:dyDescent="0.2"/>
    <row r="38670" ht="12.75" x14ac:dyDescent="0.2"/>
    <row r="38671" ht="12.75" x14ac:dyDescent="0.2"/>
    <row r="38672" ht="12.75" x14ac:dyDescent="0.2"/>
    <row r="38673" ht="12.75" x14ac:dyDescent="0.2"/>
    <row r="38674" ht="12.75" x14ac:dyDescent="0.2"/>
    <row r="38675" ht="12.75" x14ac:dyDescent="0.2"/>
    <row r="38676" ht="12.75" x14ac:dyDescent="0.2"/>
    <row r="38677" ht="12.75" x14ac:dyDescent="0.2"/>
    <row r="38678" ht="12.75" x14ac:dyDescent="0.2"/>
    <row r="38679" ht="12.75" x14ac:dyDescent="0.2"/>
    <row r="38680" ht="12.75" x14ac:dyDescent="0.2"/>
    <row r="38681" ht="12.75" x14ac:dyDescent="0.2"/>
    <row r="38682" ht="12.75" x14ac:dyDescent="0.2"/>
    <row r="38683" ht="12.75" x14ac:dyDescent="0.2"/>
    <row r="38684" ht="12.75" x14ac:dyDescent="0.2"/>
    <row r="38685" ht="12.75" x14ac:dyDescent="0.2"/>
    <row r="38686" ht="12.75" x14ac:dyDescent="0.2"/>
    <row r="38687" ht="12.75" x14ac:dyDescent="0.2"/>
    <row r="38688" ht="12.75" x14ac:dyDescent="0.2"/>
    <row r="38689" ht="12.75" x14ac:dyDescent="0.2"/>
    <row r="38690" ht="12.75" x14ac:dyDescent="0.2"/>
    <row r="38691" ht="12.75" x14ac:dyDescent="0.2"/>
    <row r="38692" ht="12.75" x14ac:dyDescent="0.2"/>
    <row r="38693" ht="12.75" x14ac:dyDescent="0.2"/>
    <row r="38694" ht="12.75" x14ac:dyDescent="0.2"/>
    <row r="38695" ht="12.75" x14ac:dyDescent="0.2"/>
    <row r="38696" ht="12.75" x14ac:dyDescent="0.2"/>
    <row r="38697" ht="12.75" x14ac:dyDescent="0.2"/>
    <row r="38698" ht="12.75" x14ac:dyDescent="0.2"/>
    <row r="38699" ht="12.75" x14ac:dyDescent="0.2"/>
    <row r="38700" ht="12.75" x14ac:dyDescent="0.2"/>
    <row r="38701" ht="12.75" x14ac:dyDescent="0.2"/>
    <row r="38702" ht="12.75" x14ac:dyDescent="0.2"/>
    <row r="38703" ht="12.75" x14ac:dyDescent="0.2"/>
    <row r="38704" ht="12.75" x14ac:dyDescent="0.2"/>
    <row r="38705" ht="12.75" x14ac:dyDescent="0.2"/>
    <row r="38706" ht="12.75" x14ac:dyDescent="0.2"/>
    <row r="38707" ht="12.75" x14ac:dyDescent="0.2"/>
    <row r="38708" ht="12.75" x14ac:dyDescent="0.2"/>
    <row r="38709" ht="12.75" x14ac:dyDescent="0.2"/>
    <row r="38710" ht="12.75" x14ac:dyDescent="0.2"/>
    <row r="38711" ht="12.75" x14ac:dyDescent="0.2"/>
    <row r="38712" ht="12.75" x14ac:dyDescent="0.2"/>
    <row r="38713" ht="12.75" x14ac:dyDescent="0.2"/>
    <row r="38714" ht="12.75" x14ac:dyDescent="0.2"/>
    <row r="38715" ht="12.75" x14ac:dyDescent="0.2"/>
    <row r="38716" ht="12.75" x14ac:dyDescent="0.2"/>
    <row r="38717" ht="12.75" x14ac:dyDescent="0.2"/>
    <row r="38718" ht="12.75" x14ac:dyDescent="0.2"/>
    <row r="38719" ht="12.75" x14ac:dyDescent="0.2"/>
    <row r="38720" ht="12.75" x14ac:dyDescent="0.2"/>
    <row r="38721" ht="12.75" x14ac:dyDescent="0.2"/>
    <row r="38722" ht="12.75" x14ac:dyDescent="0.2"/>
    <row r="38723" ht="12.75" x14ac:dyDescent="0.2"/>
    <row r="38724" ht="12.75" x14ac:dyDescent="0.2"/>
    <row r="38725" ht="12.75" x14ac:dyDescent="0.2"/>
    <row r="38726" ht="12.75" x14ac:dyDescent="0.2"/>
    <row r="38727" ht="12.75" x14ac:dyDescent="0.2"/>
    <row r="38728" ht="12.75" x14ac:dyDescent="0.2"/>
    <row r="38729" ht="12.75" x14ac:dyDescent="0.2"/>
    <row r="38730" ht="12.75" x14ac:dyDescent="0.2"/>
    <row r="38731" ht="12.75" x14ac:dyDescent="0.2"/>
    <row r="38732" ht="12.75" x14ac:dyDescent="0.2"/>
    <row r="38733" ht="12.75" x14ac:dyDescent="0.2"/>
    <row r="38734" ht="12.75" x14ac:dyDescent="0.2"/>
    <row r="38735" ht="12.75" x14ac:dyDescent="0.2"/>
    <row r="38736" ht="12.75" x14ac:dyDescent="0.2"/>
    <row r="38737" ht="12.75" x14ac:dyDescent="0.2"/>
    <row r="38738" ht="12.75" x14ac:dyDescent="0.2"/>
    <row r="38739" ht="12.75" x14ac:dyDescent="0.2"/>
    <row r="38740" ht="12.75" x14ac:dyDescent="0.2"/>
    <row r="38741" ht="12.75" x14ac:dyDescent="0.2"/>
    <row r="38742" ht="12.75" x14ac:dyDescent="0.2"/>
    <row r="38743" ht="12.75" x14ac:dyDescent="0.2"/>
    <row r="38744" ht="12.75" x14ac:dyDescent="0.2"/>
    <row r="38745" ht="12.75" x14ac:dyDescent="0.2"/>
    <row r="38746" ht="12.75" x14ac:dyDescent="0.2"/>
    <row r="38747" ht="12.75" x14ac:dyDescent="0.2"/>
    <row r="38748" ht="12.75" x14ac:dyDescent="0.2"/>
    <row r="38749" ht="12.75" x14ac:dyDescent="0.2"/>
    <row r="38750" ht="12.75" x14ac:dyDescent="0.2"/>
    <row r="38751" ht="12.75" x14ac:dyDescent="0.2"/>
    <row r="38752" ht="12.75" x14ac:dyDescent="0.2"/>
    <row r="38753" ht="12.75" x14ac:dyDescent="0.2"/>
    <row r="38754" ht="12.75" x14ac:dyDescent="0.2"/>
    <row r="38755" ht="12.75" x14ac:dyDescent="0.2"/>
    <row r="38756" ht="12.75" x14ac:dyDescent="0.2"/>
    <row r="38757" ht="12.75" x14ac:dyDescent="0.2"/>
    <row r="38758" ht="12.75" x14ac:dyDescent="0.2"/>
    <row r="38759" ht="12.75" x14ac:dyDescent="0.2"/>
    <row r="38760" ht="12.75" x14ac:dyDescent="0.2"/>
    <row r="38761" ht="12.75" x14ac:dyDescent="0.2"/>
    <row r="38762" ht="12.75" x14ac:dyDescent="0.2"/>
    <row r="38763" ht="12.75" x14ac:dyDescent="0.2"/>
    <row r="38764" ht="12.75" x14ac:dyDescent="0.2"/>
    <row r="38765" ht="12.75" x14ac:dyDescent="0.2"/>
    <row r="38766" ht="12.75" x14ac:dyDescent="0.2"/>
    <row r="38767" ht="12.75" x14ac:dyDescent="0.2"/>
    <row r="38768" ht="12.75" x14ac:dyDescent="0.2"/>
    <row r="38769" ht="12.75" x14ac:dyDescent="0.2"/>
    <row r="38770" ht="12.75" x14ac:dyDescent="0.2"/>
    <row r="38771" ht="12.75" x14ac:dyDescent="0.2"/>
    <row r="38772" ht="12.75" x14ac:dyDescent="0.2"/>
    <row r="38773" ht="12.75" x14ac:dyDescent="0.2"/>
    <row r="38774" ht="12.75" x14ac:dyDescent="0.2"/>
    <row r="38775" ht="12.75" x14ac:dyDescent="0.2"/>
    <row r="38776" ht="12.75" x14ac:dyDescent="0.2"/>
    <row r="38777" ht="12.75" x14ac:dyDescent="0.2"/>
    <row r="38778" ht="12.75" x14ac:dyDescent="0.2"/>
    <row r="38779" ht="12.75" x14ac:dyDescent="0.2"/>
    <row r="38780" ht="12.75" x14ac:dyDescent="0.2"/>
    <row r="38781" ht="12.75" x14ac:dyDescent="0.2"/>
    <row r="38782" ht="12.75" x14ac:dyDescent="0.2"/>
    <row r="38783" ht="12.75" x14ac:dyDescent="0.2"/>
    <row r="38784" ht="12.75" x14ac:dyDescent="0.2"/>
    <row r="38785" ht="12.75" x14ac:dyDescent="0.2"/>
    <row r="38786" ht="12.75" x14ac:dyDescent="0.2"/>
    <row r="38787" ht="12.75" x14ac:dyDescent="0.2"/>
    <row r="38788" ht="12.75" x14ac:dyDescent="0.2"/>
    <row r="38789" ht="12.75" x14ac:dyDescent="0.2"/>
    <row r="38790" ht="12.75" x14ac:dyDescent="0.2"/>
    <row r="38791" ht="12.75" x14ac:dyDescent="0.2"/>
    <row r="38792" ht="12.75" x14ac:dyDescent="0.2"/>
    <row r="38793" ht="12.75" x14ac:dyDescent="0.2"/>
    <row r="38794" ht="12.75" x14ac:dyDescent="0.2"/>
    <row r="38795" ht="12.75" x14ac:dyDescent="0.2"/>
    <row r="38796" ht="12.75" x14ac:dyDescent="0.2"/>
    <row r="38797" ht="12.75" x14ac:dyDescent="0.2"/>
    <row r="38798" ht="12.75" x14ac:dyDescent="0.2"/>
    <row r="38799" ht="12.75" x14ac:dyDescent="0.2"/>
    <row r="38800" ht="12.75" x14ac:dyDescent="0.2"/>
    <row r="38801" ht="12.75" x14ac:dyDescent="0.2"/>
    <row r="38802" ht="12.75" x14ac:dyDescent="0.2"/>
    <row r="38803" ht="12.75" x14ac:dyDescent="0.2"/>
    <row r="38804" ht="12.75" x14ac:dyDescent="0.2"/>
    <row r="38805" ht="12.75" x14ac:dyDescent="0.2"/>
    <row r="38806" ht="12.75" x14ac:dyDescent="0.2"/>
    <row r="38807" ht="12.75" x14ac:dyDescent="0.2"/>
    <row r="38808" ht="12.75" x14ac:dyDescent="0.2"/>
    <row r="38809" ht="12.75" x14ac:dyDescent="0.2"/>
    <row r="38810" ht="12.75" x14ac:dyDescent="0.2"/>
    <row r="38811" ht="12.75" x14ac:dyDescent="0.2"/>
    <row r="38812" ht="12.75" x14ac:dyDescent="0.2"/>
    <row r="38813" ht="12.75" x14ac:dyDescent="0.2"/>
    <row r="38814" ht="12.75" x14ac:dyDescent="0.2"/>
    <row r="38815" ht="12.75" x14ac:dyDescent="0.2"/>
    <row r="38816" ht="12.75" x14ac:dyDescent="0.2"/>
    <row r="38817" ht="12.75" x14ac:dyDescent="0.2"/>
    <row r="38818" ht="12.75" x14ac:dyDescent="0.2"/>
    <row r="38819" ht="12.75" x14ac:dyDescent="0.2"/>
    <row r="38820" ht="12.75" x14ac:dyDescent="0.2"/>
    <row r="38821" ht="12.75" x14ac:dyDescent="0.2"/>
    <row r="38822" ht="12.75" x14ac:dyDescent="0.2"/>
    <row r="38823" ht="12.75" x14ac:dyDescent="0.2"/>
    <row r="38824" ht="12.75" x14ac:dyDescent="0.2"/>
    <row r="38825" ht="12.75" x14ac:dyDescent="0.2"/>
    <row r="38826" ht="12.75" x14ac:dyDescent="0.2"/>
    <row r="38827" ht="12.75" x14ac:dyDescent="0.2"/>
    <row r="38828" ht="12.75" x14ac:dyDescent="0.2"/>
    <row r="38829" ht="12.75" x14ac:dyDescent="0.2"/>
    <row r="38830" ht="12.75" x14ac:dyDescent="0.2"/>
    <row r="38831" ht="12.75" x14ac:dyDescent="0.2"/>
    <row r="38832" ht="12.75" x14ac:dyDescent="0.2"/>
    <row r="38833" ht="12.75" x14ac:dyDescent="0.2"/>
    <row r="38834" ht="12.75" x14ac:dyDescent="0.2"/>
    <row r="38835" ht="12.75" x14ac:dyDescent="0.2"/>
    <row r="38836" ht="12.75" x14ac:dyDescent="0.2"/>
    <row r="38837" ht="12.75" x14ac:dyDescent="0.2"/>
    <row r="38838" ht="12.75" x14ac:dyDescent="0.2"/>
    <row r="38839" ht="12.75" x14ac:dyDescent="0.2"/>
    <row r="38840" ht="12.75" x14ac:dyDescent="0.2"/>
    <row r="38841" ht="12.75" x14ac:dyDescent="0.2"/>
    <row r="38842" ht="12.75" x14ac:dyDescent="0.2"/>
    <row r="38843" ht="12.75" x14ac:dyDescent="0.2"/>
    <row r="38844" ht="12.75" x14ac:dyDescent="0.2"/>
    <row r="38845" ht="12.75" x14ac:dyDescent="0.2"/>
    <row r="38846" ht="12.75" x14ac:dyDescent="0.2"/>
    <row r="38847" ht="12.75" x14ac:dyDescent="0.2"/>
    <row r="38848" ht="12.75" x14ac:dyDescent="0.2"/>
    <row r="38849" ht="12.75" x14ac:dyDescent="0.2"/>
    <row r="38850" ht="12.75" x14ac:dyDescent="0.2"/>
    <row r="38851" ht="12.75" x14ac:dyDescent="0.2"/>
    <row r="38852" ht="12.75" x14ac:dyDescent="0.2"/>
    <row r="38853" ht="12.75" x14ac:dyDescent="0.2"/>
    <row r="38854" ht="12.75" x14ac:dyDescent="0.2"/>
    <row r="38855" ht="12.75" x14ac:dyDescent="0.2"/>
    <row r="38856" ht="12.75" x14ac:dyDescent="0.2"/>
    <row r="38857" ht="12.75" x14ac:dyDescent="0.2"/>
    <row r="38858" ht="12.75" x14ac:dyDescent="0.2"/>
    <row r="38859" ht="12.75" x14ac:dyDescent="0.2"/>
    <row r="38860" ht="12.75" x14ac:dyDescent="0.2"/>
    <row r="38861" ht="12.75" x14ac:dyDescent="0.2"/>
    <row r="38862" ht="12.75" x14ac:dyDescent="0.2"/>
    <row r="38863" ht="12.75" x14ac:dyDescent="0.2"/>
    <row r="38864" ht="12.75" x14ac:dyDescent="0.2"/>
    <row r="38865" ht="12.75" x14ac:dyDescent="0.2"/>
    <row r="38866" ht="12.75" x14ac:dyDescent="0.2"/>
    <row r="38867" ht="12.75" x14ac:dyDescent="0.2"/>
    <row r="38868" ht="12.75" x14ac:dyDescent="0.2"/>
    <row r="38869" ht="12.75" x14ac:dyDescent="0.2"/>
    <row r="38870" ht="12.75" x14ac:dyDescent="0.2"/>
    <row r="38871" ht="12.75" x14ac:dyDescent="0.2"/>
    <row r="38872" ht="12.75" x14ac:dyDescent="0.2"/>
    <row r="38873" ht="12.75" x14ac:dyDescent="0.2"/>
    <row r="38874" ht="12.75" x14ac:dyDescent="0.2"/>
    <row r="38875" ht="12.75" x14ac:dyDescent="0.2"/>
    <row r="38876" ht="12.75" x14ac:dyDescent="0.2"/>
    <row r="38877" ht="12.75" x14ac:dyDescent="0.2"/>
    <row r="38878" ht="12.75" x14ac:dyDescent="0.2"/>
    <row r="38879" ht="12.75" x14ac:dyDescent="0.2"/>
    <row r="38880" ht="12.75" x14ac:dyDescent="0.2"/>
    <row r="38881" ht="12.75" x14ac:dyDescent="0.2"/>
    <row r="38882" ht="12.75" x14ac:dyDescent="0.2"/>
    <row r="38883" ht="12.75" x14ac:dyDescent="0.2"/>
    <row r="38884" ht="12.75" x14ac:dyDescent="0.2"/>
    <row r="38885" ht="12.75" x14ac:dyDescent="0.2"/>
    <row r="38886" ht="12.75" x14ac:dyDescent="0.2"/>
    <row r="38887" ht="12.75" x14ac:dyDescent="0.2"/>
    <row r="38888" ht="12.75" x14ac:dyDescent="0.2"/>
    <row r="38889" ht="12.75" x14ac:dyDescent="0.2"/>
    <row r="38890" ht="12.75" x14ac:dyDescent="0.2"/>
    <row r="38891" ht="12.75" x14ac:dyDescent="0.2"/>
    <row r="38892" ht="12.75" x14ac:dyDescent="0.2"/>
    <row r="38893" ht="12.75" x14ac:dyDescent="0.2"/>
    <row r="38894" ht="12.75" x14ac:dyDescent="0.2"/>
    <row r="38895" ht="12.75" x14ac:dyDescent="0.2"/>
    <row r="38896" ht="12.75" x14ac:dyDescent="0.2"/>
    <row r="38897" ht="12.75" x14ac:dyDescent="0.2"/>
    <row r="38898" ht="12.75" x14ac:dyDescent="0.2"/>
    <row r="38899" ht="12.75" x14ac:dyDescent="0.2"/>
    <row r="38900" ht="12.75" x14ac:dyDescent="0.2"/>
    <row r="38901" ht="12.75" x14ac:dyDescent="0.2"/>
    <row r="38902" ht="12.75" x14ac:dyDescent="0.2"/>
    <row r="38903" ht="12.75" x14ac:dyDescent="0.2"/>
    <row r="38904" ht="12.75" x14ac:dyDescent="0.2"/>
    <row r="38905" ht="12.75" x14ac:dyDescent="0.2"/>
    <row r="38906" ht="12.75" x14ac:dyDescent="0.2"/>
    <row r="38907" ht="12.75" x14ac:dyDescent="0.2"/>
    <row r="38908" ht="12.75" x14ac:dyDescent="0.2"/>
    <row r="38909" ht="12.75" x14ac:dyDescent="0.2"/>
    <row r="38910" ht="12.75" x14ac:dyDescent="0.2"/>
    <row r="38911" ht="12.75" x14ac:dyDescent="0.2"/>
    <row r="38912" ht="12.75" x14ac:dyDescent="0.2"/>
    <row r="38913" ht="12.75" x14ac:dyDescent="0.2"/>
    <row r="38914" ht="12.75" x14ac:dyDescent="0.2"/>
    <row r="38915" ht="12.75" x14ac:dyDescent="0.2"/>
    <row r="38916" ht="12.75" x14ac:dyDescent="0.2"/>
    <row r="38917" ht="12.75" x14ac:dyDescent="0.2"/>
    <row r="38918" ht="12.75" x14ac:dyDescent="0.2"/>
    <row r="38919" ht="12.75" x14ac:dyDescent="0.2"/>
    <row r="38920" ht="12.75" x14ac:dyDescent="0.2"/>
    <row r="38921" ht="12.75" x14ac:dyDescent="0.2"/>
    <row r="38922" ht="12.75" x14ac:dyDescent="0.2"/>
    <row r="38923" ht="12.75" x14ac:dyDescent="0.2"/>
    <row r="38924" ht="12.75" x14ac:dyDescent="0.2"/>
    <row r="38925" ht="12.75" x14ac:dyDescent="0.2"/>
    <row r="38926" ht="12.75" x14ac:dyDescent="0.2"/>
    <row r="38927" ht="12.75" x14ac:dyDescent="0.2"/>
    <row r="38928" ht="12.75" x14ac:dyDescent="0.2"/>
    <row r="38929" ht="12.75" x14ac:dyDescent="0.2"/>
    <row r="38930" ht="12.75" x14ac:dyDescent="0.2"/>
    <row r="38931" ht="12.75" x14ac:dyDescent="0.2"/>
    <row r="38932" ht="12.75" x14ac:dyDescent="0.2"/>
    <row r="38933" ht="12.75" x14ac:dyDescent="0.2"/>
    <row r="38934" ht="12.75" x14ac:dyDescent="0.2"/>
    <row r="38935" ht="12.75" x14ac:dyDescent="0.2"/>
    <row r="38936" ht="12.75" x14ac:dyDescent="0.2"/>
    <row r="38937" ht="12.75" x14ac:dyDescent="0.2"/>
    <row r="38938" ht="12.75" x14ac:dyDescent="0.2"/>
    <row r="38939" ht="12.75" x14ac:dyDescent="0.2"/>
    <row r="38940" ht="12.75" x14ac:dyDescent="0.2"/>
    <row r="38941" ht="12.75" x14ac:dyDescent="0.2"/>
    <row r="38942" ht="12.75" x14ac:dyDescent="0.2"/>
    <row r="38943" ht="12.75" x14ac:dyDescent="0.2"/>
    <row r="38944" ht="12.75" x14ac:dyDescent="0.2"/>
    <row r="38945" ht="12.75" x14ac:dyDescent="0.2"/>
    <row r="38946" ht="12.75" x14ac:dyDescent="0.2"/>
    <row r="38947" ht="12.75" x14ac:dyDescent="0.2"/>
    <row r="38948" ht="12.75" x14ac:dyDescent="0.2"/>
    <row r="38949" ht="12.75" x14ac:dyDescent="0.2"/>
    <row r="38950" ht="12.75" x14ac:dyDescent="0.2"/>
    <row r="38951" ht="12.75" x14ac:dyDescent="0.2"/>
    <row r="38952" ht="12.75" x14ac:dyDescent="0.2"/>
    <row r="38953" ht="12.75" x14ac:dyDescent="0.2"/>
    <row r="38954" ht="12.75" x14ac:dyDescent="0.2"/>
    <row r="38955" ht="12.75" x14ac:dyDescent="0.2"/>
    <row r="38956" ht="12.75" x14ac:dyDescent="0.2"/>
    <row r="38957" ht="12.75" x14ac:dyDescent="0.2"/>
    <row r="38958" ht="12.75" x14ac:dyDescent="0.2"/>
    <row r="38959" ht="12.75" x14ac:dyDescent="0.2"/>
    <row r="38960" ht="12.75" x14ac:dyDescent="0.2"/>
    <row r="38961" ht="12.75" x14ac:dyDescent="0.2"/>
    <row r="38962" ht="12.75" x14ac:dyDescent="0.2"/>
    <row r="38963" ht="12.75" x14ac:dyDescent="0.2"/>
    <row r="38964" ht="12.75" x14ac:dyDescent="0.2"/>
    <row r="38965" ht="12.75" x14ac:dyDescent="0.2"/>
    <row r="38966" ht="12.75" x14ac:dyDescent="0.2"/>
    <row r="38967" ht="12.75" x14ac:dyDescent="0.2"/>
    <row r="38968" ht="12.75" x14ac:dyDescent="0.2"/>
    <row r="38969" ht="12.75" x14ac:dyDescent="0.2"/>
    <row r="38970" ht="12.75" x14ac:dyDescent="0.2"/>
    <row r="38971" ht="12.75" x14ac:dyDescent="0.2"/>
    <row r="38972" ht="12.75" x14ac:dyDescent="0.2"/>
    <row r="38973" ht="12.75" x14ac:dyDescent="0.2"/>
    <row r="38974" ht="12.75" x14ac:dyDescent="0.2"/>
    <row r="38975" ht="12.75" x14ac:dyDescent="0.2"/>
    <row r="38976" ht="12.75" x14ac:dyDescent="0.2"/>
    <row r="38977" ht="12.75" x14ac:dyDescent="0.2"/>
    <row r="38978" ht="12.75" x14ac:dyDescent="0.2"/>
    <row r="38979" ht="12.75" x14ac:dyDescent="0.2"/>
    <row r="38980" ht="12.75" x14ac:dyDescent="0.2"/>
    <row r="38981" ht="12.75" x14ac:dyDescent="0.2"/>
    <row r="38982" ht="12.75" x14ac:dyDescent="0.2"/>
    <row r="38983" ht="12.75" x14ac:dyDescent="0.2"/>
    <row r="38984" ht="12.75" x14ac:dyDescent="0.2"/>
    <row r="38985" ht="12.75" x14ac:dyDescent="0.2"/>
    <row r="38986" ht="12.75" x14ac:dyDescent="0.2"/>
    <row r="38987" ht="12.75" x14ac:dyDescent="0.2"/>
    <row r="38988" ht="12.75" x14ac:dyDescent="0.2"/>
    <row r="38989" ht="12.75" x14ac:dyDescent="0.2"/>
    <row r="38990" ht="12.75" x14ac:dyDescent="0.2"/>
    <row r="38991" ht="12.75" x14ac:dyDescent="0.2"/>
    <row r="38992" ht="12.75" x14ac:dyDescent="0.2"/>
    <row r="38993" ht="12.75" x14ac:dyDescent="0.2"/>
    <row r="38994" ht="12.75" x14ac:dyDescent="0.2"/>
    <row r="38995" ht="12.75" x14ac:dyDescent="0.2"/>
    <row r="38996" ht="12.75" x14ac:dyDescent="0.2"/>
    <row r="38997" ht="12.75" x14ac:dyDescent="0.2"/>
    <row r="38998" ht="12.75" x14ac:dyDescent="0.2"/>
    <row r="38999" ht="12.75" x14ac:dyDescent="0.2"/>
    <row r="39000" ht="12.75" x14ac:dyDescent="0.2"/>
    <row r="39001" ht="12.75" x14ac:dyDescent="0.2"/>
    <row r="39002" ht="12.75" x14ac:dyDescent="0.2"/>
    <row r="39003" ht="12.75" x14ac:dyDescent="0.2"/>
    <row r="39004" ht="12.75" x14ac:dyDescent="0.2"/>
    <row r="39005" ht="12.75" x14ac:dyDescent="0.2"/>
    <row r="39006" ht="12.75" x14ac:dyDescent="0.2"/>
    <row r="39007" ht="12.75" x14ac:dyDescent="0.2"/>
    <row r="39008" ht="12.75" x14ac:dyDescent="0.2"/>
    <row r="39009" ht="12.75" x14ac:dyDescent="0.2"/>
    <row r="39010" ht="12.75" x14ac:dyDescent="0.2"/>
    <row r="39011" ht="12.75" x14ac:dyDescent="0.2"/>
    <row r="39012" ht="12.75" x14ac:dyDescent="0.2"/>
    <row r="39013" ht="12.75" x14ac:dyDescent="0.2"/>
    <row r="39014" ht="12.75" x14ac:dyDescent="0.2"/>
    <row r="39015" ht="12.75" x14ac:dyDescent="0.2"/>
    <row r="39016" ht="12.75" x14ac:dyDescent="0.2"/>
    <row r="39017" ht="12.75" x14ac:dyDescent="0.2"/>
    <row r="39018" ht="12.75" x14ac:dyDescent="0.2"/>
    <row r="39019" ht="12.75" x14ac:dyDescent="0.2"/>
    <row r="39020" ht="12.75" x14ac:dyDescent="0.2"/>
    <row r="39021" ht="12.75" x14ac:dyDescent="0.2"/>
    <row r="39022" ht="12.75" x14ac:dyDescent="0.2"/>
    <row r="39023" ht="12.75" x14ac:dyDescent="0.2"/>
    <row r="39024" ht="12.75" x14ac:dyDescent="0.2"/>
    <row r="39025" ht="12.75" x14ac:dyDescent="0.2"/>
    <row r="39026" ht="12.75" x14ac:dyDescent="0.2"/>
    <row r="39027" ht="12.75" x14ac:dyDescent="0.2"/>
    <row r="39028" ht="12.75" x14ac:dyDescent="0.2"/>
    <row r="39029" ht="12.75" x14ac:dyDescent="0.2"/>
    <row r="39030" ht="12.75" x14ac:dyDescent="0.2"/>
    <row r="39031" ht="12.75" x14ac:dyDescent="0.2"/>
    <row r="39032" ht="12.75" x14ac:dyDescent="0.2"/>
    <row r="39033" ht="12.75" x14ac:dyDescent="0.2"/>
    <row r="39034" ht="12.75" x14ac:dyDescent="0.2"/>
    <row r="39035" ht="12.75" x14ac:dyDescent="0.2"/>
    <row r="39036" ht="12.75" x14ac:dyDescent="0.2"/>
    <row r="39037" ht="12.75" x14ac:dyDescent="0.2"/>
    <row r="39038" ht="12.75" x14ac:dyDescent="0.2"/>
    <row r="39039" ht="12.75" x14ac:dyDescent="0.2"/>
    <row r="39040" ht="12.75" x14ac:dyDescent="0.2"/>
    <row r="39041" ht="12.75" x14ac:dyDescent="0.2"/>
    <row r="39042" ht="12.75" x14ac:dyDescent="0.2"/>
    <row r="39043" ht="12.75" x14ac:dyDescent="0.2"/>
    <row r="39044" ht="12.75" x14ac:dyDescent="0.2"/>
    <row r="39045" ht="12.75" x14ac:dyDescent="0.2"/>
    <row r="39046" ht="12.75" x14ac:dyDescent="0.2"/>
    <row r="39047" ht="12.75" x14ac:dyDescent="0.2"/>
    <row r="39048" ht="12.75" x14ac:dyDescent="0.2"/>
    <row r="39049" ht="12.75" x14ac:dyDescent="0.2"/>
    <row r="39050" ht="12.75" x14ac:dyDescent="0.2"/>
    <row r="39051" ht="12.75" x14ac:dyDescent="0.2"/>
    <row r="39052" ht="12.75" x14ac:dyDescent="0.2"/>
    <row r="39053" ht="12.75" x14ac:dyDescent="0.2"/>
    <row r="39054" ht="12.75" x14ac:dyDescent="0.2"/>
    <row r="39055" ht="12.75" x14ac:dyDescent="0.2"/>
    <row r="39056" ht="12.75" x14ac:dyDescent="0.2"/>
    <row r="39057" ht="12.75" x14ac:dyDescent="0.2"/>
    <row r="39058" ht="12.75" x14ac:dyDescent="0.2"/>
    <row r="39059" ht="12.75" x14ac:dyDescent="0.2"/>
    <row r="39060" ht="12.75" x14ac:dyDescent="0.2"/>
    <row r="39061" ht="12.75" x14ac:dyDescent="0.2"/>
    <row r="39062" ht="12.75" x14ac:dyDescent="0.2"/>
    <row r="39063" ht="12.75" x14ac:dyDescent="0.2"/>
    <row r="39064" ht="12.75" x14ac:dyDescent="0.2"/>
    <row r="39065" ht="12.75" x14ac:dyDescent="0.2"/>
    <row r="39066" ht="12.75" x14ac:dyDescent="0.2"/>
    <row r="39067" ht="12.75" x14ac:dyDescent="0.2"/>
    <row r="39068" ht="12.75" x14ac:dyDescent="0.2"/>
    <row r="39069" ht="12.75" x14ac:dyDescent="0.2"/>
    <row r="39070" ht="12.75" x14ac:dyDescent="0.2"/>
    <row r="39071" ht="12.75" x14ac:dyDescent="0.2"/>
    <row r="39072" ht="12.75" x14ac:dyDescent="0.2"/>
    <row r="39073" ht="12.75" x14ac:dyDescent="0.2"/>
    <row r="39074" ht="12.75" x14ac:dyDescent="0.2"/>
    <row r="39075" ht="12.75" x14ac:dyDescent="0.2"/>
    <row r="39076" ht="12.75" x14ac:dyDescent="0.2"/>
    <row r="39077" ht="12.75" x14ac:dyDescent="0.2"/>
    <row r="39078" ht="12.75" x14ac:dyDescent="0.2"/>
    <row r="39079" ht="12.75" x14ac:dyDescent="0.2"/>
    <row r="39080" ht="12.75" x14ac:dyDescent="0.2"/>
    <row r="39081" ht="12.75" x14ac:dyDescent="0.2"/>
    <row r="39082" ht="12.75" x14ac:dyDescent="0.2"/>
    <row r="39083" ht="12.75" x14ac:dyDescent="0.2"/>
    <row r="39084" ht="12.75" x14ac:dyDescent="0.2"/>
    <row r="39085" ht="12.75" x14ac:dyDescent="0.2"/>
    <row r="39086" ht="12.75" x14ac:dyDescent="0.2"/>
    <row r="39087" ht="12.75" x14ac:dyDescent="0.2"/>
    <row r="39088" ht="12.75" x14ac:dyDescent="0.2"/>
    <row r="39089" ht="12.75" x14ac:dyDescent="0.2"/>
    <row r="39090" ht="12.75" x14ac:dyDescent="0.2"/>
    <row r="39091" ht="12.75" x14ac:dyDescent="0.2"/>
    <row r="39092" ht="12.75" x14ac:dyDescent="0.2"/>
    <row r="39093" ht="12.75" x14ac:dyDescent="0.2"/>
    <row r="39094" ht="12.75" x14ac:dyDescent="0.2"/>
    <row r="39095" ht="12.75" x14ac:dyDescent="0.2"/>
    <row r="39096" ht="12.75" x14ac:dyDescent="0.2"/>
    <row r="39097" ht="12.75" x14ac:dyDescent="0.2"/>
    <row r="39098" ht="12.75" x14ac:dyDescent="0.2"/>
    <row r="39099" ht="12.75" x14ac:dyDescent="0.2"/>
    <row r="39100" ht="12.75" x14ac:dyDescent="0.2"/>
    <row r="39101" ht="12.75" x14ac:dyDescent="0.2"/>
    <row r="39102" ht="12.75" x14ac:dyDescent="0.2"/>
    <row r="39103" ht="12.75" x14ac:dyDescent="0.2"/>
    <row r="39104" ht="12.75" x14ac:dyDescent="0.2"/>
    <row r="39105" ht="12.75" x14ac:dyDescent="0.2"/>
    <row r="39106" ht="12.75" x14ac:dyDescent="0.2"/>
    <row r="39107" ht="12.75" x14ac:dyDescent="0.2"/>
    <row r="39108" ht="12.75" x14ac:dyDescent="0.2"/>
    <row r="39109" ht="12.75" x14ac:dyDescent="0.2"/>
    <row r="39110" ht="12.75" x14ac:dyDescent="0.2"/>
    <row r="39111" ht="12.75" x14ac:dyDescent="0.2"/>
    <row r="39112" ht="12.75" x14ac:dyDescent="0.2"/>
    <row r="39113" ht="12.75" x14ac:dyDescent="0.2"/>
    <row r="39114" ht="12.75" x14ac:dyDescent="0.2"/>
    <row r="39115" ht="12.75" x14ac:dyDescent="0.2"/>
    <row r="39116" ht="12.75" x14ac:dyDescent="0.2"/>
    <row r="39117" ht="12.75" x14ac:dyDescent="0.2"/>
    <row r="39118" ht="12.75" x14ac:dyDescent="0.2"/>
    <row r="39119" ht="12.75" x14ac:dyDescent="0.2"/>
    <row r="39120" ht="12.75" x14ac:dyDescent="0.2"/>
    <row r="39121" ht="12.75" x14ac:dyDescent="0.2"/>
    <row r="39122" ht="12.75" x14ac:dyDescent="0.2"/>
    <row r="39123" ht="12.75" x14ac:dyDescent="0.2"/>
    <row r="39124" ht="12.75" x14ac:dyDescent="0.2"/>
    <row r="39125" ht="12.75" x14ac:dyDescent="0.2"/>
    <row r="39126" ht="12.75" x14ac:dyDescent="0.2"/>
    <row r="39127" ht="12.75" x14ac:dyDescent="0.2"/>
    <row r="39128" ht="12.75" x14ac:dyDescent="0.2"/>
    <row r="39129" ht="12.75" x14ac:dyDescent="0.2"/>
    <row r="39130" ht="12.75" x14ac:dyDescent="0.2"/>
    <row r="39131" ht="12.75" x14ac:dyDescent="0.2"/>
    <row r="39132" ht="12.75" x14ac:dyDescent="0.2"/>
    <row r="39133" ht="12.75" x14ac:dyDescent="0.2"/>
    <row r="39134" ht="12.75" x14ac:dyDescent="0.2"/>
    <row r="39135" ht="12.75" x14ac:dyDescent="0.2"/>
    <row r="39136" ht="12.75" x14ac:dyDescent="0.2"/>
    <row r="39137" ht="12.75" x14ac:dyDescent="0.2"/>
    <row r="39138" ht="12.75" x14ac:dyDescent="0.2"/>
    <row r="39139" ht="12.75" x14ac:dyDescent="0.2"/>
    <row r="39140" ht="12.75" x14ac:dyDescent="0.2"/>
    <row r="39141" ht="12.75" x14ac:dyDescent="0.2"/>
    <row r="39142" ht="12.75" x14ac:dyDescent="0.2"/>
    <row r="39143" ht="12.75" x14ac:dyDescent="0.2"/>
    <row r="39144" ht="12.75" x14ac:dyDescent="0.2"/>
    <row r="39145" ht="12.75" x14ac:dyDescent="0.2"/>
    <row r="39146" ht="12.75" x14ac:dyDescent="0.2"/>
    <row r="39147" ht="12.75" x14ac:dyDescent="0.2"/>
    <row r="39148" ht="12.75" x14ac:dyDescent="0.2"/>
    <row r="39149" ht="12.75" x14ac:dyDescent="0.2"/>
    <row r="39150" ht="12.75" x14ac:dyDescent="0.2"/>
    <row r="39151" ht="12.75" x14ac:dyDescent="0.2"/>
    <row r="39152" ht="12.75" x14ac:dyDescent="0.2"/>
    <row r="39153" ht="12.75" x14ac:dyDescent="0.2"/>
    <row r="39154" ht="12.75" x14ac:dyDescent="0.2"/>
    <row r="39155" ht="12.75" x14ac:dyDescent="0.2"/>
    <row r="39156" ht="12.75" x14ac:dyDescent="0.2"/>
    <row r="39157" ht="12.75" x14ac:dyDescent="0.2"/>
    <row r="39158" ht="12.75" x14ac:dyDescent="0.2"/>
    <row r="39159" ht="12.75" x14ac:dyDescent="0.2"/>
    <row r="39160" ht="12.75" x14ac:dyDescent="0.2"/>
    <row r="39161" ht="12.75" x14ac:dyDescent="0.2"/>
    <row r="39162" ht="12.75" x14ac:dyDescent="0.2"/>
    <row r="39163" ht="12.75" x14ac:dyDescent="0.2"/>
    <row r="39164" ht="12.75" x14ac:dyDescent="0.2"/>
    <row r="39165" ht="12.75" x14ac:dyDescent="0.2"/>
    <row r="39166" ht="12.75" x14ac:dyDescent="0.2"/>
    <row r="39167" ht="12.75" x14ac:dyDescent="0.2"/>
    <row r="39168" ht="12.75" x14ac:dyDescent="0.2"/>
    <row r="39169" ht="12.75" x14ac:dyDescent="0.2"/>
    <row r="39170" ht="12.75" x14ac:dyDescent="0.2"/>
    <row r="39171" ht="12.75" x14ac:dyDescent="0.2"/>
    <row r="39172" ht="12.75" x14ac:dyDescent="0.2"/>
    <row r="39173" ht="12.75" x14ac:dyDescent="0.2"/>
    <row r="39174" ht="12.75" x14ac:dyDescent="0.2"/>
    <row r="39175" ht="12.75" x14ac:dyDescent="0.2"/>
    <row r="39176" ht="12.75" x14ac:dyDescent="0.2"/>
    <row r="39177" ht="12.75" x14ac:dyDescent="0.2"/>
    <row r="39178" ht="12.75" x14ac:dyDescent="0.2"/>
    <row r="39179" ht="12.75" x14ac:dyDescent="0.2"/>
    <row r="39180" ht="12.75" x14ac:dyDescent="0.2"/>
    <row r="39181" ht="12.75" x14ac:dyDescent="0.2"/>
    <row r="39182" ht="12.75" x14ac:dyDescent="0.2"/>
    <row r="39183" ht="12.75" x14ac:dyDescent="0.2"/>
    <row r="39184" ht="12.75" x14ac:dyDescent="0.2"/>
    <row r="39185" ht="12.75" x14ac:dyDescent="0.2"/>
    <row r="39186" ht="12.75" x14ac:dyDescent="0.2"/>
    <row r="39187" ht="12.75" x14ac:dyDescent="0.2"/>
    <row r="39188" ht="12.75" x14ac:dyDescent="0.2"/>
    <row r="39189" ht="12.75" x14ac:dyDescent="0.2"/>
    <row r="39190" ht="12.75" x14ac:dyDescent="0.2"/>
    <row r="39191" ht="12.75" x14ac:dyDescent="0.2"/>
    <row r="39192" ht="12.75" x14ac:dyDescent="0.2"/>
    <row r="39193" ht="12.75" x14ac:dyDescent="0.2"/>
    <row r="39194" ht="12.75" x14ac:dyDescent="0.2"/>
    <row r="39195" ht="12.75" x14ac:dyDescent="0.2"/>
    <row r="39196" ht="12.75" x14ac:dyDescent="0.2"/>
    <row r="39197" ht="12.75" x14ac:dyDescent="0.2"/>
    <row r="39198" ht="12.75" x14ac:dyDescent="0.2"/>
    <row r="39199" ht="12.75" x14ac:dyDescent="0.2"/>
    <row r="39200" ht="12.75" x14ac:dyDescent="0.2"/>
    <row r="39201" ht="12.75" x14ac:dyDescent="0.2"/>
    <row r="39202" ht="12.75" x14ac:dyDescent="0.2"/>
    <row r="39203" ht="12.75" x14ac:dyDescent="0.2"/>
    <row r="39204" ht="12.75" x14ac:dyDescent="0.2"/>
    <row r="39205" ht="12.75" x14ac:dyDescent="0.2"/>
    <row r="39206" ht="12.75" x14ac:dyDescent="0.2"/>
    <row r="39207" ht="12.75" x14ac:dyDescent="0.2"/>
    <row r="39208" ht="12.75" x14ac:dyDescent="0.2"/>
    <row r="39209" ht="12.75" x14ac:dyDescent="0.2"/>
    <row r="39210" ht="12.75" x14ac:dyDescent="0.2"/>
    <row r="39211" ht="12.75" x14ac:dyDescent="0.2"/>
    <row r="39212" ht="12.75" x14ac:dyDescent="0.2"/>
    <row r="39213" ht="12.75" x14ac:dyDescent="0.2"/>
    <row r="39214" ht="12.75" x14ac:dyDescent="0.2"/>
    <row r="39215" ht="12.75" x14ac:dyDescent="0.2"/>
    <row r="39216" ht="12.75" x14ac:dyDescent="0.2"/>
    <row r="39217" ht="12.75" x14ac:dyDescent="0.2"/>
    <row r="39218" ht="12.75" x14ac:dyDescent="0.2"/>
    <row r="39219" ht="12.75" x14ac:dyDescent="0.2"/>
    <row r="39220" ht="12.75" x14ac:dyDescent="0.2"/>
    <row r="39221" ht="12.75" x14ac:dyDescent="0.2"/>
    <row r="39222" ht="12.75" x14ac:dyDescent="0.2"/>
    <row r="39223" ht="12.75" x14ac:dyDescent="0.2"/>
    <row r="39224" ht="12.75" x14ac:dyDescent="0.2"/>
    <row r="39225" ht="12.75" x14ac:dyDescent="0.2"/>
    <row r="39226" ht="12.75" x14ac:dyDescent="0.2"/>
    <row r="39227" ht="12.75" x14ac:dyDescent="0.2"/>
    <row r="39228" ht="12.75" x14ac:dyDescent="0.2"/>
    <row r="39229" ht="12.75" x14ac:dyDescent="0.2"/>
    <row r="39230" ht="12.75" x14ac:dyDescent="0.2"/>
    <row r="39231" ht="12.75" x14ac:dyDescent="0.2"/>
    <row r="39232" ht="12.75" x14ac:dyDescent="0.2"/>
    <row r="39233" ht="12.75" x14ac:dyDescent="0.2"/>
    <row r="39234" ht="12.75" x14ac:dyDescent="0.2"/>
    <row r="39235" ht="12.75" x14ac:dyDescent="0.2"/>
    <row r="39236" ht="12.75" x14ac:dyDescent="0.2"/>
    <row r="39237" ht="12.75" x14ac:dyDescent="0.2"/>
    <row r="39238" ht="12.75" x14ac:dyDescent="0.2"/>
    <row r="39239" ht="12.75" x14ac:dyDescent="0.2"/>
    <row r="39240" ht="12.75" x14ac:dyDescent="0.2"/>
    <row r="39241" ht="12.75" x14ac:dyDescent="0.2"/>
    <row r="39242" ht="12.75" x14ac:dyDescent="0.2"/>
    <row r="39243" ht="12.75" x14ac:dyDescent="0.2"/>
    <row r="39244" ht="12.75" x14ac:dyDescent="0.2"/>
    <row r="39245" ht="12.75" x14ac:dyDescent="0.2"/>
    <row r="39246" ht="12.75" x14ac:dyDescent="0.2"/>
    <row r="39247" ht="12.75" x14ac:dyDescent="0.2"/>
    <row r="39248" ht="12.75" x14ac:dyDescent="0.2"/>
    <row r="39249" ht="12.75" x14ac:dyDescent="0.2"/>
    <row r="39250" ht="12.75" x14ac:dyDescent="0.2"/>
    <row r="39251" ht="12.75" x14ac:dyDescent="0.2"/>
    <row r="39252" ht="12.75" x14ac:dyDescent="0.2"/>
    <row r="39253" ht="12.75" x14ac:dyDescent="0.2"/>
    <row r="39254" ht="12.75" x14ac:dyDescent="0.2"/>
    <row r="39255" ht="12.75" x14ac:dyDescent="0.2"/>
    <row r="39256" ht="12.75" x14ac:dyDescent="0.2"/>
    <row r="39257" ht="12.75" x14ac:dyDescent="0.2"/>
    <row r="39258" ht="12.75" x14ac:dyDescent="0.2"/>
    <row r="39259" ht="12.75" x14ac:dyDescent="0.2"/>
    <row r="39260" ht="12.75" x14ac:dyDescent="0.2"/>
    <row r="39261" ht="12.75" x14ac:dyDescent="0.2"/>
    <row r="39262" ht="12.75" x14ac:dyDescent="0.2"/>
    <row r="39263" ht="12.75" x14ac:dyDescent="0.2"/>
    <row r="39264" ht="12.75" x14ac:dyDescent="0.2"/>
    <row r="39265" ht="12.75" x14ac:dyDescent="0.2"/>
    <row r="39266" ht="12.75" x14ac:dyDescent="0.2"/>
    <row r="39267" ht="12.75" x14ac:dyDescent="0.2"/>
    <row r="39268" ht="12.75" x14ac:dyDescent="0.2"/>
    <row r="39269" ht="12.75" x14ac:dyDescent="0.2"/>
    <row r="39270" ht="12.75" x14ac:dyDescent="0.2"/>
    <row r="39271" ht="12.75" x14ac:dyDescent="0.2"/>
    <row r="39272" ht="12.75" x14ac:dyDescent="0.2"/>
    <row r="39273" ht="12.75" x14ac:dyDescent="0.2"/>
    <row r="39274" ht="12.75" x14ac:dyDescent="0.2"/>
    <row r="39275" ht="12.75" x14ac:dyDescent="0.2"/>
    <row r="39276" ht="12.75" x14ac:dyDescent="0.2"/>
    <row r="39277" ht="12.75" x14ac:dyDescent="0.2"/>
    <row r="39278" ht="12.75" x14ac:dyDescent="0.2"/>
    <row r="39279" ht="12.75" x14ac:dyDescent="0.2"/>
    <row r="39280" ht="12.75" x14ac:dyDescent="0.2"/>
    <row r="39281" ht="12.75" x14ac:dyDescent="0.2"/>
    <row r="39282" ht="12.75" x14ac:dyDescent="0.2"/>
    <row r="39283" ht="12.75" x14ac:dyDescent="0.2"/>
    <row r="39284" ht="12.75" x14ac:dyDescent="0.2"/>
    <row r="39285" ht="12.75" x14ac:dyDescent="0.2"/>
    <row r="39286" ht="12.75" x14ac:dyDescent="0.2"/>
    <row r="39287" ht="12.75" x14ac:dyDescent="0.2"/>
    <row r="39288" ht="12.75" x14ac:dyDescent="0.2"/>
    <row r="39289" ht="12.75" x14ac:dyDescent="0.2"/>
    <row r="39290" ht="12.75" x14ac:dyDescent="0.2"/>
    <row r="39291" ht="12.75" x14ac:dyDescent="0.2"/>
    <row r="39292" ht="12.75" x14ac:dyDescent="0.2"/>
    <row r="39293" ht="12.75" x14ac:dyDescent="0.2"/>
    <row r="39294" ht="12.75" x14ac:dyDescent="0.2"/>
    <row r="39295" ht="12.75" x14ac:dyDescent="0.2"/>
    <row r="39296" ht="12.75" x14ac:dyDescent="0.2"/>
    <row r="39297" ht="12.75" x14ac:dyDescent="0.2"/>
    <row r="39298" ht="12.75" x14ac:dyDescent="0.2"/>
    <row r="39299" ht="12.75" x14ac:dyDescent="0.2"/>
    <row r="39300" ht="12.75" x14ac:dyDescent="0.2"/>
    <row r="39301" ht="12.75" x14ac:dyDescent="0.2"/>
    <row r="39302" ht="12.75" x14ac:dyDescent="0.2"/>
    <row r="39303" ht="12.75" x14ac:dyDescent="0.2"/>
    <row r="39304" ht="12.75" x14ac:dyDescent="0.2"/>
    <row r="39305" ht="12.75" x14ac:dyDescent="0.2"/>
    <row r="39306" ht="12.75" x14ac:dyDescent="0.2"/>
    <row r="39307" ht="12.75" x14ac:dyDescent="0.2"/>
    <row r="39308" ht="12.75" x14ac:dyDescent="0.2"/>
    <row r="39309" ht="12.75" x14ac:dyDescent="0.2"/>
    <row r="39310" ht="12.75" x14ac:dyDescent="0.2"/>
    <row r="39311" ht="12.75" x14ac:dyDescent="0.2"/>
    <row r="39312" ht="12.75" x14ac:dyDescent="0.2"/>
    <row r="39313" ht="12.75" x14ac:dyDescent="0.2"/>
    <row r="39314" ht="12.75" x14ac:dyDescent="0.2"/>
    <row r="39315" ht="12.75" x14ac:dyDescent="0.2"/>
    <row r="39316" ht="12.75" x14ac:dyDescent="0.2"/>
    <row r="39317" ht="12.75" x14ac:dyDescent="0.2"/>
    <row r="39318" ht="12.75" x14ac:dyDescent="0.2"/>
    <row r="39319" ht="12.75" x14ac:dyDescent="0.2"/>
    <row r="39320" ht="12.75" x14ac:dyDescent="0.2"/>
    <row r="39321" ht="12.75" x14ac:dyDescent="0.2"/>
    <row r="39322" ht="12.75" x14ac:dyDescent="0.2"/>
    <row r="39323" ht="12.75" x14ac:dyDescent="0.2"/>
    <row r="39324" ht="12.75" x14ac:dyDescent="0.2"/>
    <row r="39325" ht="12.75" x14ac:dyDescent="0.2"/>
    <row r="39326" ht="12.75" x14ac:dyDescent="0.2"/>
    <row r="39327" ht="12.75" x14ac:dyDescent="0.2"/>
    <row r="39328" ht="12.75" x14ac:dyDescent="0.2"/>
    <row r="39329" ht="12.75" x14ac:dyDescent="0.2"/>
    <row r="39330" ht="12.75" x14ac:dyDescent="0.2"/>
    <row r="39331" ht="12.75" x14ac:dyDescent="0.2"/>
    <row r="39332" ht="12.75" x14ac:dyDescent="0.2"/>
    <row r="39333" ht="12.75" x14ac:dyDescent="0.2"/>
    <row r="39334" ht="12.75" x14ac:dyDescent="0.2"/>
    <row r="39335" ht="12.75" x14ac:dyDescent="0.2"/>
    <row r="39336" ht="12.75" x14ac:dyDescent="0.2"/>
    <row r="39337" ht="12.75" x14ac:dyDescent="0.2"/>
    <row r="39338" ht="12.75" x14ac:dyDescent="0.2"/>
    <row r="39339" ht="12.75" x14ac:dyDescent="0.2"/>
    <row r="39340" ht="12.75" x14ac:dyDescent="0.2"/>
    <row r="39341" ht="12.75" x14ac:dyDescent="0.2"/>
    <row r="39342" ht="12.75" x14ac:dyDescent="0.2"/>
    <row r="39343" ht="12.75" x14ac:dyDescent="0.2"/>
    <row r="39344" ht="12.75" x14ac:dyDescent="0.2"/>
    <row r="39345" ht="12.75" x14ac:dyDescent="0.2"/>
    <row r="39346" ht="12.75" x14ac:dyDescent="0.2"/>
    <row r="39347" ht="12.75" x14ac:dyDescent="0.2"/>
    <row r="39348" ht="12.75" x14ac:dyDescent="0.2"/>
    <row r="39349" ht="12.75" x14ac:dyDescent="0.2"/>
    <row r="39350" ht="12.75" x14ac:dyDescent="0.2"/>
    <row r="39351" ht="12.75" x14ac:dyDescent="0.2"/>
    <row r="39352" ht="12.75" x14ac:dyDescent="0.2"/>
    <row r="39353" ht="12.75" x14ac:dyDescent="0.2"/>
    <row r="39354" ht="12.75" x14ac:dyDescent="0.2"/>
    <row r="39355" ht="12.75" x14ac:dyDescent="0.2"/>
    <row r="39356" ht="12.75" x14ac:dyDescent="0.2"/>
    <row r="39357" ht="12.75" x14ac:dyDescent="0.2"/>
    <row r="39358" ht="12.75" x14ac:dyDescent="0.2"/>
    <row r="39359" ht="12.75" x14ac:dyDescent="0.2"/>
    <row r="39360" ht="12.75" x14ac:dyDescent="0.2"/>
    <row r="39361" ht="12.75" x14ac:dyDescent="0.2"/>
    <row r="39362" ht="12.75" x14ac:dyDescent="0.2"/>
    <row r="39363" ht="12.75" x14ac:dyDescent="0.2"/>
    <row r="39364" ht="12.75" x14ac:dyDescent="0.2"/>
    <row r="39365" ht="12.75" x14ac:dyDescent="0.2"/>
    <row r="39366" ht="12.75" x14ac:dyDescent="0.2"/>
    <row r="39367" ht="12.75" x14ac:dyDescent="0.2"/>
    <row r="39368" ht="12.75" x14ac:dyDescent="0.2"/>
    <row r="39369" ht="12.75" x14ac:dyDescent="0.2"/>
    <row r="39370" ht="12.75" x14ac:dyDescent="0.2"/>
    <row r="39371" ht="12.75" x14ac:dyDescent="0.2"/>
    <row r="39372" ht="12.75" x14ac:dyDescent="0.2"/>
    <row r="39373" ht="12.75" x14ac:dyDescent="0.2"/>
    <row r="39374" ht="12.75" x14ac:dyDescent="0.2"/>
    <row r="39375" ht="12.75" x14ac:dyDescent="0.2"/>
    <row r="39376" ht="12.75" x14ac:dyDescent="0.2"/>
    <row r="39377" ht="12.75" x14ac:dyDescent="0.2"/>
    <row r="39378" ht="12.75" x14ac:dyDescent="0.2"/>
    <row r="39379" ht="12.75" x14ac:dyDescent="0.2"/>
    <row r="39380" ht="12.75" x14ac:dyDescent="0.2"/>
    <row r="39381" ht="12.75" x14ac:dyDescent="0.2"/>
    <row r="39382" ht="12.75" x14ac:dyDescent="0.2"/>
    <row r="39383" ht="12.75" x14ac:dyDescent="0.2"/>
    <row r="39384" ht="12.75" x14ac:dyDescent="0.2"/>
    <row r="39385" ht="12.75" x14ac:dyDescent="0.2"/>
    <row r="39386" ht="12.75" x14ac:dyDescent="0.2"/>
    <row r="39387" ht="12.75" x14ac:dyDescent="0.2"/>
    <row r="39388" ht="12.75" x14ac:dyDescent="0.2"/>
    <row r="39389" ht="12.75" x14ac:dyDescent="0.2"/>
    <row r="39390" ht="12.75" x14ac:dyDescent="0.2"/>
    <row r="39391" ht="12.75" x14ac:dyDescent="0.2"/>
    <row r="39392" ht="12.75" x14ac:dyDescent="0.2"/>
    <row r="39393" ht="12.75" x14ac:dyDescent="0.2"/>
    <row r="39394" ht="12.75" x14ac:dyDescent="0.2"/>
    <row r="39395" ht="12.75" x14ac:dyDescent="0.2"/>
    <row r="39396" ht="12.75" x14ac:dyDescent="0.2"/>
    <row r="39397" ht="12.75" x14ac:dyDescent="0.2"/>
    <row r="39398" ht="12.75" x14ac:dyDescent="0.2"/>
    <row r="39399" ht="12.75" x14ac:dyDescent="0.2"/>
    <row r="39400" ht="12.75" x14ac:dyDescent="0.2"/>
    <row r="39401" ht="12.75" x14ac:dyDescent="0.2"/>
    <row r="39402" ht="12.75" x14ac:dyDescent="0.2"/>
    <row r="39403" ht="12.75" x14ac:dyDescent="0.2"/>
    <row r="39404" ht="12.75" x14ac:dyDescent="0.2"/>
    <row r="39405" ht="12.75" x14ac:dyDescent="0.2"/>
    <row r="39406" ht="12.75" x14ac:dyDescent="0.2"/>
    <row r="39407" ht="12.75" x14ac:dyDescent="0.2"/>
    <row r="39408" ht="12.75" x14ac:dyDescent="0.2"/>
    <row r="39409" ht="12.75" x14ac:dyDescent="0.2"/>
    <row r="39410" ht="12.75" x14ac:dyDescent="0.2"/>
    <row r="39411" ht="12.75" x14ac:dyDescent="0.2"/>
    <row r="39412" ht="12.75" x14ac:dyDescent="0.2"/>
    <row r="39413" ht="12.75" x14ac:dyDescent="0.2"/>
    <row r="39414" ht="12.75" x14ac:dyDescent="0.2"/>
    <row r="39415" ht="12.75" x14ac:dyDescent="0.2"/>
    <row r="39416" ht="12.75" x14ac:dyDescent="0.2"/>
    <row r="39417" ht="12.75" x14ac:dyDescent="0.2"/>
    <row r="39418" ht="12.75" x14ac:dyDescent="0.2"/>
    <row r="39419" ht="12.75" x14ac:dyDescent="0.2"/>
    <row r="39420" ht="12.75" x14ac:dyDescent="0.2"/>
    <row r="39421" ht="12.75" x14ac:dyDescent="0.2"/>
    <row r="39422" ht="12.75" x14ac:dyDescent="0.2"/>
    <row r="39423" ht="12.75" x14ac:dyDescent="0.2"/>
    <row r="39424" ht="12.75" x14ac:dyDescent="0.2"/>
    <row r="39425" ht="12.75" x14ac:dyDescent="0.2"/>
    <row r="39426" ht="12.75" x14ac:dyDescent="0.2"/>
    <row r="39427" ht="12.75" x14ac:dyDescent="0.2"/>
    <row r="39428" ht="12.75" x14ac:dyDescent="0.2"/>
    <row r="39429" ht="12.75" x14ac:dyDescent="0.2"/>
    <row r="39430" ht="12.75" x14ac:dyDescent="0.2"/>
    <row r="39431" ht="12.75" x14ac:dyDescent="0.2"/>
    <row r="39432" ht="12.75" x14ac:dyDescent="0.2"/>
    <row r="39433" ht="12.75" x14ac:dyDescent="0.2"/>
    <row r="39434" ht="12.75" x14ac:dyDescent="0.2"/>
    <row r="39435" ht="12.75" x14ac:dyDescent="0.2"/>
    <row r="39436" ht="12.75" x14ac:dyDescent="0.2"/>
    <row r="39437" ht="12.75" x14ac:dyDescent="0.2"/>
    <row r="39438" ht="12.75" x14ac:dyDescent="0.2"/>
    <row r="39439" ht="12.75" x14ac:dyDescent="0.2"/>
    <row r="39440" ht="12.75" x14ac:dyDescent="0.2"/>
    <row r="39441" ht="12.75" x14ac:dyDescent="0.2"/>
    <row r="39442" ht="12.75" x14ac:dyDescent="0.2"/>
    <row r="39443" ht="12.75" x14ac:dyDescent="0.2"/>
    <row r="39444" ht="12.75" x14ac:dyDescent="0.2"/>
    <row r="39445" ht="12.75" x14ac:dyDescent="0.2"/>
    <row r="39446" ht="12.75" x14ac:dyDescent="0.2"/>
    <row r="39447" ht="12.75" x14ac:dyDescent="0.2"/>
    <row r="39448" ht="12.75" x14ac:dyDescent="0.2"/>
    <row r="39449" ht="12.75" x14ac:dyDescent="0.2"/>
    <row r="39450" ht="12.75" x14ac:dyDescent="0.2"/>
    <row r="39451" ht="12.75" x14ac:dyDescent="0.2"/>
    <row r="39452" ht="12.75" x14ac:dyDescent="0.2"/>
    <row r="39453" ht="12.75" x14ac:dyDescent="0.2"/>
    <row r="39454" ht="12.75" x14ac:dyDescent="0.2"/>
    <row r="39455" ht="12.75" x14ac:dyDescent="0.2"/>
    <row r="39456" ht="12.75" x14ac:dyDescent="0.2"/>
    <row r="39457" ht="12.75" x14ac:dyDescent="0.2"/>
    <row r="39458" ht="12.75" x14ac:dyDescent="0.2"/>
    <row r="39459" ht="12.75" x14ac:dyDescent="0.2"/>
    <row r="39460" ht="12.75" x14ac:dyDescent="0.2"/>
    <row r="39461" ht="12.75" x14ac:dyDescent="0.2"/>
    <row r="39462" ht="12.75" x14ac:dyDescent="0.2"/>
    <row r="39463" ht="12.75" x14ac:dyDescent="0.2"/>
    <row r="39464" ht="12.75" x14ac:dyDescent="0.2"/>
    <row r="39465" ht="12.75" x14ac:dyDescent="0.2"/>
    <row r="39466" ht="12.75" x14ac:dyDescent="0.2"/>
    <row r="39467" ht="12.75" x14ac:dyDescent="0.2"/>
    <row r="39468" ht="12.75" x14ac:dyDescent="0.2"/>
    <row r="39469" ht="12.75" x14ac:dyDescent="0.2"/>
    <row r="39470" ht="12.75" x14ac:dyDescent="0.2"/>
    <row r="39471" ht="12.75" x14ac:dyDescent="0.2"/>
    <row r="39472" ht="12.75" x14ac:dyDescent="0.2"/>
    <row r="39473" ht="12.75" x14ac:dyDescent="0.2"/>
    <row r="39474" ht="12.75" x14ac:dyDescent="0.2"/>
    <row r="39475" ht="12.75" x14ac:dyDescent="0.2"/>
    <row r="39476" ht="12.75" x14ac:dyDescent="0.2"/>
    <row r="39477" ht="12.75" x14ac:dyDescent="0.2"/>
    <row r="39478" ht="12.75" x14ac:dyDescent="0.2"/>
    <row r="39479" ht="12.75" x14ac:dyDescent="0.2"/>
    <row r="39480" ht="12.75" x14ac:dyDescent="0.2"/>
    <row r="39481" ht="12.75" x14ac:dyDescent="0.2"/>
    <row r="39482" ht="12.75" x14ac:dyDescent="0.2"/>
    <row r="39483" ht="12.75" x14ac:dyDescent="0.2"/>
    <row r="39484" ht="12.75" x14ac:dyDescent="0.2"/>
    <row r="39485" ht="12.75" x14ac:dyDescent="0.2"/>
    <row r="39486" ht="12.75" x14ac:dyDescent="0.2"/>
    <row r="39487" ht="12.75" x14ac:dyDescent="0.2"/>
    <row r="39488" ht="12.75" x14ac:dyDescent="0.2"/>
    <row r="39489" ht="12.75" x14ac:dyDescent="0.2"/>
    <row r="39490" ht="12.75" x14ac:dyDescent="0.2"/>
    <row r="39491" ht="12.75" x14ac:dyDescent="0.2"/>
    <row r="39492" ht="12.75" x14ac:dyDescent="0.2"/>
    <row r="39493" ht="12.75" x14ac:dyDescent="0.2"/>
    <row r="39494" ht="12.75" x14ac:dyDescent="0.2"/>
    <row r="39495" ht="12.75" x14ac:dyDescent="0.2"/>
    <row r="39496" ht="12.75" x14ac:dyDescent="0.2"/>
    <row r="39497" ht="12.75" x14ac:dyDescent="0.2"/>
    <row r="39498" ht="12.75" x14ac:dyDescent="0.2"/>
    <row r="39499" ht="12.75" x14ac:dyDescent="0.2"/>
    <row r="39500" ht="12.75" x14ac:dyDescent="0.2"/>
    <row r="39501" ht="12.75" x14ac:dyDescent="0.2"/>
    <row r="39502" ht="12.75" x14ac:dyDescent="0.2"/>
    <row r="39503" ht="12.75" x14ac:dyDescent="0.2"/>
    <row r="39504" ht="12.75" x14ac:dyDescent="0.2"/>
    <row r="39505" ht="12.75" x14ac:dyDescent="0.2"/>
    <row r="39506" ht="12.75" x14ac:dyDescent="0.2"/>
    <row r="39507" ht="12.75" x14ac:dyDescent="0.2"/>
    <row r="39508" ht="12.75" x14ac:dyDescent="0.2"/>
    <row r="39509" ht="12.75" x14ac:dyDescent="0.2"/>
    <row r="39510" ht="12.75" x14ac:dyDescent="0.2"/>
    <row r="39511" ht="12.75" x14ac:dyDescent="0.2"/>
    <row r="39512" ht="12.75" x14ac:dyDescent="0.2"/>
    <row r="39513" ht="12.75" x14ac:dyDescent="0.2"/>
    <row r="39514" ht="12.75" x14ac:dyDescent="0.2"/>
    <row r="39515" ht="12.75" x14ac:dyDescent="0.2"/>
    <row r="39516" ht="12.75" x14ac:dyDescent="0.2"/>
    <row r="39517" ht="12.75" x14ac:dyDescent="0.2"/>
    <row r="39518" ht="12.75" x14ac:dyDescent="0.2"/>
    <row r="39519" ht="12.75" x14ac:dyDescent="0.2"/>
    <row r="39520" ht="12.75" x14ac:dyDescent="0.2"/>
    <row r="39521" ht="12.75" x14ac:dyDescent="0.2"/>
    <row r="39522" ht="12.75" x14ac:dyDescent="0.2"/>
    <row r="39523" ht="12.75" x14ac:dyDescent="0.2"/>
    <row r="39524" ht="12.75" x14ac:dyDescent="0.2"/>
    <row r="39525" ht="12.75" x14ac:dyDescent="0.2"/>
    <row r="39526" ht="12.75" x14ac:dyDescent="0.2"/>
    <row r="39527" ht="12.75" x14ac:dyDescent="0.2"/>
    <row r="39528" ht="12.75" x14ac:dyDescent="0.2"/>
    <row r="39529" ht="12.75" x14ac:dyDescent="0.2"/>
    <row r="39530" ht="12.75" x14ac:dyDescent="0.2"/>
    <row r="39531" ht="12.75" x14ac:dyDescent="0.2"/>
    <row r="39532" ht="12.75" x14ac:dyDescent="0.2"/>
    <row r="39533" ht="12.75" x14ac:dyDescent="0.2"/>
    <row r="39534" ht="12.75" x14ac:dyDescent="0.2"/>
    <row r="39535" ht="12.75" x14ac:dyDescent="0.2"/>
    <row r="39536" ht="12.75" x14ac:dyDescent="0.2"/>
    <row r="39537" ht="12.75" x14ac:dyDescent="0.2"/>
    <row r="39538" ht="12.75" x14ac:dyDescent="0.2"/>
    <row r="39539" ht="12.75" x14ac:dyDescent="0.2"/>
    <row r="39540" ht="12.75" x14ac:dyDescent="0.2"/>
    <row r="39541" ht="12.75" x14ac:dyDescent="0.2"/>
    <row r="39542" ht="12.75" x14ac:dyDescent="0.2"/>
    <row r="39543" ht="12.75" x14ac:dyDescent="0.2"/>
    <row r="39544" ht="12.75" x14ac:dyDescent="0.2"/>
    <row r="39545" ht="12.75" x14ac:dyDescent="0.2"/>
    <row r="39546" ht="12.75" x14ac:dyDescent="0.2"/>
    <row r="39547" ht="12.75" x14ac:dyDescent="0.2"/>
    <row r="39548" ht="12.75" x14ac:dyDescent="0.2"/>
    <row r="39549" ht="12.75" x14ac:dyDescent="0.2"/>
    <row r="39550" ht="12.75" x14ac:dyDescent="0.2"/>
    <row r="39551" ht="12.75" x14ac:dyDescent="0.2"/>
    <row r="39552" ht="12.75" x14ac:dyDescent="0.2"/>
    <row r="39553" ht="12.75" x14ac:dyDescent="0.2"/>
    <row r="39554" ht="12.75" x14ac:dyDescent="0.2"/>
    <row r="39555" ht="12.75" x14ac:dyDescent="0.2"/>
    <row r="39556" ht="12.75" x14ac:dyDescent="0.2"/>
    <row r="39557" ht="12.75" x14ac:dyDescent="0.2"/>
    <row r="39558" ht="12.75" x14ac:dyDescent="0.2"/>
    <row r="39559" ht="12.75" x14ac:dyDescent="0.2"/>
    <row r="39560" ht="12.75" x14ac:dyDescent="0.2"/>
    <row r="39561" ht="12.75" x14ac:dyDescent="0.2"/>
    <row r="39562" ht="12.75" x14ac:dyDescent="0.2"/>
    <row r="39563" ht="12.75" x14ac:dyDescent="0.2"/>
    <row r="39564" ht="12.75" x14ac:dyDescent="0.2"/>
    <row r="39565" ht="12.75" x14ac:dyDescent="0.2"/>
    <row r="39566" ht="12.75" x14ac:dyDescent="0.2"/>
    <row r="39567" ht="12.75" x14ac:dyDescent="0.2"/>
    <row r="39568" ht="12.75" x14ac:dyDescent="0.2"/>
    <row r="39569" ht="12.75" x14ac:dyDescent="0.2"/>
    <row r="39570" ht="12.75" x14ac:dyDescent="0.2"/>
    <row r="39571" ht="12.75" x14ac:dyDescent="0.2"/>
    <row r="39572" ht="12.75" x14ac:dyDescent="0.2"/>
    <row r="39573" ht="12.75" x14ac:dyDescent="0.2"/>
    <row r="39574" ht="12.75" x14ac:dyDescent="0.2"/>
    <row r="39575" ht="12.75" x14ac:dyDescent="0.2"/>
    <row r="39576" ht="12.75" x14ac:dyDescent="0.2"/>
    <row r="39577" ht="12.75" x14ac:dyDescent="0.2"/>
    <row r="39578" ht="12.75" x14ac:dyDescent="0.2"/>
    <row r="39579" ht="12.75" x14ac:dyDescent="0.2"/>
    <row r="39580" ht="12.75" x14ac:dyDescent="0.2"/>
    <row r="39581" ht="12.75" x14ac:dyDescent="0.2"/>
    <row r="39582" ht="12.75" x14ac:dyDescent="0.2"/>
    <row r="39583" ht="12.75" x14ac:dyDescent="0.2"/>
    <row r="39584" ht="12.75" x14ac:dyDescent="0.2"/>
    <row r="39585" ht="12.75" x14ac:dyDescent="0.2"/>
    <row r="39586" ht="12.75" x14ac:dyDescent="0.2"/>
    <row r="39587" ht="12.75" x14ac:dyDescent="0.2"/>
    <row r="39588" ht="12.75" x14ac:dyDescent="0.2"/>
    <row r="39589" ht="12.75" x14ac:dyDescent="0.2"/>
    <row r="39590" ht="12.75" x14ac:dyDescent="0.2"/>
    <row r="39591" ht="12.75" x14ac:dyDescent="0.2"/>
    <row r="39592" ht="12.75" x14ac:dyDescent="0.2"/>
    <row r="39593" ht="12.75" x14ac:dyDescent="0.2"/>
    <row r="39594" ht="12.75" x14ac:dyDescent="0.2"/>
    <row r="39595" ht="12.75" x14ac:dyDescent="0.2"/>
    <row r="39596" ht="12.75" x14ac:dyDescent="0.2"/>
    <row r="39597" ht="12.75" x14ac:dyDescent="0.2"/>
    <row r="39598" ht="12.75" x14ac:dyDescent="0.2"/>
    <row r="39599" ht="12.75" x14ac:dyDescent="0.2"/>
    <row r="39600" ht="12.75" x14ac:dyDescent="0.2"/>
    <row r="39601" ht="12.75" x14ac:dyDescent="0.2"/>
    <row r="39602" ht="12.75" x14ac:dyDescent="0.2"/>
    <row r="39603" ht="12.75" x14ac:dyDescent="0.2"/>
    <row r="39604" ht="12.75" x14ac:dyDescent="0.2"/>
    <row r="39605" ht="12.75" x14ac:dyDescent="0.2"/>
    <row r="39606" ht="12.75" x14ac:dyDescent="0.2"/>
    <row r="39607" ht="12.75" x14ac:dyDescent="0.2"/>
    <row r="39608" ht="12.75" x14ac:dyDescent="0.2"/>
    <row r="39609" ht="12.75" x14ac:dyDescent="0.2"/>
    <row r="39610" ht="12.75" x14ac:dyDescent="0.2"/>
    <row r="39611" ht="12.75" x14ac:dyDescent="0.2"/>
    <row r="39612" ht="12.75" x14ac:dyDescent="0.2"/>
    <row r="39613" ht="12.75" x14ac:dyDescent="0.2"/>
    <row r="39614" ht="12.75" x14ac:dyDescent="0.2"/>
    <row r="39615" ht="12.75" x14ac:dyDescent="0.2"/>
    <row r="39616" ht="12.75" x14ac:dyDescent="0.2"/>
    <row r="39617" ht="12.75" x14ac:dyDescent="0.2"/>
    <row r="39618" ht="12.75" x14ac:dyDescent="0.2"/>
    <row r="39619" ht="12.75" x14ac:dyDescent="0.2"/>
    <row r="39620" ht="12.75" x14ac:dyDescent="0.2"/>
    <row r="39621" ht="12.75" x14ac:dyDescent="0.2"/>
    <row r="39622" ht="12.75" x14ac:dyDescent="0.2"/>
    <row r="39623" ht="12.75" x14ac:dyDescent="0.2"/>
    <row r="39624" ht="12.75" x14ac:dyDescent="0.2"/>
    <row r="39625" ht="12.75" x14ac:dyDescent="0.2"/>
    <row r="39626" ht="12.75" x14ac:dyDescent="0.2"/>
    <row r="39627" ht="12.75" x14ac:dyDescent="0.2"/>
    <row r="39628" ht="12.75" x14ac:dyDescent="0.2"/>
    <row r="39629" ht="12.75" x14ac:dyDescent="0.2"/>
    <row r="39630" ht="12.75" x14ac:dyDescent="0.2"/>
    <row r="39631" ht="12.75" x14ac:dyDescent="0.2"/>
    <row r="39632" ht="12.75" x14ac:dyDescent="0.2"/>
    <row r="39633" ht="12.75" x14ac:dyDescent="0.2"/>
    <row r="39634" ht="12.75" x14ac:dyDescent="0.2"/>
    <row r="39635" ht="12.75" x14ac:dyDescent="0.2"/>
    <row r="39636" ht="12.75" x14ac:dyDescent="0.2"/>
    <row r="39637" ht="12.75" x14ac:dyDescent="0.2"/>
    <row r="39638" ht="12.75" x14ac:dyDescent="0.2"/>
    <row r="39639" ht="12.75" x14ac:dyDescent="0.2"/>
    <row r="39640" ht="12.75" x14ac:dyDescent="0.2"/>
    <row r="39641" ht="12.75" x14ac:dyDescent="0.2"/>
    <row r="39642" ht="12.75" x14ac:dyDescent="0.2"/>
    <row r="39643" ht="12.75" x14ac:dyDescent="0.2"/>
    <row r="39644" ht="12.75" x14ac:dyDescent="0.2"/>
    <row r="39645" ht="12.75" x14ac:dyDescent="0.2"/>
    <row r="39646" ht="12.75" x14ac:dyDescent="0.2"/>
    <row r="39647" ht="12.75" x14ac:dyDescent="0.2"/>
    <row r="39648" ht="12.75" x14ac:dyDescent="0.2"/>
    <row r="39649" ht="12.75" x14ac:dyDescent="0.2"/>
    <row r="39650" ht="12.75" x14ac:dyDescent="0.2"/>
    <row r="39651" ht="12.75" x14ac:dyDescent="0.2"/>
    <row r="39652" ht="12.75" x14ac:dyDescent="0.2"/>
    <row r="39653" ht="12.75" x14ac:dyDescent="0.2"/>
    <row r="39654" ht="12.75" x14ac:dyDescent="0.2"/>
    <row r="39655" ht="12.75" x14ac:dyDescent="0.2"/>
    <row r="39656" ht="12.75" x14ac:dyDescent="0.2"/>
    <row r="39657" ht="12.75" x14ac:dyDescent="0.2"/>
    <row r="39658" ht="12.75" x14ac:dyDescent="0.2"/>
    <row r="39659" ht="12.75" x14ac:dyDescent="0.2"/>
    <row r="39660" ht="12.75" x14ac:dyDescent="0.2"/>
    <row r="39661" ht="12.75" x14ac:dyDescent="0.2"/>
    <row r="39662" ht="12.75" x14ac:dyDescent="0.2"/>
    <row r="39663" ht="12.75" x14ac:dyDescent="0.2"/>
    <row r="39664" ht="12.75" x14ac:dyDescent="0.2"/>
    <row r="39665" ht="12.75" x14ac:dyDescent="0.2"/>
    <row r="39666" ht="12.75" x14ac:dyDescent="0.2"/>
    <row r="39667" ht="12.75" x14ac:dyDescent="0.2"/>
    <row r="39668" ht="12.75" x14ac:dyDescent="0.2"/>
    <row r="39669" ht="12.75" x14ac:dyDescent="0.2"/>
    <row r="39670" ht="12.75" x14ac:dyDescent="0.2"/>
    <row r="39671" ht="12.75" x14ac:dyDescent="0.2"/>
    <row r="39672" ht="12.75" x14ac:dyDescent="0.2"/>
    <row r="39673" ht="12.75" x14ac:dyDescent="0.2"/>
    <row r="39674" ht="12.75" x14ac:dyDescent="0.2"/>
    <row r="39675" ht="12.75" x14ac:dyDescent="0.2"/>
    <row r="39676" ht="12.75" x14ac:dyDescent="0.2"/>
    <row r="39677" ht="12.75" x14ac:dyDescent="0.2"/>
    <row r="39678" ht="12.75" x14ac:dyDescent="0.2"/>
    <row r="39679" ht="12.75" x14ac:dyDescent="0.2"/>
    <row r="39680" ht="12.75" x14ac:dyDescent="0.2"/>
    <row r="39681" ht="12.75" x14ac:dyDescent="0.2"/>
    <row r="39682" ht="12.75" x14ac:dyDescent="0.2"/>
    <row r="39683" ht="12.75" x14ac:dyDescent="0.2"/>
    <row r="39684" ht="12.75" x14ac:dyDescent="0.2"/>
    <row r="39685" ht="12.75" x14ac:dyDescent="0.2"/>
    <row r="39686" ht="12.75" x14ac:dyDescent="0.2"/>
    <row r="39687" ht="12.75" x14ac:dyDescent="0.2"/>
    <row r="39688" ht="12.75" x14ac:dyDescent="0.2"/>
    <row r="39689" ht="12.75" x14ac:dyDescent="0.2"/>
    <row r="39690" ht="12.75" x14ac:dyDescent="0.2"/>
    <row r="39691" ht="12.75" x14ac:dyDescent="0.2"/>
    <row r="39692" ht="12.75" x14ac:dyDescent="0.2"/>
    <row r="39693" ht="12.75" x14ac:dyDescent="0.2"/>
    <row r="39694" ht="12.75" x14ac:dyDescent="0.2"/>
    <row r="39695" ht="12.75" x14ac:dyDescent="0.2"/>
    <row r="39696" ht="12.75" x14ac:dyDescent="0.2"/>
    <row r="39697" ht="12.75" x14ac:dyDescent="0.2"/>
    <row r="39698" ht="12.75" x14ac:dyDescent="0.2"/>
    <row r="39699" ht="12.75" x14ac:dyDescent="0.2"/>
    <row r="39700" ht="12.75" x14ac:dyDescent="0.2"/>
    <row r="39701" ht="12.75" x14ac:dyDescent="0.2"/>
    <row r="39702" ht="12.75" x14ac:dyDescent="0.2"/>
    <row r="39703" ht="12.75" x14ac:dyDescent="0.2"/>
    <row r="39704" ht="12.75" x14ac:dyDescent="0.2"/>
    <row r="39705" ht="12.75" x14ac:dyDescent="0.2"/>
    <row r="39706" ht="12.75" x14ac:dyDescent="0.2"/>
    <row r="39707" ht="12.75" x14ac:dyDescent="0.2"/>
    <row r="39708" ht="12.75" x14ac:dyDescent="0.2"/>
    <row r="39709" ht="12.75" x14ac:dyDescent="0.2"/>
    <row r="39710" ht="12.75" x14ac:dyDescent="0.2"/>
    <row r="39711" ht="12.75" x14ac:dyDescent="0.2"/>
    <row r="39712" ht="12.75" x14ac:dyDescent="0.2"/>
    <row r="39713" ht="12.75" x14ac:dyDescent="0.2"/>
    <row r="39714" ht="12.75" x14ac:dyDescent="0.2"/>
    <row r="39715" ht="12.75" x14ac:dyDescent="0.2"/>
    <row r="39716" ht="12.75" x14ac:dyDescent="0.2"/>
    <row r="39717" ht="12.75" x14ac:dyDescent="0.2"/>
    <row r="39718" ht="12.75" x14ac:dyDescent="0.2"/>
    <row r="39719" ht="12.75" x14ac:dyDescent="0.2"/>
    <row r="39720" ht="12.75" x14ac:dyDescent="0.2"/>
    <row r="39721" ht="12.75" x14ac:dyDescent="0.2"/>
    <row r="39722" ht="12.75" x14ac:dyDescent="0.2"/>
    <row r="39723" ht="12.75" x14ac:dyDescent="0.2"/>
    <row r="39724" ht="12.75" x14ac:dyDescent="0.2"/>
    <row r="39725" ht="12.75" x14ac:dyDescent="0.2"/>
    <row r="39726" ht="12.75" x14ac:dyDescent="0.2"/>
    <row r="39727" ht="12.75" x14ac:dyDescent="0.2"/>
    <row r="39728" ht="12.75" x14ac:dyDescent="0.2"/>
    <row r="39729" ht="12.75" x14ac:dyDescent="0.2"/>
    <row r="39730" ht="12.75" x14ac:dyDescent="0.2"/>
    <row r="39731" ht="12.75" x14ac:dyDescent="0.2"/>
    <row r="39732" ht="12.75" x14ac:dyDescent="0.2"/>
    <row r="39733" ht="12.75" x14ac:dyDescent="0.2"/>
    <row r="39734" ht="12.75" x14ac:dyDescent="0.2"/>
    <row r="39735" ht="12.75" x14ac:dyDescent="0.2"/>
    <row r="39736" ht="12.75" x14ac:dyDescent="0.2"/>
    <row r="39737" ht="12.75" x14ac:dyDescent="0.2"/>
    <row r="39738" ht="12.75" x14ac:dyDescent="0.2"/>
    <row r="39739" ht="12.75" x14ac:dyDescent="0.2"/>
    <row r="39740" ht="12.75" x14ac:dyDescent="0.2"/>
    <row r="39741" ht="12.75" x14ac:dyDescent="0.2"/>
    <row r="39742" ht="12.75" x14ac:dyDescent="0.2"/>
    <row r="39743" ht="12.75" x14ac:dyDescent="0.2"/>
    <row r="39744" ht="12.75" x14ac:dyDescent="0.2"/>
    <row r="39745" ht="12.75" x14ac:dyDescent="0.2"/>
    <row r="39746" ht="12.75" x14ac:dyDescent="0.2"/>
    <row r="39747" ht="12.75" x14ac:dyDescent="0.2"/>
    <row r="39748" ht="12.75" x14ac:dyDescent="0.2"/>
    <row r="39749" ht="12.75" x14ac:dyDescent="0.2"/>
    <row r="39750" ht="12.75" x14ac:dyDescent="0.2"/>
    <row r="39751" ht="12.75" x14ac:dyDescent="0.2"/>
    <row r="39752" ht="12.75" x14ac:dyDescent="0.2"/>
    <row r="39753" ht="12.75" x14ac:dyDescent="0.2"/>
    <row r="39754" ht="12.75" x14ac:dyDescent="0.2"/>
    <row r="39755" ht="12.75" x14ac:dyDescent="0.2"/>
    <row r="39756" ht="12.75" x14ac:dyDescent="0.2"/>
    <row r="39757" ht="12.75" x14ac:dyDescent="0.2"/>
    <row r="39758" ht="12.75" x14ac:dyDescent="0.2"/>
    <row r="39759" ht="12.75" x14ac:dyDescent="0.2"/>
    <row r="39760" ht="12.75" x14ac:dyDescent="0.2"/>
    <row r="39761" ht="12.75" x14ac:dyDescent="0.2"/>
    <row r="39762" ht="12.75" x14ac:dyDescent="0.2"/>
    <row r="39763" ht="12.75" x14ac:dyDescent="0.2"/>
    <row r="39764" ht="12.75" x14ac:dyDescent="0.2"/>
    <row r="39765" ht="12.75" x14ac:dyDescent="0.2"/>
    <row r="39766" ht="12.75" x14ac:dyDescent="0.2"/>
    <row r="39767" ht="12.75" x14ac:dyDescent="0.2"/>
    <row r="39768" ht="12.75" x14ac:dyDescent="0.2"/>
    <row r="39769" ht="12.75" x14ac:dyDescent="0.2"/>
    <row r="39770" ht="12.75" x14ac:dyDescent="0.2"/>
    <row r="39771" ht="12.75" x14ac:dyDescent="0.2"/>
    <row r="39772" ht="12.75" x14ac:dyDescent="0.2"/>
    <row r="39773" ht="12.75" x14ac:dyDescent="0.2"/>
    <row r="39774" ht="12.75" x14ac:dyDescent="0.2"/>
    <row r="39775" ht="12.75" x14ac:dyDescent="0.2"/>
    <row r="39776" ht="12.75" x14ac:dyDescent="0.2"/>
    <row r="39777" ht="12.75" x14ac:dyDescent="0.2"/>
    <row r="39778" ht="12.75" x14ac:dyDescent="0.2"/>
    <row r="39779" ht="12.75" x14ac:dyDescent="0.2"/>
    <row r="39780" ht="12.75" x14ac:dyDescent="0.2"/>
    <row r="39781" ht="12.75" x14ac:dyDescent="0.2"/>
    <row r="39782" ht="12.75" x14ac:dyDescent="0.2"/>
    <row r="39783" ht="12.75" x14ac:dyDescent="0.2"/>
    <row r="39784" ht="12.75" x14ac:dyDescent="0.2"/>
    <row r="39785" ht="12.75" x14ac:dyDescent="0.2"/>
    <row r="39786" ht="12.75" x14ac:dyDescent="0.2"/>
    <row r="39787" ht="12.75" x14ac:dyDescent="0.2"/>
    <row r="39788" ht="12.75" x14ac:dyDescent="0.2"/>
    <row r="39789" ht="12.75" x14ac:dyDescent="0.2"/>
    <row r="39790" ht="12.75" x14ac:dyDescent="0.2"/>
    <row r="39791" ht="12.75" x14ac:dyDescent="0.2"/>
    <row r="39792" ht="12.75" x14ac:dyDescent="0.2"/>
    <row r="39793" ht="12.75" x14ac:dyDescent="0.2"/>
    <row r="39794" ht="12.75" x14ac:dyDescent="0.2"/>
    <row r="39795" ht="12.75" x14ac:dyDescent="0.2"/>
    <row r="39796" ht="12.75" x14ac:dyDescent="0.2"/>
    <row r="39797" ht="12.75" x14ac:dyDescent="0.2"/>
    <row r="39798" ht="12.75" x14ac:dyDescent="0.2"/>
    <row r="39799" ht="12.75" x14ac:dyDescent="0.2"/>
    <row r="39800" ht="12.75" x14ac:dyDescent="0.2"/>
    <row r="39801" ht="12.75" x14ac:dyDescent="0.2"/>
    <row r="39802" ht="12.75" x14ac:dyDescent="0.2"/>
    <row r="39803" ht="12.75" x14ac:dyDescent="0.2"/>
    <row r="39804" ht="12.75" x14ac:dyDescent="0.2"/>
    <row r="39805" ht="12.75" x14ac:dyDescent="0.2"/>
    <row r="39806" ht="12.75" x14ac:dyDescent="0.2"/>
    <row r="39807" ht="12.75" x14ac:dyDescent="0.2"/>
    <row r="39808" ht="12.75" x14ac:dyDescent="0.2"/>
    <row r="39809" ht="12.75" x14ac:dyDescent="0.2"/>
    <row r="39810" ht="12.75" x14ac:dyDescent="0.2"/>
    <row r="39811" ht="12.75" x14ac:dyDescent="0.2"/>
    <row r="39812" ht="12.75" x14ac:dyDescent="0.2"/>
    <row r="39813" ht="12.75" x14ac:dyDescent="0.2"/>
    <row r="39814" ht="12.75" x14ac:dyDescent="0.2"/>
    <row r="39815" ht="12.75" x14ac:dyDescent="0.2"/>
    <row r="39816" ht="12.75" x14ac:dyDescent="0.2"/>
    <row r="39817" ht="12.75" x14ac:dyDescent="0.2"/>
    <row r="39818" ht="12.75" x14ac:dyDescent="0.2"/>
    <row r="39819" ht="12.75" x14ac:dyDescent="0.2"/>
    <row r="39820" ht="12.75" x14ac:dyDescent="0.2"/>
    <row r="39821" ht="12.75" x14ac:dyDescent="0.2"/>
    <row r="39822" ht="12.75" x14ac:dyDescent="0.2"/>
    <row r="39823" ht="12.75" x14ac:dyDescent="0.2"/>
    <row r="39824" ht="12.75" x14ac:dyDescent="0.2"/>
    <row r="39825" ht="12.75" x14ac:dyDescent="0.2"/>
    <row r="39826" ht="12.75" x14ac:dyDescent="0.2"/>
    <row r="39827" ht="12.75" x14ac:dyDescent="0.2"/>
    <row r="39828" ht="12.75" x14ac:dyDescent="0.2"/>
    <row r="39829" ht="12.75" x14ac:dyDescent="0.2"/>
    <row r="39830" ht="12.75" x14ac:dyDescent="0.2"/>
    <row r="39831" ht="12.75" x14ac:dyDescent="0.2"/>
    <row r="39832" ht="12.75" x14ac:dyDescent="0.2"/>
    <row r="39833" ht="12.75" x14ac:dyDescent="0.2"/>
    <row r="39834" ht="12.75" x14ac:dyDescent="0.2"/>
    <row r="39835" ht="12.75" x14ac:dyDescent="0.2"/>
    <row r="39836" ht="12.75" x14ac:dyDescent="0.2"/>
    <row r="39837" ht="12.75" x14ac:dyDescent="0.2"/>
    <row r="39838" ht="12.75" x14ac:dyDescent="0.2"/>
    <row r="39839" ht="12.75" x14ac:dyDescent="0.2"/>
    <row r="39840" ht="12.75" x14ac:dyDescent="0.2"/>
    <row r="39841" ht="12.75" x14ac:dyDescent="0.2"/>
    <row r="39842" ht="12.75" x14ac:dyDescent="0.2"/>
    <row r="39843" ht="12.75" x14ac:dyDescent="0.2"/>
    <row r="39844" ht="12.75" x14ac:dyDescent="0.2"/>
    <row r="39845" ht="12.75" x14ac:dyDescent="0.2"/>
    <row r="39846" ht="12.75" x14ac:dyDescent="0.2"/>
    <row r="39847" ht="12.75" x14ac:dyDescent="0.2"/>
    <row r="39848" ht="12.75" x14ac:dyDescent="0.2"/>
    <row r="39849" ht="12.75" x14ac:dyDescent="0.2"/>
    <row r="39850" ht="12.75" x14ac:dyDescent="0.2"/>
    <row r="39851" ht="12.75" x14ac:dyDescent="0.2"/>
    <row r="39852" ht="12.75" x14ac:dyDescent="0.2"/>
    <row r="39853" ht="12.75" x14ac:dyDescent="0.2"/>
    <row r="39854" ht="12.75" x14ac:dyDescent="0.2"/>
    <row r="39855" ht="12.75" x14ac:dyDescent="0.2"/>
    <row r="39856" ht="12.75" x14ac:dyDescent="0.2"/>
    <row r="39857" ht="12.75" x14ac:dyDescent="0.2"/>
    <row r="39858" ht="12.75" x14ac:dyDescent="0.2"/>
    <row r="39859" ht="12.75" x14ac:dyDescent="0.2"/>
    <row r="39860" ht="12.75" x14ac:dyDescent="0.2"/>
    <row r="39861" ht="12.75" x14ac:dyDescent="0.2"/>
    <row r="39862" ht="12.75" x14ac:dyDescent="0.2"/>
    <row r="39863" ht="12.75" x14ac:dyDescent="0.2"/>
    <row r="39864" ht="12.75" x14ac:dyDescent="0.2"/>
    <row r="39865" ht="12.75" x14ac:dyDescent="0.2"/>
    <row r="39866" ht="12.75" x14ac:dyDescent="0.2"/>
    <row r="39867" ht="12.75" x14ac:dyDescent="0.2"/>
    <row r="39868" ht="12.75" x14ac:dyDescent="0.2"/>
    <row r="39869" ht="12.75" x14ac:dyDescent="0.2"/>
    <row r="39870" ht="12.75" x14ac:dyDescent="0.2"/>
    <row r="39871" ht="12.75" x14ac:dyDescent="0.2"/>
    <row r="39872" ht="12.75" x14ac:dyDescent="0.2"/>
    <row r="39873" ht="12.75" x14ac:dyDescent="0.2"/>
    <row r="39874" ht="12.75" x14ac:dyDescent="0.2"/>
    <row r="39875" ht="12.75" x14ac:dyDescent="0.2"/>
    <row r="39876" ht="12.75" x14ac:dyDescent="0.2"/>
    <row r="39877" ht="12.75" x14ac:dyDescent="0.2"/>
    <row r="39878" ht="12.75" x14ac:dyDescent="0.2"/>
    <row r="39879" ht="12.75" x14ac:dyDescent="0.2"/>
    <row r="39880" ht="12.75" x14ac:dyDescent="0.2"/>
    <row r="39881" ht="12.75" x14ac:dyDescent="0.2"/>
    <row r="39882" ht="12.75" x14ac:dyDescent="0.2"/>
    <row r="39883" ht="12.75" x14ac:dyDescent="0.2"/>
    <row r="39884" ht="12.75" x14ac:dyDescent="0.2"/>
    <row r="39885" ht="12.75" x14ac:dyDescent="0.2"/>
    <row r="39886" ht="12.75" x14ac:dyDescent="0.2"/>
    <row r="39887" ht="12.75" x14ac:dyDescent="0.2"/>
    <row r="39888" ht="12.75" x14ac:dyDescent="0.2"/>
    <row r="39889" ht="12.75" x14ac:dyDescent="0.2"/>
    <row r="39890" ht="12.75" x14ac:dyDescent="0.2"/>
    <row r="39891" ht="12.75" x14ac:dyDescent="0.2"/>
    <row r="39892" ht="12.75" x14ac:dyDescent="0.2"/>
    <row r="39893" ht="12.75" x14ac:dyDescent="0.2"/>
    <row r="39894" ht="12.75" x14ac:dyDescent="0.2"/>
    <row r="39895" ht="12.75" x14ac:dyDescent="0.2"/>
    <row r="39896" ht="12.75" x14ac:dyDescent="0.2"/>
    <row r="39897" ht="12.75" x14ac:dyDescent="0.2"/>
    <row r="39898" ht="12.75" x14ac:dyDescent="0.2"/>
    <row r="39899" ht="12.75" x14ac:dyDescent="0.2"/>
    <row r="39900" ht="12.75" x14ac:dyDescent="0.2"/>
    <row r="39901" ht="12.75" x14ac:dyDescent="0.2"/>
    <row r="39902" ht="12.75" x14ac:dyDescent="0.2"/>
    <row r="39903" ht="12.75" x14ac:dyDescent="0.2"/>
    <row r="39904" ht="12.75" x14ac:dyDescent="0.2"/>
    <row r="39905" ht="12.75" x14ac:dyDescent="0.2"/>
    <row r="39906" ht="12.75" x14ac:dyDescent="0.2"/>
    <row r="39907" ht="12.75" x14ac:dyDescent="0.2"/>
    <row r="39908" ht="12.75" x14ac:dyDescent="0.2"/>
    <row r="39909" ht="12.75" x14ac:dyDescent="0.2"/>
    <row r="39910" ht="12.75" x14ac:dyDescent="0.2"/>
    <row r="39911" ht="12.75" x14ac:dyDescent="0.2"/>
    <row r="39912" ht="12.75" x14ac:dyDescent="0.2"/>
    <row r="39913" ht="12.75" x14ac:dyDescent="0.2"/>
    <row r="39914" ht="12.75" x14ac:dyDescent="0.2"/>
    <row r="39915" ht="12.75" x14ac:dyDescent="0.2"/>
    <row r="39916" ht="12.75" x14ac:dyDescent="0.2"/>
    <row r="39917" ht="12.75" x14ac:dyDescent="0.2"/>
    <row r="39918" ht="12.75" x14ac:dyDescent="0.2"/>
    <row r="39919" ht="12.75" x14ac:dyDescent="0.2"/>
    <row r="39920" ht="12.75" x14ac:dyDescent="0.2"/>
    <row r="39921" ht="12.75" x14ac:dyDescent="0.2"/>
    <row r="39922" ht="12.75" x14ac:dyDescent="0.2"/>
    <row r="39923" ht="12.75" x14ac:dyDescent="0.2"/>
    <row r="39924" ht="12.75" x14ac:dyDescent="0.2"/>
    <row r="39925" ht="12.75" x14ac:dyDescent="0.2"/>
    <row r="39926" ht="12.75" x14ac:dyDescent="0.2"/>
    <row r="39927" ht="12.75" x14ac:dyDescent="0.2"/>
    <row r="39928" ht="12.75" x14ac:dyDescent="0.2"/>
    <row r="39929" ht="12.75" x14ac:dyDescent="0.2"/>
    <row r="39930" ht="12.75" x14ac:dyDescent="0.2"/>
    <row r="39931" ht="12.75" x14ac:dyDescent="0.2"/>
    <row r="39932" ht="12.75" x14ac:dyDescent="0.2"/>
    <row r="39933" ht="12.75" x14ac:dyDescent="0.2"/>
    <row r="39934" ht="12.75" x14ac:dyDescent="0.2"/>
    <row r="39935" ht="12.75" x14ac:dyDescent="0.2"/>
    <row r="39936" ht="12.75" x14ac:dyDescent="0.2"/>
    <row r="39937" ht="12.75" x14ac:dyDescent="0.2"/>
    <row r="39938" ht="12.75" x14ac:dyDescent="0.2"/>
    <row r="39939" ht="12.75" x14ac:dyDescent="0.2"/>
    <row r="39940" ht="12.75" x14ac:dyDescent="0.2"/>
    <row r="39941" ht="12.75" x14ac:dyDescent="0.2"/>
    <row r="39942" ht="12.75" x14ac:dyDescent="0.2"/>
    <row r="39943" ht="12.75" x14ac:dyDescent="0.2"/>
    <row r="39944" ht="12.75" x14ac:dyDescent="0.2"/>
    <row r="39945" ht="12.75" x14ac:dyDescent="0.2"/>
    <row r="39946" ht="12.75" x14ac:dyDescent="0.2"/>
    <row r="39947" ht="12.75" x14ac:dyDescent="0.2"/>
    <row r="39948" ht="12.75" x14ac:dyDescent="0.2"/>
    <row r="39949" ht="12.75" x14ac:dyDescent="0.2"/>
    <row r="39950" ht="12.75" x14ac:dyDescent="0.2"/>
    <row r="39951" ht="12.75" x14ac:dyDescent="0.2"/>
    <row r="39952" ht="12.75" x14ac:dyDescent="0.2"/>
    <row r="39953" ht="12.75" x14ac:dyDescent="0.2"/>
    <row r="39954" ht="12.75" x14ac:dyDescent="0.2"/>
    <row r="39955" ht="12.75" x14ac:dyDescent="0.2"/>
    <row r="39956" ht="12.75" x14ac:dyDescent="0.2"/>
    <row r="39957" ht="12.75" x14ac:dyDescent="0.2"/>
    <row r="39958" ht="12.75" x14ac:dyDescent="0.2"/>
    <row r="39959" ht="12.75" x14ac:dyDescent="0.2"/>
    <row r="39960" ht="12.75" x14ac:dyDescent="0.2"/>
    <row r="39961" ht="12.75" x14ac:dyDescent="0.2"/>
    <row r="39962" ht="12.75" x14ac:dyDescent="0.2"/>
    <row r="39963" ht="12.75" x14ac:dyDescent="0.2"/>
    <row r="39964" ht="12.75" x14ac:dyDescent="0.2"/>
    <row r="39965" ht="12.75" x14ac:dyDescent="0.2"/>
    <row r="39966" ht="12.75" x14ac:dyDescent="0.2"/>
    <row r="39967" ht="12.75" x14ac:dyDescent="0.2"/>
    <row r="39968" ht="12.75" x14ac:dyDescent="0.2"/>
    <row r="39969" ht="12.75" x14ac:dyDescent="0.2"/>
    <row r="39970" ht="12.75" x14ac:dyDescent="0.2"/>
    <row r="39971" ht="12.75" x14ac:dyDescent="0.2"/>
    <row r="39972" ht="12.75" x14ac:dyDescent="0.2"/>
    <row r="39973" ht="12.75" x14ac:dyDescent="0.2"/>
    <row r="39974" ht="12.75" x14ac:dyDescent="0.2"/>
    <row r="39975" ht="12.75" x14ac:dyDescent="0.2"/>
    <row r="39976" ht="12.75" x14ac:dyDescent="0.2"/>
    <row r="39977" ht="12.75" x14ac:dyDescent="0.2"/>
    <row r="39978" ht="12.75" x14ac:dyDescent="0.2"/>
    <row r="39979" ht="12.75" x14ac:dyDescent="0.2"/>
    <row r="39980" ht="12.75" x14ac:dyDescent="0.2"/>
    <row r="39981" ht="12.75" x14ac:dyDescent="0.2"/>
    <row r="39982" ht="12.75" x14ac:dyDescent="0.2"/>
    <row r="39983" ht="12.75" x14ac:dyDescent="0.2"/>
    <row r="39984" ht="12.75" x14ac:dyDescent="0.2"/>
    <row r="39985" ht="12.75" x14ac:dyDescent="0.2"/>
    <row r="39986" ht="12.75" x14ac:dyDescent="0.2"/>
    <row r="39987" ht="12.75" x14ac:dyDescent="0.2"/>
    <row r="39988" ht="12.75" x14ac:dyDescent="0.2"/>
    <row r="39989" ht="12.75" x14ac:dyDescent="0.2"/>
    <row r="39990" ht="12.75" x14ac:dyDescent="0.2"/>
    <row r="39991" ht="12.75" x14ac:dyDescent="0.2"/>
    <row r="39992" ht="12.75" x14ac:dyDescent="0.2"/>
    <row r="39993" ht="12.75" x14ac:dyDescent="0.2"/>
    <row r="39994" ht="12.75" x14ac:dyDescent="0.2"/>
    <row r="39995" ht="12.75" x14ac:dyDescent="0.2"/>
    <row r="39996" ht="12.75" x14ac:dyDescent="0.2"/>
    <row r="39997" ht="12.75" x14ac:dyDescent="0.2"/>
    <row r="39998" ht="12.75" x14ac:dyDescent="0.2"/>
    <row r="39999" ht="12.75" x14ac:dyDescent="0.2"/>
    <row r="40000" ht="12.75" x14ac:dyDescent="0.2"/>
    <row r="40001" ht="12.75" x14ac:dyDescent="0.2"/>
    <row r="40002" ht="12.75" x14ac:dyDescent="0.2"/>
    <row r="40003" ht="12.75" x14ac:dyDescent="0.2"/>
    <row r="40004" ht="12.75" x14ac:dyDescent="0.2"/>
    <row r="40005" ht="12.75" x14ac:dyDescent="0.2"/>
    <row r="40006" ht="12.75" x14ac:dyDescent="0.2"/>
    <row r="40007" ht="12.75" x14ac:dyDescent="0.2"/>
    <row r="40008" ht="12.75" x14ac:dyDescent="0.2"/>
    <row r="40009" ht="12.75" x14ac:dyDescent="0.2"/>
    <row r="40010" ht="12.75" x14ac:dyDescent="0.2"/>
    <row r="40011" ht="12.75" x14ac:dyDescent="0.2"/>
    <row r="40012" ht="12.75" x14ac:dyDescent="0.2"/>
    <row r="40013" ht="12.75" x14ac:dyDescent="0.2"/>
    <row r="40014" ht="12.75" x14ac:dyDescent="0.2"/>
    <row r="40015" ht="12.75" x14ac:dyDescent="0.2"/>
    <row r="40016" ht="12.75" x14ac:dyDescent="0.2"/>
    <row r="40017" ht="12.75" x14ac:dyDescent="0.2"/>
    <row r="40018" ht="12.75" x14ac:dyDescent="0.2"/>
    <row r="40019" ht="12.75" x14ac:dyDescent="0.2"/>
    <row r="40020" ht="12.75" x14ac:dyDescent="0.2"/>
    <row r="40021" ht="12.75" x14ac:dyDescent="0.2"/>
    <row r="40022" ht="12.75" x14ac:dyDescent="0.2"/>
    <row r="40023" ht="12.75" x14ac:dyDescent="0.2"/>
    <row r="40024" ht="12.75" x14ac:dyDescent="0.2"/>
    <row r="40025" ht="12.75" x14ac:dyDescent="0.2"/>
    <row r="40026" ht="12.75" x14ac:dyDescent="0.2"/>
    <row r="40027" ht="12.75" x14ac:dyDescent="0.2"/>
    <row r="40028" ht="12.75" x14ac:dyDescent="0.2"/>
    <row r="40029" ht="12.75" x14ac:dyDescent="0.2"/>
    <row r="40030" ht="12.75" x14ac:dyDescent="0.2"/>
    <row r="40031" ht="12.75" x14ac:dyDescent="0.2"/>
    <row r="40032" ht="12.75" x14ac:dyDescent="0.2"/>
    <row r="40033" ht="12.75" x14ac:dyDescent="0.2"/>
    <row r="40034" ht="12.75" x14ac:dyDescent="0.2"/>
    <row r="40035" ht="12.75" x14ac:dyDescent="0.2"/>
    <row r="40036" ht="12.75" x14ac:dyDescent="0.2"/>
    <row r="40037" ht="12.75" x14ac:dyDescent="0.2"/>
    <row r="40038" ht="12.75" x14ac:dyDescent="0.2"/>
    <row r="40039" ht="12.75" x14ac:dyDescent="0.2"/>
    <row r="40040" ht="12.75" x14ac:dyDescent="0.2"/>
    <row r="40041" ht="12.75" x14ac:dyDescent="0.2"/>
    <row r="40042" ht="12.75" x14ac:dyDescent="0.2"/>
    <row r="40043" ht="12.75" x14ac:dyDescent="0.2"/>
    <row r="40044" ht="12.75" x14ac:dyDescent="0.2"/>
    <row r="40045" ht="12.75" x14ac:dyDescent="0.2"/>
    <row r="40046" ht="12.75" x14ac:dyDescent="0.2"/>
    <row r="40047" ht="12.75" x14ac:dyDescent="0.2"/>
    <row r="40048" ht="12.75" x14ac:dyDescent="0.2"/>
    <row r="40049" ht="12.75" x14ac:dyDescent="0.2"/>
    <row r="40050" ht="12.75" x14ac:dyDescent="0.2"/>
    <row r="40051" ht="12.75" x14ac:dyDescent="0.2"/>
    <row r="40052" ht="12.75" x14ac:dyDescent="0.2"/>
    <row r="40053" ht="12.75" x14ac:dyDescent="0.2"/>
    <row r="40054" ht="12.75" x14ac:dyDescent="0.2"/>
    <row r="40055" ht="12.75" x14ac:dyDescent="0.2"/>
    <row r="40056" ht="12.75" x14ac:dyDescent="0.2"/>
    <row r="40057" ht="12.75" x14ac:dyDescent="0.2"/>
    <row r="40058" ht="12.75" x14ac:dyDescent="0.2"/>
    <row r="40059" ht="12.75" x14ac:dyDescent="0.2"/>
    <row r="40060" ht="12.75" x14ac:dyDescent="0.2"/>
    <row r="40061" ht="12.75" x14ac:dyDescent="0.2"/>
    <row r="40062" ht="12.75" x14ac:dyDescent="0.2"/>
    <row r="40063" ht="12.75" x14ac:dyDescent="0.2"/>
    <row r="40064" ht="12.75" x14ac:dyDescent="0.2"/>
    <row r="40065" ht="12.75" x14ac:dyDescent="0.2"/>
    <row r="40066" ht="12.75" x14ac:dyDescent="0.2"/>
    <row r="40067" ht="12.75" x14ac:dyDescent="0.2"/>
    <row r="40068" ht="12.75" x14ac:dyDescent="0.2"/>
    <row r="40069" ht="12.75" x14ac:dyDescent="0.2"/>
    <row r="40070" ht="12.75" x14ac:dyDescent="0.2"/>
    <row r="40071" ht="12.75" x14ac:dyDescent="0.2"/>
    <row r="40072" ht="12.75" x14ac:dyDescent="0.2"/>
    <row r="40073" ht="12.75" x14ac:dyDescent="0.2"/>
    <row r="40074" ht="12.75" x14ac:dyDescent="0.2"/>
    <row r="40075" ht="12.75" x14ac:dyDescent="0.2"/>
    <row r="40076" ht="12.75" x14ac:dyDescent="0.2"/>
    <row r="40077" ht="12.75" x14ac:dyDescent="0.2"/>
    <row r="40078" ht="12.75" x14ac:dyDescent="0.2"/>
    <row r="40079" ht="12.75" x14ac:dyDescent="0.2"/>
    <row r="40080" ht="12.75" x14ac:dyDescent="0.2"/>
    <row r="40081" ht="12.75" x14ac:dyDescent="0.2"/>
    <row r="40082" ht="12.75" x14ac:dyDescent="0.2"/>
    <row r="40083" ht="12.75" x14ac:dyDescent="0.2"/>
    <row r="40084" ht="12.75" x14ac:dyDescent="0.2"/>
    <row r="40085" ht="12.75" x14ac:dyDescent="0.2"/>
    <row r="40086" ht="12.75" x14ac:dyDescent="0.2"/>
    <row r="40087" ht="12.75" x14ac:dyDescent="0.2"/>
    <row r="40088" ht="12.75" x14ac:dyDescent="0.2"/>
    <row r="40089" ht="12.75" x14ac:dyDescent="0.2"/>
    <row r="40090" ht="12.75" x14ac:dyDescent="0.2"/>
    <row r="40091" ht="12.75" x14ac:dyDescent="0.2"/>
    <row r="40092" ht="12.75" x14ac:dyDescent="0.2"/>
    <row r="40093" ht="12.75" x14ac:dyDescent="0.2"/>
    <row r="40094" ht="12.75" x14ac:dyDescent="0.2"/>
    <row r="40095" ht="12.75" x14ac:dyDescent="0.2"/>
    <row r="40096" ht="12.75" x14ac:dyDescent="0.2"/>
    <row r="40097" ht="12.75" x14ac:dyDescent="0.2"/>
    <row r="40098" ht="12.75" x14ac:dyDescent="0.2"/>
    <row r="40099" ht="12.75" x14ac:dyDescent="0.2"/>
    <row r="40100" ht="12.75" x14ac:dyDescent="0.2"/>
    <row r="40101" ht="12.75" x14ac:dyDescent="0.2"/>
    <row r="40102" ht="12.75" x14ac:dyDescent="0.2"/>
    <row r="40103" ht="12.75" x14ac:dyDescent="0.2"/>
    <row r="40104" ht="12.75" x14ac:dyDescent="0.2"/>
    <row r="40105" ht="12.75" x14ac:dyDescent="0.2"/>
    <row r="40106" ht="12.75" x14ac:dyDescent="0.2"/>
    <row r="40107" ht="12.75" x14ac:dyDescent="0.2"/>
    <row r="40108" ht="12.75" x14ac:dyDescent="0.2"/>
    <row r="40109" ht="12.75" x14ac:dyDescent="0.2"/>
    <row r="40110" ht="12.75" x14ac:dyDescent="0.2"/>
    <row r="40111" ht="12.75" x14ac:dyDescent="0.2"/>
    <row r="40112" ht="12.75" x14ac:dyDescent="0.2"/>
    <row r="40113" ht="12.75" x14ac:dyDescent="0.2"/>
    <row r="40114" ht="12.75" x14ac:dyDescent="0.2"/>
    <row r="40115" ht="12.75" x14ac:dyDescent="0.2"/>
    <row r="40116" ht="12.75" x14ac:dyDescent="0.2"/>
    <row r="40117" ht="12.75" x14ac:dyDescent="0.2"/>
    <row r="40118" ht="12.75" x14ac:dyDescent="0.2"/>
    <row r="40119" ht="12.75" x14ac:dyDescent="0.2"/>
    <row r="40120" ht="12.75" x14ac:dyDescent="0.2"/>
    <row r="40121" ht="12.75" x14ac:dyDescent="0.2"/>
    <row r="40122" ht="12.75" x14ac:dyDescent="0.2"/>
    <row r="40123" ht="12.75" x14ac:dyDescent="0.2"/>
    <row r="40124" ht="12.75" x14ac:dyDescent="0.2"/>
    <row r="40125" ht="12.75" x14ac:dyDescent="0.2"/>
    <row r="40126" ht="12.75" x14ac:dyDescent="0.2"/>
    <row r="40127" ht="12.75" x14ac:dyDescent="0.2"/>
    <row r="40128" ht="12.75" x14ac:dyDescent="0.2"/>
    <row r="40129" ht="12.75" x14ac:dyDescent="0.2"/>
    <row r="40130" ht="12.75" x14ac:dyDescent="0.2"/>
    <row r="40131" ht="12.75" x14ac:dyDescent="0.2"/>
    <row r="40132" ht="12.75" x14ac:dyDescent="0.2"/>
    <row r="40133" ht="12.75" x14ac:dyDescent="0.2"/>
    <row r="40134" ht="12.75" x14ac:dyDescent="0.2"/>
    <row r="40135" ht="12.75" x14ac:dyDescent="0.2"/>
    <row r="40136" ht="12.75" x14ac:dyDescent="0.2"/>
    <row r="40137" ht="12.75" x14ac:dyDescent="0.2"/>
    <row r="40138" ht="12.75" x14ac:dyDescent="0.2"/>
    <row r="40139" ht="12.75" x14ac:dyDescent="0.2"/>
    <row r="40140" ht="12.75" x14ac:dyDescent="0.2"/>
    <row r="40141" ht="12.75" x14ac:dyDescent="0.2"/>
    <row r="40142" ht="12.75" x14ac:dyDescent="0.2"/>
    <row r="40143" ht="12.75" x14ac:dyDescent="0.2"/>
    <row r="40144" ht="12.75" x14ac:dyDescent="0.2"/>
    <row r="40145" ht="12.75" x14ac:dyDescent="0.2"/>
    <row r="40146" ht="12.75" x14ac:dyDescent="0.2"/>
    <row r="40147" ht="12.75" x14ac:dyDescent="0.2"/>
    <row r="40148" ht="12.75" x14ac:dyDescent="0.2"/>
    <row r="40149" ht="12.75" x14ac:dyDescent="0.2"/>
    <row r="40150" ht="12.75" x14ac:dyDescent="0.2"/>
    <row r="40151" ht="12.75" x14ac:dyDescent="0.2"/>
    <row r="40152" ht="12.75" x14ac:dyDescent="0.2"/>
    <row r="40153" ht="12.75" x14ac:dyDescent="0.2"/>
    <row r="40154" ht="12.75" x14ac:dyDescent="0.2"/>
    <row r="40155" ht="12.75" x14ac:dyDescent="0.2"/>
    <row r="40156" ht="12.75" x14ac:dyDescent="0.2"/>
    <row r="40157" ht="12.75" x14ac:dyDescent="0.2"/>
    <row r="40158" ht="12.75" x14ac:dyDescent="0.2"/>
    <row r="40159" ht="12.75" x14ac:dyDescent="0.2"/>
    <row r="40160" ht="12.75" x14ac:dyDescent="0.2"/>
    <row r="40161" ht="12.75" x14ac:dyDescent="0.2"/>
    <row r="40162" ht="12.75" x14ac:dyDescent="0.2"/>
    <row r="40163" ht="12.75" x14ac:dyDescent="0.2"/>
    <row r="40164" ht="12.75" x14ac:dyDescent="0.2"/>
    <row r="40165" ht="12.75" x14ac:dyDescent="0.2"/>
    <row r="40166" ht="12.75" x14ac:dyDescent="0.2"/>
    <row r="40167" ht="12.75" x14ac:dyDescent="0.2"/>
    <row r="40168" ht="12.75" x14ac:dyDescent="0.2"/>
    <row r="40169" ht="12.75" x14ac:dyDescent="0.2"/>
    <row r="40170" ht="12.75" x14ac:dyDescent="0.2"/>
    <row r="40171" ht="12.75" x14ac:dyDescent="0.2"/>
    <row r="40172" ht="12.75" x14ac:dyDescent="0.2"/>
    <row r="40173" ht="12.75" x14ac:dyDescent="0.2"/>
    <row r="40174" ht="12.75" x14ac:dyDescent="0.2"/>
    <row r="40175" ht="12.75" x14ac:dyDescent="0.2"/>
    <row r="40176" ht="12.75" x14ac:dyDescent="0.2"/>
    <row r="40177" ht="12.75" x14ac:dyDescent="0.2"/>
    <row r="40178" ht="12.75" x14ac:dyDescent="0.2"/>
    <row r="40179" ht="12.75" x14ac:dyDescent="0.2"/>
    <row r="40180" ht="12.75" x14ac:dyDescent="0.2"/>
    <row r="40181" ht="12.75" x14ac:dyDescent="0.2"/>
    <row r="40182" ht="12.75" x14ac:dyDescent="0.2"/>
    <row r="40183" ht="12.75" x14ac:dyDescent="0.2"/>
    <row r="40184" ht="12.75" x14ac:dyDescent="0.2"/>
    <row r="40185" ht="12.75" x14ac:dyDescent="0.2"/>
    <row r="40186" ht="12.75" x14ac:dyDescent="0.2"/>
    <row r="40187" ht="12.75" x14ac:dyDescent="0.2"/>
    <row r="40188" ht="12.75" x14ac:dyDescent="0.2"/>
    <row r="40189" ht="12.75" x14ac:dyDescent="0.2"/>
    <row r="40190" ht="12.75" x14ac:dyDescent="0.2"/>
    <row r="40191" ht="12.75" x14ac:dyDescent="0.2"/>
    <row r="40192" ht="12.75" x14ac:dyDescent="0.2"/>
    <row r="40193" ht="12.75" x14ac:dyDescent="0.2"/>
    <row r="40194" ht="12.75" x14ac:dyDescent="0.2"/>
    <row r="40195" ht="12.75" x14ac:dyDescent="0.2"/>
    <row r="40196" ht="12.75" x14ac:dyDescent="0.2"/>
    <row r="40197" ht="12.75" x14ac:dyDescent="0.2"/>
    <row r="40198" ht="12.75" x14ac:dyDescent="0.2"/>
    <row r="40199" ht="12.75" x14ac:dyDescent="0.2"/>
    <row r="40200" ht="12.75" x14ac:dyDescent="0.2"/>
    <row r="40201" ht="12.75" x14ac:dyDescent="0.2"/>
    <row r="40202" ht="12.75" x14ac:dyDescent="0.2"/>
    <row r="40203" ht="12.75" x14ac:dyDescent="0.2"/>
    <row r="40204" ht="12.75" x14ac:dyDescent="0.2"/>
    <row r="40205" ht="12.75" x14ac:dyDescent="0.2"/>
    <row r="40206" ht="12.75" x14ac:dyDescent="0.2"/>
    <row r="40207" ht="12.75" x14ac:dyDescent="0.2"/>
    <row r="40208" ht="12.75" x14ac:dyDescent="0.2"/>
    <row r="40209" ht="12.75" x14ac:dyDescent="0.2"/>
    <row r="40210" ht="12.75" x14ac:dyDescent="0.2"/>
    <row r="40211" ht="12.75" x14ac:dyDescent="0.2"/>
    <row r="40212" ht="12.75" x14ac:dyDescent="0.2"/>
    <row r="40213" ht="12.75" x14ac:dyDescent="0.2"/>
    <row r="40214" ht="12.75" x14ac:dyDescent="0.2"/>
    <row r="40215" ht="12.75" x14ac:dyDescent="0.2"/>
    <row r="40216" ht="12.75" x14ac:dyDescent="0.2"/>
    <row r="40217" ht="12.75" x14ac:dyDescent="0.2"/>
    <row r="40218" ht="12.75" x14ac:dyDescent="0.2"/>
    <row r="40219" ht="12.75" x14ac:dyDescent="0.2"/>
    <row r="40220" ht="12.75" x14ac:dyDescent="0.2"/>
    <row r="40221" ht="12.75" x14ac:dyDescent="0.2"/>
    <row r="40222" ht="12.75" x14ac:dyDescent="0.2"/>
    <row r="40223" ht="12.75" x14ac:dyDescent="0.2"/>
    <row r="40224" ht="12.75" x14ac:dyDescent="0.2"/>
    <row r="40225" ht="12.75" x14ac:dyDescent="0.2"/>
    <row r="40226" ht="12.75" x14ac:dyDescent="0.2"/>
    <row r="40227" ht="12.75" x14ac:dyDescent="0.2"/>
    <row r="40228" ht="12.75" x14ac:dyDescent="0.2"/>
    <row r="40229" ht="12.75" x14ac:dyDescent="0.2"/>
    <row r="40230" ht="12.75" x14ac:dyDescent="0.2"/>
    <row r="40231" ht="12.75" x14ac:dyDescent="0.2"/>
    <row r="40232" ht="12.75" x14ac:dyDescent="0.2"/>
    <row r="40233" ht="12.75" x14ac:dyDescent="0.2"/>
    <row r="40234" ht="12.75" x14ac:dyDescent="0.2"/>
    <row r="40235" ht="12.75" x14ac:dyDescent="0.2"/>
    <row r="40236" ht="12.75" x14ac:dyDescent="0.2"/>
    <row r="40237" ht="12.75" x14ac:dyDescent="0.2"/>
    <row r="40238" ht="12.75" x14ac:dyDescent="0.2"/>
    <row r="40239" ht="12.75" x14ac:dyDescent="0.2"/>
    <row r="40240" ht="12.75" x14ac:dyDescent="0.2"/>
    <row r="40241" ht="12.75" x14ac:dyDescent="0.2"/>
    <row r="40242" ht="12.75" x14ac:dyDescent="0.2"/>
    <row r="40243" ht="12.75" x14ac:dyDescent="0.2"/>
    <row r="40244" ht="12.75" x14ac:dyDescent="0.2"/>
    <row r="40245" ht="12.75" x14ac:dyDescent="0.2"/>
    <row r="40246" ht="12.75" x14ac:dyDescent="0.2"/>
    <row r="40247" ht="12.75" x14ac:dyDescent="0.2"/>
    <row r="40248" ht="12.75" x14ac:dyDescent="0.2"/>
    <row r="40249" ht="12.75" x14ac:dyDescent="0.2"/>
    <row r="40250" ht="12.75" x14ac:dyDescent="0.2"/>
    <row r="40251" ht="12.75" x14ac:dyDescent="0.2"/>
    <row r="40252" ht="12.75" x14ac:dyDescent="0.2"/>
    <row r="40253" ht="12.75" x14ac:dyDescent="0.2"/>
    <row r="40254" ht="12.75" x14ac:dyDescent="0.2"/>
    <row r="40255" ht="12.75" x14ac:dyDescent="0.2"/>
    <row r="40256" ht="12.75" x14ac:dyDescent="0.2"/>
    <row r="40257" ht="12.75" x14ac:dyDescent="0.2"/>
    <row r="40258" ht="12.75" x14ac:dyDescent="0.2"/>
    <row r="40259" ht="12.75" x14ac:dyDescent="0.2"/>
    <row r="40260" ht="12.75" x14ac:dyDescent="0.2"/>
    <row r="40261" ht="12.75" x14ac:dyDescent="0.2"/>
    <row r="40262" ht="12.75" x14ac:dyDescent="0.2"/>
    <row r="40263" ht="12.75" x14ac:dyDescent="0.2"/>
    <row r="40264" ht="12.75" x14ac:dyDescent="0.2"/>
    <row r="40265" ht="12.75" x14ac:dyDescent="0.2"/>
    <row r="40266" ht="12.75" x14ac:dyDescent="0.2"/>
    <row r="40267" ht="12.75" x14ac:dyDescent="0.2"/>
    <row r="40268" ht="12.75" x14ac:dyDescent="0.2"/>
    <row r="40269" ht="12.75" x14ac:dyDescent="0.2"/>
    <row r="40270" ht="12.75" x14ac:dyDescent="0.2"/>
    <row r="40271" ht="12.75" x14ac:dyDescent="0.2"/>
    <row r="40272" ht="12.75" x14ac:dyDescent="0.2"/>
    <row r="40273" ht="12.75" x14ac:dyDescent="0.2"/>
    <row r="40274" ht="12.75" x14ac:dyDescent="0.2"/>
    <row r="40275" ht="12.75" x14ac:dyDescent="0.2"/>
    <row r="40276" ht="12.75" x14ac:dyDescent="0.2"/>
    <row r="40277" ht="12.75" x14ac:dyDescent="0.2"/>
    <row r="40278" ht="12.75" x14ac:dyDescent="0.2"/>
    <row r="40279" ht="12.75" x14ac:dyDescent="0.2"/>
    <row r="40280" ht="12.75" x14ac:dyDescent="0.2"/>
    <row r="40281" ht="12.75" x14ac:dyDescent="0.2"/>
    <row r="40282" ht="12.75" x14ac:dyDescent="0.2"/>
    <row r="40283" ht="12.75" x14ac:dyDescent="0.2"/>
    <row r="40284" ht="12.75" x14ac:dyDescent="0.2"/>
    <row r="40285" ht="12.75" x14ac:dyDescent="0.2"/>
    <row r="40286" ht="12.75" x14ac:dyDescent="0.2"/>
    <row r="40287" ht="12.75" x14ac:dyDescent="0.2"/>
    <row r="40288" ht="12.75" x14ac:dyDescent="0.2"/>
    <row r="40289" ht="12.75" x14ac:dyDescent="0.2"/>
    <row r="40290" ht="12.75" x14ac:dyDescent="0.2"/>
    <row r="40291" ht="12.75" x14ac:dyDescent="0.2"/>
    <row r="40292" ht="12.75" x14ac:dyDescent="0.2"/>
    <row r="40293" ht="12.75" x14ac:dyDescent="0.2"/>
    <row r="40294" ht="12.75" x14ac:dyDescent="0.2"/>
    <row r="40295" ht="12.75" x14ac:dyDescent="0.2"/>
    <row r="40296" ht="12.75" x14ac:dyDescent="0.2"/>
    <row r="40297" ht="12.75" x14ac:dyDescent="0.2"/>
    <row r="40298" ht="12.75" x14ac:dyDescent="0.2"/>
    <row r="40299" ht="12.75" x14ac:dyDescent="0.2"/>
    <row r="40300" ht="12.75" x14ac:dyDescent="0.2"/>
    <row r="40301" ht="12.75" x14ac:dyDescent="0.2"/>
    <row r="40302" ht="12.75" x14ac:dyDescent="0.2"/>
    <row r="40303" ht="12.75" x14ac:dyDescent="0.2"/>
    <row r="40304" ht="12.75" x14ac:dyDescent="0.2"/>
    <row r="40305" ht="12.75" x14ac:dyDescent="0.2"/>
    <row r="40306" ht="12.75" x14ac:dyDescent="0.2"/>
    <row r="40307" ht="12.75" x14ac:dyDescent="0.2"/>
    <row r="40308" ht="12.75" x14ac:dyDescent="0.2"/>
    <row r="40309" ht="12.75" x14ac:dyDescent="0.2"/>
    <row r="40310" ht="12.75" x14ac:dyDescent="0.2"/>
    <row r="40311" ht="12.75" x14ac:dyDescent="0.2"/>
    <row r="40312" ht="12.75" x14ac:dyDescent="0.2"/>
    <row r="40313" ht="12.75" x14ac:dyDescent="0.2"/>
    <row r="40314" ht="12.75" x14ac:dyDescent="0.2"/>
    <row r="40315" ht="12.75" x14ac:dyDescent="0.2"/>
    <row r="40316" ht="12.75" x14ac:dyDescent="0.2"/>
    <row r="40317" ht="12.75" x14ac:dyDescent="0.2"/>
    <row r="40318" ht="12.75" x14ac:dyDescent="0.2"/>
    <row r="40319" ht="12.75" x14ac:dyDescent="0.2"/>
    <row r="40320" ht="12.75" x14ac:dyDescent="0.2"/>
    <row r="40321" ht="12.75" x14ac:dyDescent="0.2"/>
    <row r="40322" ht="12.75" x14ac:dyDescent="0.2"/>
    <row r="40323" ht="12.75" x14ac:dyDescent="0.2"/>
    <row r="40324" ht="12.75" x14ac:dyDescent="0.2"/>
    <row r="40325" ht="12.75" x14ac:dyDescent="0.2"/>
    <row r="40326" ht="12.75" x14ac:dyDescent="0.2"/>
    <row r="40327" ht="12.75" x14ac:dyDescent="0.2"/>
    <row r="40328" ht="12.75" x14ac:dyDescent="0.2"/>
    <row r="40329" ht="12.75" x14ac:dyDescent="0.2"/>
    <row r="40330" ht="12.75" x14ac:dyDescent="0.2"/>
    <row r="40331" ht="12.75" x14ac:dyDescent="0.2"/>
    <row r="40332" ht="12.75" x14ac:dyDescent="0.2"/>
    <row r="40333" ht="12.75" x14ac:dyDescent="0.2"/>
    <row r="40334" ht="12.75" x14ac:dyDescent="0.2"/>
    <row r="40335" ht="12.75" x14ac:dyDescent="0.2"/>
    <row r="40336" ht="12.75" x14ac:dyDescent="0.2"/>
    <row r="40337" ht="12.75" x14ac:dyDescent="0.2"/>
    <row r="40338" ht="12.75" x14ac:dyDescent="0.2"/>
    <row r="40339" ht="12.75" x14ac:dyDescent="0.2"/>
    <row r="40340" ht="12.75" x14ac:dyDescent="0.2"/>
    <row r="40341" ht="12.75" x14ac:dyDescent="0.2"/>
    <row r="40342" ht="12.75" x14ac:dyDescent="0.2"/>
    <row r="40343" ht="12.75" x14ac:dyDescent="0.2"/>
    <row r="40344" ht="12.75" x14ac:dyDescent="0.2"/>
    <row r="40345" ht="12.75" x14ac:dyDescent="0.2"/>
    <row r="40346" ht="12.75" x14ac:dyDescent="0.2"/>
    <row r="40347" ht="12.75" x14ac:dyDescent="0.2"/>
    <row r="40348" ht="12.75" x14ac:dyDescent="0.2"/>
    <row r="40349" ht="12.75" x14ac:dyDescent="0.2"/>
    <row r="40350" ht="12.75" x14ac:dyDescent="0.2"/>
    <row r="40351" ht="12.75" x14ac:dyDescent="0.2"/>
    <row r="40352" ht="12.75" x14ac:dyDescent="0.2"/>
    <row r="40353" ht="12.75" x14ac:dyDescent="0.2"/>
    <row r="40354" ht="12.75" x14ac:dyDescent="0.2"/>
    <row r="40355" ht="12.75" x14ac:dyDescent="0.2"/>
    <row r="40356" ht="12.75" x14ac:dyDescent="0.2"/>
    <row r="40357" ht="12.75" x14ac:dyDescent="0.2"/>
    <row r="40358" ht="12.75" x14ac:dyDescent="0.2"/>
    <row r="40359" ht="12.75" x14ac:dyDescent="0.2"/>
    <row r="40360" ht="12.75" x14ac:dyDescent="0.2"/>
    <row r="40361" ht="12.75" x14ac:dyDescent="0.2"/>
    <row r="40362" ht="12.75" x14ac:dyDescent="0.2"/>
    <row r="40363" ht="12.75" x14ac:dyDescent="0.2"/>
    <row r="40364" ht="12.75" x14ac:dyDescent="0.2"/>
    <row r="40365" ht="12.75" x14ac:dyDescent="0.2"/>
    <row r="40366" ht="12.75" x14ac:dyDescent="0.2"/>
    <row r="40367" ht="12.75" x14ac:dyDescent="0.2"/>
    <row r="40368" ht="12.75" x14ac:dyDescent="0.2"/>
    <row r="40369" ht="12.75" x14ac:dyDescent="0.2"/>
    <row r="40370" ht="12.75" x14ac:dyDescent="0.2"/>
    <row r="40371" ht="12.75" x14ac:dyDescent="0.2"/>
    <row r="40372" ht="12.75" x14ac:dyDescent="0.2"/>
    <row r="40373" ht="12.75" x14ac:dyDescent="0.2"/>
    <row r="40374" ht="12.75" x14ac:dyDescent="0.2"/>
    <row r="40375" ht="12.75" x14ac:dyDescent="0.2"/>
    <row r="40376" ht="12.75" x14ac:dyDescent="0.2"/>
    <row r="40377" ht="12.75" x14ac:dyDescent="0.2"/>
    <row r="40378" ht="12.75" x14ac:dyDescent="0.2"/>
    <row r="40379" ht="12.75" x14ac:dyDescent="0.2"/>
    <row r="40380" ht="12.75" x14ac:dyDescent="0.2"/>
    <row r="40381" ht="12.75" x14ac:dyDescent="0.2"/>
    <row r="40382" ht="12.75" x14ac:dyDescent="0.2"/>
    <row r="40383" ht="12.75" x14ac:dyDescent="0.2"/>
    <row r="40384" ht="12.75" x14ac:dyDescent="0.2"/>
    <row r="40385" ht="12.75" x14ac:dyDescent="0.2"/>
    <row r="40386" ht="12.75" x14ac:dyDescent="0.2"/>
    <row r="40387" ht="12.75" x14ac:dyDescent="0.2"/>
    <row r="40388" ht="12.75" x14ac:dyDescent="0.2"/>
    <row r="40389" ht="12.75" x14ac:dyDescent="0.2"/>
    <row r="40390" ht="12.75" x14ac:dyDescent="0.2"/>
    <row r="40391" ht="12.75" x14ac:dyDescent="0.2"/>
    <row r="40392" ht="12.75" x14ac:dyDescent="0.2"/>
    <row r="40393" ht="12.75" x14ac:dyDescent="0.2"/>
    <row r="40394" ht="12.75" x14ac:dyDescent="0.2"/>
    <row r="40395" ht="12.75" x14ac:dyDescent="0.2"/>
    <row r="40396" ht="12.75" x14ac:dyDescent="0.2"/>
    <row r="40397" ht="12.75" x14ac:dyDescent="0.2"/>
    <row r="40398" ht="12.75" x14ac:dyDescent="0.2"/>
    <row r="40399" ht="12.75" x14ac:dyDescent="0.2"/>
    <row r="40400" ht="12.75" x14ac:dyDescent="0.2"/>
    <row r="40401" ht="12.75" x14ac:dyDescent="0.2"/>
    <row r="40402" ht="12.75" x14ac:dyDescent="0.2"/>
    <row r="40403" ht="12.75" x14ac:dyDescent="0.2"/>
    <row r="40404" ht="12.75" x14ac:dyDescent="0.2"/>
    <row r="40405" ht="12.75" x14ac:dyDescent="0.2"/>
    <row r="40406" ht="12.75" x14ac:dyDescent="0.2"/>
    <row r="40407" ht="12.75" x14ac:dyDescent="0.2"/>
    <row r="40408" ht="12.75" x14ac:dyDescent="0.2"/>
    <row r="40409" ht="12.75" x14ac:dyDescent="0.2"/>
    <row r="40410" ht="12.75" x14ac:dyDescent="0.2"/>
    <row r="40411" ht="12.75" x14ac:dyDescent="0.2"/>
    <row r="40412" ht="12.75" x14ac:dyDescent="0.2"/>
    <row r="40413" ht="12.75" x14ac:dyDescent="0.2"/>
    <row r="40414" ht="12.75" x14ac:dyDescent="0.2"/>
    <row r="40415" ht="12.75" x14ac:dyDescent="0.2"/>
    <row r="40416" ht="12.75" x14ac:dyDescent="0.2"/>
    <row r="40417" ht="12.75" x14ac:dyDescent="0.2"/>
    <row r="40418" ht="12.75" x14ac:dyDescent="0.2"/>
    <row r="40419" ht="12.75" x14ac:dyDescent="0.2"/>
    <row r="40420" ht="12.75" x14ac:dyDescent="0.2"/>
    <row r="40421" ht="12.75" x14ac:dyDescent="0.2"/>
    <row r="40422" ht="12.75" x14ac:dyDescent="0.2"/>
    <row r="40423" ht="12.75" x14ac:dyDescent="0.2"/>
    <row r="40424" ht="12.75" x14ac:dyDescent="0.2"/>
    <row r="40425" ht="12.75" x14ac:dyDescent="0.2"/>
    <row r="40426" ht="12.75" x14ac:dyDescent="0.2"/>
    <row r="40427" ht="12.75" x14ac:dyDescent="0.2"/>
    <row r="40428" ht="12.75" x14ac:dyDescent="0.2"/>
    <row r="40429" ht="12.75" x14ac:dyDescent="0.2"/>
    <row r="40430" ht="12.75" x14ac:dyDescent="0.2"/>
    <row r="40431" ht="12.75" x14ac:dyDescent="0.2"/>
    <row r="40432" ht="12.75" x14ac:dyDescent="0.2"/>
    <row r="40433" ht="12.75" x14ac:dyDescent="0.2"/>
    <row r="40434" ht="12.75" x14ac:dyDescent="0.2"/>
    <row r="40435" ht="12.75" x14ac:dyDescent="0.2"/>
    <row r="40436" ht="12.75" x14ac:dyDescent="0.2"/>
    <row r="40437" ht="12.75" x14ac:dyDescent="0.2"/>
    <row r="40438" ht="12.75" x14ac:dyDescent="0.2"/>
    <row r="40439" ht="12.75" x14ac:dyDescent="0.2"/>
    <row r="40440" ht="12.75" x14ac:dyDescent="0.2"/>
    <row r="40441" ht="12.75" x14ac:dyDescent="0.2"/>
    <row r="40442" ht="12.75" x14ac:dyDescent="0.2"/>
    <row r="40443" ht="12.75" x14ac:dyDescent="0.2"/>
    <row r="40444" ht="12.75" x14ac:dyDescent="0.2"/>
    <row r="40445" ht="12.75" x14ac:dyDescent="0.2"/>
    <row r="40446" ht="12.75" x14ac:dyDescent="0.2"/>
    <row r="40447" ht="12.75" x14ac:dyDescent="0.2"/>
    <row r="40448" ht="12.75" x14ac:dyDescent="0.2"/>
    <row r="40449" ht="12.75" x14ac:dyDescent="0.2"/>
    <row r="40450" ht="12.75" x14ac:dyDescent="0.2"/>
    <row r="40451" ht="12.75" x14ac:dyDescent="0.2"/>
    <row r="40452" ht="12.75" x14ac:dyDescent="0.2"/>
    <row r="40453" ht="12.75" x14ac:dyDescent="0.2"/>
    <row r="40454" ht="12.75" x14ac:dyDescent="0.2"/>
    <row r="40455" ht="12.75" x14ac:dyDescent="0.2"/>
    <row r="40456" ht="12.75" x14ac:dyDescent="0.2"/>
    <row r="40457" ht="12.75" x14ac:dyDescent="0.2"/>
    <row r="40458" ht="12.75" x14ac:dyDescent="0.2"/>
    <row r="40459" ht="12.75" x14ac:dyDescent="0.2"/>
    <row r="40460" ht="12.75" x14ac:dyDescent="0.2"/>
    <row r="40461" ht="12.75" x14ac:dyDescent="0.2"/>
    <row r="40462" ht="12.75" x14ac:dyDescent="0.2"/>
    <row r="40463" ht="12.75" x14ac:dyDescent="0.2"/>
    <row r="40464" ht="12.75" x14ac:dyDescent="0.2"/>
    <row r="40465" ht="12.75" x14ac:dyDescent="0.2"/>
    <row r="40466" ht="12.75" x14ac:dyDescent="0.2"/>
    <row r="40467" ht="12.75" x14ac:dyDescent="0.2"/>
    <row r="40468" ht="12.75" x14ac:dyDescent="0.2"/>
    <row r="40469" ht="12.75" x14ac:dyDescent="0.2"/>
    <row r="40470" ht="12.75" x14ac:dyDescent="0.2"/>
    <row r="40471" ht="12.75" x14ac:dyDescent="0.2"/>
    <row r="40472" ht="12.75" x14ac:dyDescent="0.2"/>
    <row r="40473" ht="12.75" x14ac:dyDescent="0.2"/>
    <row r="40474" ht="12.75" x14ac:dyDescent="0.2"/>
    <row r="40475" ht="12.75" x14ac:dyDescent="0.2"/>
    <row r="40476" ht="12.75" x14ac:dyDescent="0.2"/>
    <row r="40477" ht="12.75" x14ac:dyDescent="0.2"/>
    <row r="40478" ht="12.75" x14ac:dyDescent="0.2"/>
    <row r="40479" ht="12.75" x14ac:dyDescent="0.2"/>
    <row r="40480" ht="12.75" x14ac:dyDescent="0.2"/>
    <row r="40481" ht="12.75" x14ac:dyDescent="0.2"/>
    <row r="40482" ht="12.75" x14ac:dyDescent="0.2"/>
    <row r="40483" ht="12.75" x14ac:dyDescent="0.2"/>
    <row r="40484" ht="12.75" x14ac:dyDescent="0.2"/>
    <row r="40485" ht="12.75" x14ac:dyDescent="0.2"/>
    <row r="40486" ht="12.75" x14ac:dyDescent="0.2"/>
    <row r="40487" ht="12.75" x14ac:dyDescent="0.2"/>
    <row r="40488" ht="12.75" x14ac:dyDescent="0.2"/>
    <row r="40489" ht="12.75" x14ac:dyDescent="0.2"/>
    <row r="40490" ht="12.75" x14ac:dyDescent="0.2"/>
    <row r="40491" ht="12.75" x14ac:dyDescent="0.2"/>
    <row r="40492" ht="12.75" x14ac:dyDescent="0.2"/>
    <row r="40493" ht="12.75" x14ac:dyDescent="0.2"/>
    <row r="40494" ht="12.75" x14ac:dyDescent="0.2"/>
    <row r="40495" ht="12.75" x14ac:dyDescent="0.2"/>
    <row r="40496" ht="12.75" x14ac:dyDescent="0.2"/>
    <row r="40497" ht="12.75" x14ac:dyDescent="0.2"/>
    <row r="40498" ht="12.75" x14ac:dyDescent="0.2"/>
    <row r="40499" ht="12.75" x14ac:dyDescent="0.2"/>
    <row r="40500" ht="12.75" x14ac:dyDescent="0.2"/>
    <row r="40501" ht="12.75" x14ac:dyDescent="0.2"/>
    <row r="40502" ht="12.75" x14ac:dyDescent="0.2"/>
    <row r="40503" ht="12.75" x14ac:dyDescent="0.2"/>
    <row r="40504" ht="12.75" x14ac:dyDescent="0.2"/>
    <row r="40505" ht="12.75" x14ac:dyDescent="0.2"/>
    <row r="40506" ht="12.75" x14ac:dyDescent="0.2"/>
    <row r="40507" ht="12.75" x14ac:dyDescent="0.2"/>
    <row r="40508" ht="12.75" x14ac:dyDescent="0.2"/>
    <row r="40509" ht="12.75" x14ac:dyDescent="0.2"/>
    <row r="40510" ht="12.75" x14ac:dyDescent="0.2"/>
    <row r="40511" ht="12.75" x14ac:dyDescent="0.2"/>
    <row r="40512" ht="12.75" x14ac:dyDescent="0.2"/>
    <row r="40513" ht="12.75" x14ac:dyDescent="0.2"/>
    <row r="40514" ht="12.75" x14ac:dyDescent="0.2"/>
    <row r="40515" ht="12.75" x14ac:dyDescent="0.2"/>
    <row r="40516" ht="12.75" x14ac:dyDescent="0.2"/>
    <row r="40517" ht="12.75" x14ac:dyDescent="0.2"/>
    <row r="40518" ht="12.75" x14ac:dyDescent="0.2"/>
    <row r="40519" ht="12.75" x14ac:dyDescent="0.2"/>
    <row r="40520" ht="12.75" x14ac:dyDescent="0.2"/>
    <row r="40521" ht="12.75" x14ac:dyDescent="0.2"/>
    <row r="40522" ht="12.75" x14ac:dyDescent="0.2"/>
    <row r="40523" ht="12.75" x14ac:dyDescent="0.2"/>
    <row r="40524" ht="12.75" x14ac:dyDescent="0.2"/>
    <row r="40525" ht="12.75" x14ac:dyDescent="0.2"/>
    <row r="40526" ht="12.75" x14ac:dyDescent="0.2"/>
    <row r="40527" ht="12.75" x14ac:dyDescent="0.2"/>
    <row r="40528" ht="12.75" x14ac:dyDescent="0.2"/>
    <row r="40529" ht="12.75" x14ac:dyDescent="0.2"/>
    <row r="40530" ht="12.75" x14ac:dyDescent="0.2"/>
    <row r="40531" ht="12.75" x14ac:dyDescent="0.2"/>
    <row r="40532" ht="12.75" x14ac:dyDescent="0.2"/>
    <row r="40533" ht="12.75" x14ac:dyDescent="0.2"/>
    <row r="40534" ht="12.75" x14ac:dyDescent="0.2"/>
    <row r="40535" ht="12.75" x14ac:dyDescent="0.2"/>
    <row r="40536" ht="12.75" x14ac:dyDescent="0.2"/>
    <row r="40537" ht="12.75" x14ac:dyDescent="0.2"/>
    <row r="40538" ht="12.75" x14ac:dyDescent="0.2"/>
    <row r="40539" ht="12.75" x14ac:dyDescent="0.2"/>
    <row r="40540" ht="12.75" x14ac:dyDescent="0.2"/>
    <row r="40541" ht="12.75" x14ac:dyDescent="0.2"/>
    <row r="40542" ht="12.75" x14ac:dyDescent="0.2"/>
    <row r="40543" ht="12.75" x14ac:dyDescent="0.2"/>
    <row r="40544" ht="12.75" x14ac:dyDescent="0.2"/>
    <row r="40545" ht="12.75" x14ac:dyDescent="0.2"/>
    <row r="40546" ht="12.75" x14ac:dyDescent="0.2"/>
    <row r="40547" ht="12.75" x14ac:dyDescent="0.2"/>
    <row r="40548" ht="12.75" x14ac:dyDescent="0.2"/>
    <row r="40549" ht="12.75" x14ac:dyDescent="0.2"/>
    <row r="40550" ht="12.75" x14ac:dyDescent="0.2"/>
    <row r="40551" ht="12.75" x14ac:dyDescent="0.2"/>
    <row r="40552" ht="12.75" x14ac:dyDescent="0.2"/>
    <row r="40553" ht="12.75" x14ac:dyDescent="0.2"/>
    <row r="40554" ht="12.75" x14ac:dyDescent="0.2"/>
    <row r="40555" ht="12.75" x14ac:dyDescent="0.2"/>
    <row r="40556" ht="12.75" x14ac:dyDescent="0.2"/>
    <row r="40557" ht="12.75" x14ac:dyDescent="0.2"/>
    <row r="40558" ht="12.75" x14ac:dyDescent="0.2"/>
    <row r="40559" ht="12.75" x14ac:dyDescent="0.2"/>
    <row r="40560" ht="12.75" x14ac:dyDescent="0.2"/>
    <row r="40561" ht="12.75" x14ac:dyDescent="0.2"/>
    <row r="40562" ht="12.75" x14ac:dyDescent="0.2"/>
    <row r="40563" ht="12.75" x14ac:dyDescent="0.2"/>
    <row r="40564" ht="12.75" x14ac:dyDescent="0.2"/>
    <row r="40565" ht="12.75" x14ac:dyDescent="0.2"/>
    <row r="40566" ht="12.75" x14ac:dyDescent="0.2"/>
    <row r="40567" ht="12.75" x14ac:dyDescent="0.2"/>
    <row r="40568" ht="12.75" x14ac:dyDescent="0.2"/>
    <row r="40569" ht="12.75" x14ac:dyDescent="0.2"/>
    <row r="40570" ht="12.75" x14ac:dyDescent="0.2"/>
    <row r="40571" ht="12.75" x14ac:dyDescent="0.2"/>
    <row r="40572" ht="12.75" x14ac:dyDescent="0.2"/>
    <row r="40573" ht="12.75" x14ac:dyDescent="0.2"/>
    <row r="40574" ht="12.75" x14ac:dyDescent="0.2"/>
    <row r="40575" ht="12.75" x14ac:dyDescent="0.2"/>
    <row r="40576" ht="12.75" x14ac:dyDescent="0.2"/>
    <row r="40577" ht="12.75" x14ac:dyDescent="0.2"/>
    <row r="40578" ht="12.75" x14ac:dyDescent="0.2"/>
    <row r="40579" ht="12.75" x14ac:dyDescent="0.2"/>
    <row r="40580" ht="12.75" x14ac:dyDescent="0.2"/>
    <row r="40581" ht="12.75" x14ac:dyDescent="0.2"/>
    <row r="40582" ht="12.75" x14ac:dyDescent="0.2"/>
    <row r="40583" ht="12.75" x14ac:dyDescent="0.2"/>
    <row r="40584" ht="12.75" x14ac:dyDescent="0.2"/>
    <row r="40585" ht="12.75" x14ac:dyDescent="0.2"/>
    <row r="40586" ht="12.75" x14ac:dyDescent="0.2"/>
    <row r="40587" ht="12.75" x14ac:dyDescent="0.2"/>
    <row r="40588" ht="12.75" x14ac:dyDescent="0.2"/>
    <row r="40589" ht="12.75" x14ac:dyDescent="0.2"/>
    <row r="40590" ht="12.75" x14ac:dyDescent="0.2"/>
    <row r="40591" ht="12.75" x14ac:dyDescent="0.2"/>
    <row r="40592" ht="12.75" x14ac:dyDescent="0.2"/>
    <row r="40593" ht="12.75" x14ac:dyDescent="0.2"/>
    <row r="40594" ht="12.75" x14ac:dyDescent="0.2"/>
    <row r="40595" ht="12.75" x14ac:dyDescent="0.2"/>
    <row r="40596" ht="12.75" x14ac:dyDescent="0.2"/>
    <row r="40597" ht="12.75" x14ac:dyDescent="0.2"/>
    <row r="40598" ht="12.75" x14ac:dyDescent="0.2"/>
    <row r="40599" ht="12.75" x14ac:dyDescent="0.2"/>
    <row r="40600" ht="12.75" x14ac:dyDescent="0.2"/>
    <row r="40601" ht="12.75" x14ac:dyDescent="0.2"/>
    <row r="40602" ht="12.75" x14ac:dyDescent="0.2"/>
    <row r="40603" ht="12.75" x14ac:dyDescent="0.2"/>
    <row r="40604" ht="12.75" x14ac:dyDescent="0.2"/>
    <row r="40605" ht="12.75" x14ac:dyDescent="0.2"/>
    <row r="40606" ht="12.75" x14ac:dyDescent="0.2"/>
    <row r="40607" ht="12.75" x14ac:dyDescent="0.2"/>
    <row r="40608" ht="12.75" x14ac:dyDescent="0.2"/>
    <row r="40609" ht="12.75" x14ac:dyDescent="0.2"/>
    <row r="40610" ht="12.75" x14ac:dyDescent="0.2"/>
    <row r="40611" ht="12.75" x14ac:dyDescent="0.2"/>
    <row r="40612" ht="12.75" x14ac:dyDescent="0.2"/>
    <row r="40613" ht="12.75" x14ac:dyDescent="0.2"/>
    <row r="40614" ht="12.75" x14ac:dyDescent="0.2"/>
    <row r="40615" ht="12.75" x14ac:dyDescent="0.2"/>
    <row r="40616" ht="12.75" x14ac:dyDescent="0.2"/>
    <row r="40617" ht="12.75" x14ac:dyDescent="0.2"/>
    <row r="40618" ht="12.75" x14ac:dyDescent="0.2"/>
    <row r="40619" ht="12.75" x14ac:dyDescent="0.2"/>
    <row r="40620" ht="12.75" x14ac:dyDescent="0.2"/>
    <row r="40621" ht="12.75" x14ac:dyDescent="0.2"/>
    <row r="40622" ht="12.75" x14ac:dyDescent="0.2"/>
    <row r="40623" ht="12.75" x14ac:dyDescent="0.2"/>
    <row r="40624" ht="12.75" x14ac:dyDescent="0.2"/>
    <row r="40625" ht="12.75" x14ac:dyDescent="0.2"/>
    <row r="40626" ht="12.75" x14ac:dyDescent="0.2"/>
    <row r="40627" ht="12.75" x14ac:dyDescent="0.2"/>
    <row r="40628" ht="12.75" x14ac:dyDescent="0.2"/>
    <row r="40629" ht="12.75" x14ac:dyDescent="0.2"/>
    <row r="40630" ht="12.75" x14ac:dyDescent="0.2"/>
    <row r="40631" ht="12.75" x14ac:dyDescent="0.2"/>
    <row r="40632" ht="12.75" x14ac:dyDescent="0.2"/>
    <row r="40633" ht="12.75" x14ac:dyDescent="0.2"/>
    <row r="40634" ht="12.75" x14ac:dyDescent="0.2"/>
    <row r="40635" ht="12.75" x14ac:dyDescent="0.2"/>
    <row r="40636" ht="12.75" x14ac:dyDescent="0.2"/>
    <row r="40637" ht="12.75" x14ac:dyDescent="0.2"/>
    <row r="40638" ht="12.75" x14ac:dyDescent="0.2"/>
    <row r="40639" ht="12.75" x14ac:dyDescent="0.2"/>
    <row r="40640" ht="12.75" x14ac:dyDescent="0.2"/>
    <row r="40641" ht="12.75" x14ac:dyDescent="0.2"/>
    <row r="40642" ht="12.75" x14ac:dyDescent="0.2"/>
    <row r="40643" ht="12.75" x14ac:dyDescent="0.2"/>
    <row r="40644" ht="12.75" x14ac:dyDescent="0.2"/>
    <row r="40645" ht="12.75" x14ac:dyDescent="0.2"/>
    <row r="40646" ht="12.75" x14ac:dyDescent="0.2"/>
    <row r="40647" ht="12.75" x14ac:dyDescent="0.2"/>
    <row r="40648" ht="12.75" x14ac:dyDescent="0.2"/>
    <row r="40649" ht="12.75" x14ac:dyDescent="0.2"/>
    <row r="40650" ht="12.75" x14ac:dyDescent="0.2"/>
    <row r="40651" ht="12.75" x14ac:dyDescent="0.2"/>
    <row r="40652" ht="12.75" x14ac:dyDescent="0.2"/>
    <row r="40653" ht="12.75" x14ac:dyDescent="0.2"/>
    <row r="40654" ht="12.75" x14ac:dyDescent="0.2"/>
    <row r="40655" ht="12.75" x14ac:dyDescent="0.2"/>
    <row r="40656" ht="12.75" x14ac:dyDescent="0.2"/>
    <row r="40657" ht="12.75" x14ac:dyDescent="0.2"/>
    <row r="40658" ht="12.75" x14ac:dyDescent="0.2"/>
    <row r="40659" ht="12.75" x14ac:dyDescent="0.2"/>
    <row r="40660" ht="12.75" x14ac:dyDescent="0.2"/>
    <row r="40661" ht="12.75" x14ac:dyDescent="0.2"/>
    <row r="40662" ht="12.75" x14ac:dyDescent="0.2"/>
    <row r="40663" ht="12.75" x14ac:dyDescent="0.2"/>
    <row r="40664" ht="12.75" x14ac:dyDescent="0.2"/>
    <row r="40665" ht="12.75" x14ac:dyDescent="0.2"/>
    <row r="40666" ht="12.75" x14ac:dyDescent="0.2"/>
    <row r="40667" ht="12.75" x14ac:dyDescent="0.2"/>
    <row r="40668" ht="12.75" x14ac:dyDescent="0.2"/>
    <row r="40669" ht="12.75" x14ac:dyDescent="0.2"/>
    <row r="40670" ht="12.75" x14ac:dyDescent="0.2"/>
    <row r="40671" ht="12.75" x14ac:dyDescent="0.2"/>
    <row r="40672" ht="12.75" x14ac:dyDescent="0.2"/>
    <row r="40673" ht="12.75" x14ac:dyDescent="0.2"/>
    <row r="40674" ht="12.75" x14ac:dyDescent="0.2"/>
    <row r="40675" ht="12.75" x14ac:dyDescent="0.2"/>
    <row r="40676" ht="12.75" x14ac:dyDescent="0.2"/>
    <row r="40677" ht="12.75" x14ac:dyDescent="0.2"/>
    <row r="40678" ht="12.75" x14ac:dyDescent="0.2"/>
    <row r="40679" ht="12.75" x14ac:dyDescent="0.2"/>
    <row r="40680" ht="12.75" x14ac:dyDescent="0.2"/>
    <row r="40681" ht="12.75" x14ac:dyDescent="0.2"/>
    <row r="40682" ht="12.75" x14ac:dyDescent="0.2"/>
    <row r="40683" ht="12.75" x14ac:dyDescent="0.2"/>
    <row r="40684" ht="12.75" x14ac:dyDescent="0.2"/>
    <row r="40685" ht="12.75" x14ac:dyDescent="0.2"/>
    <row r="40686" ht="12.75" x14ac:dyDescent="0.2"/>
    <row r="40687" ht="12.75" x14ac:dyDescent="0.2"/>
    <row r="40688" ht="12.75" x14ac:dyDescent="0.2"/>
    <row r="40689" ht="12.75" x14ac:dyDescent="0.2"/>
    <row r="40690" ht="12.75" x14ac:dyDescent="0.2"/>
    <row r="40691" ht="12.75" x14ac:dyDescent="0.2"/>
    <row r="40692" ht="12.75" x14ac:dyDescent="0.2"/>
    <row r="40693" ht="12.75" x14ac:dyDescent="0.2"/>
    <row r="40694" ht="12.75" x14ac:dyDescent="0.2"/>
    <row r="40695" ht="12.75" x14ac:dyDescent="0.2"/>
    <row r="40696" ht="12.75" x14ac:dyDescent="0.2"/>
    <row r="40697" ht="12.75" x14ac:dyDescent="0.2"/>
    <row r="40698" ht="12.75" x14ac:dyDescent="0.2"/>
    <row r="40699" ht="12.75" x14ac:dyDescent="0.2"/>
    <row r="40700" ht="12.75" x14ac:dyDescent="0.2"/>
    <row r="40701" ht="12.75" x14ac:dyDescent="0.2"/>
    <row r="40702" ht="12.75" x14ac:dyDescent="0.2"/>
    <row r="40703" ht="12.75" x14ac:dyDescent="0.2"/>
    <row r="40704" ht="12.75" x14ac:dyDescent="0.2"/>
    <row r="40705" ht="12.75" x14ac:dyDescent="0.2"/>
    <row r="40706" ht="12.75" x14ac:dyDescent="0.2"/>
    <row r="40707" ht="12.75" x14ac:dyDescent="0.2"/>
    <row r="40708" ht="12.75" x14ac:dyDescent="0.2"/>
    <row r="40709" ht="12.75" x14ac:dyDescent="0.2"/>
    <row r="40710" ht="12.75" x14ac:dyDescent="0.2"/>
    <row r="40711" ht="12.75" x14ac:dyDescent="0.2"/>
    <row r="40712" ht="12.75" x14ac:dyDescent="0.2"/>
    <row r="40713" ht="12.75" x14ac:dyDescent="0.2"/>
    <row r="40714" ht="12.75" x14ac:dyDescent="0.2"/>
    <row r="40715" ht="12.75" x14ac:dyDescent="0.2"/>
    <row r="40716" ht="12.75" x14ac:dyDescent="0.2"/>
    <row r="40717" ht="12.75" x14ac:dyDescent="0.2"/>
    <row r="40718" ht="12.75" x14ac:dyDescent="0.2"/>
    <row r="40719" ht="12.75" x14ac:dyDescent="0.2"/>
    <row r="40720" ht="12.75" x14ac:dyDescent="0.2"/>
    <row r="40721" ht="12.75" x14ac:dyDescent="0.2"/>
    <row r="40722" ht="12.75" x14ac:dyDescent="0.2"/>
    <row r="40723" ht="12.75" x14ac:dyDescent="0.2"/>
    <row r="40724" ht="12.75" x14ac:dyDescent="0.2"/>
    <row r="40725" ht="12.75" x14ac:dyDescent="0.2"/>
    <row r="40726" ht="12.75" x14ac:dyDescent="0.2"/>
    <row r="40727" ht="12.75" x14ac:dyDescent="0.2"/>
    <row r="40728" ht="12.75" x14ac:dyDescent="0.2"/>
    <row r="40729" ht="12.75" x14ac:dyDescent="0.2"/>
    <row r="40730" ht="12.75" x14ac:dyDescent="0.2"/>
    <row r="40731" ht="12.75" x14ac:dyDescent="0.2"/>
    <row r="40732" ht="12.75" x14ac:dyDescent="0.2"/>
    <row r="40733" ht="12.75" x14ac:dyDescent="0.2"/>
    <row r="40734" ht="12.75" x14ac:dyDescent="0.2"/>
    <row r="40735" ht="12.75" x14ac:dyDescent="0.2"/>
    <row r="40736" ht="12.75" x14ac:dyDescent="0.2"/>
    <row r="40737" ht="12.75" x14ac:dyDescent="0.2"/>
    <row r="40738" ht="12.75" x14ac:dyDescent="0.2"/>
    <row r="40739" ht="12.75" x14ac:dyDescent="0.2"/>
    <row r="40740" ht="12.75" x14ac:dyDescent="0.2"/>
    <row r="40741" ht="12.75" x14ac:dyDescent="0.2"/>
    <row r="40742" ht="12.75" x14ac:dyDescent="0.2"/>
    <row r="40743" ht="12.75" x14ac:dyDescent="0.2"/>
    <row r="40744" ht="12.75" x14ac:dyDescent="0.2"/>
    <row r="40745" ht="12.75" x14ac:dyDescent="0.2"/>
    <row r="40746" ht="12.75" x14ac:dyDescent="0.2"/>
    <row r="40747" ht="12.75" x14ac:dyDescent="0.2"/>
    <row r="40748" ht="12.75" x14ac:dyDescent="0.2"/>
    <row r="40749" ht="12.75" x14ac:dyDescent="0.2"/>
    <row r="40750" ht="12.75" x14ac:dyDescent="0.2"/>
    <row r="40751" ht="12.75" x14ac:dyDescent="0.2"/>
    <row r="40752" ht="12.75" x14ac:dyDescent="0.2"/>
    <row r="40753" ht="12.75" x14ac:dyDescent="0.2"/>
    <row r="40754" ht="12.75" x14ac:dyDescent="0.2"/>
    <row r="40755" ht="12.75" x14ac:dyDescent="0.2"/>
    <row r="40756" ht="12.75" x14ac:dyDescent="0.2"/>
    <row r="40757" ht="12.75" x14ac:dyDescent="0.2"/>
    <row r="40758" ht="12.75" x14ac:dyDescent="0.2"/>
    <row r="40759" ht="12.75" x14ac:dyDescent="0.2"/>
    <row r="40760" ht="12.75" x14ac:dyDescent="0.2"/>
    <row r="40761" ht="12.75" x14ac:dyDescent="0.2"/>
    <row r="40762" ht="12.75" x14ac:dyDescent="0.2"/>
    <row r="40763" ht="12.75" x14ac:dyDescent="0.2"/>
    <row r="40764" ht="12.75" x14ac:dyDescent="0.2"/>
    <row r="40765" ht="12.75" x14ac:dyDescent="0.2"/>
    <row r="40766" ht="12.75" x14ac:dyDescent="0.2"/>
    <row r="40767" ht="12.75" x14ac:dyDescent="0.2"/>
    <row r="40768" ht="12.75" x14ac:dyDescent="0.2"/>
    <row r="40769" ht="12.75" x14ac:dyDescent="0.2"/>
    <row r="40770" ht="12.75" x14ac:dyDescent="0.2"/>
    <row r="40771" ht="12.75" x14ac:dyDescent="0.2"/>
    <row r="40772" ht="12.75" x14ac:dyDescent="0.2"/>
    <row r="40773" ht="12.75" x14ac:dyDescent="0.2"/>
    <row r="40774" ht="12.75" x14ac:dyDescent="0.2"/>
    <row r="40775" ht="12.75" x14ac:dyDescent="0.2"/>
    <row r="40776" ht="12.75" x14ac:dyDescent="0.2"/>
    <row r="40777" ht="12.75" x14ac:dyDescent="0.2"/>
    <row r="40778" ht="12.75" x14ac:dyDescent="0.2"/>
    <row r="40779" ht="12.75" x14ac:dyDescent="0.2"/>
    <row r="40780" ht="12.75" x14ac:dyDescent="0.2"/>
    <row r="40781" ht="12.75" x14ac:dyDescent="0.2"/>
    <row r="40782" ht="12.75" x14ac:dyDescent="0.2"/>
    <row r="40783" ht="12.75" x14ac:dyDescent="0.2"/>
    <row r="40784" ht="12.75" x14ac:dyDescent="0.2"/>
    <row r="40785" ht="12.75" x14ac:dyDescent="0.2"/>
    <row r="40786" ht="12.75" x14ac:dyDescent="0.2"/>
    <row r="40787" ht="12.75" x14ac:dyDescent="0.2"/>
    <row r="40788" ht="12.75" x14ac:dyDescent="0.2"/>
    <row r="40789" ht="12.75" x14ac:dyDescent="0.2"/>
    <row r="40790" ht="12.75" x14ac:dyDescent="0.2"/>
    <row r="40791" ht="12.75" x14ac:dyDescent="0.2"/>
    <row r="40792" ht="12.75" x14ac:dyDescent="0.2"/>
    <row r="40793" ht="12.75" x14ac:dyDescent="0.2"/>
    <row r="40794" ht="12.75" x14ac:dyDescent="0.2"/>
    <row r="40795" ht="12.75" x14ac:dyDescent="0.2"/>
    <row r="40796" ht="12.75" x14ac:dyDescent="0.2"/>
    <row r="40797" ht="12.75" x14ac:dyDescent="0.2"/>
    <row r="40798" ht="12.75" x14ac:dyDescent="0.2"/>
    <row r="40799" ht="12.75" x14ac:dyDescent="0.2"/>
    <row r="40800" ht="12.75" x14ac:dyDescent="0.2"/>
    <row r="40801" ht="12.75" x14ac:dyDescent="0.2"/>
    <row r="40802" ht="12.75" x14ac:dyDescent="0.2"/>
    <row r="40803" ht="12.75" x14ac:dyDescent="0.2"/>
    <row r="40804" ht="12.75" x14ac:dyDescent="0.2"/>
    <row r="40805" ht="12.75" x14ac:dyDescent="0.2"/>
    <row r="40806" ht="12.75" x14ac:dyDescent="0.2"/>
    <row r="40807" ht="12.75" x14ac:dyDescent="0.2"/>
    <row r="40808" ht="12.75" x14ac:dyDescent="0.2"/>
    <row r="40809" ht="12.75" x14ac:dyDescent="0.2"/>
    <row r="40810" ht="12.75" x14ac:dyDescent="0.2"/>
    <row r="40811" ht="12.75" x14ac:dyDescent="0.2"/>
    <row r="40812" ht="12.75" x14ac:dyDescent="0.2"/>
    <row r="40813" ht="12.75" x14ac:dyDescent="0.2"/>
    <row r="40814" ht="12.75" x14ac:dyDescent="0.2"/>
    <row r="40815" ht="12.75" x14ac:dyDescent="0.2"/>
    <row r="40816" ht="12.75" x14ac:dyDescent="0.2"/>
    <row r="40817" ht="12.75" x14ac:dyDescent="0.2"/>
    <row r="40818" ht="12.75" x14ac:dyDescent="0.2"/>
    <row r="40819" ht="12.75" x14ac:dyDescent="0.2"/>
    <row r="40820" ht="12.75" x14ac:dyDescent="0.2"/>
    <row r="40821" ht="12.75" x14ac:dyDescent="0.2"/>
    <row r="40822" ht="12.75" x14ac:dyDescent="0.2"/>
    <row r="40823" ht="12.75" x14ac:dyDescent="0.2"/>
    <row r="40824" ht="12.75" x14ac:dyDescent="0.2"/>
    <row r="40825" ht="12.75" x14ac:dyDescent="0.2"/>
    <row r="40826" ht="12.75" x14ac:dyDescent="0.2"/>
    <row r="40827" ht="12.75" x14ac:dyDescent="0.2"/>
    <row r="40828" ht="12.75" x14ac:dyDescent="0.2"/>
    <row r="40829" ht="12.75" x14ac:dyDescent="0.2"/>
    <row r="40830" ht="12.75" x14ac:dyDescent="0.2"/>
    <row r="40831" ht="12.75" x14ac:dyDescent="0.2"/>
    <row r="40832" ht="12.75" x14ac:dyDescent="0.2"/>
    <row r="40833" ht="12.75" x14ac:dyDescent="0.2"/>
    <row r="40834" ht="12.75" x14ac:dyDescent="0.2"/>
    <row r="40835" ht="12.75" x14ac:dyDescent="0.2"/>
    <row r="40836" ht="12.75" x14ac:dyDescent="0.2"/>
    <row r="40837" ht="12.75" x14ac:dyDescent="0.2"/>
    <row r="40838" ht="12.75" x14ac:dyDescent="0.2"/>
    <row r="40839" ht="12.75" x14ac:dyDescent="0.2"/>
    <row r="40840" ht="12.75" x14ac:dyDescent="0.2"/>
    <row r="40841" ht="12.75" x14ac:dyDescent="0.2"/>
    <row r="40842" ht="12.75" x14ac:dyDescent="0.2"/>
    <row r="40843" ht="12.75" x14ac:dyDescent="0.2"/>
    <row r="40844" ht="12.75" x14ac:dyDescent="0.2"/>
    <row r="40845" ht="12.75" x14ac:dyDescent="0.2"/>
    <row r="40846" ht="12.75" x14ac:dyDescent="0.2"/>
    <row r="40847" ht="12.75" x14ac:dyDescent="0.2"/>
    <row r="40848" ht="12.75" x14ac:dyDescent="0.2"/>
    <row r="40849" ht="12.75" x14ac:dyDescent="0.2"/>
    <row r="40850" ht="12.75" x14ac:dyDescent="0.2"/>
    <row r="40851" ht="12.75" x14ac:dyDescent="0.2"/>
    <row r="40852" ht="12.75" x14ac:dyDescent="0.2"/>
    <row r="40853" ht="12.75" x14ac:dyDescent="0.2"/>
    <row r="40854" ht="12.75" x14ac:dyDescent="0.2"/>
    <row r="40855" ht="12.75" x14ac:dyDescent="0.2"/>
    <row r="40856" ht="12.75" x14ac:dyDescent="0.2"/>
    <row r="40857" ht="12.75" x14ac:dyDescent="0.2"/>
    <row r="40858" ht="12.75" x14ac:dyDescent="0.2"/>
    <row r="40859" ht="12.75" x14ac:dyDescent="0.2"/>
    <row r="40860" ht="12.75" x14ac:dyDescent="0.2"/>
    <row r="40861" ht="12.75" x14ac:dyDescent="0.2"/>
    <row r="40862" ht="12.75" x14ac:dyDescent="0.2"/>
    <row r="40863" ht="12.75" x14ac:dyDescent="0.2"/>
    <row r="40864" ht="12.75" x14ac:dyDescent="0.2"/>
    <row r="40865" ht="12.75" x14ac:dyDescent="0.2"/>
    <row r="40866" ht="12.75" x14ac:dyDescent="0.2"/>
    <row r="40867" ht="12.75" x14ac:dyDescent="0.2"/>
    <row r="40868" ht="12.75" x14ac:dyDescent="0.2"/>
    <row r="40869" ht="12.75" x14ac:dyDescent="0.2"/>
    <row r="40870" ht="12.75" x14ac:dyDescent="0.2"/>
    <row r="40871" ht="12.75" x14ac:dyDescent="0.2"/>
    <row r="40872" ht="12.75" x14ac:dyDescent="0.2"/>
    <row r="40873" ht="12.75" x14ac:dyDescent="0.2"/>
    <row r="40874" ht="12.75" x14ac:dyDescent="0.2"/>
    <row r="40875" ht="12.75" x14ac:dyDescent="0.2"/>
    <row r="40876" ht="12.75" x14ac:dyDescent="0.2"/>
    <row r="40877" ht="12.75" x14ac:dyDescent="0.2"/>
    <row r="40878" ht="12.75" x14ac:dyDescent="0.2"/>
    <row r="40879" ht="12.75" x14ac:dyDescent="0.2"/>
    <row r="40880" ht="12.75" x14ac:dyDescent="0.2"/>
    <row r="40881" ht="12.75" x14ac:dyDescent="0.2"/>
    <row r="40882" ht="12.75" x14ac:dyDescent="0.2"/>
    <row r="40883" ht="12.75" x14ac:dyDescent="0.2"/>
    <row r="40884" ht="12.75" x14ac:dyDescent="0.2"/>
    <row r="40885" ht="12.75" x14ac:dyDescent="0.2"/>
    <row r="40886" ht="12.75" x14ac:dyDescent="0.2"/>
    <row r="40887" ht="12.75" x14ac:dyDescent="0.2"/>
    <row r="40888" ht="12.75" x14ac:dyDescent="0.2"/>
    <row r="40889" ht="12.75" x14ac:dyDescent="0.2"/>
    <row r="40890" ht="12.75" x14ac:dyDescent="0.2"/>
    <row r="40891" ht="12.75" x14ac:dyDescent="0.2"/>
    <row r="40892" ht="12.75" x14ac:dyDescent="0.2"/>
    <row r="40893" ht="12.75" x14ac:dyDescent="0.2"/>
    <row r="40894" ht="12.75" x14ac:dyDescent="0.2"/>
    <row r="40895" ht="12.75" x14ac:dyDescent="0.2"/>
    <row r="40896" ht="12.75" x14ac:dyDescent="0.2"/>
    <row r="40897" ht="12.75" x14ac:dyDescent="0.2"/>
    <row r="40898" ht="12.75" x14ac:dyDescent="0.2"/>
    <row r="40899" ht="12.75" x14ac:dyDescent="0.2"/>
    <row r="40900" ht="12.75" x14ac:dyDescent="0.2"/>
    <row r="40901" ht="12.75" x14ac:dyDescent="0.2"/>
    <row r="40902" ht="12.75" x14ac:dyDescent="0.2"/>
    <row r="40903" ht="12.75" x14ac:dyDescent="0.2"/>
    <row r="40904" ht="12.75" x14ac:dyDescent="0.2"/>
    <row r="40905" ht="12.75" x14ac:dyDescent="0.2"/>
    <row r="40906" ht="12.75" x14ac:dyDescent="0.2"/>
    <row r="40907" ht="12.75" x14ac:dyDescent="0.2"/>
    <row r="40908" ht="12.75" x14ac:dyDescent="0.2"/>
    <row r="40909" ht="12.75" x14ac:dyDescent="0.2"/>
    <row r="40910" ht="12.75" x14ac:dyDescent="0.2"/>
    <row r="40911" ht="12.75" x14ac:dyDescent="0.2"/>
    <row r="40912" ht="12.75" x14ac:dyDescent="0.2"/>
    <row r="40913" ht="12.75" x14ac:dyDescent="0.2"/>
    <row r="40914" ht="12.75" x14ac:dyDescent="0.2"/>
    <row r="40915" ht="12.75" x14ac:dyDescent="0.2"/>
    <row r="40916" ht="12.75" x14ac:dyDescent="0.2"/>
    <row r="40917" ht="12.75" x14ac:dyDescent="0.2"/>
    <row r="40918" ht="12.75" x14ac:dyDescent="0.2"/>
    <row r="40919" ht="12.75" x14ac:dyDescent="0.2"/>
    <row r="40920" ht="12.75" x14ac:dyDescent="0.2"/>
    <row r="40921" ht="12.75" x14ac:dyDescent="0.2"/>
    <row r="40922" ht="12.75" x14ac:dyDescent="0.2"/>
    <row r="40923" ht="12.75" x14ac:dyDescent="0.2"/>
    <row r="40924" ht="12.75" x14ac:dyDescent="0.2"/>
    <row r="40925" ht="12.75" x14ac:dyDescent="0.2"/>
    <row r="40926" ht="12.75" x14ac:dyDescent="0.2"/>
    <row r="40927" ht="12.75" x14ac:dyDescent="0.2"/>
    <row r="40928" ht="12.75" x14ac:dyDescent="0.2"/>
    <row r="40929" ht="12.75" x14ac:dyDescent="0.2"/>
    <row r="40930" ht="12.75" x14ac:dyDescent="0.2"/>
    <row r="40931" ht="12.75" x14ac:dyDescent="0.2"/>
    <row r="40932" ht="12.75" x14ac:dyDescent="0.2"/>
    <row r="40933" ht="12.75" x14ac:dyDescent="0.2"/>
    <row r="40934" ht="12.75" x14ac:dyDescent="0.2"/>
    <row r="40935" ht="12.75" x14ac:dyDescent="0.2"/>
    <row r="40936" ht="12.75" x14ac:dyDescent="0.2"/>
    <row r="40937" ht="12.75" x14ac:dyDescent="0.2"/>
    <row r="40938" ht="12.75" x14ac:dyDescent="0.2"/>
    <row r="40939" ht="12.75" x14ac:dyDescent="0.2"/>
    <row r="40940" ht="12.75" x14ac:dyDescent="0.2"/>
    <row r="40941" ht="12.75" x14ac:dyDescent="0.2"/>
    <row r="40942" ht="12.75" x14ac:dyDescent="0.2"/>
    <row r="40943" ht="12.75" x14ac:dyDescent="0.2"/>
    <row r="40944" ht="12.75" x14ac:dyDescent="0.2"/>
    <row r="40945" ht="12.75" x14ac:dyDescent="0.2"/>
    <row r="40946" ht="12.75" x14ac:dyDescent="0.2"/>
    <row r="40947" ht="12.75" x14ac:dyDescent="0.2"/>
    <row r="40948" ht="12.75" x14ac:dyDescent="0.2"/>
    <row r="40949" ht="12.75" x14ac:dyDescent="0.2"/>
    <row r="40950" ht="12.75" x14ac:dyDescent="0.2"/>
    <row r="40951" ht="12.75" x14ac:dyDescent="0.2"/>
    <row r="40952" ht="12.75" x14ac:dyDescent="0.2"/>
    <row r="40953" ht="12.75" x14ac:dyDescent="0.2"/>
    <row r="40954" ht="12.75" x14ac:dyDescent="0.2"/>
    <row r="40955" ht="12.75" x14ac:dyDescent="0.2"/>
    <row r="40956" ht="12.75" x14ac:dyDescent="0.2"/>
    <row r="40957" ht="12.75" x14ac:dyDescent="0.2"/>
    <row r="40958" ht="12.75" x14ac:dyDescent="0.2"/>
    <row r="40959" ht="12.75" x14ac:dyDescent="0.2"/>
    <row r="40960" ht="12.75" x14ac:dyDescent="0.2"/>
    <row r="40961" ht="12.75" x14ac:dyDescent="0.2"/>
    <row r="40962" ht="12.75" x14ac:dyDescent="0.2"/>
    <row r="40963" ht="12.75" x14ac:dyDescent="0.2"/>
    <row r="40964" ht="12.75" x14ac:dyDescent="0.2"/>
    <row r="40965" ht="12.75" x14ac:dyDescent="0.2"/>
    <row r="40966" ht="12.75" x14ac:dyDescent="0.2"/>
    <row r="40967" ht="12.75" x14ac:dyDescent="0.2"/>
    <row r="40968" ht="12.75" x14ac:dyDescent="0.2"/>
    <row r="40969" ht="12.75" x14ac:dyDescent="0.2"/>
    <row r="40970" ht="12.75" x14ac:dyDescent="0.2"/>
    <row r="40971" ht="12.75" x14ac:dyDescent="0.2"/>
    <row r="40972" ht="12.75" x14ac:dyDescent="0.2"/>
    <row r="40973" ht="12.75" x14ac:dyDescent="0.2"/>
    <row r="40974" ht="12.75" x14ac:dyDescent="0.2"/>
    <row r="40975" ht="12.75" x14ac:dyDescent="0.2"/>
    <row r="40976" ht="12.75" x14ac:dyDescent="0.2"/>
    <row r="40977" ht="12.75" x14ac:dyDescent="0.2"/>
    <row r="40978" ht="12.75" x14ac:dyDescent="0.2"/>
    <row r="40979" ht="12.75" x14ac:dyDescent="0.2"/>
    <row r="40980" ht="12.75" x14ac:dyDescent="0.2"/>
    <row r="40981" ht="12.75" x14ac:dyDescent="0.2"/>
    <row r="40982" ht="12.75" x14ac:dyDescent="0.2"/>
    <row r="40983" ht="12.75" x14ac:dyDescent="0.2"/>
    <row r="40984" ht="12.75" x14ac:dyDescent="0.2"/>
    <row r="40985" ht="12.75" x14ac:dyDescent="0.2"/>
    <row r="40986" ht="12.75" x14ac:dyDescent="0.2"/>
    <row r="40987" ht="12.75" x14ac:dyDescent="0.2"/>
    <row r="40988" ht="12.75" x14ac:dyDescent="0.2"/>
    <row r="40989" ht="12.75" x14ac:dyDescent="0.2"/>
    <row r="40990" ht="12.75" x14ac:dyDescent="0.2"/>
    <row r="40991" ht="12.75" x14ac:dyDescent="0.2"/>
    <row r="40992" ht="12.75" x14ac:dyDescent="0.2"/>
    <row r="40993" ht="12.75" x14ac:dyDescent="0.2"/>
    <row r="40994" ht="12.75" x14ac:dyDescent="0.2"/>
    <row r="40995" ht="12.75" x14ac:dyDescent="0.2"/>
    <row r="40996" ht="12.75" x14ac:dyDescent="0.2"/>
    <row r="40997" ht="12.75" x14ac:dyDescent="0.2"/>
    <row r="40998" ht="12.75" x14ac:dyDescent="0.2"/>
    <row r="40999" ht="12.75" x14ac:dyDescent="0.2"/>
    <row r="41000" ht="12.75" x14ac:dyDescent="0.2"/>
    <row r="41001" ht="12.75" x14ac:dyDescent="0.2"/>
    <row r="41002" ht="12.75" x14ac:dyDescent="0.2"/>
    <row r="41003" ht="12.75" x14ac:dyDescent="0.2"/>
    <row r="41004" ht="12.75" x14ac:dyDescent="0.2"/>
    <row r="41005" ht="12.75" x14ac:dyDescent="0.2"/>
    <row r="41006" ht="12.75" x14ac:dyDescent="0.2"/>
    <row r="41007" ht="12.75" x14ac:dyDescent="0.2"/>
    <row r="41008" ht="12.75" x14ac:dyDescent="0.2"/>
    <row r="41009" ht="12.75" x14ac:dyDescent="0.2"/>
    <row r="41010" ht="12.75" x14ac:dyDescent="0.2"/>
    <row r="41011" ht="12.75" x14ac:dyDescent="0.2"/>
    <row r="41012" ht="12.75" x14ac:dyDescent="0.2"/>
    <row r="41013" ht="12.75" x14ac:dyDescent="0.2"/>
    <row r="41014" ht="12.75" x14ac:dyDescent="0.2"/>
    <row r="41015" ht="12.75" x14ac:dyDescent="0.2"/>
    <row r="41016" ht="12.75" x14ac:dyDescent="0.2"/>
    <row r="41017" ht="12.75" x14ac:dyDescent="0.2"/>
    <row r="41018" ht="12.75" x14ac:dyDescent="0.2"/>
    <row r="41019" ht="12.75" x14ac:dyDescent="0.2"/>
    <row r="41020" ht="12.75" x14ac:dyDescent="0.2"/>
    <row r="41021" ht="12.75" x14ac:dyDescent="0.2"/>
    <row r="41022" ht="12.75" x14ac:dyDescent="0.2"/>
    <row r="41023" ht="12.75" x14ac:dyDescent="0.2"/>
    <row r="41024" ht="12.75" x14ac:dyDescent="0.2"/>
    <row r="41025" ht="12.75" x14ac:dyDescent="0.2"/>
    <row r="41026" ht="12.75" x14ac:dyDescent="0.2"/>
    <row r="41027" ht="12.75" x14ac:dyDescent="0.2"/>
    <row r="41028" ht="12.75" x14ac:dyDescent="0.2"/>
    <row r="41029" ht="12.75" x14ac:dyDescent="0.2"/>
    <row r="41030" ht="12.75" x14ac:dyDescent="0.2"/>
    <row r="41031" ht="12.75" x14ac:dyDescent="0.2"/>
    <row r="41032" ht="12.75" x14ac:dyDescent="0.2"/>
    <row r="41033" ht="12.75" x14ac:dyDescent="0.2"/>
    <row r="41034" ht="12.75" x14ac:dyDescent="0.2"/>
    <row r="41035" ht="12.75" x14ac:dyDescent="0.2"/>
    <row r="41036" ht="12.75" x14ac:dyDescent="0.2"/>
    <row r="41037" ht="12.75" x14ac:dyDescent="0.2"/>
    <row r="41038" ht="12.75" x14ac:dyDescent="0.2"/>
    <row r="41039" ht="12.75" x14ac:dyDescent="0.2"/>
    <row r="41040" ht="12.75" x14ac:dyDescent="0.2"/>
    <row r="41041" ht="12.75" x14ac:dyDescent="0.2"/>
    <row r="41042" ht="12.75" x14ac:dyDescent="0.2"/>
    <row r="41043" ht="12.75" x14ac:dyDescent="0.2"/>
    <row r="41044" ht="12.75" x14ac:dyDescent="0.2"/>
    <row r="41045" ht="12.75" x14ac:dyDescent="0.2"/>
    <row r="41046" ht="12.75" x14ac:dyDescent="0.2"/>
    <row r="41047" ht="12.75" x14ac:dyDescent="0.2"/>
    <row r="41048" ht="12.75" x14ac:dyDescent="0.2"/>
    <row r="41049" ht="12.75" x14ac:dyDescent="0.2"/>
    <row r="41050" ht="12.75" x14ac:dyDescent="0.2"/>
    <row r="41051" ht="12.75" x14ac:dyDescent="0.2"/>
    <row r="41052" ht="12.75" x14ac:dyDescent="0.2"/>
    <row r="41053" ht="12.75" x14ac:dyDescent="0.2"/>
    <row r="41054" ht="12.75" x14ac:dyDescent="0.2"/>
    <row r="41055" ht="12.75" x14ac:dyDescent="0.2"/>
    <row r="41056" ht="12.75" x14ac:dyDescent="0.2"/>
    <row r="41057" ht="12.75" x14ac:dyDescent="0.2"/>
    <row r="41058" ht="12.75" x14ac:dyDescent="0.2"/>
    <row r="41059" ht="12.75" x14ac:dyDescent="0.2"/>
    <row r="41060" ht="12.75" x14ac:dyDescent="0.2"/>
    <row r="41061" ht="12.75" x14ac:dyDescent="0.2"/>
    <row r="41062" ht="12.75" x14ac:dyDescent="0.2"/>
    <row r="41063" ht="12.75" x14ac:dyDescent="0.2"/>
    <row r="41064" ht="12.75" x14ac:dyDescent="0.2"/>
    <row r="41065" ht="12.75" x14ac:dyDescent="0.2"/>
    <row r="41066" ht="12.75" x14ac:dyDescent="0.2"/>
    <row r="41067" ht="12.75" x14ac:dyDescent="0.2"/>
    <row r="41068" ht="12.75" x14ac:dyDescent="0.2"/>
    <row r="41069" ht="12.75" x14ac:dyDescent="0.2"/>
    <row r="41070" ht="12.75" x14ac:dyDescent="0.2"/>
    <row r="41071" ht="12.75" x14ac:dyDescent="0.2"/>
    <row r="41072" ht="12.75" x14ac:dyDescent="0.2"/>
    <row r="41073" ht="12.75" x14ac:dyDescent="0.2"/>
    <row r="41074" ht="12.75" x14ac:dyDescent="0.2"/>
    <row r="41075" ht="12.75" x14ac:dyDescent="0.2"/>
    <row r="41076" ht="12.75" x14ac:dyDescent="0.2"/>
    <row r="41077" ht="12.75" x14ac:dyDescent="0.2"/>
    <row r="41078" ht="12.75" x14ac:dyDescent="0.2"/>
    <row r="41079" ht="12.75" x14ac:dyDescent="0.2"/>
    <row r="41080" ht="12.75" x14ac:dyDescent="0.2"/>
    <row r="41081" ht="12.75" x14ac:dyDescent="0.2"/>
    <row r="41082" ht="12.75" x14ac:dyDescent="0.2"/>
    <row r="41083" ht="12.75" x14ac:dyDescent="0.2"/>
    <row r="41084" ht="12.75" x14ac:dyDescent="0.2"/>
    <row r="41085" ht="12.75" x14ac:dyDescent="0.2"/>
    <row r="41086" ht="12.75" x14ac:dyDescent="0.2"/>
    <row r="41087" ht="12.75" x14ac:dyDescent="0.2"/>
    <row r="41088" ht="12.75" x14ac:dyDescent="0.2"/>
    <row r="41089" ht="12.75" x14ac:dyDescent="0.2"/>
    <row r="41090" ht="12.75" x14ac:dyDescent="0.2"/>
    <row r="41091" ht="12.75" x14ac:dyDescent="0.2"/>
    <row r="41092" ht="12.75" x14ac:dyDescent="0.2"/>
    <row r="41093" ht="12.75" x14ac:dyDescent="0.2"/>
    <row r="41094" ht="12.75" x14ac:dyDescent="0.2"/>
    <row r="41095" ht="12.75" x14ac:dyDescent="0.2"/>
    <row r="41096" ht="12.75" x14ac:dyDescent="0.2"/>
    <row r="41097" ht="12.75" x14ac:dyDescent="0.2"/>
    <row r="41098" ht="12.75" x14ac:dyDescent="0.2"/>
    <row r="41099" ht="12.75" x14ac:dyDescent="0.2"/>
    <row r="41100" ht="12.75" x14ac:dyDescent="0.2"/>
    <row r="41101" ht="12.75" x14ac:dyDescent="0.2"/>
    <row r="41102" ht="12.75" x14ac:dyDescent="0.2"/>
    <row r="41103" ht="12.75" x14ac:dyDescent="0.2"/>
    <row r="41104" ht="12.75" x14ac:dyDescent="0.2"/>
    <row r="41105" ht="12.75" x14ac:dyDescent="0.2"/>
    <row r="41106" ht="12.75" x14ac:dyDescent="0.2"/>
    <row r="41107" ht="12.75" x14ac:dyDescent="0.2"/>
    <row r="41108" ht="12.75" x14ac:dyDescent="0.2"/>
    <row r="41109" ht="12.75" x14ac:dyDescent="0.2"/>
    <row r="41110" ht="12.75" x14ac:dyDescent="0.2"/>
    <row r="41111" ht="12.75" x14ac:dyDescent="0.2"/>
    <row r="41112" ht="12.75" x14ac:dyDescent="0.2"/>
    <row r="41113" ht="12.75" x14ac:dyDescent="0.2"/>
    <row r="41114" ht="12.75" x14ac:dyDescent="0.2"/>
    <row r="41115" ht="12.75" x14ac:dyDescent="0.2"/>
    <row r="41116" ht="12.75" x14ac:dyDescent="0.2"/>
    <row r="41117" ht="12.75" x14ac:dyDescent="0.2"/>
    <row r="41118" ht="12.75" x14ac:dyDescent="0.2"/>
    <row r="41119" ht="12.75" x14ac:dyDescent="0.2"/>
    <row r="41120" ht="12.75" x14ac:dyDescent="0.2"/>
    <row r="41121" ht="12.75" x14ac:dyDescent="0.2"/>
    <row r="41122" ht="12.75" x14ac:dyDescent="0.2"/>
    <row r="41123" ht="12.75" x14ac:dyDescent="0.2"/>
    <row r="41124" ht="12.75" x14ac:dyDescent="0.2"/>
    <row r="41125" ht="12.75" x14ac:dyDescent="0.2"/>
    <row r="41126" ht="12.75" x14ac:dyDescent="0.2"/>
    <row r="41127" ht="12.75" x14ac:dyDescent="0.2"/>
    <row r="41128" ht="12.75" x14ac:dyDescent="0.2"/>
    <row r="41129" ht="12.75" x14ac:dyDescent="0.2"/>
    <row r="41130" ht="12.75" x14ac:dyDescent="0.2"/>
    <row r="41131" ht="12.75" x14ac:dyDescent="0.2"/>
    <row r="41132" ht="12.75" x14ac:dyDescent="0.2"/>
    <row r="41133" ht="12.75" x14ac:dyDescent="0.2"/>
    <row r="41134" ht="12.75" x14ac:dyDescent="0.2"/>
    <row r="41135" ht="12.75" x14ac:dyDescent="0.2"/>
    <row r="41136" ht="12.75" x14ac:dyDescent="0.2"/>
    <row r="41137" ht="12.75" x14ac:dyDescent="0.2"/>
    <row r="41138" ht="12.75" x14ac:dyDescent="0.2"/>
    <row r="41139" ht="12.75" x14ac:dyDescent="0.2"/>
    <row r="41140" ht="12.75" x14ac:dyDescent="0.2"/>
    <row r="41141" ht="12.75" x14ac:dyDescent="0.2"/>
    <row r="41142" ht="12.75" x14ac:dyDescent="0.2"/>
    <row r="41143" ht="12.75" x14ac:dyDescent="0.2"/>
    <row r="41144" ht="12.75" x14ac:dyDescent="0.2"/>
    <row r="41145" ht="12.75" x14ac:dyDescent="0.2"/>
    <row r="41146" ht="12.75" x14ac:dyDescent="0.2"/>
    <row r="41147" ht="12.75" x14ac:dyDescent="0.2"/>
    <row r="41148" ht="12.75" x14ac:dyDescent="0.2"/>
    <row r="41149" ht="12.75" x14ac:dyDescent="0.2"/>
    <row r="41150" ht="12.75" x14ac:dyDescent="0.2"/>
    <row r="41151" ht="12.75" x14ac:dyDescent="0.2"/>
    <row r="41152" ht="12.75" x14ac:dyDescent="0.2"/>
    <row r="41153" ht="12.75" x14ac:dyDescent="0.2"/>
    <row r="41154" ht="12.75" x14ac:dyDescent="0.2"/>
    <row r="41155" ht="12.75" x14ac:dyDescent="0.2"/>
    <row r="41156" ht="12.75" x14ac:dyDescent="0.2"/>
    <row r="41157" ht="12.75" x14ac:dyDescent="0.2"/>
    <row r="41158" ht="12.75" x14ac:dyDescent="0.2"/>
    <row r="41159" ht="12.75" x14ac:dyDescent="0.2"/>
    <row r="41160" ht="12.75" x14ac:dyDescent="0.2"/>
    <row r="41161" ht="12.75" x14ac:dyDescent="0.2"/>
    <row r="41162" ht="12.75" x14ac:dyDescent="0.2"/>
    <row r="41163" ht="12.75" x14ac:dyDescent="0.2"/>
    <row r="41164" ht="12.75" x14ac:dyDescent="0.2"/>
    <row r="41165" ht="12.75" x14ac:dyDescent="0.2"/>
    <row r="41166" ht="12.75" x14ac:dyDescent="0.2"/>
    <row r="41167" ht="12.75" x14ac:dyDescent="0.2"/>
    <row r="41168" ht="12.75" x14ac:dyDescent="0.2"/>
    <row r="41169" ht="12.75" x14ac:dyDescent="0.2"/>
    <row r="41170" ht="12.75" x14ac:dyDescent="0.2"/>
    <row r="41171" ht="12.75" x14ac:dyDescent="0.2"/>
    <row r="41172" ht="12.75" x14ac:dyDescent="0.2"/>
    <row r="41173" ht="12.75" x14ac:dyDescent="0.2"/>
    <row r="41174" ht="12.75" x14ac:dyDescent="0.2"/>
    <row r="41175" ht="12.75" x14ac:dyDescent="0.2"/>
    <row r="41176" ht="12.75" x14ac:dyDescent="0.2"/>
    <row r="41177" ht="12.75" x14ac:dyDescent="0.2"/>
    <row r="41178" ht="12.75" x14ac:dyDescent="0.2"/>
    <row r="41179" ht="12.75" x14ac:dyDescent="0.2"/>
    <row r="41180" ht="12.75" x14ac:dyDescent="0.2"/>
    <row r="41181" ht="12.75" x14ac:dyDescent="0.2"/>
    <row r="41182" ht="12.75" x14ac:dyDescent="0.2"/>
    <row r="41183" ht="12.75" x14ac:dyDescent="0.2"/>
    <row r="41184" ht="12.75" x14ac:dyDescent="0.2"/>
    <row r="41185" ht="12.75" x14ac:dyDescent="0.2"/>
    <row r="41186" ht="12.75" x14ac:dyDescent="0.2"/>
    <row r="41187" ht="12.75" x14ac:dyDescent="0.2"/>
    <row r="41188" ht="12.75" x14ac:dyDescent="0.2"/>
    <row r="41189" ht="12.75" x14ac:dyDescent="0.2"/>
    <row r="41190" ht="12.75" x14ac:dyDescent="0.2"/>
    <row r="41191" ht="12.75" x14ac:dyDescent="0.2"/>
    <row r="41192" ht="12.75" x14ac:dyDescent="0.2"/>
    <row r="41193" ht="12.75" x14ac:dyDescent="0.2"/>
    <row r="41194" ht="12.75" x14ac:dyDescent="0.2"/>
    <row r="41195" ht="12.75" x14ac:dyDescent="0.2"/>
    <row r="41196" ht="12.75" x14ac:dyDescent="0.2"/>
    <row r="41197" ht="12.75" x14ac:dyDescent="0.2"/>
    <row r="41198" ht="12.75" x14ac:dyDescent="0.2"/>
    <row r="41199" ht="12.75" x14ac:dyDescent="0.2"/>
    <row r="41200" ht="12.75" x14ac:dyDescent="0.2"/>
    <row r="41201" ht="12.75" x14ac:dyDescent="0.2"/>
    <row r="41202" ht="12.75" x14ac:dyDescent="0.2"/>
    <row r="41203" ht="12.75" x14ac:dyDescent="0.2"/>
    <row r="41204" ht="12.75" x14ac:dyDescent="0.2"/>
    <row r="41205" ht="12.75" x14ac:dyDescent="0.2"/>
    <row r="41206" ht="12.75" x14ac:dyDescent="0.2"/>
    <row r="41207" ht="12.75" x14ac:dyDescent="0.2"/>
    <row r="41208" ht="12.75" x14ac:dyDescent="0.2"/>
    <row r="41209" ht="12.75" x14ac:dyDescent="0.2"/>
    <row r="41210" ht="12.75" x14ac:dyDescent="0.2"/>
    <row r="41211" ht="12.75" x14ac:dyDescent="0.2"/>
    <row r="41212" ht="12.75" x14ac:dyDescent="0.2"/>
    <row r="41213" ht="12.75" x14ac:dyDescent="0.2"/>
    <row r="41214" ht="12.75" x14ac:dyDescent="0.2"/>
    <row r="41215" ht="12.75" x14ac:dyDescent="0.2"/>
    <row r="41216" ht="12.75" x14ac:dyDescent="0.2"/>
    <row r="41217" ht="12.75" x14ac:dyDescent="0.2"/>
    <row r="41218" ht="12.75" x14ac:dyDescent="0.2"/>
    <row r="41219" ht="12.75" x14ac:dyDescent="0.2"/>
    <row r="41220" ht="12.75" x14ac:dyDescent="0.2"/>
    <row r="41221" ht="12.75" x14ac:dyDescent="0.2"/>
    <row r="41222" ht="12.75" x14ac:dyDescent="0.2"/>
    <row r="41223" ht="12.75" x14ac:dyDescent="0.2"/>
    <row r="41224" ht="12.75" x14ac:dyDescent="0.2"/>
    <row r="41225" ht="12.75" x14ac:dyDescent="0.2"/>
    <row r="41226" ht="12.75" x14ac:dyDescent="0.2"/>
    <row r="41227" ht="12.75" x14ac:dyDescent="0.2"/>
    <row r="41228" ht="12.75" x14ac:dyDescent="0.2"/>
    <row r="41229" ht="12.75" x14ac:dyDescent="0.2"/>
    <row r="41230" ht="12.75" x14ac:dyDescent="0.2"/>
    <row r="41231" ht="12.75" x14ac:dyDescent="0.2"/>
    <row r="41232" ht="12.75" x14ac:dyDescent="0.2"/>
    <row r="41233" ht="12.75" x14ac:dyDescent="0.2"/>
    <row r="41234" ht="12.75" x14ac:dyDescent="0.2"/>
    <row r="41235" ht="12.75" x14ac:dyDescent="0.2"/>
    <row r="41236" ht="12.75" x14ac:dyDescent="0.2"/>
    <row r="41237" ht="12.75" x14ac:dyDescent="0.2"/>
    <row r="41238" ht="12.75" x14ac:dyDescent="0.2"/>
    <row r="41239" ht="12.75" x14ac:dyDescent="0.2"/>
    <row r="41240" ht="12.75" x14ac:dyDescent="0.2"/>
    <row r="41241" ht="12.75" x14ac:dyDescent="0.2"/>
    <row r="41242" ht="12.75" x14ac:dyDescent="0.2"/>
    <row r="41243" ht="12.75" x14ac:dyDescent="0.2"/>
    <row r="41244" ht="12.75" x14ac:dyDescent="0.2"/>
    <row r="41245" ht="12.75" x14ac:dyDescent="0.2"/>
    <row r="41246" ht="12.75" x14ac:dyDescent="0.2"/>
    <row r="41247" ht="12.75" x14ac:dyDescent="0.2"/>
    <row r="41248" ht="12.75" x14ac:dyDescent="0.2"/>
    <row r="41249" ht="12.75" x14ac:dyDescent="0.2"/>
    <row r="41250" ht="12.75" x14ac:dyDescent="0.2"/>
    <row r="41251" ht="12.75" x14ac:dyDescent="0.2"/>
    <row r="41252" ht="12.75" x14ac:dyDescent="0.2"/>
    <row r="41253" ht="12.75" x14ac:dyDescent="0.2"/>
    <row r="41254" ht="12.75" x14ac:dyDescent="0.2"/>
    <row r="41255" ht="12.75" x14ac:dyDescent="0.2"/>
    <row r="41256" ht="12.75" x14ac:dyDescent="0.2"/>
    <row r="41257" ht="12.75" x14ac:dyDescent="0.2"/>
    <row r="41258" ht="12.75" x14ac:dyDescent="0.2"/>
    <row r="41259" ht="12.75" x14ac:dyDescent="0.2"/>
    <row r="41260" ht="12.75" x14ac:dyDescent="0.2"/>
    <row r="41261" ht="12.75" x14ac:dyDescent="0.2"/>
    <row r="41262" ht="12.75" x14ac:dyDescent="0.2"/>
    <row r="41263" ht="12.75" x14ac:dyDescent="0.2"/>
    <row r="41264" ht="12.75" x14ac:dyDescent="0.2"/>
    <row r="41265" ht="12.75" x14ac:dyDescent="0.2"/>
    <row r="41266" ht="12.75" x14ac:dyDescent="0.2"/>
    <row r="41267" ht="12.75" x14ac:dyDescent="0.2"/>
    <row r="41268" ht="12.75" x14ac:dyDescent="0.2"/>
    <row r="41269" ht="12.75" x14ac:dyDescent="0.2"/>
    <row r="41270" ht="12.75" x14ac:dyDescent="0.2"/>
    <row r="41271" ht="12.75" x14ac:dyDescent="0.2"/>
    <row r="41272" ht="12.75" x14ac:dyDescent="0.2"/>
    <row r="41273" ht="12.75" x14ac:dyDescent="0.2"/>
    <row r="41274" ht="12.75" x14ac:dyDescent="0.2"/>
    <row r="41275" ht="12.75" x14ac:dyDescent="0.2"/>
    <row r="41276" ht="12.75" x14ac:dyDescent="0.2"/>
    <row r="41277" ht="12.75" x14ac:dyDescent="0.2"/>
    <row r="41278" ht="12.75" x14ac:dyDescent="0.2"/>
    <row r="41279" ht="12.75" x14ac:dyDescent="0.2"/>
    <row r="41280" ht="12.75" x14ac:dyDescent="0.2"/>
    <row r="41281" ht="12.75" x14ac:dyDescent="0.2"/>
    <row r="41282" ht="12.75" x14ac:dyDescent="0.2"/>
    <row r="41283" ht="12.75" x14ac:dyDescent="0.2"/>
    <row r="41284" ht="12.75" x14ac:dyDescent="0.2"/>
    <row r="41285" ht="12.75" x14ac:dyDescent="0.2"/>
    <row r="41286" ht="12.75" x14ac:dyDescent="0.2"/>
    <row r="41287" ht="12.75" x14ac:dyDescent="0.2"/>
    <row r="41288" ht="12.75" x14ac:dyDescent="0.2"/>
    <row r="41289" ht="12.75" x14ac:dyDescent="0.2"/>
    <row r="41290" ht="12.75" x14ac:dyDescent="0.2"/>
    <row r="41291" ht="12.75" x14ac:dyDescent="0.2"/>
    <row r="41292" ht="12.75" x14ac:dyDescent="0.2"/>
    <row r="41293" ht="12.75" x14ac:dyDescent="0.2"/>
    <row r="41294" ht="12.75" x14ac:dyDescent="0.2"/>
    <row r="41295" ht="12.75" x14ac:dyDescent="0.2"/>
    <row r="41296" ht="12.75" x14ac:dyDescent="0.2"/>
    <row r="41297" ht="12.75" x14ac:dyDescent="0.2"/>
    <row r="41298" ht="12.75" x14ac:dyDescent="0.2"/>
    <row r="41299" ht="12.75" x14ac:dyDescent="0.2"/>
    <row r="41300" ht="12.75" x14ac:dyDescent="0.2"/>
    <row r="41301" ht="12.75" x14ac:dyDescent="0.2"/>
    <row r="41302" ht="12.75" x14ac:dyDescent="0.2"/>
    <row r="41303" ht="12.75" x14ac:dyDescent="0.2"/>
    <row r="41304" ht="12.75" x14ac:dyDescent="0.2"/>
    <row r="41305" ht="12.75" x14ac:dyDescent="0.2"/>
    <row r="41306" ht="12.75" x14ac:dyDescent="0.2"/>
    <row r="41307" ht="12.75" x14ac:dyDescent="0.2"/>
    <row r="41308" ht="12.75" x14ac:dyDescent="0.2"/>
    <row r="41309" ht="12.75" x14ac:dyDescent="0.2"/>
    <row r="41310" ht="12.75" x14ac:dyDescent="0.2"/>
    <row r="41311" ht="12.75" x14ac:dyDescent="0.2"/>
    <row r="41312" ht="12.75" x14ac:dyDescent="0.2"/>
    <row r="41313" ht="12.75" x14ac:dyDescent="0.2"/>
    <row r="41314" ht="12.75" x14ac:dyDescent="0.2"/>
    <row r="41315" ht="12.75" x14ac:dyDescent="0.2"/>
    <row r="41316" ht="12.75" x14ac:dyDescent="0.2"/>
    <row r="41317" ht="12.75" x14ac:dyDescent="0.2"/>
    <row r="41318" ht="12.75" x14ac:dyDescent="0.2"/>
    <row r="41319" ht="12.75" x14ac:dyDescent="0.2"/>
    <row r="41320" ht="12.75" x14ac:dyDescent="0.2"/>
    <row r="41321" ht="12.75" x14ac:dyDescent="0.2"/>
    <row r="41322" ht="12.75" x14ac:dyDescent="0.2"/>
    <row r="41323" ht="12.75" x14ac:dyDescent="0.2"/>
    <row r="41324" ht="12.75" x14ac:dyDescent="0.2"/>
    <row r="41325" ht="12.75" x14ac:dyDescent="0.2"/>
    <row r="41326" ht="12.75" x14ac:dyDescent="0.2"/>
    <row r="41327" ht="12.75" x14ac:dyDescent="0.2"/>
    <row r="41328" ht="12.75" x14ac:dyDescent="0.2"/>
    <row r="41329" ht="12.75" x14ac:dyDescent="0.2"/>
    <row r="41330" ht="12.75" x14ac:dyDescent="0.2"/>
    <row r="41331" ht="12.75" x14ac:dyDescent="0.2"/>
    <row r="41332" ht="12.75" x14ac:dyDescent="0.2"/>
    <row r="41333" ht="12.75" x14ac:dyDescent="0.2"/>
    <row r="41334" ht="12.75" x14ac:dyDescent="0.2"/>
    <row r="41335" ht="12.75" x14ac:dyDescent="0.2"/>
    <row r="41336" ht="12.75" x14ac:dyDescent="0.2"/>
    <row r="41337" ht="12.75" x14ac:dyDescent="0.2"/>
    <row r="41338" ht="12.75" x14ac:dyDescent="0.2"/>
    <row r="41339" ht="12.75" x14ac:dyDescent="0.2"/>
    <row r="41340" ht="12.75" x14ac:dyDescent="0.2"/>
    <row r="41341" ht="12.75" x14ac:dyDescent="0.2"/>
    <row r="41342" ht="12.75" x14ac:dyDescent="0.2"/>
    <row r="41343" ht="12.75" x14ac:dyDescent="0.2"/>
    <row r="41344" ht="12.75" x14ac:dyDescent="0.2"/>
    <row r="41345" ht="12.75" x14ac:dyDescent="0.2"/>
    <row r="41346" ht="12.75" x14ac:dyDescent="0.2"/>
    <row r="41347" ht="12.75" x14ac:dyDescent="0.2"/>
    <row r="41348" ht="12.75" x14ac:dyDescent="0.2"/>
    <row r="41349" ht="12.75" x14ac:dyDescent="0.2"/>
    <row r="41350" ht="12.75" x14ac:dyDescent="0.2"/>
    <row r="41351" ht="12.75" x14ac:dyDescent="0.2"/>
    <row r="41352" ht="12.75" x14ac:dyDescent="0.2"/>
    <row r="41353" ht="12.75" x14ac:dyDescent="0.2"/>
    <row r="41354" ht="12.75" x14ac:dyDescent="0.2"/>
    <row r="41355" ht="12.75" x14ac:dyDescent="0.2"/>
    <row r="41356" ht="12.75" x14ac:dyDescent="0.2"/>
    <row r="41357" ht="12.75" x14ac:dyDescent="0.2"/>
    <row r="41358" ht="12.75" x14ac:dyDescent="0.2"/>
    <row r="41359" ht="12.75" x14ac:dyDescent="0.2"/>
    <row r="41360" ht="12.75" x14ac:dyDescent="0.2"/>
    <row r="41361" ht="12.75" x14ac:dyDescent="0.2"/>
    <row r="41362" ht="12.75" x14ac:dyDescent="0.2"/>
    <row r="41363" ht="12.75" x14ac:dyDescent="0.2"/>
    <row r="41364" ht="12.75" x14ac:dyDescent="0.2"/>
    <row r="41365" ht="12.75" x14ac:dyDescent="0.2"/>
    <row r="41366" ht="12.75" x14ac:dyDescent="0.2"/>
    <row r="41367" ht="12.75" x14ac:dyDescent="0.2"/>
    <row r="41368" ht="12.75" x14ac:dyDescent="0.2"/>
    <row r="41369" ht="12.75" x14ac:dyDescent="0.2"/>
    <row r="41370" ht="12.75" x14ac:dyDescent="0.2"/>
    <row r="41371" ht="12.75" x14ac:dyDescent="0.2"/>
    <row r="41372" ht="12.75" x14ac:dyDescent="0.2"/>
    <row r="41373" ht="12.75" x14ac:dyDescent="0.2"/>
    <row r="41374" ht="12.75" x14ac:dyDescent="0.2"/>
    <row r="41375" ht="12.75" x14ac:dyDescent="0.2"/>
    <row r="41376" ht="12.75" x14ac:dyDescent="0.2"/>
    <row r="41377" ht="12.75" x14ac:dyDescent="0.2"/>
    <row r="41378" ht="12.75" x14ac:dyDescent="0.2"/>
    <row r="41379" ht="12.75" x14ac:dyDescent="0.2"/>
    <row r="41380" ht="12.75" x14ac:dyDescent="0.2"/>
    <row r="41381" ht="12.75" x14ac:dyDescent="0.2"/>
    <row r="41382" ht="12.75" x14ac:dyDescent="0.2"/>
    <row r="41383" ht="12.75" x14ac:dyDescent="0.2"/>
    <row r="41384" ht="12.75" x14ac:dyDescent="0.2"/>
    <row r="41385" ht="12.75" x14ac:dyDescent="0.2"/>
    <row r="41386" ht="12.75" x14ac:dyDescent="0.2"/>
    <row r="41387" ht="12.75" x14ac:dyDescent="0.2"/>
    <row r="41388" ht="12.75" x14ac:dyDescent="0.2"/>
    <row r="41389" ht="12.75" x14ac:dyDescent="0.2"/>
    <row r="41390" ht="12.75" x14ac:dyDescent="0.2"/>
    <row r="41391" ht="12.75" x14ac:dyDescent="0.2"/>
    <row r="41392" ht="12.75" x14ac:dyDescent="0.2"/>
    <row r="41393" ht="12.75" x14ac:dyDescent="0.2"/>
    <row r="41394" ht="12.75" x14ac:dyDescent="0.2"/>
    <row r="41395" ht="12.75" x14ac:dyDescent="0.2"/>
    <row r="41396" ht="12.75" x14ac:dyDescent="0.2"/>
    <row r="41397" ht="12.75" x14ac:dyDescent="0.2"/>
    <row r="41398" ht="12.75" x14ac:dyDescent="0.2"/>
    <row r="41399" ht="12.75" x14ac:dyDescent="0.2"/>
    <row r="41400" ht="12.75" x14ac:dyDescent="0.2"/>
    <row r="41401" ht="12.75" x14ac:dyDescent="0.2"/>
    <row r="41402" ht="12.75" x14ac:dyDescent="0.2"/>
    <row r="41403" ht="12.75" x14ac:dyDescent="0.2"/>
    <row r="41404" ht="12.75" x14ac:dyDescent="0.2"/>
    <row r="41405" ht="12.75" x14ac:dyDescent="0.2"/>
    <row r="41406" ht="12.75" x14ac:dyDescent="0.2"/>
    <row r="41407" ht="12.75" x14ac:dyDescent="0.2"/>
    <row r="41408" ht="12.75" x14ac:dyDescent="0.2"/>
    <row r="41409" ht="12.75" x14ac:dyDescent="0.2"/>
    <row r="41410" ht="12.75" x14ac:dyDescent="0.2"/>
    <row r="41411" ht="12.75" x14ac:dyDescent="0.2"/>
    <row r="41412" ht="12.75" x14ac:dyDescent="0.2"/>
    <row r="41413" ht="12.75" x14ac:dyDescent="0.2"/>
    <row r="41414" ht="12.75" x14ac:dyDescent="0.2"/>
    <row r="41415" ht="12.75" x14ac:dyDescent="0.2"/>
    <row r="41416" ht="12.75" x14ac:dyDescent="0.2"/>
    <row r="41417" ht="12.75" x14ac:dyDescent="0.2"/>
    <row r="41418" ht="12.75" x14ac:dyDescent="0.2"/>
    <row r="41419" ht="12.75" x14ac:dyDescent="0.2"/>
    <row r="41420" ht="12.75" x14ac:dyDescent="0.2"/>
    <row r="41421" ht="12.75" x14ac:dyDescent="0.2"/>
    <row r="41422" ht="12.75" x14ac:dyDescent="0.2"/>
    <row r="41423" ht="12.75" x14ac:dyDescent="0.2"/>
    <row r="41424" ht="12.75" x14ac:dyDescent="0.2"/>
    <row r="41425" ht="12.75" x14ac:dyDescent="0.2"/>
    <row r="41426" ht="12.75" x14ac:dyDescent="0.2"/>
    <row r="41427" ht="12.75" x14ac:dyDescent="0.2"/>
    <row r="41428" ht="12.75" x14ac:dyDescent="0.2"/>
    <row r="41429" ht="12.75" x14ac:dyDescent="0.2"/>
    <row r="41430" ht="12.75" x14ac:dyDescent="0.2"/>
    <row r="41431" ht="12.75" x14ac:dyDescent="0.2"/>
    <row r="41432" ht="12.75" x14ac:dyDescent="0.2"/>
    <row r="41433" ht="12.75" x14ac:dyDescent="0.2"/>
    <row r="41434" ht="12.75" x14ac:dyDescent="0.2"/>
    <row r="41435" ht="12.75" x14ac:dyDescent="0.2"/>
    <row r="41436" ht="12.75" x14ac:dyDescent="0.2"/>
    <row r="41437" ht="12.75" x14ac:dyDescent="0.2"/>
    <row r="41438" ht="12.75" x14ac:dyDescent="0.2"/>
    <row r="41439" ht="12.75" x14ac:dyDescent="0.2"/>
    <row r="41440" ht="12.75" x14ac:dyDescent="0.2"/>
    <row r="41441" ht="12.75" x14ac:dyDescent="0.2"/>
    <row r="41442" ht="12.75" x14ac:dyDescent="0.2"/>
    <row r="41443" ht="12.75" x14ac:dyDescent="0.2"/>
    <row r="41444" ht="12.75" x14ac:dyDescent="0.2"/>
    <row r="41445" ht="12.75" x14ac:dyDescent="0.2"/>
    <row r="41446" ht="12.75" x14ac:dyDescent="0.2"/>
    <row r="41447" ht="12.75" x14ac:dyDescent="0.2"/>
    <row r="41448" ht="12.75" x14ac:dyDescent="0.2"/>
    <row r="41449" ht="12.75" x14ac:dyDescent="0.2"/>
    <row r="41450" ht="12.75" x14ac:dyDescent="0.2"/>
    <row r="41451" ht="12.75" x14ac:dyDescent="0.2"/>
    <row r="41452" ht="12.75" x14ac:dyDescent="0.2"/>
    <row r="41453" ht="12.75" x14ac:dyDescent="0.2"/>
    <row r="41454" ht="12.75" x14ac:dyDescent="0.2"/>
    <row r="41455" ht="12.75" x14ac:dyDescent="0.2"/>
    <row r="41456" ht="12.75" x14ac:dyDescent="0.2"/>
    <row r="41457" ht="12.75" x14ac:dyDescent="0.2"/>
    <row r="41458" ht="12.75" x14ac:dyDescent="0.2"/>
    <row r="41459" ht="12.75" x14ac:dyDescent="0.2"/>
    <row r="41460" ht="12.75" x14ac:dyDescent="0.2"/>
    <row r="41461" ht="12.75" x14ac:dyDescent="0.2"/>
    <row r="41462" ht="12.75" x14ac:dyDescent="0.2"/>
    <row r="41463" ht="12.75" x14ac:dyDescent="0.2"/>
    <row r="41464" ht="12.75" x14ac:dyDescent="0.2"/>
    <row r="41465" ht="12.75" x14ac:dyDescent="0.2"/>
    <row r="41466" ht="12.75" x14ac:dyDescent="0.2"/>
    <row r="41467" ht="12.75" x14ac:dyDescent="0.2"/>
    <row r="41468" ht="12.75" x14ac:dyDescent="0.2"/>
    <row r="41469" ht="12.75" x14ac:dyDescent="0.2"/>
    <row r="41470" ht="12.75" x14ac:dyDescent="0.2"/>
    <row r="41471" ht="12.75" x14ac:dyDescent="0.2"/>
    <row r="41472" ht="12.75" x14ac:dyDescent="0.2"/>
    <row r="41473" ht="12.75" x14ac:dyDescent="0.2"/>
    <row r="41474" ht="12.75" x14ac:dyDescent="0.2"/>
    <row r="41475" ht="12.75" x14ac:dyDescent="0.2"/>
    <row r="41476" ht="12.75" x14ac:dyDescent="0.2"/>
    <row r="41477" ht="12.75" x14ac:dyDescent="0.2"/>
    <row r="41478" ht="12.75" x14ac:dyDescent="0.2"/>
    <row r="41479" ht="12.75" x14ac:dyDescent="0.2"/>
    <row r="41480" ht="12.75" x14ac:dyDescent="0.2"/>
    <row r="41481" ht="12.75" x14ac:dyDescent="0.2"/>
    <row r="41482" ht="12.75" x14ac:dyDescent="0.2"/>
    <row r="41483" ht="12.75" x14ac:dyDescent="0.2"/>
    <row r="41484" ht="12.75" x14ac:dyDescent="0.2"/>
    <row r="41485" ht="12.75" x14ac:dyDescent="0.2"/>
    <row r="41486" ht="12.75" x14ac:dyDescent="0.2"/>
    <row r="41487" ht="12.75" x14ac:dyDescent="0.2"/>
    <row r="41488" ht="12.75" x14ac:dyDescent="0.2"/>
    <row r="41489" ht="12.75" x14ac:dyDescent="0.2"/>
    <row r="41490" ht="12.75" x14ac:dyDescent="0.2"/>
    <row r="41491" ht="12.75" x14ac:dyDescent="0.2"/>
    <row r="41492" ht="12.75" x14ac:dyDescent="0.2"/>
    <row r="41493" ht="12.75" x14ac:dyDescent="0.2"/>
    <row r="41494" ht="12.75" x14ac:dyDescent="0.2"/>
    <row r="41495" ht="12.75" x14ac:dyDescent="0.2"/>
    <row r="41496" ht="12.75" x14ac:dyDescent="0.2"/>
    <row r="41497" ht="12.75" x14ac:dyDescent="0.2"/>
    <row r="41498" ht="12.75" x14ac:dyDescent="0.2"/>
    <row r="41499" ht="12.75" x14ac:dyDescent="0.2"/>
    <row r="41500" ht="12.75" x14ac:dyDescent="0.2"/>
    <row r="41501" ht="12.75" x14ac:dyDescent="0.2"/>
    <row r="41502" ht="12.75" x14ac:dyDescent="0.2"/>
    <row r="41503" ht="12.75" x14ac:dyDescent="0.2"/>
    <row r="41504" ht="12.75" x14ac:dyDescent="0.2"/>
    <row r="41505" ht="12.75" x14ac:dyDescent="0.2"/>
    <row r="41506" ht="12.75" x14ac:dyDescent="0.2"/>
    <row r="41507" ht="12.75" x14ac:dyDescent="0.2"/>
    <row r="41508" ht="12.75" x14ac:dyDescent="0.2"/>
    <row r="41509" ht="12.75" x14ac:dyDescent="0.2"/>
    <row r="41510" ht="12.75" x14ac:dyDescent="0.2"/>
    <row r="41511" ht="12.75" x14ac:dyDescent="0.2"/>
    <row r="41512" ht="12.75" x14ac:dyDescent="0.2"/>
    <row r="41513" ht="12.75" x14ac:dyDescent="0.2"/>
    <row r="41514" ht="12.75" x14ac:dyDescent="0.2"/>
    <row r="41515" ht="12.75" x14ac:dyDescent="0.2"/>
    <row r="41516" ht="12.75" x14ac:dyDescent="0.2"/>
    <row r="41517" ht="12.75" x14ac:dyDescent="0.2"/>
    <row r="41518" ht="12.75" x14ac:dyDescent="0.2"/>
    <row r="41519" ht="12.75" x14ac:dyDescent="0.2"/>
    <row r="41520" ht="12.75" x14ac:dyDescent="0.2"/>
    <row r="41521" ht="12.75" x14ac:dyDescent="0.2"/>
    <row r="41522" ht="12.75" x14ac:dyDescent="0.2"/>
    <row r="41523" ht="12.75" x14ac:dyDescent="0.2"/>
    <row r="41524" ht="12.75" x14ac:dyDescent="0.2"/>
    <row r="41525" ht="12.75" x14ac:dyDescent="0.2"/>
    <row r="41526" ht="12.75" x14ac:dyDescent="0.2"/>
    <row r="41527" ht="12.75" x14ac:dyDescent="0.2"/>
    <row r="41528" ht="12.75" x14ac:dyDescent="0.2"/>
    <row r="41529" ht="12.75" x14ac:dyDescent="0.2"/>
    <row r="41530" ht="12.75" x14ac:dyDescent="0.2"/>
    <row r="41531" ht="12.75" x14ac:dyDescent="0.2"/>
    <row r="41532" ht="12.75" x14ac:dyDescent="0.2"/>
    <row r="41533" ht="12.75" x14ac:dyDescent="0.2"/>
    <row r="41534" ht="12.75" x14ac:dyDescent="0.2"/>
    <row r="41535" ht="12.75" x14ac:dyDescent="0.2"/>
    <row r="41536" ht="12.75" x14ac:dyDescent="0.2"/>
    <row r="41537" ht="12.75" x14ac:dyDescent="0.2"/>
    <row r="41538" ht="12.75" x14ac:dyDescent="0.2"/>
    <row r="41539" ht="12.75" x14ac:dyDescent="0.2"/>
    <row r="41540" ht="12.75" x14ac:dyDescent="0.2"/>
    <row r="41541" ht="12.75" x14ac:dyDescent="0.2"/>
    <row r="41542" ht="12.75" x14ac:dyDescent="0.2"/>
    <row r="41543" ht="12.75" x14ac:dyDescent="0.2"/>
    <row r="41544" ht="12.75" x14ac:dyDescent="0.2"/>
    <row r="41545" ht="12.75" x14ac:dyDescent="0.2"/>
    <row r="41546" ht="12.75" x14ac:dyDescent="0.2"/>
    <row r="41547" ht="12.75" x14ac:dyDescent="0.2"/>
    <row r="41548" ht="12.75" x14ac:dyDescent="0.2"/>
    <row r="41549" ht="12.75" x14ac:dyDescent="0.2"/>
    <row r="41550" ht="12.75" x14ac:dyDescent="0.2"/>
    <row r="41551" ht="12.75" x14ac:dyDescent="0.2"/>
    <row r="41552" ht="12.75" x14ac:dyDescent="0.2"/>
    <row r="41553" ht="12.75" x14ac:dyDescent="0.2"/>
    <row r="41554" ht="12.75" x14ac:dyDescent="0.2"/>
    <row r="41555" ht="12.75" x14ac:dyDescent="0.2"/>
    <row r="41556" ht="12.75" x14ac:dyDescent="0.2"/>
    <row r="41557" ht="12.75" x14ac:dyDescent="0.2"/>
    <row r="41558" ht="12.75" x14ac:dyDescent="0.2"/>
    <row r="41559" ht="12.75" x14ac:dyDescent="0.2"/>
    <row r="41560" ht="12.75" x14ac:dyDescent="0.2"/>
    <row r="41561" ht="12.75" x14ac:dyDescent="0.2"/>
    <row r="41562" ht="12.75" x14ac:dyDescent="0.2"/>
    <row r="41563" ht="12.75" x14ac:dyDescent="0.2"/>
    <row r="41564" ht="12.75" x14ac:dyDescent="0.2"/>
    <row r="41565" ht="12.75" x14ac:dyDescent="0.2"/>
    <row r="41566" ht="12.75" x14ac:dyDescent="0.2"/>
    <row r="41567" ht="12.75" x14ac:dyDescent="0.2"/>
    <row r="41568" ht="12.75" x14ac:dyDescent="0.2"/>
    <row r="41569" ht="12.75" x14ac:dyDescent="0.2"/>
    <row r="41570" ht="12.75" x14ac:dyDescent="0.2"/>
    <row r="41571" ht="12.75" x14ac:dyDescent="0.2"/>
    <row r="41572" ht="12.75" x14ac:dyDescent="0.2"/>
    <row r="41573" ht="12.75" x14ac:dyDescent="0.2"/>
    <row r="41574" ht="12.75" x14ac:dyDescent="0.2"/>
    <row r="41575" ht="12.75" x14ac:dyDescent="0.2"/>
    <row r="41576" ht="12.75" x14ac:dyDescent="0.2"/>
    <row r="41577" ht="12.75" x14ac:dyDescent="0.2"/>
    <row r="41578" ht="12.75" x14ac:dyDescent="0.2"/>
    <row r="41579" ht="12.75" x14ac:dyDescent="0.2"/>
    <row r="41580" ht="12.75" x14ac:dyDescent="0.2"/>
    <row r="41581" ht="12.75" x14ac:dyDescent="0.2"/>
    <row r="41582" ht="12.75" x14ac:dyDescent="0.2"/>
    <row r="41583" ht="12.75" x14ac:dyDescent="0.2"/>
    <row r="41584" ht="12.75" x14ac:dyDescent="0.2"/>
    <row r="41585" ht="12.75" x14ac:dyDescent="0.2"/>
    <row r="41586" ht="12.75" x14ac:dyDescent="0.2"/>
    <row r="41587" ht="12.75" x14ac:dyDescent="0.2"/>
    <row r="41588" ht="12.75" x14ac:dyDescent="0.2"/>
    <row r="41589" ht="12.75" x14ac:dyDescent="0.2"/>
    <row r="41590" ht="12.75" x14ac:dyDescent="0.2"/>
    <row r="41591" ht="12.75" x14ac:dyDescent="0.2"/>
    <row r="41592" ht="12.75" x14ac:dyDescent="0.2"/>
    <row r="41593" ht="12.75" x14ac:dyDescent="0.2"/>
    <row r="41594" ht="12.75" x14ac:dyDescent="0.2"/>
    <row r="41595" ht="12.75" x14ac:dyDescent="0.2"/>
    <row r="41596" ht="12.75" x14ac:dyDescent="0.2"/>
    <row r="41597" ht="12.75" x14ac:dyDescent="0.2"/>
    <row r="41598" ht="12.75" x14ac:dyDescent="0.2"/>
    <row r="41599" ht="12.75" x14ac:dyDescent="0.2"/>
    <row r="41600" ht="12.75" x14ac:dyDescent="0.2"/>
    <row r="41601" ht="12.75" x14ac:dyDescent="0.2"/>
    <row r="41602" ht="12.75" x14ac:dyDescent="0.2"/>
    <row r="41603" ht="12.75" x14ac:dyDescent="0.2"/>
    <row r="41604" ht="12.75" x14ac:dyDescent="0.2"/>
    <row r="41605" ht="12.75" x14ac:dyDescent="0.2"/>
    <row r="41606" ht="12.75" x14ac:dyDescent="0.2"/>
    <row r="41607" ht="12.75" x14ac:dyDescent="0.2"/>
    <row r="41608" ht="12.75" x14ac:dyDescent="0.2"/>
    <row r="41609" ht="12.75" x14ac:dyDescent="0.2"/>
    <row r="41610" ht="12.75" x14ac:dyDescent="0.2"/>
    <row r="41611" ht="12.75" x14ac:dyDescent="0.2"/>
    <row r="41612" ht="12.75" x14ac:dyDescent="0.2"/>
    <row r="41613" ht="12.75" x14ac:dyDescent="0.2"/>
    <row r="41614" ht="12.75" x14ac:dyDescent="0.2"/>
    <row r="41615" ht="12.75" x14ac:dyDescent="0.2"/>
    <row r="41616" ht="12.75" x14ac:dyDescent="0.2"/>
    <row r="41617" ht="12.75" x14ac:dyDescent="0.2"/>
    <row r="41618" ht="12.75" x14ac:dyDescent="0.2"/>
    <row r="41619" ht="12.75" x14ac:dyDescent="0.2"/>
    <row r="41620" ht="12.75" x14ac:dyDescent="0.2"/>
    <row r="41621" ht="12.75" x14ac:dyDescent="0.2"/>
    <row r="41622" ht="12.75" x14ac:dyDescent="0.2"/>
    <row r="41623" ht="12.75" x14ac:dyDescent="0.2"/>
    <row r="41624" ht="12.75" x14ac:dyDescent="0.2"/>
    <row r="41625" ht="12.75" x14ac:dyDescent="0.2"/>
    <row r="41626" ht="12.75" x14ac:dyDescent="0.2"/>
    <row r="41627" ht="12.75" x14ac:dyDescent="0.2"/>
    <row r="41628" ht="12.75" x14ac:dyDescent="0.2"/>
    <row r="41629" ht="12.75" x14ac:dyDescent="0.2"/>
    <row r="41630" ht="12.75" x14ac:dyDescent="0.2"/>
    <row r="41631" ht="12.75" x14ac:dyDescent="0.2"/>
    <row r="41632" ht="12.75" x14ac:dyDescent="0.2"/>
    <row r="41633" ht="12.75" x14ac:dyDescent="0.2"/>
    <row r="41634" ht="12.75" x14ac:dyDescent="0.2"/>
    <row r="41635" ht="12.75" x14ac:dyDescent="0.2"/>
    <row r="41636" ht="12.75" x14ac:dyDescent="0.2"/>
    <row r="41637" ht="12.75" x14ac:dyDescent="0.2"/>
    <row r="41638" ht="12.75" x14ac:dyDescent="0.2"/>
    <row r="41639" ht="12.75" x14ac:dyDescent="0.2"/>
    <row r="41640" ht="12.75" x14ac:dyDescent="0.2"/>
    <row r="41641" ht="12.75" x14ac:dyDescent="0.2"/>
    <row r="41642" ht="12.75" x14ac:dyDescent="0.2"/>
    <row r="41643" ht="12.75" x14ac:dyDescent="0.2"/>
    <row r="41644" ht="12.75" x14ac:dyDescent="0.2"/>
    <row r="41645" ht="12.75" x14ac:dyDescent="0.2"/>
    <row r="41646" ht="12.75" x14ac:dyDescent="0.2"/>
    <row r="41647" ht="12.75" x14ac:dyDescent="0.2"/>
    <row r="41648" ht="12.75" x14ac:dyDescent="0.2"/>
    <row r="41649" ht="12.75" x14ac:dyDescent="0.2"/>
    <row r="41650" ht="12.75" x14ac:dyDescent="0.2"/>
    <row r="41651" ht="12.75" x14ac:dyDescent="0.2"/>
    <row r="41652" ht="12.75" x14ac:dyDescent="0.2"/>
    <row r="41653" ht="12.75" x14ac:dyDescent="0.2"/>
    <row r="41654" ht="12.75" x14ac:dyDescent="0.2"/>
    <row r="41655" ht="12.75" x14ac:dyDescent="0.2"/>
    <row r="41656" ht="12.75" x14ac:dyDescent="0.2"/>
    <row r="41657" ht="12.75" x14ac:dyDescent="0.2"/>
    <row r="41658" ht="12.75" x14ac:dyDescent="0.2"/>
    <row r="41659" ht="12.75" x14ac:dyDescent="0.2"/>
    <row r="41660" ht="12.75" x14ac:dyDescent="0.2"/>
    <row r="41661" ht="12.75" x14ac:dyDescent="0.2"/>
    <row r="41662" ht="12.75" x14ac:dyDescent="0.2"/>
    <row r="41663" ht="12.75" x14ac:dyDescent="0.2"/>
    <row r="41664" ht="12.75" x14ac:dyDescent="0.2"/>
    <row r="41665" ht="12.75" x14ac:dyDescent="0.2"/>
    <row r="41666" ht="12.75" x14ac:dyDescent="0.2"/>
    <row r="41667" ht="12.75" x14ac:dyDescent="0.2"/>
    <row r="41668" ht="12.75" x14ac:dyDescent="0.2"/>
    <row r="41669" ht="12.75" x14ac:dyDescent="0.2"/>
    <row r="41670" ht="12.75" x14ac:dyDescent="0.2"/>
    <row r="41671" ht="12.75" x14ac:dyDescent="0.2"/>
    <row r="41672" ht="12.75" x14ac:dyDescent="0.2"/>
    <row r="41673" ht="12.75" x14ac:dyDescent="0.2"/>
    <row r="41674" ht="12.75" x14ac:dyDescent="0.2"/>
    <row r="41675" ht="12.75" x14ac:dyDescent="0.2"/>
    <row r="41676" ht="12.75" x14ac:dyDescent="0.2"/>
    <row r="41677" ht="12.75" x14ac:dyDescent="0.2"/>
    <row r="41678" ht="12.75" x14ac:dyDescent="0.2"/>
    <row r="41679" ht="12.75" x14ac:dyDescent="0.2"/>
    <row r="41680" ht="12.75" x14ac:dyDescent="0.2"/>
    <row r="41681" ht="12.75" x14ac:dyDescent="0.2"/>
    <row r="41682" ht="12.75" x14ac:dyDescent="0.2"/>
    <row r="41683" ht="12.75" x14ac:dyDescent="0.2"/>
    <row r="41684" ht="12.75" x14ac:dyDescent="0.2"/>
    <row r="41685" ht="12.75" x14ac:dyDescent="0.2"/>
    <row r="41686" ht="12.75" x14ac:dyDescent="0.2"/>
    <row r="41687" ht="12.75" x14ac:dyDescent="0.2"/>
    <row r="41688" ht="12.75" x14ac:dyDescent="0.2"/>
    <row r="41689" ht="12.75" x14ac:dyDescent="0.2"/>
    <row r="41690" ht="12.75" x14ac:dyDescent="0.2"/>
    <row r="41691" ht="12.75" x14ac:dyDescent="0.2"/>
    <row r="41692" ht="12.75" x14ac:dyDescent="0.2"/>
    <row r="41693" ht="12.75" x14ac:dyDescent="0.2"/>
    <row r="41694" ht="12.75" x14ac:dyDescent="0.2"/>
    <row r="41695" ht="12.75" x14ac:dyDescent="0.2"/>
    <row r="41696" ht="12.75" x14ac:dyDescent="0.2"/>
    <row r="41697" ht="12.75" x14ac:dyDescent="0.2"/>
    <row r="41698" ht="12.75" x14ac:dyDescent="0.2"/>
    <row r="41699" ht="12.75" x14ac:dyDescent="0.2"/>
    <row r="41700" ht="12.75" x14ac:dyDescent="0.2"/>
    <row r="41701" ht="12.75" x14ac:dyDescent="0.2"/>
    <row r="41702" ht="12.75" x14ac:dyDescent="0.2"/>
    <row r="41703" ht="12.75" x14ac:dyDescent="0.2"/>
    <row r="41704" ht="12.75" x14ac:dyDescent="0.2"/>
    <row r="41705" ht="12.75" x14ac:dyDescent="0.2"/>
    <row r="41706" ht="12.75" x14ac:dyDescent="0.2"/>
    <row r="41707" ht="12.75" x14ac:dyDescent="0.2"/>
    <row r="41708" ht="12.75" x14ac:dyDescent="0.2"/>
    <row r="41709" ht="12.75" x14ac:dyDescent="0.2"/>
    <row r="41710" ht="12.75" x14ac:dyDescent="0.2"/>
    <row r="41711" ht="12.75" x14ac:dyDescent="0.2"/>
    <row r="41712" ht="12.75" x14ac:dyDescent="0.2"/>
    <row r="41713" ht="12.75" x14ac:dyDescent="0.2"/>
    <row r="41714" ht="12.75" x14ac:dyDescent="0.2"/>
    <row r="41715" ht="12.75" x14ac:dyDescent="0.2"/>
    <row r="41716" ht="12.75" x14ac:dyDescent="0.2"/>
    <row r="41717" ht="12.75" x14ac:dyDescent="0.2"/>
    <row r="41718" ht="12.75" x14ac:dyDescent="0.2"/>
    <row r="41719" ht="12.75" x14ac:dyDescent="0.2"/>
    <row r="41720" ht="12.75" x14ac:dyDescent="0.2"/>
    <row r="41721" ht="12.75" x14ac:dyDescent="0.2"/>
    <row r="41722" ht="12.75" x14ac:dyDescent="0.2"/>
    <row r="41723" ht="12.75" x14ac:dyDescent="0.2"/>
    <row r="41724" ht="12.75" x14ac:dyDescent="0.2"/>
    <row r="41725" ht="12.75" x14ac:dyDescent="0.2"/>
    <row r="41726" ht="12.75" x14ac:dyDescent="0.2"/>
    <row r="41727" ht="12.75" x14ac:dyDescent="0.2"/>
    <row r="41728" ht="12.75" x14ac:dyDescent="0.2"/>
    <row r="41729" ht="12.75" x14ac:dyDescent="0.2"/>
    <row r="41730" ht="12.75" x14ac:dyDescent="0.2"/>
    <row r="41731" ht="12.75" x14ac:dyDescent="0.2"/>
    <row r="41732" ht="12.75" x14ac:dyDescent="0.2"/>
    <row r="41733" ht="12.75" x14ac:dyDescent="0.2"/>
    <row r="41734" ht="12.75" x14ac:dyDescent="0.2"/>
    <row r="41735" ht="12.75" x14ac:dyDescent="0.2"/>
    <row r="41736" ht="12.75" x14ac:dyDescent="0.2"/>
    <row r="41737" ht="12.75" x14ac:dyDescent="0.2"/>
    <row r="41738" ht="12.75" x14ac:dyDescent="0.2"/>
    <row r="41739" ht="12.75" x14ac:dyDescent="0.2"/>
    <row r="41740" ht="12.75" x14ac:dyDescent="0.2"/>
    <row r="41741" ht="12.75" x14ac:dyDescent="0.2"/>
    <row r="41742" ht="12.75" x14ac:dyDescent="0.2"/>
    <row r="41743" ht="12.75" x14ac:dyDescent="0.2"/>
    <row r="41744" ht="12.75" x14ac:dyDescent="0.2"/>
    <row r="41745" ht="12.75" x14ac:dyDescent="0.2"/>
    <row r="41746" ht="12.75" x14ac:dyDescent="0.2"/>
    <row r="41747" ht="12.75" x14ac:dyDescent="0.2"/>
    <row r="41748" ht="12.75" x14ac:dyDescent="0.2"/>
    <row r="41749" ht="12.75" x14ac:dyDescent="0.2"/>
    <row r="41750" ht="12.75" x14ac:dyDescent="0.2"/>
    <row r="41751" ht="12.75" x14ac:dyDescent="0.2"/>
    <row r="41752" ht="12.75" x14ac:dyDescent="0.2"/>
    <row r="41753" ht="12.75" x14ac:dyDescent="0.2"/>
    <row r="41754" ht="12.75" x14ac:dyDescent="0.2"/>
    <row r="41755" ht="12.75" x14ac:dyDescent="0.2"/>
    <row r="41756" ht="12.75" x14ac:dyDescent="0.2"/>
    <row r="41757" ht="12.75" x14ac:dyDescent="0.2"/>
    <row r="41758" ht="12.75" x14ac:dyDescent="0.2"/>
    <row r="41759" ht="12.75" x14ac:dyDescent="0.2"/>
    <row r="41760" ht="12.75" x14ac:dyDescent="0.2"/>
    <row r="41761" ht="12.75" x14ac:dyDescent="0.2"/>
    <row r="41762" ht="12.75" x14ac:dyDescent="0.2"/>
    <row r="41763" ht="12.75" x14ac:dyDescent="0.2"/>
    <row r="41764" ht="12.75" x14ac:dyDescent="0.2"/>
    <row r="41765" ht="12.75" x14ac:dyDescent="0.2"/>
    <row r="41766" ht="12.75" x14ac:dyDescent="0.2"/>
    <row r="41767" ht="12.75" x14ac:dyDescent="0.2"/>
    <row r="41768" ht="12.75" x14ac:dyDescent="0.2"/>
    <row r="41769" ht="12.75" x14ac:dyDescent="0.2"/>
    <row r="41770" ht="12.75" x14ac:dyDescent="0.2"/>
    <row r="41771" ht="12.75" x14ac:dyDescent="0.2"/>
    <row r="41772" ht="12.75" x14ac:dyDescent="0.2"/>
    <row r="41773" ht="12.75" x14ac:dyDescent="0.2"/>
    <row r="41774" ht="12.75" x14ac:dyDescent="0.2"/>
    <row r="41775" ht="12.75" x14ac:dyDescent="0.2"/>
    <row r="41776" ht="12.75" x14ac:dyDescent="0.2"/>
    <row r="41777" ht="12.75" x14ac:dyDescent="0.2"/>
    <row r="41778" ht="12.75" x14ac:dyDescent="0.2"/>
    <row r="41779" ht="12.75" x14ac:dyDescent="0.2"/>
    <row r="41780" ht="12.75" x14ac:dyDescent="0.2"/>
    <row r="41781" ht="12.75" x14ac:dyDescent="0.2"/>
    <row r="41782" ht="12.75" x14ac:dyDescent="0.2"/>
    <row r="41783" ht="12.75" x14ac:dyDescent="0.2"/>
    <row r="41784" ht="12.75" x14ac:dyDescent="0.2"/>
    <row r="41785" ht="12.75" x14ac:dyDescent="0.2"/>
    <row r="41786" ht="12.75" x14ac:dyDescent="0.2"/>
    <row r="41787" ht="12.75" x14ac:dyDescent="0.2"/>
    <row r="41788" ht="12.75" x14ac:dyDescent="0.2"/>
    <row r="41789" ht="12.75" x14ac:dyDescent="0.2"/>
    <row r="41790" ht="12.75" x14ac:dyDescent="0.2"/>
    <row r="41791" ht="12.75" x14ac:dyDescent="0.2"/>
    <row r="41792" ht="12.75" x14ac:dyDescent="0.2"/>
    <row r="41793" ht="12.75" x14ac:dyDescent="0.2"/>
    <row r="41794" ht="12.75" x14ac:dyDescent="0.2"/>
    <row r="41795" ht="12.75" x14ac:dyDescent="0.2"/>
    <row r="41796" ht="12.75" x14ac:dyDescent="0.2"/>
    <row r="41797" ht="12.75" x14ac:dyDescent="0.2"/>
    <row r="41798" ht="12.75" x14ac:dyDescent="0.2"/>
    <row r="41799" ht="12.75" x14ac:dyDescent="0.2"/>
    <row r="41800" ht="12.75" x14ac:dyDescent="0.2"/>
    <row r="41801" ht="12.75" x14ac:dyDescent="0.2"/>
    <row r="41802" ht="12.75" x14ac:dyDescent="0.2"/>
    <row r="41803" ht="12.75" x14ac:dyDescent="0.2"/>
    <row r="41804" ht="12.75" x14ac:dyDescent="0.2"/>
    <row r="41805" ht="12.75" x14ac:dyDescent="0.2"/>
    <row r="41806" ht="12.75" x14ac:dyDescent="0.2"/>
    <row r="41807" ht="12.75" x14ac:dyDescent="0.2"/>
    <row r="41808" ht="12.75" x14ac:dyDescent="0.2"/>
    <row r="41809" ht="12.75" x14ac:dyDescent="0.2"/>
    <row r="41810" ht="12.75" x14ac:dyDescent="0.2"/>
    <row r="41811" ht="12.75" x14ac:dyDescent="0.2"/>
    <row r="41812" ht="12.75" x14ac:dyDescent="0.2"/>
    <row r="41813" ht="12.75" x14ac:dyDescent="0.2"/>
    <row r="41814" ht="12.75" x14ac:dyDescent="0.2"/>
    <row r="41815" ht="12.75" x14ac:dyDescent="0.2"/>
    <row r="41816" ht="12.75" x14ac:dyDescent="0.2"/>
    <row r="41817" ht="12.75" x14ac:dyDescent="0.2"/>
    <row r="41818" ht="12.75" x14ac:dyDescent="0.2"/>
    <row r="41819" ht="12.75" x14ac:dyDescent="0.2"/>
    <row r="41820" ht="12.75" x14ac:dyDescent="0.2"/>
    <row r="41821" ht="12.75" x14ac:dyDescent="0.2"/>
    <row r="41822" ht="12.75" x14ac:dyDescent="0.2"/>
    <row r="41823" ht="12.75" x14ac:dyDescent="0.2"/>
    <row r="41824" ht="12.75" x14ac:dyDescent="0.2"/>
    <row r="41825" ht="12.75" x14ac:dyDescent="0.2"/>
    <row r="41826" ht="12.75" x14ac:dyDescent="0.2"/>
    <row r="41827" ht="12.75" x14ac:dyDescent="0.2"/>
    <row r="41828" ht="12.75" x14ac:dyDescent="0.2"/>
    <row r="41829" ht="12.75" x14ac:dyDescent="0.2"/>
    <row r="41830" ht="12.75" x14ac:dyDescent="0.2"/>
    <row r="41831" ht="12.75" x14ac:dyDescent="0.2"/>
    <row r="41832" ht="12.75" x14ac:dyDescent="0.2"/>
    <row r="41833" ht="12.75" x14ac:dyDescent="0.2"/>
    <row r="41834" ht="12.75" x14ac:dyDescent="0.2"/>
    <row r="41835" ht="12.75" x14ac:dyDescent="0.2"/>
    <row r="41836" ht="12.75" x14ac:dyDescent="0.2"/>
    <row r="41837" ht="12.75" x14ac:dyDescent="0.2"/>
    <row r="41838" ht="12.75" x14ac:dyDescent="0.2"/>
    <row r="41839" ht="12.75" x14ac:dyDescent="0.2"/>
    <row r="41840" ht="12.75" x14ac:dyDescent="0.2"/>
    <row r="41841" ht="12.75" x14ac:dyDescent="0.2"/>
    <row r="41842" ht="12.75" x14ac:dyDescent="0.2"/>
    <row r="41843" ht="12.75" x14ac:dyDescent="0.2"/>
    <row r="41844" ht="12.75" x14ac:dyDescent="0.2"/>
    <row r="41845" ht="12.75" x14ac:dyDescent="0.2"/>
    <row r="41846" ht="12.75" x14ac:dyDescent="0.2"/>
    <row r="41847" ht="12.75" x14ac:dyDescent="0.2"/>
    <row r="41848" ht="12.75" x14ac:dyDescent="0.2"/>
    <row r="41849" ht="12.75" x14ac:dyDescent="0.2"/>
    <row r="41850" ht="12.75" x14ac:dyDescent="0.2"/>
    <row r="41851" ht="12.75" x14ac:dyDescent="0.2"/>
    <row r="41852" ht="12.75" x14ac:dyDescent="0.2"/>
    <row r="41853" ht="12.75" x14ac:dyDescent="0.2"/>
    <row r="41854" ht="12.75" x14ac:dyDescent="0.2"/>
    <row r="41855" ht="12.75" x14ac:dyDescent="0.2"/>
    <row r="41856" ht="12.75" x14ac:dyDescent="0.2"/>
    <row r="41857" ht="12.75" x14ac:dyDescent="0.2"/>
    <row r="41858" ht="12.75" x14ac:dyDescent="0.2"/>
    <row r="41859" ht="12.75" x14ac:dyDescent="0.2"/>
    <row r="41860" ht="12.75" x14ac:dyDescent="0.2"/>
    <row r="41861" ht="12.75" x14ac:dyDescent="0.2"/>
    <row r="41862" ht="12.75" x14ac:dyDescent="0.2"/>
    <row r="41863" ht="12.75" x14ac:dyDescent="0.2"/>
    <row r="41864" ht="12.75" x14ac:dyDescent="0.2"/>
    <row r="41865" ht="12.75" x14ac:dyDescent="0.2"/>
    <row r="41866" ht="12.75" x14ac:dyDescent="0.2"/>
    <row r="41867" ht="12.75" x14ac:dyDescent="0.2"/>
    <row r="41868" ht="12.75" x14ac:dyDescent="0.2"/>
    <row r="41869" ht="12.75" x14ac:dyDescent="0.2"/>
    <row r="41870" ht="12.75" x14ac:dyDescent="0.2"/>
    <row r="41871" ht="12.75" x14ac:dyDescent="0.2"/>
    <row r="41872" ht="12.75" x14ac:dyDescent="0.2"/>
    <row r="41873" ht="12.75" x14ac:dyDescent="0.2"/>
    <row r="41874" ht="12.75" x14ac:dyDescent="0.2"/>
    <row r="41875" ht="12.75" x14ac:dyDescent="0.2"/>
    <row r="41876" ht="12.75" x14ac:dyDescent="0.2"/>
    <row r="41877" ht="12.75" x14ac:dyDescent="0.2"/>
    <row r="41878" ht="12.75" x14ac:dyDescent="0.2"/>
    <row r="41879" ht="12.75" x14ac:dyDescent="0.2"/>
    <row r="41880" ht="12.75" x14ac:dyDescent="0.2"/>
    <row r="41881" ht="12.75" x14ac:dyDescent="0.2"/>
    <row r="41882" ht="12.75" x14ac:dyDescent="0.2"/>
    <row r="41883" ht="12.75" x14ac:dyDescent="0.2"/>
    <row r="41884" ht="12.75" x14ac:dyDescent="0.2"/>
    <row r="41885" ht="12.75" x14ac:dyDescent="0.2"/>
    <row r="41886" ht="12.75" x14ac:dyDescent="0.2"/>
    <row r="41887" ht="12.75" x14ac:dyDescent="0.2"/>
    <row r="41888" ht="12.75" x14ac:dyDescent="0.2"/>
    <row r="41889" ht="12.75" x14ac:dyDescent="0.2"/>
    <row r="41890" ht="12.75" x14ac:dyDescent="0.2"/>
    <row r="41891" ht="12.75" x14ac:dyDescent="0.2"/>
    <row r="41892" ht="12.75" x14ac:dyDescent="0.2"/>
    <row r="41893" ht="12.75" x14ac:dyDescent="0.2"/>
    <row r="41894" ht="12.75" x14ac:dyDescent="0.2"/>
    <row r="41895" ht="12.75" x14ac:dyDescent="0.2"/>
    <row r="41896" ht="12.75" x14ac:dyDescent="0.2"/>
    <row r="41897" ht="12.75" x14ac:dyDescent="0.2"/>
    <row r="41898" ht="12.75" x14ac:dyDescent="0.2"/>
    <row r="41899" ht="12.75" x14ac:dyDescent="0.2"/>
    <row r="41900" ht="12.75" x14ac:dyDescent="0.2"/>
    <row r="41901" ht="12.75" x14ac:dyDescent="0.2"/>
    <row r="41902" ht="12.75" x14ac:dyDescent="0.2"/>
    <row r="41903" ht="12.75" x14ac:dyDescent="0.2"/>
    <row r="41904" ht="12.75" x14ac:dyDescent="0.2"/>
    <row r="41905" ht="12.75" x14ac:dyDescent="0.2"/>
    <row r="41906" ht="12.75" x14ac:dyDescent="0.2"/>
    <row r="41907" ht="12.75" x14ac:dyDescent="0.2"/>
    <row r="41908" ht="12.75" x14ac:dyDescent="0.2"/>
    <row r="41909" ht="12.75" x14ac:dyDescent="0.2"/>
    <row r="41910" ht="12.75" x14ac:dyDescent="0.2"/>
    <row r="41911" ht="12.75" x14ac:dyDescent="0.2"/>
    <row r="41912" ht="12.75" x14ac:dyDescent="0.2"/>
    <row r="41913" ht="12.75" x14ac:dyDescent="0.2"/>
    <row r="41914" ht="12.75" x14ac:dyDescent="0.2"/>
    <row r="41915" ht="12.75" x14ac:dyDescent="0.2"/>
    <row r="41916" ht="12.75" x14ac:dyDescent="0.2"/>
    <row r="41917" ht="12.75" x14ac:dyDescent="0.2"/>
    <row r="41918" ht="12.75" x14ac:dyDescent="0.2"/>
    <row r="41919" ht="12.75" x14ac:dyDescent="0.2"/>
    <row r="41920" ht="12.75" x14ac:dyDescent="0.2"/>
    <row r="41921" ht="12.75" x14ac:dyDescent="0.2"/>
    <row r="41922" ht="12.75" x14ac:dyDescent="0.2"/>
    <row r="41923" ht="12.75" x14ac:dyDescent="0.2"/>
    <row r="41924" ht="12.75" x14ac:dyDescent="0.2"/>
    <row r="41925" ht="12.75" x14ac:dyDescent="0.2"/>
    <row r="41926" ht="12.75" x14ac:dyDescent="0.2"/>
    <row r="41927" ht="12.75" x14ac:dyDescent="0.2"/>
    <row r="41928" ht="12.75" x14ac:dyDescent="0.2"/>
    <row r="41929" ht="12.75" x14ac:dyDescent="0.2"/>
    <row r="41930" ht="12.75" x14ac:dyDescent="0.2"/>
    <row r="41931" ht="12.75" x14ac:dyDescent="0.2"/>
    <row r="41932" ht="12.75" x14ac:dyDescent="0.2"/>
    <row r="41933" ht="12.75" x14ac:dyDescent="0.2"/>
    <row r="41934" ht="12.75" x14ac:dyDescent="0.2"/>
    <row r="41935" ht="12.75" x14ac:dyDescent="0.2"/>
    <row r="41936" ht="12.75" x14ac:dyDescent="0.2"/>
    <row r="41937" ht="12.75" x14ac:dyDescent="0.2"/>
    <row r="41938" ht="12.75" x14ac:dyDescent="0.2"/>
    <row r="41939" ht="12.75" x14ac:dyDescent="0.2"/>
    <row r="41940" ht="12.75" x14ac:dyDescent="0.2"/>
    <row r="41941" ht="12.75" x14ac:dyDescent="0.2"/>
    <row r="41942" ht="12.75" x14ac:dyDescent="0.2"/>
    <row r="41943" ht="12.75" x14ac:dyDescent="0.2"/>
    <row r="41944" ht="12.75" x14ac:dyDescent="0.2"/>
    <row r="41945" ht="12.75" x14ac:dyDescent="0.2"/>
    <row r="41946" ht="12.75" x14ac:dyDescent="0.2"/>
    <row r="41947" ht="12.75" x14ac:dyDescent="0.2"/>
    <row r="41948" ht="12.75" x14ac:dyDescent="0.2"/>
    <row r="41949" ht="12.75" x14ac:dyDescent="0.2"/>
    <row r="41950" ht="12.75" x14ac:dyDescent="0.2"/>
    <row r="41951" ht="12.75" x14ac:dyDescent="0.2"/>
    <row r="41952" ht="12.75" x14ac:dyDescent="0.2"/>
    <row r="41953" ht="12.75" x14ac:dyDescent="0.2"/>
    <row r="41954" ht="12.75" x14ac:dyDescent="0.2"/>
    <row r="41955" ht="12.75" x14ac:dyDescent="0.2"/>
    <row r="41956" ht="12.75" x14ac:dyDescent="0.2"/>
    <row r="41957" ht="12.75" x14ac:dyDescent="0.2"/>
    <row r="41958" ht="12.75" x14ac:dyDescent="0.2"/>
    <row r="41959" ht="12.75" x14ac:dyDescent="0.2"/>
    <row r="41960" ht="12.75" x14ac:dyDescent="0.2"/>
    <row r="41961" ht="12.75" x14ac:dyDescent="0.2"/>
    <row r="41962" ht="12.75" x14ac:dyDescent="0.2"/>
    <row r="41963" ht="12.75" x14ac:dyDescent="0.2"/>
    <row r="41964" ht="12.75" x14ac:dyDescent="0.2"/>
    <row r="41965" ht="12.75" x14ac:dyDescent="0.2"/>
    <row r="41966" ht="12.75" x14ac:dyDescent="0.2"/>
    <row r="41967" ht="12.75" x14ac:dyDescent="0.2"/>
    <row r="41968" ht="12.75" x14ac:dyDescent="0.2"/>
    <row r="41969" ht="12.75" x14ac:dyDescent="0.2"/>
    <row r="41970" ht="12.75" x14ac:dyDescent="0.2"/>
    <row r="41971" ht="12.75" x14ac:dyDescent="0.2"/>
    <row r="41972" ht="12.75" x14ac:dyDescent="0.2"/>
    <row r="41973" ht="12.75" x14ac:dyDescent="0.2"/>
    <row r="41974" ht="12.75" x14ac:dyDescent="0.2"/>
    <row r="41975" ht="12.75" x14ac:dyDescent="0.2"/>
    <row r="41976" ht="12.75" x14ac:dyDescent="0.2"/>
    <row r="41977" ht="12.75" x14ac:dyDescent="0.2"/>
    <row r="41978" ht="12.75" x14ac:dyDescent="0.2"/>
    <row r="41979" ht="12.75" x14ac:dyDescent="0.2"/>
    <row r="41980" ht="12.75" x14ac:dyDescent="0.2"/>
    <row r="41981" ht="12.75" x14ac:dyDescent="0.2"/>
    <row r="41982" ht="12.75" x14ac:dyDescent="0.2"/>
    <row r="41983" ht="12.75" x14ac:dyDescent="0.2"/>
    <row r="41984" ht="12.75" x14ac:dyDescent="0.2"/>
    <row r="41985" ht="12.75" x14ac:dyDescent="0.2"/>
    <row r="41986" ht="12.75" x14ac:dyDescent="0.2"/>
    <row r="41987" ht="12.75" x14ac:dyDescent="0.2"/>
    <row r="41988" ht="12.75" x14ac:dyDescent="0.2"/>
    <row r="41989" ht="12.75" x14ac:dyDescent="0.2"/>
    <row r="41990" ht="12.75" x14ac:dyDescent="0.2"/>
    <row r="41991" ht="12.75" x14ac:dyDescent="0.2"/>
    <row r="41992" ht="12.75" x14ac:dyDescent="0.2"/>
    <row r="41993" ht="12.75" x14ac:dyDescent="0.2"/>
    <row r="41994" ht="12.75" x14ac:dyDescent="0.2"/>
    <row r="41995" ht="12.75" x14ac:dyDescent="0.2"/>
    <row r="41996" ht="12.75" x14ac:dyDescent="0.2"/>
    <row r="41997" ht="12.75" x14ac:dyDescent="0.2"/>
    <row r="41998" ht="12.75" x14ac:dyDescent="0.2"/>
    <row r="41999" ht="12.75" x14ac:dyDescent="0.2"/>
    <row r="42000" ht="12.75" x14ac:dyDescent="0.2"/>
    <row r="42001" ht="12.75" x14ac:dyDescent="0.2"/>
    <row r="42002" ht="12.75" x14ac:dyDescent="0.2"/>
    <row r="42003" ht="12.75" x14ac:dyDescent="0.2"/>
    <row r="42004" ht="12.75" x14ac:dyDescent="0.2"/>
    <row r="42005" ht="12.75" x14ac:dyDescent="0.2"/>
    <row r="42006" ht="12.75" x14ac:dyDescent="0.2"/>
    <row r="42007" ht="12.75" x14ac:dyDescent="0.2"/>
    <row r="42008" ht="12.75" x14ac:dyDescent="0.2"/>
    <row r="42009" ht="12.75" x14ac:dyDescent="0.2"/>
    <row r="42010" ht="12.75" x14ac:dyDescent="0.2"/>
    <row r="42011" ht="12.75" x14ac:dyDescent="0.2"/>
    <row r="42012" ht="12.75" x14ac:dyDescent="0.2"/>
    <row r="42013" ht="12.75" x14ac:dyDescent="0.2"/>
    <row r="42014" ht="12.75" x14ac:dyDescent="0.2"/>
    <row r="42015" ht="12.75" x14ac:dyDescent="0.2"/>
    <row r="42016" ht="12.75" x14ac:dyDescent="0.2"/>
    <row r="42017" ht="12.75" x14ac:dyDescent="0.2"/>
    <row r="42018" ht="12.75" x14ac:dyDescent="0.2"/>
    <row r="42019" ht="12.75" x14ac:dyDescent="0.2"/>
    <row r="42020" ht="12.75" x14ac:dyDescent="0.2"/>
    <row r="42021" ht="12.75" x14ac:dyDescent="0.2"/>
    <row r="42022" ht="12.75" x14ac:dyDescent="0.2"/>
    <row r="42023" ht="12.75" x14ac:dyDescent="0.2"/>
    <row r="42024" ht="12.75" x14ac:dyDescent="0.2"/>
    <row r="42025" ht="12.75" x14ac:dyDescent="0.2"/>
    <row r="42026" ht="12.75" x14ac:dyDescent="0.2"/>
    <row r="42027" ht="12.75" x14ac:dyDescent="0.2"/>
    <row r="42028" ht="12.75" x14ac:dyDescent="0.2"/>
    <row r="42029" ht="12.75" x14ac:dyDescent="0.2"/>
    <row r="42030" ht="12.75" x14ac:dyDescent="0.2"/>
    <row r="42031" ht="12.75" x14ac:dyDescent="0.2"/>
    <row r="42032" ht="12.75" x14ac:dyDescent="0.2"/>
    <row r="42033" ht="12.75" x14ac:dyDescent="0.2"/>
    <row r="42034" ht="12.75" x14ac:dyDescent="0.2"/>
    <row r="42035" ht="12.75" x14ac:dyDescent="0.2"/>
    <row r="42036" ht="12.75" x14ac:dyDescent="0.2"/>
    <row r="42037" ht="12.75" x14ac:dyDescent="0.2"/>
    <row r="42038" ht="12.75" x14ac:dyDescent="0.2"/>
    <row r="42039" ht="12.75" x14ac:dyDescent="0.2"/>
    <row r="42040" ht="12.75" x14ac:dyDescent="0.2"/>
    <row r="42041" ht="12.75" x14ac:dyDescent="0.2"/>
    <row r="42042" ht="12.75" x14ac:dyDescent="0.2"/>
    <row r="42043" ht="12.75" x14ac:dyDescent="0.2"/>
    <row r="42044" ht="12.75" x14ac:dyDescent="0.2"/>
    <row r="42045" ht="12.75" x14ac:dyDescent="0.2"/>
    <row r="42046" ht="12.75" x14ac:dyDescent="0.2"/>
    <row r="42047" ht="12.75" x14ac:dyDescent="0.2"/>
    <row r="42048" ht="12.75" x14ac:dyDescent="0.2"/>
    <row r="42049" ht="12.75" x14ac:dyDescent="0.2"/>
    <row r="42050" ht="12.75" x14ac:dyDescent="0.2"/>
    <row r="42051" ht="12.75" x14ac:dyDescent="0.2"/>
    <row r="42052" ht="12.75" x14ac:dyDescent="0.2"/>
    <row r="42053" ht="12.75" x14ac:dyDescent="0.2"/>
    <row r="42054" ht="12.75" x14ac:dyDescent="0.2"/>
    <row r="42055" ht="12.75" x14ac:dyDescent="0.2"/>
    <row r="42056" ht="12.75" x14ac:dyDescent="0.2"/>
    <row r="42057" ht="12.75" x14ac:dyDescent="0.2"/>
    <row r="42058" ht="12.75" x14ac:dyDescent="0.2"/>
    <row r="42059" ht="12.75" x14ac:dyDescent="0.2"/>
    <row r="42060" ht="12.75" x14ac:dyDescent="0.2"/>
    <row r="42061" ht="12.75" x14ac:dyDescent="0.2"/>
    <row r="42062" ht="12.75" x14ac:dyDescent="0.2"/>
    <row r="42063" ht="12.75" x14ac:dyDescent="0.2"/>
    <row r="42064" ht="12.75" x14ac:dyDescent="0.2"/>
    <row r="42065" ht="12.75" x14ac:dyDescent="0.2"/>
    <row r="42066" ht="12.75" x14ac:dyDescent="0.2"/>
    <row r="42067" ht="12.75" x14ac:dyDescent="0.2"/>
    <row r="42068" ht="12.75" x14ac:dyDescent="0.2"/>
    <row r="42069" ht="12.75" x14ac:dyDescent="0.2"/>
    <row r="42070" ht="12.75" x14ac:dyDescent="0.2"/>
    <row r="42071" ht="12.75" x14ac:dyDescent="0.2"/>
    <row r="42072" ht="12.75" x14ac:dyDescent="0.2"/>
    <row r="42073" ht="12.75" x14ac:dyDescent="0.2"/>
    <row r="42074" ht="12.75" x14ac:dyDescent="0.2"/>
    <row r="42075" ht="12.75" x14ac:dyDescent="0.2"/>
    <row r="42076" ht="12.75" x14ac:dyDescent="0.2"/>
    <row r="42077" ht="12.75" x14ac:dyDescent="0.2"/>
    <row r="42078" ht="12.75" x14ac:dyDescent="0.2"/>
    <row r="42079" ht="12.75" x14ac:dyDescent="0.2"/>
    <row r="42080" ht="12.75" x14ac:dyDescent="0.2"/>
    <row r="42081" ht="12.75" x14ac:dyDescent="0.2"/>
    <row r="42082" ht="12.75" x14ac:dyDescent="0.2"/>
    <row r="42083" ht="12.75" x14ac:dyDescent="0.2"/>
    <row r="42084" ht="12.75" x14ac:dyDescent="0.2"/>
    <row r="42085" ht="12.75" x14ac:dyDescent="0.2"/>
    <row r="42086" ht="12.75" x14ac:dyDescent="0.2"/>
    <row r="42087" ht="12.75" x14ac:dyDescent="0.2"/>
    <row r="42088" ht="12.75" x14ac:dyDescent="0.2"/>
    <row r="42089" ht="12.75" x14ac:dyDescent="0.2"/>
    <row r="42090" ht="12.75" x14ac:dyDescent="0.2"/>
    <row r="42091" ht="12.75" x14ac:dyDescent="0.2"/>
    <row r="42092" ht="12.75" x14ac:dyDescent="0.2"/>
    <row r="42093" ht="12.75" x14ac:dyDescent="0.2"/>
    <row r="42094" ht="12.75" x14ac:dyDescent="0.2"/>
    <row r="42095" ht="12.75" x14ac:dyDescent="0.2"/>
    <row r="42096" ht="12.75" x14ac:dyDescent="0.2"/>
    <row r="42097" ht="12.75" x14ac:dyDescent="0.2"/>
    <row r="42098" ht="12.75" x14ac:dyDescent="0.2"/>
    <row r="42099" ht="12.75" x14ac:dyDescent="0.2"/>
    <row r="42100" ht="12.75" x14ac:dyDescent="0.2"/>
    <row r="42101" ht="12.75" x14ac:dyDescent="0.2"/>
    <row r="42102" ht="12.75" x14ac:dyDescent="0.2"/>
    <row r="42103" ht="12.75" x14ac:dyDescent="0.2"/>
    <row r="42104" ht="12.75" x14ac:dyDescent="0.2"/>
    <row r="42105" ht="12.75" x14ac:dyDescent="0.2"/>
    <row r="42106" ht="12.75" x14ac:dyDescent="0.2"/>
    <row r="42107" ht="12.75" x14ac:dyDescent="0.2"/>
    <row r="42108" ht="12.75" x14ac:dyDescent="0.2"/>
    <row r="42109" ht="12.75" x14ac:dyDescent="0.2"/>
    <row r="42110" ht="12.75" x14ac:dyDescent="0.2"/>
    <row r="42111" ht="12.75" x14ac:dyDescent="0.2"/>
    <row r="42112" ht="12.75" x14ac:dyDescent="0.2"/>
    <row r="42113" ht="12.75" x14ac:dyDescent="0.2"/>
    <row r="42114" ht="12.75" x14ac:dyDescent="0.2"/>
    <row r="42115" ht="12.75" x14ac:dyDescent="0.2"/>
    <row r="42116" ht="12.75" x14ac:dyDescent="0.2"/>
    <row r="42117" ht="12.75" x14ac:dyDescent="0.2"/>
    <row r="42118" ht="12.75" x14ac:dyDescent="0.2"/>
    <row r="42119" ht="12.75" x14ac:dyDescent="0.2"/>
    <row r="42120" ht="12.75" x14ac:dyDescent="0.2"/>
    <row r="42121" ht="12.75" x14ac:dyDescent="0.2"/>
    <row r="42122" ht="12.75" x14ac:dyDescent="0.2"/>
    <row r="42123" ht="12.75" x14ac:dyDescent="0.2"/>
    <row r="42124" ht="12.75" x14ac:dyDescent="0.2"/>
    <row r="42125" ht="12.75" x14ac:dyDescent="0.2"/>
    <row r="42126" ht="12.75" x14ac:dyDescent="0.2"/>
    <row r="42127" ht="12.75" x14ac:dyDescent="0.2"/>
    <row r="42128" ht="12.75" x14ac:dyDescent="0.2"/>
    <row r="42129" ht="12.75" x14ac:dyDescent="0.2"/>
    <row r="42130" ht="12.75" x14ac:dyDescent="0.2"/>
    <row r="42131" ht="12.75" x14ac:dyDescent="0.2"/>
    <row r="42132" ht="12.75" x14ac:dyDescent="0.2"/>
    <row r="42133" ht="12.75" x14ac:dyDescent="0.2"/>
    <row r="42134" ht="12.75" x14ac:dyDescent="0.2"/>
    <row r="42135" ht="12.75" x14ac:dyDescent="0.2"/>
    <row r="42136" ht="12.75" x14ac:dyDescent="0.2"/>
    <row r="42137" ht="12.75" x14ac:dyDescent="0.2"/>
    <row r="42138" ht="12.75" x14ac:dyDescent="0.2"/>
    <row r="42139" ht="12.75" x14ac:dyDescent="0.2"/>
    <row r="42140" ht="12.75" x14ac:dyDescent="0.2"/>
    <row r="42141" ht="12.75" x14ac:dyDescent="0.2"/>
    <row r="42142" ht="12.75" x14ac:dyDescent="0.2"/>
    <row r="42143" ht="12.75" x14ac:dyDescent="0.2"/>
    <row r="42144" ht="12.75" x14ac:dyDescent="0.2"/>
    <row r="42145" ht="12.75" x14ac:dyDescent="0.2"/>
    <row r="42146" ht="12.75" x14ac:dyDescent="0.2"/>
    <row r="42147" ht="12.75" x14ac:dyDescent="0.2"/>
    <row r="42148" ht="12.75" x14ac:dyDescent="0.2"/>
    <row r="42149" ht="12.75" x14ac:dyDescent="0.2"/>
    <row r="42150" ht="12.75" x14ac:dyDescent="0.2"/>
    <row r="42151" ht="12.75" x14ac:dyDescent="0.2"/>
    <row r="42152" ht="12.75" x14ac:dyDescent="0.2"/>
    <row r="42153" ht="12.75" x14ac:dyDescent="0.2"/>
    <row r="42154" ht="12.75" x14ac:dyDescent="0.2"/>
    <row r="42155" ht="12.75" x14ac:dyDescent="0.2"/>
    <row r="42156" ht="12.75" x14ac:dyDescent="0.2"/>
    <row r="42157" ht="12.75" x14ac:dyDescent="0.2"/>
    <row r="42158" ht="12.75" x14ac:dyDescent="0.2"/>
    <row r="42159" ht="12.75" x14ac:dyDescent="0.2"/>
    <row r="42160" ht="12.75" x14ac:dyDescent="0.2"/>
    <row r="42161" ht="12.75" x14ac:dyDescent="0.2"/>
    <row r="42162" ht="12.75" x14ac:dyDescent="0.2"/>
    <row r="42163" ht="12.75" x14ac:dyDescent="0.2"/>
    <row r="42164" ht="12.75" x14ac:dyDescent="0.2"/>
    <row r="42165" ht="12.75" x14ac:dyDescent="0.2"/>
    <row r="42166" ht="12.75" x14ac:dyDescent="0.2"/>
    <row r="42167" ht="12.75" x14ac:dyDescent="0.2"/>
    <row r="42168" ht="12.75" x14ac:dyDescent="0.2"/>
    <row r="42169" ht="12.75" x14ac:dyDescent="0.2"/>
    <row r="42170" ht="12.75" x14ac:dyDescent="0.2"/>
    <row r="42171" ht="12.75" x14ac:dyDescent="0.2"/>
    <row r="42172" ht="12.75" x14ac:dyDescent="0.2"/>
    <row r="42173" ht="12.75" x14ac:dyDescent="0.2"/>
    <row r="42174" ht="12.75" x14ac:dyDescent="0.2"/>
    <row r="42175" ht="12.75" x14ac:dyDescent="0.2"/>
    <row r="42176" ht="12.75" x14ac:dyDescent="0.2"/>
    <row r="42177" ht="12.75" x14ac:dyDescent="0.2"/>
    <row r="42178" ht="12.75" x14ac:dyDescent="0.2"/>
    <row r="42179" ht="12.75" x14ac:dyDescent="0.2"/>
    <row r="42180" ht="12.75" x14ac:dyDescent="0.2"/>
    <row r="42181" ht="12.75" x14ac:dyDescent="0.2"/>
    <row r="42182" ht="12.75" x14ac:dyDescent="0.2"/>
    <row r="42183" ht="12.75" x14ac:dyDescent="0.2"/>
    <row r="42184" ht="12.75" x14ac:dyDescent="0.2"/>
    <row r="42185" ht="12.75" x14ac:dyDescent="0.2"/>
    <row r="42186" ht="12.75" x14ac:dyDescent="0.2"/>
    <row r="42187" ht="12.75" x14ac:dyDescent="0.2"/>
    <row r="42188" ht="12.75" x14ac:dyDescent="0.2"/>
    <row r="42189" ht="12.75" x14ac:dyDescent="0.2"/>
    <row r="42190" ht="12.75" x14ac:dyDescent="0.2"/>
    <row r="42191" ht="12.75" x14ac:dyDescent="0.2"/>
    <row r="42192" ht="12.75" x14ac:dyDescent="0.2"/>
    <row r="42193" ht="12.75" x14ac:dyDescent="0.2"/>
    <row r="42194" ht="12.75" x14ac:dyDescent="0.2"/>
    <row r="42195" ht="12.75" x14ac:dyDescent="0.2"/>
    <row r="42196" ht="12.75" x14ac:dyDescent="0.2"/>
    <row r="42197" ht="12.75" x14ac:dyDescent="0.2"/>
    <row r="42198" ht="12.75" x14ac:dyDescent="0.2"/>
    <row r="42199" ht="12.75" x14ac:dyDescent="0.2"/>
    <row r="42200" ht="12.75" x14ac:dyDescent="0.2"/>
    <row r="42201" ht="12.75" x14ac:dyDescent="0.2"/>
    <row r="42202" ht="12.75" x14ac:dyDescent="0.2"/>
    <row r="42203" ht="12.75" x14ac:dyDescent="0.2"/>
    <row r="42204" ht="12.75" x14ac:dyDescent="0.2"/>
    <row r="42205" ht="12.75" x14ac:dyDescent="0.2"/>
    <row r="42206" ht="12.75" x14ac:dyDescent="0.2"/>
    <row r="42207" ht="12.75" x14ac:dyDescent="0.2"/>
    <row r="42208" ht="12.75" x14ac:dyDescent="0.2"/>
    <row r="42209" ht="12.75" x14ac:dyDescent="0.2"/>
    <row r="42210" ht="12.75" x14ac:dyDescent="0.2"/>
    <row r="42211" ht="12.75" x14ac:dyDescent="0.2"/>
    <row r="42212" ht="12.75" x14ac:dyDescent="0.2"/>
    <row r="42213" ht="12.75" x14ac:dyDescent="0.2"/>
    <row r="42214" ht="12.75" x14ac:dyDescent="0.2"/>
    <row r="42215" ht="12.75" x14ac:dyDescent="0.2"/>
    <row r="42216" ht="12.75" x14ac:dyDescent="0.2"/>
    <row r="42217" ht="12.75" x14ac:dyDescent="0.2"/>
    <row r="42218" ht="12.75" x14ac:dyDescent="0.2"/>
    <row r="42219" ht="12.75" x14ac:dyDescent="0.2"/>
    <row r="42220" ht="12.75" x14ac:dyDescent="0.2"/>
    <row r="42221" ht="12.75" x14ac:dyDescent="0.2"/>
    <row r="42222" ht="12.75" x14ac:dyDescent="0.2"/>
    <row r="42223" ht="12.75" x14ac:dyDescent="0.2"/>
    <row r="42224" ht="12.75" x14ac:dyDescent="0.2"/>
    <row r="42225" ht="12.75" x14ac:dyDescent="0.2"/>
    <row r="42226" ht="12.75" x14ac:dyDescent="0.2"/>
    <row r="42227" ht="12.75" x14ac:dyDescent="0.2"/>
    <row r="42228" ht="12.75" x14ac:dyDescent="0.2"/>
    <row r="42229" ht="12.75" x14ac:dyDescent="0.2"/>
    <row r="42230" ht="12.75" x14ac:dyDescent="0.2"/>
    <row r="42231" ht="12.75" x14ac:dyDescent="0.2"/>
    <row r="42232" ht="12.75" x14ac:dyDescent="0.2"/>
    <row r="42233" ht="12.75" x14ac:dyDescent="0.2"/>
    <row r="42234" ht="12.75" x14ac:dyDescent="0.2"/>
    <row r="42235" ht="12.75" x14ac:dyDescent="0.2"/>
    <row r="42236" ht="12.75" x14ac:dyDescent="0.2"/>
    <row r="42237" ht="12.75" x14ac:dyDescent="0.2"/>
    <row r="42238" ht="12.75" x14ac:dyDescent="0.2"/>
    <row r="42239" ht="12.75" x14ac:dyDescent="0.2"/>
    <row r="42240" ht="12.75" x14ac:dyDescent="0.2"/>
    <row r="42241" ht="12.75" x14ac:dyDescent="0.2"/>
    <row r="42242" ht="12.75" x14ac:dyDescent="0.2"/>
    <row r="42243" ht="12.75" x14ac:dyDescent="0.2"/>
    <row r="42244" ht="12.75" x14ac:dyDescent="0.2"/>
    <row r="42245" ht="12.75" x14ac:dyDescent="0.2"/>
    <row r="42246" ht="12.75" x14ac:dyDescent="0.2"/>
    <row r="42247" ht="12.75" x14ac:dyDescent="0.2"/>
    <row r="42248" ht="12.75" x14ac:dyDescent="0.2"/>
    <row r="42249" ht="12.75" x14ac:dyDescent="0.2"/>
    <row r="42250" ht="12.75" x14ac:dyDescent="0.2"/>
    <row r="42251" ht="12.75" x14ac:dyDescent="0.2"/>
    <row r="42252" ht="12.75" x14ac:dyDescent="0.2"/>
    <row r="42253" ht="12.75" x14ac:dyDescent="0.2"/>
    <row r="42254" ht="12.75" x14ac:dyDescent="0.2"/>
    <row r="42255" ht="12.75" x14ac:dyDescent="0.2"/>
    <row r="42256" ht="12.75" x14ac:dyDescent="0.2"/>
    <row r="42257" ht="12.75" x14ac:dyDescent="0.2"/>
    <row r="42258" ht="12.75" x14ac:dyDescent="0.2"/>
    <row r="42259" ht="12.75" x14ac:dyDescent="0.2"/>
    <row r="42260" ht="12.75" x14ac:dyDescent="0.2"/>
    <row r="42261" ht="12.75" x14ac:dyDescent="0.2"/>
    <row r="42262" ht="12.75" x14ac:dyDescent="0.2"/>
    <row r="42263" ht="12.75" x14ac:dyDescent="0.2"/>
    <row r="42264" ht="12.75" x14ac:dyDescent="0.2"/>
    <row r="42265" ht="12.75" x14ac:dyDescent="0.2"/>
    <row r="42266" ht="12.75" x14ac:dyDescent="0.2"/>
    <row r="42267" ht="12.75" x14ac:dyDescent="0.2"/>
    <row r="42268" ht="12.75" x14ac:dyDescent="0.2"/>
    <row r="42269" ht="12.75" x14ac:dyDescent="0.2"/>
    <row r="42270" ht="12.75" x14ac:dyDescent="0.2"/>
    <row r="42271" ht="12.75" x14ac:dyDescent="0.2"/>
    <row r="42272" ht="12.75" x14ac:dyDescent="0.2"/>
    <row r="42273" ht="12.75" x14ac:dyDescent="0.2"/>
    <row r="42274" ht="12.75" x14ac:dyDescent="0.2"/>
    <row r="42275" ht="12.75" x14ac:dyDescent="0.2"/>
    <row r="42276" ht="12.75" x14ac:dyDescent="0.2"/>
    <row r="42277" ht="12.75" x14ac:dyDescent="0.2"/>
    <row r="42278" ht="12.75" x14ac:dyDescent="0.2"/>
    <row r="42279" ht="12.75" x14ac:dyDescent="0.2"/>
    <row r="42280" ht="12.75" x14ac:dyDescent="0.2"/>
    <row r="42281" ht="12.75" x14ac:dyDescent="0.2"/>
    <row r="42282" ht="12.75" x14ac:dyDescent="0.2"/>
    <row r="42283" ht="12.75" x14ac:dyDescent="0.2"/>
    <row r="42284" ht="12.75" x14ac:dyDescent="0.2"/>
    <row r="42285" ht="12.75" x14ac:dyDescent="0.2"/>
    <row r="42286" ht="12.75" x14ac:dyDescent="0.2"/>
    <row r="42287" ht="12.75" x14ac:dyDescent="0.2"/>
    <row r="42288" ht="12.75" x14ac:dyDescent="0.2"/>
    <row r="42289" ht="12.75" x14ac:dyDescent="0.2"/>
    <row r="42290" ht="12.75" x14ac:dyDescent="0.2"/>
    <row r="42291" ht="12.75" x14ac:dyDescent="0.2"/>
    <row r="42292" ht="12.75" x14ac:dyDescent="0.2"/>
    <row r="42293" ht="12.75" x14ac:dyDescent="0.2"/>
    <row r="42294" ht="12.75" x14ac:dyDescent="0.2"/>
    <row r="42295" ht="12.75" x14ac:dyDescent="0.2"/>
    <row r="42296" ht="12.75" x14ac:dyDescent="0.2"/>
    <row r="42297" ht="12.75" x14ac:dyDescent="0.2"/>
    <row r="42298" ht="12.75" x14ac:dyDescent="0.2"/>
    <row r="42299" ht="12.75" x14ac:dyDescent="0.2"/>
    <row r="42300" ht="12.75" x14ac:dyDescent="0.2"/>
    <row r="42301" ht="12.75" x14ac:dyDescent="0.2"/>
    <row r="42302" ht="12.75" x14ac:dyDescent="0.2"/>
    <row r="42303" ht="12.75" x14ac:dyDescent="0.2"/>
    <row r="42304" ht="12.75" x14ac:dyDescent="0.2"/>
    <row r="42305" ht="12.75" x14ac:dyDescent="0.2"/>
    <row r="42306" ht="12.75" x14ac:dyDescent="0.2"/>
    <row r="42307" ht="12.75" x14ac:dyDescent="0.2"/>
    <row r="42308" ht="12.75" x14ac:dyDescent="0.2"/>
    <row r="42309" ht="12.75" x14ac:dyDescent="0.2"/>
    <row r="42310" ht="12.75" x14ac:dyDescent="0.2"/>
    <row r="42311" ht="12.75" x14ac:dyDescent="0.2"/>
    <row r="42312" ht="12.75" x14ac:dyDescent="0.2"/>
    <row r="42313" ht="12.75" x14ac:dyDescent="0.2"/>
    <row r="42314" ht="12.75" x14ac:dyDescent="0.2"/>
    <row r="42315" ht="12.75" x14ac:dyDescent="0.2"/>
    <row r="42316" ht="12.75" x14ac:dyDescent="0.2"/>
    <row r="42317" ht="12.75" x14ac:dyDescent="0.2"/>
    <row r="42318" ht="12.75" x14ac:dyDescent="0.2"/>
    <row r="42319" ht="12.75" x14ac:dyDescent="0.2"/>
    <row r="42320" ht="12.75" x14ac:dyDescent="0.2"/>
    <row r="42321" ht="12.75" x14ac:dyDescent="0.2"/>
    <row r="42322" ht="12.75" x14ac:dyDescent="0.2"/>
    <row r="42323" ht="12.75" x14ac:dyDescent="0.2"/>
    <row r="42324" ht="12.75" x14ac:dyDescent="0.2"/>
    <row r="42325" ht="12.75" x14ac:dyDescent="0.2"/>
    <row r="42326" ht="12.75" x14ac:dyDescent="0.2"/>
    <row r="42327" ht="12.75" x14ac:dyDescent="0.2"/>
    <row r="42328" ht="12.75" x14ac:dyDescent="0.2"/>
    <row r="42329" ht="12.75" x14ac:dyDescent="0.2"/>
    <row r="42330" ht="12.75" x14ac:dyDescent="0.2"/>
    <row r="42331" ht="12.75" x14ac:dyDescent="0.2"/>
    <row r="42332" ht="12.75" x14ac:dyDescent="0.2"/>
    <row r="42333" ht="12.75" x14ac:dyDescent="0.2"/>
    <row r="42334" ht="12.75" x14ac:dyDescent="0.2"/>
    <row r="42335" ht="12.75" x14ac:dyDescent="0.2"/>
    <row r="42336" ht="12.75" x14ac:dyDescent="0.2"/>
    <row r="42337" ht="12.75" x14ac:dyDescent="0.2"/>
    <row r="42338" ht="12.75" x14ac:dyDescent="0.2"/>
    <row r="42339" ht="12.75" x14ac:dyDescent="0.2"/>
    <row r="42340" ht="12.75" x14ac:dyDescent="0.2"/>
    <row r="42341" ht="12.75" x14ac:dyDescent="0.2"/>
    <row r="42342" ht="12.75" x14ac:dyDescent="0.2"/>
    <row r="42343" ht="12.75" x14ac:dyDescent="0.2"/>
    <row r="42344" ht="12.75" x14ac:dyDescent="0.2"/>
    <row r="42345" ht="12.75" x14ac:dyDescent="0.2"/>
    <row r="42346" ht="12.75" x14ac:dyDescent="0.2"/>
    <row r="42347" ht="12.75" x14ac:dyDescent="0.2"/>
    <row r="42348" ht="12.75" x14ac:dyDescent="0.2"/>
    <row r="42349" ht="12.75" x14ac:dyDescent="0.2"/>
    <row r="42350" ht="12.75" x14ac:dyDescent="0.2"/>
    <row r="42351" ht="12.75" x14ac:dyDescent="0.2"/>
    <row r="42352" ht="12.75" x14ac:dyDescent="0.2"/>
    <row r="42353" ht="12.75" x14ac:dyDescent="0.2"/>
    <row r="42354" ht="12.75" x14ac:dyDescent="0.2"/>
    <row r="42355" ht="12.75" x14ac:dyDescent="0.2"/>
    <row r="42356" ht="12.75" x14ac:dyDescent="0.2"/>
    <row r="42357" ht="12.75" x14ac:dyDescent="0.2"/>
    <row r="42358" ht="12.75" x14ac:dyDescent="0.2"/>
    <row r="42359" ht="12.75" x14ac:dyDescent="0.2"/>
    <row r="42360" ht="12.75" x14ac:dyDescent="0.2"/>
    <row r="42361" ht="12.75" x14ac:dyDescent="0.2"/>
    <row r="42362" ht="12.75" x14ac:dyDescent="0.2"/>
    <row r="42363" ht="12.75" x14ac:dyDescent="0.2"/>
    <row r="42364" ht="12.75" x14ac:dyDescent="0.2"/>
    <row r="42365" ht="12.75" x14ac:dyDescent="0.2"/>
    <row r="42366" ht="12.75" x14ac:dyDescent="0.2"/>
    <row r="42367" ht="12.75" x14ac:dyDescent="0.2"/>
    <row r="42368" ht="12.75" x14ac:dyDescent="0.2"/>
    <row r="42369" ht="12.75" x14ac:dyDescent="0.2"/>
    <row r="42370" ht="12.75" x14ac:dyDescent="0.2"/>
    <row r="42371" ht="12.75" x14ac:dyDescent="0.2"/>
    <row r="42372" ht="12.75" x14ac:dyDescent="0.2"/>
    <row r="42373" ht="12.75" x14ac:dyDescent="0.2"/>
    <row r="42374" ht="12.75" x14ac:dyDescent="0.2"/>
    <row r="42375" ht="12.75" x14ac:dyDescent="0.2"/>
    <row r="42376" ht="12.75" x14ac:dyDescent="0.2"/>
    <row r="42377" ht="12.75" x14ac:dyDescent="0.2"/>
    <row r="42378" ht="12.75" x14ac:dyDescent="0.2"/>
    <row r="42379" ht="12.75" x14ac:dyDescent="0.2"/>
    <row r="42380" ht="12.75" x14ac:dyDescent="0.2"/>
    <row r="42381" ht="12.75" x14ac:dyDescent="0.2"/>
    <row r="42382" ht="12.75" x14ac:dyDescent="0.2"/>
    <row r="42383" ht="12.75" x14ac:dyDescent="0.2"/>
    <row r="42384" ht="12.75" x14ac:dyDescent="0.2"/>
    <row r="42385" ht="12.75" x14ac:dyDescent="0.2"/>
    <row r="42386" ht="12.75" x14ac:dyDescent="0.2"/>
    <row r="42387" ht="12.75" x14ac:dyDescent="0.2"/>
    <row r="42388" ht="12.75" x14ac:dyDescent="0.2"/>
    <row r="42389" ht="12.75" x14ac:dyDescent="0.2"/>
    <row r="42390" ht="12.75" x14ac:dyDescent="0.2"/>
    <row r="42391" ht="12.75" x14ac:dyDescent="0.2"/>
    <row r="42392" ht="12.75" x14ac:dyDescent="0.2"/>
    <row r="42393" ht="12.75" x14ac:dyDescent="0.2"/>
    <row r="42394" ht="12.75" x14ac:dyDescent="0.2"/>
    <row r="42395" ht="12.75" x14ac:dyDescent="0.2"/>
    <row r="42396" ht="12.75" x14ac:dyDescent="0.2"/>
    <row r="42397" ht="12.75" x14ac:dyDescent="0.2"/>
    <row r="42398" ht="12.75" x14ac:dyDescent="0.2"/>
    <row r="42399" ht="12.75" x14ac:dyDescent="0.2"/>
    <row r="42400" ht="12.75" x14ac:dyDescent="0.2"/>
    <row r="42401" ht="12.75" x14ac:dyDescent="0.2"/>
    <row r="42402" ht="12.75" x14ac:dyDescent="0.2"/>
    <row r="42403" ht="12.75" x14ac:dyDescent="0.2"/>
    <row r="42404" ht="12.75" x14ac:dyDescent="0.2"/>
    <row r="42405" ht="12.75" x14ac:dyDescent="0.2"/>
    <row r="42406" ht="12.75" x14ac:dyDescent="0.2"/>
    <row r="42407" ht="12.75" x14ac:dyDescent="0.2"/>
    <row r="42408" ht="12.75" x14ac:dyDescent="0.2"/>
    <row r="42409" ht="12.75" x14ac:dyDescent="0.2"/>
    <row r="42410" ht="12.75" x14ac:dyDescent="0.2"/>
    <row r="42411" ht="12.75" x14ac:dyDescent="0.2"/>
    <row r="42412" ht="12.75" x14ac:dyDescent="0.2"/>
    <row r="42413" ht="12.75" x14ac:dyDescent="0.2"/>
    <row r="42414" ht="12.75" x14ac:dyDescent="0.2"/>
    <row r="42415" ht="12.75" x14ac:dyDescent="0.2"/>
    <row r="42416" ht="12.75" x14ac:dyDescent="0.2"/>
    <row r="42417" ht="12.75" x14ac:dyDescent="0.2"/>
    <row r="42418" ht="12.75" x14ac:dyDescent="0.2"/>
    <row r="42419" ht="12.75" x14ac:dyDescent="0.2"/>
    <row r="42420" ht="12.75" x14ac:dyDescent="0.2"/>
    <row r="42421" ht="12.75" x14ac:dyDescent="0.2"/>
    <row r="42422" ht="12.75" x14ac:dyDescent="0.2"/>
    <row r="42423" ht="12.75" x14ac:dyDescent="0.2"/>
    <row r="42424" ht="12.75" x14ac:dyDescent="0.2"/>
    <row r="42425" ht="12.75" x14ac:dyDescent="0.2"/>
    <row r="42426" ht="12.75" x14ac:dyDescent="0.2"/>
    <row r="42427" ht="12.75" x14ac:dyDescent="0.2"/>
    <row r="42428" ht="12.75" x14ac:dyDescent="0.2"/>
    <row r="42429" ht="12.75" x14ac:dyDescent="0.2"/>
    <row r="42430" ht="12.75" x14ac:dyDescent="0.2"/>
    <row r="42431" ht="12.75" x14ac:dyDescent="0.2"/>
    <row r="42432" ht="12.75" x14ac:dyDescent="0.2"/>
    <row r="42433" ht="12.75" x14ac:dyDescent="0.2"/>
    <row r="42434" ht="12.75" x14ac:dyDescent="0.2"/>
    <row r="42435" ht="12.75" x14ac:dyDescent="0.2"/>
    <row r="42436" ht="12.75" x14ac:dyDescent="0.2"/>
    <row r="42437" ht="12.75" x14ac:dyDescent="0.2"/>
    <row r="42438" ht="12.75" x14ac:dyDescent="0.2"/>
    <row r="42439" ht="12.75" x14ac:dyDescent="0.2"/>
    <row r="42440" ht="12.75" x14ac:dyDescent="0.2"/>
    <row r="42441" ht="12.75" x14ac:dyDescent="0.2"/>
    <row r="42442" ht="12.75" x14ac:dyDescent="0.2"/>
    <row r="42443" ht="12.75" x14ac:dyDescent="0.2"/>
    <row r="42444" ht="12.75" x14ac:dyDescent="0.2"/>
    <row r="42445" ht="12.75" x14ac:dyDescent="0.2"/>
    <row r="42446" ht="12.75" x14ac:dyDescent="0.2"/>
    <row r="42447" ht="12.75" x14ac:dyDescent="0.2"/>
    <row r="42448" ht="12.75" x14ac:dyDescent="0.2"/>
    <row r="42449" ht="12.75" x14ac:dyDescent="0.2"/>
    <row r="42450" ht="12.75" x14ac:dyDescent="0.2"/>
    <row r="42451" ht="12.75" x14ac:dyDescent="0.2"/>
    <row r="42452" ht="12.75" x14ac:dyDescent="0.2"/>
    <row r="42453" ht="12.75" x14ac:dyDescent="0.2"/>
    <row r="42454" ht="12.75" x14ac:dyDescent="0.2"/>
    <row r="42455" ht="12.75" x14ac:dyDescent="0.2"/>
    <row r="42456" ht="12.75" x14ac:dyDescent="0.2"/>
    <row r="42457" ht="12.75" x14ac:dyDescent="0.2"/>
    <row r="42458" ht="12.75" x14ac:dyDescent="0.2"/>
    <row r="42459" ht="12.75" x14ac:dyDescent="0.2"/>
    <row r="42460" ht="12.75" x14ac:dyDescent="0.2"/>
    <row r="42461" ht="12.75" x14ac:dyDescent="0.2"/>
    <row r="42462" ht="12.75" x14ac:dyDescent="0.2"/>
    <row r="42463" ht="12.75" x14ac:dyDescent="0.2"/>
    <row r="42464" ht="12.75" x14ac:dyDescent="0.2"/>
    <row r="42465" ht="12.75" x14ac:dyDescent="0.2"/>
    <row r="42466" ht="12.75" x14ac:dyDescent="0.2"/>
    <row r="42467" ht="12.75" x14ac:dyDescent="0.2"/>
    <row r="42468" ht="12.75" x14ac:dyDescent="0.2"/>
    <row r="42469" ht="12.75" x14ac:dyDescent="0.2"/>
    <row r="42470" ht="12.75" x14ac:dyDescent="0.2"/>
    <row r="42471" ht="12.75" x14ac:dyDescent="0.2"/>
    <row r="42472" ht="12.75" x14ac:dyDescent="0.2"/>
    <row r="42473" ht="12.75" x14ac:dyDescent="0.2"/>
    <row r="42474" ht="12.75" x14ac:dyDescent="0.2"/>
    <row r="42475" ht="12.75" x14ac:dyDescent="0.2"/>
    <row r="42476" ht="12.75" x14ac:dyDescent="0.2"/>
    <row r="42477" ht="12.75" x14ac:dyDescent="0.2"/>
    <row r="42478" ht="12.75" x14ac:dyDescent="0.2"/>
    <row r="42479" ht="12.75" x14ac:dyDescent="0.2"/>
    <row r="42480" ht="12.75" x14ac:dyDescent="0.2"/>
    <row r="42481" ht="12.75" x14ac:dyDescent="0.2"/>
    <row r="42482" ht="12.75" x14ac:dyDescent="0.2"/>
    <row r="42483" ht="12.75" x14ac:dyDescent="0.2"/>
    <row r="42484" ht="12.75" x14ac:dyDescent="0.2"/>
    <row r="42485" ht="12.75" x14ac:dyDescent="0.2"/>
    <row r="42486" ht="12.75" x14ac:dyDescent="0.2"/>
    <row r="42487" ht="12.75" x14ac:dyDescent="0.2"/>
    <row r="42488" ht="12.75" x14ac:dyDescent="0.2"/>
    <row r="42489" ht="12.75" x14ac:dyDescent="0.2"/>
    <row r="42490" ht="12.75" x14ac:dyDescent="0.2"/>
    <row r="42491" ht="12.75" x14ac:dyDescent="0.2"/>
    <row r="42492" ht="12.75" x14ac:dyDescent="0.2"/>
    <row r="42493" ht="12.75" x14ac:dyDescent="0.2"/>
    <row r="42494" ht="12.75" x14ac:dyDescent="0.2"/>
    <row r="42495" ht="12.75" x14ac:dyDescent="0.2"/>
    <row r="42496" ht="12.75" x14ac:dyDescent="0.2"/>
    <row r="42497" ht="12.75" x14ac:dyDescent="0.2"/>
    <row r="42498" ht="12.75" x14ac:dyDescent="0.2"/>
    <row r="42499" ht="12.75" x14ac:dyDescent="0.2"/>
    <row r="42500" ht="12.75" x14ac:dyDescent="0.2"/>
    <row r="42501" ht="12.75" x14ac:dyDescent="0.2"/>
    <row r="42502" ht="12.75" x14ac:dyDescent="0.2"/>
    <row r="42503" ht="12.75" x14ac:dyDescent="0.2"/>
    <row r="42504" ht="12.75" x14ac:dyDescent="0.2"/>
    <row r="42505" ht="12.75" x14ac:dyDescent="0.2"/>
    <row r="42506" ht="12.75" x14ac:dyDescent="0.2"/>
    <row r="42507" ht="12.75" x14ac:dyDescent="0.2"/>
    <row r="42508" ht="12.75" x14ac:dyDescent="0.2"/>
    <row r="42509" ht="12.75" x14ac:dyDescent="0.2"/>
    <row r="42510" ht="12.75" x14ac:dyDescent="0.2"/>
    <row r="42511" ht="12.75" x14ac:dyDescent="0.2"/>
    <row r="42512" ht="12.75" x14ac:dyDescent="0.2"/>
    <row r="42513" ht="12.75" x14ac:dyDescent="0.2"/>
    <row r="42514" ht="12.75" x14ac:dyDescent="0.2"/>
    <row r="42515" ht="12.75" x14ac:dyDescent="0.2"/>
    <row r="42516" ht="12.75" x14ac:dyDescent="0.2"/>
    <row r="42517" ht="12.75" x14ac:dyDescent="0.2"/>
    <row r="42518" ht="12.75" x14ac:dyDescent="0.2"/>
    <row r="42519" ht="12.75" x14ac:dyDescent="0.2"/>
    <row r="42520" ht="12.75" x14ac:dyDescent="0.2"/>
    <row r="42521" ht="12.75" x14ac:dyDescent="0.2"/>
    <row r="42522" ht="12.75" x14ac:dyDescent="0.2"/>
    <row r="42523" ht="12.75" x14ac:dyDescent="0.2"/>
    <row r="42524" ht="12.75" x14ac:dyDescent="0.2"/>
    <row r="42525" ht="12.75" x14ac:dyDescent="0.2"/>
    <row r="42526" ht="12.75" x14ac:dyDescent="0.2"/>
    <row r="42527" ht="12.75" x14ac:dyDescent="0.2"/>
    <row r="42528" ht="12.75" x14ac:dyDescent="0.2"/>
    <row r="42529" ht="12.75" x14ac:dyDescent="0.2"/>
    <row r="42530" ht="12.75" x14ac:dyDescent="0.2"/>
    <row r="42531" ht="12.75" x14ac:dyDescent="0.2"/>
    <row r="42532" ht="12.75" x14ac:dyDescent="0.2"/>
    <row r="42533" ht="12.75" x14ac:dyDescent="0.2"/>
    <row r="42534" ht="12.75" x14ac:dyDescent="0.2"/>
    <row r="42535" ht="12.75" x14ac:dyDescent="0.2"/>
    <row r="42536" ht="12.75" x14ac:dyDescent="0.2"/>
    <row r="42537" ht="12.75" x14ac:dyDescent="0.2"/>
    <row r="42538" ht="12.75" x14ac:dyDescent="0.2"/>
    <row r="42539" ht="12.75" x14ac:dyDescent="0.2"/>
    <row r="42540" ht="12.75" x14ac:dyDescent="0.2"/>
    <row r="42541" ht="12.75" x14ac:dyDescent="0.2"/>
    <row r="42542" ht="12.75" x14ac:dyDescent="0.2"/>
    <row r="42543" ht="12.75" x14ac:dyDescent="0.2"/>
    <row r="42544" ht="12.75" x14ac:dyDescent="0.2"/>
    <row r="42545" ht="12.75" x14ac:dyDescent="0.2"/>
    <row r="42546" ht="12.75" x14ac:dyDescent="0.2"/>
    <row r="42547" ht="12.75" x14ac:dyDescent="0.2"/>
    <row r="42548" ht="12.75" x14ac:dyDescent="0.2"/>
    <row r="42549" ht="12.75" x14ac:dyDescent="0.2"/>
    <row r="42550" ht="12.75" x14ac:dyDescent="0.2"/>
    <row r="42551" ht="12.75" x14ac:dyDescent="0.2"/>
    <row r="42552" ht="12.75" x14ac:dyDescent="0.2"/>
    <row r="42553" ht="12.75" x14ac:dyDescent="0.2"/>
    <row r="42554" ht="12.75" x14ac:dyDescent="0.2"/>
    <row r="42555" ht="12.75" x14ac:dyDescent="0.2"/>
    <row r="42556" ht="12.75" x14ac:dyDescent="0.2"/>
    <row r="42557" ht="12.75" x14ac:dyDescent="0.2"/>
    <row r="42558" ht="12.75" x14ac:dyDescent="0.2"/>
    <row r="42559" ht="12.75" x14ac:dyDescent="0.2"/>
    <row r="42560" ht="12.75" x14ac:dyDescent="0.2"/>
    <row r="42561" ht="12.75" x14ac:dyDescent="0.2"/>
    <row r="42562" ht="12.75" x14ac:dyDescent="0.2"/>
    <row r="42563" ht="12.75" x14ac:dyDescent="0.2"/>
    <row r="42564" ht="12.75" x14ac:dyDescent="0.2"/>
    <row r="42565" ht="12.75" x14ac:dyDescent="0.2"/>
    <row r="42566" ht="12.75" x14ac:dyDescent="0.2"/>
    <row r="42567" ht="12.75" x14ac:dyDescent="0.2"/>
    <row r="42568" ht="12.75" x14ac:dyDescent="0.2"/>
    <row r="42569" ht="12.75" x14ac:dyDescent="0.2"/>
    <row r="42570" ht="12.75" x14ac:dyDescent="0.2"/>
    <row r="42571" ht="12.75" x14ac:dyDescent="0.2"/>
    <row r="42572" ht="12.75" x14ac:dyDescent="0.2"/>
    <row r="42573" ht="12.75" x14ac:dyDescent="0.2"/>
    <row r="42574" ht="12.75" x14ac:dyDescent="0.2"/>
    <row r="42575" ht="12.75" x14ac:dyDescent="0.2"/>
    <row r="42576" ht="12.75" x14ac:dyDescent="0.2"/>
    <row r="42577" ht="12.75" x14ac:dyDescent="0.2"/>
    <row r="42578" ht="12.75" x14ac:dyDescent="0.2"/>
    <row r="42579" ht="12.75" x14ac:dyDescent="0.2"/>
    <row r="42580" ht="12.75" x14ac:dyDescent="0.2"/>
    <row r="42581" ht="12.75" x14ac:dyDescent="0.2"/>
    <row r="42582" ht="12.75" x14ac:dyDescent="0.2"/>
    <row r="42583" ht="12.75" x14ac:dyDescent="0.2"/>
    <row r="42584" ht="12.75" x14ac:dyDescent="0.2"/>
    <row r="42585" ht="12.75" x14ac:dyDescent="0.2"/>
    <row r="42586" ht="12.75" x14ac:dyDescent="0.2"/>
    <row r="42587" ht="12.75" x14ac:dyDescent="0.2"/>
    <row r="42588" ht="12.75" x14ac:dyDescent="0.2"/>
    <row r="42589" ht="12.75" x14ac:dyDescent="0.2"/>
    <row r="42590" ht="12.75" x14ac:dyDescent="0.2"/>
    <row r="42591" ht="12.75" x14ac:dyDescent="0.2"/>
    <row r="42592" ht="12.75" x14ac:dyDescent="0.2"/>
    <row r="42593" ht="12.75" x14ac:dyDescent="0.2"/>
    <row r="42594" ht="12.75" x14ac:dyDescent="0.2"/>
    <row r="42595" ht="12.75" x14ac:dyDescent="0.2"/>
    <row r="42596" ht="12.75" x14ac:dyDescent="0.2"/>
    <row r="42597" ht="12.75" x14ac:dyDescent="0.2"/>
    <row r="42598" ht="12.75" x14ac:dyDescent="0.2"/>
    <row r="42599" ht="12.75" x14ac:dyDescent="0.2"/>
    <row r="42600" ht="12.75" x14ac:dyDescent="0.2"/>
    <row r="42601" ht="12.75" x14ac:dyDescent="0.2"/>
    <row r="42602" ht="12.75" x14ac:dyDescent="0.2"/>
    <row r="42603" ht="12.75" x14ac:dyDescent="0.2"/>
    <row r="42604" ht="12.75" x14ac:dyDescent="0.2"/>
    <row r="42605" ht="12.75" x14ac:dyDescent="0.2"/>
    <row r="42606" ht="12.75" x14ac:dyDescent="0.2"/>
    <row r="42607" ht="12.75" x14ac:dyDescent="0.2"/>
    <row r="42608" ht="12.75" x14ac:dyDescent="0.2"/>
    <row r="42609" ht="12.75" x14ac:dyDescent="0.2"/>
    <row r="42610" ht="12.75" x14ac:dyDescent="0.2"/>
    <row r="42611" ht="12.75" x14ac:dyDescent="0.2"/>
    <row r="42612" ht="12.75" x14ac:dyDescent="0.2"/>
    <row r="42613" ht="12.75" x14ac:dyDescent="0.2"/>
    <row r="42614" ht="12.75" x14ac:dyDescent="0.2"/>
    <row r="42615" ht="12.75" x14ac:dyDescent="0.2"/>
    <row r="42616" ht="12.75" x14ac:dyDescent="0.2"/>
    <row r="42617" ht="12.75" x14ac:dyDescent="0.2"/>
    <row r="42618" ht="12.75" x14ac:dyDescent="0.2"/>
    <row r="42619" ht="12.75" x14ac:dyDescent="0.2"/>
    <row r="42620" ht="12.75" x14ac:dyDescent="0.2"/>
    <row r="42621" ht="12.75" x14ac:dyDescent="0.2"/>
    <row r="42622" ht="12.75" x14ac:dyDescent="0.2"/>
    <row r="42623" ht="12.75" x14ac:dyDescent="0.2"/>
    <row r="42624" ht="12.75" x14ac:dyDescent="0.2"/>
    <row r="42625" ht="12.75" x14ac:dyDescent="0.2"/>
    <row r="42626" ht="12.75" x14ac:dyDescent="0.2"/>
    <row r="42627" ht="12.75" x14ac:dyDescent="0.2"/>
    <row r="42628" ht="12.75" x14ac:dyDescent="0.2"/>
    <row r="42629" ht="12.75" x14ac:dyDescent="0.2"/>
    <row r="42630" ht="12.75" x14ac:dyDescent="0.2"/>
    <row r="42631" ht="12.75" x14ac:dyDescent="0.2"/>
    <row r="42632" ht="12.75" x14ac:dyDescent="0.2"/>
    <row r="42633" ht="12.75" x14ac:dyDescent="0.2"/>
    <row r="42634" ht="12.75" x14ac:dyDescent="0.2"/>
    <row r="42635" ht="12.75" x14ac:dyDescent="0.2"/>
    <row r="42636" ht="12.75" x14ac:dyDescent="0.2"/>
    <row r="42637" ht="12.75" x14ac:dyDescent="0.2"/>
    <row r="42638" ht="12.75" x14ac:dyDescent="0.2"/>
    <row r="42639" ht="12.75" x14ac:dyDescent="0.2"/>
    <row r="42640" ht="12.75" x14ac:dyDescent="0.2"/>
    <row r="42641" ht="12.75" x14ac:dyDescent="0.2"/>
    <row r="42642" ht="12.75" x14ac:dyDescent="0.2"/>
    <row r="42643" ht="12.75" x14ac:dyDescent="0.2"/>
    <row r="42644" ht="12.75" x14ac:dyDescent="0.2"/>
    <row r="42645" ht="12.75" x14ac:dyDescent="0.2"/>
    <row r="42646" ht="12.75" x14ac:dyDescent="0.2"/>
    <row r="42647" ht="12.75" x14ac:dyDescent="0.2"/>
    <row r="42648" ht="12.75" x14ac:dyDescent="0.2"/>
    <row r="42649" ht="12.75" x14ac:dyDescent="0.2"/>
    <row r="42650" ht="12.75" x14ac:dyDescent="0.2"/>
    <row r="42651" ht="12.75" x14ac:dyDescent="0.2"/>
    <row r="42652" ht="12.75" x14ac:dyDescent="0.2"/>
    <row r="42653" ht="12.75" x14ac:dyDescent="0.2"/>
    <row r="42654" ht="12.75" x14ac:dyDescent="0.2"/>
    <row r="42655" ht="12.75" x14ac:dyDescent="0.2"/>
    <row r="42656" ht="12.75" x14ac:dyDescent="0.2"/>
    <row r="42657" ht="12.75" x14ac:dyDescent="0.2"/>
    <row r="42658" ht="12.75" x14ac:dyDescent="0.2"/>
    <row r="42659" ht="12.75" x14ac:dyDescent="0.2"/>
    <row r="42660" ht="12.75" x14ac:dyDescent="0.2"/>
    <row r="42661" ht="12.75" x14ac:dyDescent="0.2"/>
    <row r="42662" ht="12.75" x14ac:dyDescent="0.2"/>
    <row r="42663" ht="12.75" x14ac:dyDescent="0.2"/>
    <row r="42664" ht="12.75" x14ac:dyDescent="0.2"/>
    <row r="42665" ht="12.75" x14ac:dyDescent="0.2"/>
    <row r="42666" ht="12.75" x14ac:dyDescent="0.2"/>
    <row r="42667" ht="12.75" x14ac:dyDescent="0.2"/>
    <row r="42668" ht="12.75" x14ac:dyDescent="0.2"/>
    <row r="42669" ht="12.75" x14ac:dyDescent="0.2"/>
    <row r="42670" ht="12.75" x14ac:dyDescent="0.2"/>
    <row r="42671" ht="12.75" x14ac:dyDescent="0.2"/>
    <row r="42672" ht="12.75" x14ac:dyDescent="0.2"/>
    <row r="42673" ht="12.75" x14ac:dyDescent="0.2"/>
    <row r="42674" ht="12.75" x14ac:dyDescent="0.2"/>
    <row r="42675" ht="12.75" x14ac:dyDescent="0.2"/>
    <row r="42676" ht="12.75" x14ac:dyDescent="0.2"/>
    <row r="42677" ht="12.75" x14ac:dyDescent="0.2"/>
    <row r="42678" ht="12.75" x14ac:dyDescent="0.2"/>
    <row r="42679" ht="12.75" x14ac:dyDescent="0.2"/>
    <row r="42680" ht="12.75" x14ac:dyDescent="0.2"/>
    <row r="42681" ht="12.75" x14ac:dyDescent="0.2"/>
    <row r="42682" ht="12.75" x14ac:dyDescent="0.2"/>
    <row r="42683" ht="12.75" x14ac:dyDescent="0.2"/>
    <row r="42684" ht="12.75" x14ac:dyDescent="0.2"/>
    <row r="42685" ht="12.75" x14ac:dyDescent="0.2"/>
    <row r="42686" ht="12.75" x14ac:dyDescent="0.2"/>
    <row r="42687" ht="12.75" x14ac:dyDescent="0.2"/>
    <row r="42688" ht="12.75" x14ac:dyDescent="0.2"/>
    <row r="42689" ht="12.75" x14ac:dyDescent="0.2"/>
    <row r="42690" ht="12.75" x14ac:dyDescent="0.2"/>
    <row r="42691" ht="12.75" x14ac:dyDescent="0.2"/>
    <row r="42692" ht="12.75" x14ac:dyDescent="0.2"/>
    <row r="42693" ht="12.75" x14ac:dyDescent="0.2"/>
    <row r="42694" ht="12.75" x14ac:dyDescent="0.2"/>
    <row r="42695" ht="12.75" x14ac:dyDescent="0.2"/>
    <row r="42696" ht="12.75" x14ac:dyDescent="0.2"/>
    <row r="42697" ht="12.75" x14ac:dyDescent="0.2"/>
    <row r="42698" ht="12.75" x14ac:dyDescent="0.2"/>
    <row r="42699" ht="12.75" x14ac:dyDescent="0.2"/>
    <row r="42700" ht="12.75" x14ac:dyDescent="0.2"/>
    <row r="42701" ht="12.75" x14ac:dyDescent="0.2"/>
    <row r="42702" ht="12.75" x14ac:dyDescent="0.2"/>
    <row r="42703" ht="12.75" x14ac:dyDescent="0.2"/>
    <row r="42704" ht="12.75" x14ac:dyDescent="0.2"/>
    <row r="42705" ht="12.75" x14ac:dyDescent="0.2"/>
    <row r="42706" ht="12.75" x14ac:dyDescent="0.2"/>
    <row r="42707" ht="12.75" x14ac:dyDescent="0.2"/>
    <row r="42708" ht="12.75" x14ac:dyDescent="0.2"/>
    <row r="42709" ht="12.75" x14ac:dyDescent="0.2"/>
    <row r="42710" ht="12.75" x14ac:dyDescent="0.2"/>
    <row r="42711" ht="12.75" x14ac:dyDescent="0.2"/>
    <row r="42712" ht="12.75" x14ac:dyDescent="0.2"/>
    <row r="42713" ht="12.75" x14ac:dyDescent="0.2"/>
    <row r="42714" ht="12.75" x14ac:dyDescent="0.2"/>
    <row r="42715" ht="12.75" x14ac:dyDescent="0.2"/>
    <row r="42716" ht="12.75" x14ac:dyDescent="0.2"/>
    <row r="42717" ht="12.75" x14ac:dyDescent="0.2"/>
    <row r="42718" ht="12.75" x14ac:dyDescent="0.2"/>
    <row r="42719" ht="12.75" x14ac:dyDescent="0.2"/>
    <row r="42720" ht="12.75" x14ac:dyDescent="0.2"/>
    <row r="42721" ht="12.75" x14ac:dyDescent="0.2"/>
    <row r="42722" ht="12.75" x14ac:dyDescent="0.2"/>
    <row r="42723" ht="12.75" x14ac:dyDescent="0.2"/>
    <row r="42724" ht="12.75" x14ac:dyDescent="0.2"/>
    <row r="42725" ht="12.75" x14ac:dyDescent="0.2"/>
    <row r="42726" ht="12.75" x14ac:dyDescent="0.2"/>
    <row r="42727" ht="12.75" x14ac:dyDescent="0.2"/>
    <row r="42728" ht="12.75" x14ac:dyDescent="0.2"/>
    <row r="42729" ht="12.75" x14ac:dyDescent="0.2"/>
    <row r="42730" ht="12.75" x14ac:dyDescent="0.2"/>
    <row r="42731" ht="12.75" x14ac:dyDescent="0.2"/>
    <row r="42732" ht="12.75" x14ac:dyDescent="0.2"/>
    <row r="42733" ht="12.75" x14ac:dyDescent="0.2"/>
    <row r="42734" ht="12.75" x14ac:dyDescent="0.2"/>
    <row r="42735" ht="12.75" x14ac:dyDescent="0.2"/>
    <row r="42736" ht="12.75" x14ac:dyDescent="0.2"/>
    <row r="42737" ht="12.75" x14ac:dyDescent="0.2"/>
    <row r="42738" ht="12.75" x14ac:dyDescent="0.2"/>
    <row r="42739" ht="12.75" x14ac:dyDescent="0.2"/>
    <row r="42740" ht="12.75" x14ac:dyDescent="0.2"/>
    <row r="42741" ht="12.75" x14ac:dyDescent="0.2"/>
    <row r="42742" ht="12.75" x14ac:dyDescent="0.2"/>
    <row r="42743" ht="12.75" x14ac:dyDescent="0.2"/>
    <row r="42744" ht="12.75" x14ac:dyDescent="0.2"/>
    <row r="42745" ht="12.75" x14ac:dyDescent="0.2"/>
    <row r="42746" ht="12.75" x14ac:dyDescent="0.2"/>
    <row r="42747" ht="12.75" x14ac:dyDescent="0.2"/>
    <row r="42748" ht="12.75" x14ac:dyDescent="0.2"/>
    <row r="42749" ht="12.75" x14ac:dyDescent="0.2"/>
    <row r="42750" ht="12.75" x14ac:dyDescent="0.2"/>
    <row r="42751" ht="12.75" x14ac:dyDescent="0.2"/>
    <row r="42752" ht="12.75" x14ac:dyDescent="0.2"/>
    <row r="42753" ht="12.75" x14ac:dyDescent="0.2"/>
    <row r="42754" ht="12.75" x14ac:dyDescent="0.2"/>
    <row r="42755" ht="12.75" x14ac:dyDescent="0.2"/>
    <row r="42756" ht="12.75" x14ac:dyDescent="0.2"/>
    <row r="42757" ht="12.75" x14ac:dyDescent="0.2"/>
    <row r="42758" ht="12.75" x14ac:dyDescent="0.2"/>
    <row r="42759" ht="12.75" x14ac:dyDescent="0.2"/>
    <row r="42760" ht="12.75" x14ac:dyDescent="0.2"/>
    <row r="42761" ht="12.75" x14ac:dyDescent="0.2"/>
    <row r="42762" ht="12.75" x14ac:dyDescent="0.2"/>
    <row r="42763" ht="12.75" x14ac:dyDescent="0.2"/>
    <row r="42764" ht="12.75" x14ac:dyDescent="0.2"/>
    <row r="42765" ht="12.75" x14ac:dyDescent="0.2"/>
    <row r="42766" ht="12.75" x14ac:dyDescent="0.2"/>
    <row r="42767" ht="12.75" x14ac:dyDescent="0.2"/>
    <row r="42768" ht="12.75" x14ac:dyDescent="0.2"/>
    <row r="42769" ht="12.75" x14ac:dyDescent="0.2"/>
    <row r="42770" ht="12.75" x14ac:dyDescent="0.2"/>
    <row r="42771" ht="12.75" x14ac:dyDescent="0.2"/>
    <row r="42772" ht="12.75" x14ac:dyDescent="0.2"/>
    <row r="42773" ht="12.75" x14ac:dyDescent="0.2"/>
    <row r="42774" ht="12.75" x14ac:dyDescent="0.2"/>
    <row r="42775" ht="12.75" x14ac:dyDescent="0.2"/>
    <row r="42776" ht="12.75" x14ac:dyDescent="0.2"/>
    <row r="42777" ht="12.75" x14ac:dyDescent="0.2"/>
    <row r="42778" ht="12.75" x14ac:dyDescent="0.2"/>
    <row r="42779" ht="12.75" x14ac:dyDescent="0.2"/>
    <row r="42780" ht="12.75" x14ac:dyDescent="0.2"/>
    <row r="42781" ht="12.75" x14ac:dyDescent="0.2"/>
    <row r="42782" ht="12.75" x14ac:dyDescent="0.2"/>
    <row r="42783" ht="12.75" x14ac:dyDescent="0.2"/>
    <row r="42784" ht="12.75" x14ac:dyDescent="0.2"/>
    <row r="42785" ht="12.75" x14ac:dyDescent="0.2"/>
    <row r="42786" ht="12.75" x14ac:dyDescent="0.2"/>
    <row r="42787" ht="12.75" x14ac:dyDescent="0.2"/>
    <row r="42788" ht="12.75" x14ac:dyDescent="0.2"/>
    <row r="42789" ht="12.75" x14ac:dyDescent="0.2"/>
    <row r="42790" ht="12.75" x14ac:dyDescent="0.2"/>
    <row r="42791" ht="12.75" x14ac:dyDescent="0.2"/>
    <row r="42792" ht="12.75" x14ac:dyDescent="0.2"/>
    <row r="42793" ht="12.75" x14ac:dyDescent="0.2"/>
    <row r="42794" ht="12.75" x14ac:dyDescent="0.2"/>
    <row r="42795" ht="12.75" x14ac:dyDescent="0.2"/>
    <row r="42796" ht="12.75" x14ac:dyDescent="0.2"/>
    <row r="42797" ht="12.75" x14ac:dyDescent="0.2"/>
    <row r="42798" ht="12.75" x14ac:dyDescent="0.2"/>
    <row r="42799" ht="12.75" x14ac:dyDescent="0.2"/>
    <row r="42800" ht="12.75" x14ac:dyDescent="0.2"/>
    <row r="42801" ht="12.75" x14ac:dyDescent="0.2"/>
    <row r="42802" ht="12.75" x14ac:dyDescent="0.2"/>
    <row r="42803" ht="12.75" x14ac:dyDescent="0.2"/>
    <row r="42804" ht="12.75" x14ac:dyDescent="0.2"/>
    <row r="42805" ht="12.75" x14ac:dyDescent="0.2"/>
    <row r="42806" ht="12.75" x14ac:dyDescent="0.2"/>
    <row r="42807" ht="12.75" x14ac:dyDescent="0.2"/>
    <row r="42808" ht="12.75" x14ac:dyDescent="0.2"/>
    <row r="42809" ht="12.75" x14ac:dyDescent="0.2"/>
    <row r="42810" ht="12.75" x14ac:dyDescent="0.2"/>
    <row r="42811" ht="12.75" x14ac:dyDescent="0.2"/>
    <row r="42812" ht="12.75" x14ac:dyDescent="0.2"/>
    <row r="42813" ht="12.75" x14ac:dyDescent="0.2"/>
    <row r="42814" ht="12.75" x14ac:dyDescent="0.2"/>
    <row r="42815" ht="12.75" x14ac:dyDescent="0.2"/>
    <row r="42816" ht="12.75" x14ac:dyDescent="0.2"/>
    <row r="42817" ht="12.75" x14ac:dyDescent="0.2"/>
    <row r="42818" ht="12.75" x14ac:dyDescent="0.2"/>
    <row r="42819" ht="12.75" x14ac:dyDescent="0.2"/>
    <row r="42820" ht="12.75" x14ac:dyDescent="0.2"/>
    <row r="42821" ht="12.75" x14ac:dyDescent="0.2"/>
    <row r="42822" ht="12.75" x14ac:dyDescent="0.2"/>
    <row r="42823" ht="12.75" x14ac:dyDescent="0.2"/>
    <row r="42824" ht="12.75" x14ac:dyDescent="0.2"/>
    <row r="42825" ht="12.75" x14ac:dyDescent="0.2"/>
    <row r="42826" ht="12.75" x14ac:dyDescent="0.2"/>
    <row r="42827" ht="12.75" x14ac:dyDescent="0.2"/>
    <row r="42828" ht="12.75" x14ac:dyDescent="0.2"/>
    <row r="42829" ht="12.75" x14ac:dyDescent="0.2"/>
    <row r="42830" ht="12.75" x14ac:dyDescent="0.2"/>
    <row r="42831" ht="12.75" x14ac:dyDescent="0.2"/>
    <row r="42832" ht="12.75" x14ac:dyDescent="0.2"/>
    <row r="42833" ht="12.75" x14ac:dyDescent="0.2"/>
    <row r="42834" ht="12.75" x14ac:dyDescent="0.2"/>
    <row r="42835" ht="12.75" x14ac:dyDescent="0.2"/>
    <row r="42836" ht="12.75" x14ac:dyDescent="0.2"/>
    <row r="42837" ht="12.75" x14ac:dyDescent="0.2"/>
    <row r="42838" ht="12.75" x14ac:dyDescent="0.2"/>
    <row r="42839" ht="12.75" x14ac:dyDescent="0.2"/>
    <row r="42840" ht="12.75" x14ac:dyDescent="0.2"/>
    <row r="42841" ht="12.75" x14ac:dyDescent="0.2"/>
    <row r="42842" ht="12.75" x14ac:dyDescent="0.2"/>
    <row r="42843" ht="12.75" x14ac:dyDescent="0.2"/>
    <row r="42844" ht="12.75" x14ac:dyDescent="0.2"/>
    <row r="42845" ht="12.75" x14ac:dyDescent="0.2"/>
    <row r="42846" ht="12.75" x14ac:dyDescent="0.2"/>
    <row r="42847" ht="12.75" x14ac:dyDescent="0.2"/>
    <row r="42848" ht="12.75" x14ac:dyDescent="0.2"/>
    <row r="42849" ht="12.75" x14ac:dyDescent="0.2"/>
    <row r="42850" ht="12.75" x14ac:dyDescent="0.2"/>
    <row r="42851" ht="12.75" x14ac:dyDescent="0.2"/>
    <row r="42852" ht="12.75" x14ac:dyDescent="0.2"/>
    <row r="42853" ht="12.75" x14ac:dyDescent="0.2"/>
    <row r="42854" ht="12.75" x14ac:dyDescent="0.2"/>
    <row r="42855" ht="12.75" x14ac:dyDescent="0.2"/>
    <row r="42856" ht="12.75" x14ac:dyDescent="0.2"/>
    <row r="42857" ht="12.75" x14ac:dyDescent="0.2"/>
    <row r="42858" ht="12.75" x14ac:dyDescent="0.2"/>
    <row r="42859" ht="12.75" x14ac:dyDescent="0.2"/>
    <row r="42860" ht="12.75" x14ac:dyDescent="0.2"/>
    <row r="42861" ht="12.75" x14ac:dyDescent="0.2"/>
    <row r="42862" ht="12.75" x14ac:dyDescent="0.2"/>
    <row r="42863" ht="12.75" x14ac:dyDescent="0.2"/>
    <row r="42864" ht="12.75" x14ac:dyDescent="0.2"/>
    <row r="42865" ht="12.75" x14ac:dyDescent="0.2"/>
    <row r="42866" ht="12.75" x14ac:dyDescent="0.2"/>
    <row r="42867" ht="12.75" x14ac:dyDescent="0.2"/>
    <row r="42868" ht="12.75" x14ac:dyDescent="0.2"/>
    <row r="42869" ht="12.75" x14ac:dyDescent="0.2"/>
    <row r="42870" ht="12.75" x14ac:dyDescent="0.2"/>
    <row r="42871" ht="12.75" x14ac:dyDescent="0.2"/>
    <row r="42872" ht="12.75" x14ac:dyDescent="0.2"/>
    <row r="42873" ht="12.75" x14ac:dyDescent="0.2"/>
    <row r="42874" ht="12.75" x14ac:dyDescent="0.2"/>
    <row r="42875" ht="12.75" x14ac:dyDescent="0.2"/>
    <row r="42876" ht="12.75" x14ac:dyDescent="0.2"/>
    <row r="42877" ht="12.75" x14ac:dyDescent="0.2"/>
    <row r="42878" ht="12.75" x14ac:dyDescent="0.2"/>
    <row r="42879" ht="12.75" x14ac:dyDescent="0.2"/>
    <row r="42880" ht="12.75" x14ac:dyDescent="0.2"/>
    <row r="42881" ht="12.75" x14ac:dyDescent="0.2"/>
    <row r="42882" ht="12.75" x14ac:dyDescent="0.2"/>
    <row r="42883" ht="12.75" x14ac:dyDescent="0.2"/>
    <row r="42884" ht="12.75" x14ac:dyDescent="0.2"/>
    <row r="42885" ht="12.75" x14ac:dyDescent="0.2"/>
    <row r="42886" ht="12.75" x14ac:dyDescent="0.2"/>
    <row r="42887" ht="12.75" x14ac:dyDescent="0.2"/>
    <row r="42888" ht="12.75" x14ac:dyDescent="0.2"/>
    <row r="42889" ht="12.75" x14ac:dyDescent="0.2"/>
    <row r="42890" ht="12.75" x14ac:dyDescent="0.2"/>
    <row r="42891" ht="12.75" x14ac:dyDescent="0.2"/>
    <row r="42892" ht="12.75" x14ac:dyDescent="0.2"/>
    <row r="42893" ht="12.75" x14ac:dyDescent="0.2"/>
    <row r="42894" ht="12.75" x14ac:dyDescent="0.2"/>
    <row r="42895" ht="12.75" x14ac:dyDescent="0.2"/>
    <row r="42896" ht="12.75" x14ac:dyDescent="0.2"/>
    <row r="42897" ht="12.75" x14ac:dyDescent="0.2"/>
    <row r="42898" ht="12.75" x14ac:dyDescent="0.2"/>
    <row r="42899" ht="12.75" x14ac:dyDescent="0.2"/>
    <row r="42900" ht="12.75" x14ac:dyDescent="0.2"/>
    <row r="42901" ht="12.75" x14ac:dyDescent="0.2"/>
    <row r="42902" ht="12.75" x14ac:dyDescent="0.2"/>
    <row r="42903" ht="12.75" x14ac:dyDescent="0.2"/>
    <row r="42904" ht="12.75" x14ac:dyDescent="0.2"/>
    <row r="42905" ht="12.75" x14ac:dyDescent="0.2"/>
    <row r="42906" ht="12.75" x14ac:dyDescent="0.2"/>
    <row r="42907" ht="12.75" x14ac:dyDescent="0.2"/>
    <row r="42908" ht="12.75" x14ac:dyDescent="0.2"/>
    <row r="42909" ht="12.75" x14ac:dyDescent="0.2"/>
    <row r="42910" ht="12.75" x14ac:dyDescent="0.2"/>
    <row r="42911" ht="12.75" x14ac:dyDescent="0.2"/>
    <row r="42912" ht="12.75" x14ac:dyDescent="0.2"/>
    <row r="42913" ht="12.75" x14ac:dyDescent="0.2"/>
    <row r="42914" ht="12.75" x14ac:dyDescent="0.2"/>
    <row r="42915" ht="12.75" x14ac:dyDescent="0.2"/>
    <row r="42916" ht="12.75" x14ac:dyDescent="0.2"/>
  </sheetData>
  <sortState xmlns:xlrd2="http://schemas.microsoft.com/office/spreadsheetml/2017/richdata2" ref="K18:L26">
    <sortCondition descending="1" ref="L18:L26"/>
    <sortCondition ref="K18:K26" customList="AHH,RB,EB,KAF,ØG,JH,TOH"/>
  </sortState>
  <mergeCells count="2">
    <mergeCell ref="D40:E40"/>
    <mergeCell ref="DF6:DG6"/>
  </mergeCells>
  <conditionalFormatting sqref="C5:D13">
    <cfRule type="dataBar" priority="10">
      <dataBar>
        <cfvo type="min"/>
        <cfvo type="max"/>
        <color rgb="FF638EC6"/>
      </dataBar>
      <extLst>
        <ext xmlns:x14="http://schemas.microsoft.com/office/spreadsheetml/2009/9/main" uri="{B025F937-C7B1-47D3-B67F-A62EFF666E3E}">
          <x14:id>{98205704-2E31-48DF-B198-D59A79B0B03E}</x14:id>
        </ext>
      </extLst>
    </cfRule>
  </conditionalFormatting>
  <conditionalFormatting sqref="F30:F36 AG41:AG49">
    <cfRule type="dataBar" priority="46">
      <dataBar showValue="0">
        <cfvo type="min"/>
        <cfvo type="max"/>
        <color rgb="FFC00000"/>
      </dataBar>
      <extLst>
        <ext xmlns:x14="http://schemas.microsoft.com/office/spreadsheetml/2009/9/main" uri="{B025F937-C7B1-47D3-B67F-A62EFF666E3E}">
          <x14:id>{9D61DE54-78EA-4F0B-ADBF-1D691C8817A4}</x14:id>
        </ext>
      </extLst>
    </cfRule>
  </conditionalFormatting>
  <conditionalFormatting sqref="Y30:Y36">
    <cfRule type="dataBar" priority="12">
      <dataBar>
        <cfvo type="min"/>
        <cfvo type="max"/>
        <color rgb="FF638EC6"/>
      </dataBar>
      <extLst>
        <ext xmlns:x14="http://schemas.microsoft.com/office/spreadsheetml/2009/9/main" uri="{B025F937-C7B1-47D3-B67F-A62EFF666E3E}">
          <x14:id>{1ABA438B-8F67-4E74-B671-2BA3DEEFC7C6}</x14:id>
        </ext>
      </extLst>
    </cfRule>
  </conditionalFormatting>
  <conditionalFormatting sqref="AB5:AB13">
    <cfRule type="dataBar" priority="8">
      <dataBar>
        <cfvo type="min"/>
        <cfvo type="max"/>
        <color rgb="FFFF555A"/>
      </dataBar>
      <extLst>
        <ext xmlns:x14="http://schemas.microsoft.com/office/spreadsheetml/2009/9/main" uri="{B025F937-C7B1-47D3-B67F-A62EFF666E3E}">
          <x14:id>{FBFFA183-2548-4C01-A4F7-9C0627DE0D53}</x14:id>
        </ext>
      </extLst>
    </cfRule>
  </conditionalFormatting>
  <conditionalFormatting sqref="AD30:AD38">
    <cfRule type="dataBar" priority="11">
      <dataBar>
        <cfvo type="min"/>
        <cfvo type="max"/>
        <color rgb="FF638EC6"/>
      </dataBar>
      <extLst>
        <ext xmlns:x14="http://schemas.microsoft.com/office/spreadsheetml/2009/9/main" uri="{B025F937-C7B1-47D3-B67F-A62EFF666E3E}">
          <x14:id>{3FD2E021-4295-4B52-9B37-1AB8B90C7C3A}</x14:id>
        </ext>
      </extLst>
    </cfRule>
  </conditionalFormatting>
  <conditionalFormatting sqref="AJ38:AJ39">
    <cfRule type="dataBar" priority="2334">
      <dataBar showValue="0">
        <cfvo type="min"/>
        <cfvo type="max"/>
        <color rgb="FFC00000"/>
      </dataBar>
      <extLst>
        <ext xmlns:x14="http://schemas.microsoft.com/office/spreadsheetml/2009/9/main" uri="{B025F937-C7B1-47D3-B67F-A62EFF666E3E}">
          <x14:id>{03DE12FE-0D76-4320-B317-A82CA51C672E}</x14:id>
        </ext>
      </extLst>
    </cfRule>
  </conditionalFormatting>
  <conditionalFormatting sqref="AL5:AL13">
    <cfRule type="iconSet" priority="4">
      <iconSet iconSet="3Arrows" showValue="0">
        <cfvo type="percent" val="0"/>
        <cfvo type="formula" val="0"/>
        <cfvo type="formula" val="0" gte="0"/>
      </iconSet>
    </cfRule>
  </conditionalFormatting>
  <conditionalFormatting sqref="AP30 AM28:AM33">
    <cfRule type="top10" dxfId="20" priority="65" rank="1"/>
  </conditionalFormatting>
  <conditionalFormatting sqref="AU34:AU39">
    <cfRule type="top10" dxfId="19" priority="2321" rank="1"/>
  </conditionalFormatting>
  <conditionalFormatting sqref="AX46:AX50 O28">
    <cfRule type="top10" dxfId="18" priority="64" rank="1"/>
  </conditionalFormatting>
  <conditionalFormatting sqref="AY6:AY45">
    <cfRule type="iconSet" priority="2335">
      <iconSet iconSet="3Arrows" showValue="0">
        <cfvo type="percent" val="0"/>
        <cfvo type="formula" val="0"/>
        <cfvo type="formula" val="0" gte="0"/>
      </iconSet>
    </cfRule>
  </conditionalFormatting>
  <conditionalFormatting sqref="BD84:BD88 BF83 BD77:BD82">
    <cfRule type="top10" dxfId="17" priority="51" rank="1"/>
  </conditionalFormatting>
  <conditionalFormatting sqref="BE84:BE88 BG83 BE77:BE82">
    <cfRule type="top10" dxfId="16" priority="50" rank="1"/>
  </conditionalFormatting>
  <conditionalFormatting sqref="BF34:BF39">
    <cfRule type="top10" dxfId="15" priority="2" rank="1"/>
  </conditionalFormatting>
  <conditionalFormatting sqref="BF84:BF88 BH83 BF77:BF82">
    <cfRule type="top10" dxfId="14" priority="49" rank="1"/>
  </conditionalFormatting>
  <conditionalFormatting sqref="BG57:BG63">
    <cfRule type="dataBar" priority="47">
      <dataBar showValue="0">
        <cfvo type="min"/>
        <cfvo type="max"/>
        <color rgb="FFC00000"/>
      </dataBar>
      <extLst>
        <ext xmlns:x14="http://schemas.microsoft.com/office/spreadsheetml/2009/9/main" uri="{B025F937-C7B1-47D3-B67F-A62EFF666E3E}">
          <x14:id>{3967333A-3FB2-48C8-BAB7-16C205071FF8}</x14:id>
        </ext>
      </extLst>
    </cfRule>
  </conditionalFormatting>
  <conditionalFormatting sqref="BH46:BH48">
    <cfRule type="top10" dxfId="13" priority="63" rank="1"/>
  </conditionalFormatting>
  <conditionalFormatting sqref="BK53 AQ54 BI54:BI55">
    <cfRule type="top10" dxfId="12" priority="60" rank="1"/>
  </conditionalFormatting>
  <conditionalFormatting sqref="BL34:BL39">
    <cfRule type="top10" dxfId="11" priority="1" rank="1"/>
  </conditionalFormatting>
  <conditionalFormatting sqref="BQ103:BQ109">
    <cfRule type="top10" dxfId="10" priority="67" rank="1"/>
  </conditionalFormatting>
  <conditionalFormatting sqref="BR64:BR69">
    <cfRule type="top10" dxfId="9" priority="59" rank="1"/>
  </conditionalFormatting>
  <conditionalFormatting sqref="BT53:BT59">
    <cfRule type="top10" dxfId="8" priority="62" rank="1"/>
  </conditionalFormatting>
  <conditionalFormatting sqref="CC53:CC59">
    <cfRule type="top10" dxfId="7" priority="61" rank="1"/>
  </conditionalFormatting>
  <conditionalFormatting sqref="CL28:CL36 CH25 CY26 CV27">
    <cfRule type="top10" dxfId="6" priority="54" rank="1"/>
  </conditionalFormatting>
  <conditionalFormatting sqref="CM28:CM36 CI25 CZ26 CW27">
    <cfRule type="top10" dxfId="5" priority="53" rank="1"/>
  </conditionalFormatting>
  <conditionalFormatting sqref="CN6:CN12">
    <cfRule type="top10" dxfId="4" priority="55" rank="1"/>
  </conditionalFormatting>
  <conditionalFormatting sqref="CN28:CN36 CJ25 DA26 CX27">
    <cfRule type="top10" dxfId="3" priority="52" rank="1"/>
  </conditionalFormatting>
  <conditionalFormatting sqref="CZ93:CZ95 CT89:CT92">
    <cfRule type="top10" dxfId="2" priority="58" rank="1"/>
  </conditionalFormatting>
  <conditionalFormatting sqref="DJ7:DJ12 DS13">
    <cfRule type="top10" dxfId="1" priority="57" rank="1"/>
  </conditionalFormatting>
  <conditionalFormatting sqref="DK7:DM12 DT13:DV13">
    <cfRule type="top10" dxfId="0" priority="56" rank="1"/>
  </conditionalFormatting>
  <pageMargins left="0.7" right="0.7" top="0.78740157499999996" bottom="0.78740157499999996" header="0.3" footer="0.3"/>
  <pageSetup paperSize="9" scale="4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9697" r:id="rId4" name="Button 1">
              <controlPr defaultSize="0" print="0" autoFill="0" autoPict="0" macro="[1]!sorter">
                <anchor moveWithCells="1" sizeWithCells="1">
                  <from>
                    <xdr:col>17</xdr:col>
                    <xdr:colOff>66675</xdr:colOff>
                    <xdr:row>28</xdr:row>
                    <xdr:rowOff>38100</xdr:rowOff>
                  </from>
                  <to>
                    <xdr:col>21</xdr:col>
                    <xdr:colOff>28575</xdr:colOff>
                    <xdr:row>42</xdr:row>
                    <xdr:rowOff>38100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98205704-2E31-48DF-B198-D59A79B0B03E}">
            <x14:dataBar minLength="0" maxLength="100" border="1" negativeBarBorderColorSameAsPositive="0">
              <x14:cfvo type="autoMin"/>
              <x14:cfvo type="autoMax"/>
              <x14:borderColor rgb="FF638EC6"/>
              <x14:negativeFillColor rgb="FFFF0000"/>
              <x14:negativeBorderColor rgb="FFFF0000"/>
              <x14:axisColor rgb="FF000000"/>
            </x14:dataBar>
          </x14:cfRule>
          <xm:sqref>C5:D13</xm:sqref>
        </x14:conditionalFormatting>
        <x14:conditionalFormatting xmlns:xm="http://schemas.microsoft.com/office/excel/2006/main">
          <x14:cfRule type="dataBar" id="{9D61DE54-78EA-4F0B-ADBF-1D691C8817A4}">
            <x14:dataBar minLength="0" maxLength="100" gradient="0">
              <x14:cfvo type="autoMin"/>
              <x14:cfvo type="autoMax"/>
              <x14:negativeFillColor rgb="FFFF0000"/>
              <x14:axisColor rgb="FF000000"/>
            </x14:dataBar>
          </x14:cfRule>
          <xm:sqref>F30:F36 AG41:AG49</xm:sqref>
        </x14:conditionalFormatting>
        <x14:conditionalFormatting xmlns:xm="http://schemas.microsoft.com/office/excel/2006/main">
          <x14:cfRule type="dataBar" id="{1ABA438B-8F67-4E74-B671-2BA3DEEFC7C6}">
            <x14:dataBar minLength="0" maxLength="100" border="1" negativeBarBorderColorSameAsPositive="0">
              <x14:cfvo type="autoMin"/>
              <x14:cfvo type="autoMax"/>
              <x14:borderColor rgb="FF638EC6"/>
              <x14:negativeFillColor rgb="FFFF0000"/>
              <x14:negativeBorderColor rgb="FFFF0000"/>
              <x14:axisColor rgb="FF000000"/>
            </x14:dataBar>
          </x14:cfRule>
          <xm:sqref>Y30:Y36</xm:sqref>
        </x14:conditionalFormatting>
        <x14:conditionalFormatting xmlns:xm="http://schemas.microsoft.com/office/excel/2006/main">
          <x14:cfRule type="dataBar" id="{FBFFA183-2548-4C01-A4F7-9C0627DE0D53}">
            <x14:dataBar minLength="0" maxLength="100" border="1" negativeBarBorderColorSameAsPositive="0">
              <x14:cfvo type="autoMin"/>
              <x14:cfvo type="autoMax"/>
              <x14:borderColor rgb="FFFF555A"/>
              <x14:negativeFillColor rgb="FFFF0000"/>
              <x14:negativeBorderColor rgb="FFFF0000"/>
              <x14:axisColor rgb="FF000000"/>
            </x14:dataBar>
          </x14:cfRule>
          <xm:sqref>AB5:AB13</xm:sqref>
        </x14:conditionalFormatting>
        <x14:conditionalFormatting xmlns:xm="http://schemas.microsoft.com/office/excel/2006/main">
          <x14:cfRule type="dataBar" id="{3FD2E021-4295-4B52-9B37-1AB8B90C7C3A}">
            <x14:dataBar minLength="0" maxLength="100" border="1" negativeBarBorderColorSameAsPositive="0">
              <x14:cfvo type="autoMin"/>
              <x14:cfvo type="autoMax"/>
              <x14:borderColor rgb="FF638EC6"/>
              <x14:negativeFillColor rgb="FFFF0000"/>
              <x14:negativeBorderColor rgb="FFFF0000"/>
              <x14:axisColor rgb="FF000000"/>
            </x14:dataBar>
          </x14:cfRule>
          <xm:sqref>AD30:AD38</xm:sqref>
        </x14:conditionalFormatting>
        <x14:conditionalFormatting xmlns:xm="http://schemas.microsoft.com/office/excel/2006/main">
          <x14:cfRule type="dataBar" id="{03DE12FE-0D76-4320-B317-A82CA51C672E}">
            <x14:dataBar minLength="0" maxLength="100" gradient="0">
              <x14:cfvo type="autoMin"/>
              <x14:cfvo type="autoMax"/>
              <x14:negativeFillColor rgb="FFFF0000"/>
              <x14:axisColor rgb="FF000000"/>
            </x14:dataBar>
          </x14:cfRule>
          <xm:sqref>AJ38:AJ39</xm:sqref>
        </x14:conditionalFormatting>
        <x14:conditionalFormatting xmlns:xm="http://schemas.microsoft.com/office/excel/2006/main">
          <x14:cfRule type="dataBar" id="{3967333A-3FB2-48C8-BAB7-16C205071FF8}">
            <x14:dataBar minLength="0" maxLength="100" gradient="0">
              <x14:cfvo type="autoMin"/>
              <x14:cfvo type="autoMax"/>
              <x14:negativeFillColor rgb="FFFF0000"/>
              <x14:axisColor rgb="FF000000"/>
            </x14:dataBar>
          </x14:cfRule>
          <xm:sqref>BG57:BG63</xm:sqref>
        </x14:conditionalFormatting>
      </x14:conditionalFormattings>
    </ext>
    <ext xmlns:x14="http://schemas.microsoft.com/office/spreadsheetml/2009/9/main" uri="{CCE6A557-97BC-4b89-ADB6-D9C93CAAB3DF}">
      <x14:dataValidations xmlns:xm="http://schemas.microsoft.com/office/excel/2006/main" disablePrompts="1" count="2">
        <x14:dataValidation type="list" allowBlank="1" showInputMessage="1" showErrorMessage="1" xr:uid="{8691A6AC-FC2F-4FF8-8AFC-05DC532644E4}">
          <x14:formula1>
            <xm:f>Data!$AG$1:$AG$8</xm:f>
          </x14:formula1>
          <xm:sqref>AA29</xm:sqref>
        </x14:dataValidation>
        <x14:dataValidation type="list" allowBlank="1" showInputMessage="1" showErrorMessage="1" xr:uid="{2E2F7022-DF19-41A8-89DA-CFCD52D70F2D}">
          <x14:formula1>
            <xm:f>Data!$E$11:$E$19</xm:f>
          </x14:formula1>
          <xm:sqref>AO5 BA5:BB6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55544-0A09-4906-8853-2C730B236D6D}">
  <sheetPr codeName="Ark5">
    <tabColor rgb="FF275D6B"/>
  </sheetPr>
  <dimension ref="B4:T173"/>
  <sheetViews>
    <sheetView showGridLines="0" workbookViewId="0">
      <pane ySplit="9" topLeftCell="A27" activePane="bottomLeft" state="frozen"/>
      <selection activeCell="H16" sqref="H16"/>
      <selection pane="bottomLeft" activeCell="R15" sqref="R15"/>
    </sheetView>
  </sheetViews>
  <sheetFormatPr baseColWidth="10" defaultColWidth="11.42578125" defaultRowHeight="12.75" x14ac:dyDescent="0.2"/>
  <cols>
    <col min="1" max="1" width="6.42578125" customWidth="1"/>
    <col min="2" max="2" width="6.85546875" bestFit="1" customWidth="1"/>
    <col min="3" max="3" width="27.140625" style="3" bestFit="1" customWidth="1"/>
    <col min="4" max="4" width="18.42578125" bestFit="1" customWidth="1"/>
    <col min="5" max="5" width="15.28515625" bestFit="1" customWidth="1"/>
    <col min="6" max="6" width="14.28515625" bestFit="1" customWidth="1"/>
    <col min="7" max="7" width="2.140625" bestFit="1" customWidth="1"/>
    <col min="8" max="8" width="8.140625" bestFit="1" customWidth="1"/>
    <col min="9" max="9" width="9.28515625" bestFit="1" customWidth="1"/>
    <col min="10" max="10" width="10.28515625" bestFit="1" customWidth="1"/>
    <col min="11" max="11" width="2.5703125" customWidth="1"/>
    <col min="12" max="12" width="13.140625" bestFit="1" customWidth="1"/>
    <col min="13" max="13" width="14.28515625" bestFit="1" customWidth="1"/>
    <col min="14" max="14" width="8.140625" bestFit="1" customWidth="1"/>
    <col min="15" max="16" width="13.140625" bestFit="1" customWidth="1"/>
    <col min="17" max="17" width="11.42578125" bestFit="1" customWidth="1"/>
    <col min="18" max="18" width="30.7109375" bestFit="1" customWidth="1"/>
    <col min="19" max="19" width="11.7109375" bestFit="1" customWidth="1"/>
    <col min="20" max="20" width="3.7109375" bestFit="1" customWidth="1"/>
  </cols>
  <sheetData>
    <row r="4" spans="2:20" ht="15" x14ac:dyDescent="0.25">
      <c r="B4" s="155"/>
      <c r="C4" s="513" t="s">
        <v>421</v>
      </c>
      <c r="D4" s="514"/>
      <c r="E4" s="514"/>
      <c r="F4" s="514"/>
      <c r="G4" s="155"/>
      <c r="H4" s="155"/>
      <c r="I4" s="155"/>
      <c r="J4" s="155"/>
      <c r="K4" s="155"/>
      <c r="L4" s="155"/>
      <c r="M4" s="156"/>
      <c r="N4" s="156"/>
      <c r="O4" s="156"/>
      <c r="P4" s="156"/>
      <c r="Q4" s="155"/>
      <c r="R4" s="156"/>
      <c r="S4" s="156"/>
      <c r="T4" s="155"/>
    </row>
    <row r="5" spans="2:20" ht="15.75" thickBot="1" x14ac:dyDescent="0.3">
      <c r="B5" s="155"/>
      <c r="C5" s="515" t="s">
        <v>44</v>
      </c>
      <c r="D5" s="156"/>
      <c r="E5" s="156"/>
      <c r="F5" s="156"/>
      <c r="G5" s="155"/>
      <c r="H5" s="155"/>
      <c r="I5" s="155"/>
      <c r="J5" s="155"/>
      <c r="K5" s="155"/>
      <c r="L5" s="155"/>
      <c r="M5" s="156"/>
      <c r="N5" s="156"/>
      <c r="O5" s="156"/>
      <c r="P5" s="156"/>
      <c r="Q5" s="155"/>
      <c r="R5" s="156"/>
      <c r="S5" s="156"/>
      <c r="T5" s="155"/>
    </row>
    <row r="6" spans="2:20" ht="15" x14ac:dyDescent="0.25">
      <c r="B6" s="516"/>
      <c r="C6" s="517"/>
      <c r="D6" s="518"/>
      <c r="E6" s="518"/>
      <c r="F6" s="518"/>
      <c r="G6" s="519"/>
      <c r="H6" s="519"/>
      <c r="I6" s="519"/>
      <c r="J6" s="519"/>
      <c r="K6" s="519"/>
      <c r="L6" s="520"/>
      <c r="M6" s="518"/>
      <c r="N6" s="518"/>
      <c r="O6" s="518"/>
      <c r="P6" s="518"/>
      <c r="Q6" s="519"/>
      <c r="R6" s="518"/>
      <c r="S6" s="521"/>
      <c r="T6" s="522"/>
    </row>
    <row r="7" spans="2:20" ht="15" x14ac:dyDescent="0.25">
      <c r="B7" s="523"/>
      <c r="C7" s="524"/>
      <c r="D7" s="525" t="s">
        <v>422</v>
      </c>
      <c r="E7" s="526"/>
      <c r="F7" s="527"/>
      <c r="G7" s="528"/>
      <c r="H7" s="526" t="s">
        <v>423</v>
      </c>
      <c r="I7" s="526"/>
      <c r="J7" s="526"/>
      <c r="K7" s="528"/>
      <c r="L7" s="529" t="s">
        <v>424</v>
      </c>
      <c r="M7" s="530" t="s">
        <v>425</v>
      </c>
      <c r="N7" s="531" t="s">
        <v>426</v>
      </c>
      <c r="O7" s="532"/>
      <c r="P7" s="533"/>
      <c r="Q7" s="534" t="s">
        <v>427</v>
      </c>
      <c r="R7" s="535" t="s">
        <v>422</v>
      </c>
      <c r="S7" s="530" t="s">
        <v>428</v>
      </c>
      <c r="T7" s="536"/>
    </row>
    <row r="8" spans="2:20" ht="15" hidden="1" x14ac:dyDescent="0.25">
      <c r="B8" s="537"/>
      <c r="C8" s="538"/>
      <c r="D8" s="539"/>
      <c r="E8" s="540"/>
      <c r="F8" s="541"/>
      <c r="G8" s="528"/>
      <c r="H8" s="542"/>
      <c r="I8" s="542"/>
      <c r="J8" s="542"/>
      <c r="K8" s="543"/>
      <c r="L8" s="544"/>
      <c r="M8" s="545"/>
      <c r="N8" s="546"/>
      <c r="O8" s="547"/>
      <c r="P8" s="548"/>
      <c r="Q8" s="407" t="s">
        <v>429</v>
      </c>
      <c r="R8" s="408" t="s">
        <v>430</v>
      </c>
      <c r="S8" s="549"/>
      <c r="T8" s="550"/>
    </row>
    <row r="9" spans="2:20" ht="15" thickBot="1" x14ac:dyDescent="0.25">
      <c r="B9" s="722" t="s">
        <v>431</v>
      </c>
      <c r="C9" s="551" t="s">
        <v>401</v>
      </c>
      <c r="D9" s="552">
        <v>12</v>
      </c>
      <c r="E9" s="553">
        <v>11</v>
      </c>
      <c r="F9" s="554">
        <v>10</v>
      </c>
      <c r="G9" s="555"/>
      <c r="H9" s="556">
        <v>12</v>
      </c>
      <c r="I9" s="557">
        <v>11</v>
      </c>
      <c r="J9" s="558">
        <v>10</v>
      </c>
      <c r="K9" s="555"/>
      <c r="L9" s="559"/>
      <c r="M9" s="560"/>
      <c r="N9" s="552">
        <v>12</v>
      </c>
      <c r="O9" s="553">
        <v>11</v>
      </c>
      <c r="P9" s="554">
        <v>10</v>
      </c>
      <c r="Q9" s="559"/>
      <c r="R9" s="560"/>
      <c r="S9" s="906">
        <v>337.46</v>
      </c>
      <c r="T9" s="561" t="s">
        <v>432</v>
      </c>
    </row>
    <row r="10" spans="2:20" ht="15" x14ac:dyDescent="0.25">
      <c r="B10" s="562"/>
      <c r="C10" s="563"/>
      <c r="D10" s="712"/>
      <c r="E10" s="713"/>
      <c r="F10" s="714"/>
      <c r="G10" s="728"/>
      <c r="H10" s="729"/>
      <c r="I10" s="730"/>
      <c r="J10" s="731"/>
      <c r="K10" s="728"/>
      <c r="L10" s="718"/>
      <c r="M10" s="718"/>
      <c r="N10" s="732" t="str">
        <f t="shared" ref="N10:P11" si="0">IF(H10&gt;0,D10*H10,"")</f>
        <v/>
      </c>
      <c r="O10" s="739" t="str">
        <f t="shared" si="0"/>
        <v/>
      </c>
      <c r="P10" s="740" t="str">
        <f t="shared" si="0"/>
        <v/>
      </c>
      <c r="Q10" s="741"/>
      <c r="R10" s="904"/>
      <c r="S10" s="907"/>
      <c r="T10" s="905"/>
    </row>
    <row r="11" spans="2:20" ht="15" x14ac:dyDescent="0.25">
      <c r="B11" s="562">
        <v>33</v>
      </c>
      <c r="C11" s="563">
        <v>45885</v>
      </c>
      <c r="D11" s="712">
        <v>16865</v>
      </c>
      <c r="E11" s="713">
        <v>1105</v>
      </c>
      <c r="F11" s="714">
        <v>120</v>
      </c>
      <c r="G11" s="728"/>
      <c r="H11" s="729"/>
      <c r="I11" s="730"/>
      <c r="J11" s="731"/>
      <c r="K11" s="728"/>
      <c r="L11" s="755">
        <v>2870</v>
      </c>
      <c r="M11" s="718">
        <v>400</v>
      </c>
      <c r="N11" s="732" t="str">
        <f t="shared" si="0"/>
        <v/>
      </c>
      <c r="O11" s="739" t="str">
        <f t="shared" si="0"/>
        <v/>
      </c>
      <c r="P11" s="740" t="str">
        <f t="shared" si="0"/>
        <v/>
      </c>
      <c r="Q11" s="756">
        <v>148.80000000000001</v>
      </c>
      <c r="R11" s="733">
        <f>SUM(N11:P11)</f>
        <v>0</v>
      </c>
      <c r="S11" s="734">
        <f>S9+(L11+R11)-(M11+Q11)</f>
        <v>2658.66</v>
      </c>
      <c r="T11" s="157"/>
    </row>
    <row r="12" spans="2:20" ht="15" x14ac:dyDescent="0.25">
      <c r="B12" s="562">
        <v>34</v>
      </c>
      <c r="C12" s="563">
        <v>45892</v>
      </c>
      <c r="D12" s="717">
        <v>29525</v>
      </c>
      <c r="E12" s="715">
        <v>325</v>
      </c>
      <c r="F12" s="716">
        <v>35</v>
      </c>
      <c r="G12" s="728"/>
      <c r="H12" s="735"/>
      <c r="I12" s="736"/>
      <c r="J12" s="737">
        <v>2</v>
      </c>
      <c r="K12" s="728"/>
      <c r="L12" s="719"/>
      <c r="M12" s="719">
        <v>400</v>
      </c>
      <c r="N12" s="738" t="str">
        <f t="shared" ref="N12:N75" si="1">IF(H12&gt;0,D12*H12,"")</f>
        <v/>
      </c>
      <c r="O12" s="739" t="str">
        <f>IF(I12&gt;0,E12*I12,"")</f>
        <v/>
      </c>
      <c r="P12" s="740">
        <f>IF(J12&gt;0,F12*J12,"")</f>
        <v>70</v>
      </c>
      <c r="Q12" s="741"/>
      <c r="R12" s="742">
        <f>SUM(N12:P12)</f>
        <v>70</v>
      </c>
      <c r="S12" s="743">
        <f>IF(M12&lt;&gt;"",(S11+L12+R12)-(M12+Q12),"")</f>
        <v>2328.66</v>
      </c>
      <c r="T12" s="157"/>
    </row>
    <row r="13" spans="2:20" ht="15" x14ac:dyDescent="0.25">
      <c r="B13" s="562">
        <v>35</v>
      </c>
      <c r="C13" s="563">
        <v>45899</v>
      </c>
      <c r="D13" s="816">
        <v>201310</v>
      </c>
      <c r="E13" s="817">
        <v>2505</v>
      </c>
      <c r="F13" s="818">
        <v>195</v>
      </c>
      <c r="G13" s="728"/>
      <c r="H13" s="813"/>
      <c r="I13" s="814"/>
      <c r="J13" s="815"/>
      <c r="K13" s="728"/>
      <c r="L13" s="719"/>
      <c r="M13" s="719">
        <v>0</v>
      </c>
      <c r="N13" s="738" t="str">
        <f t="shared" si="1"/>
        <v/>
      </c>
      <c r="O13" s="739" t="str">
        <f t="shared" ref="O13:O75" si="2">IF(I13&gt;0,E13*I13,"")</f>
        <v/>
      </c>
      <c r="P13" s="740" t="str">
        <f t="shared" ref="P13:P75" si="3">IF(J13&gt;0,F13*J13,"")</f>
        <v/>
      </c>
      <c r="Q13" s="741"/>
      <c r="R13" s="742">
        <f t="shared" ref="R13:R76" si="4">SUM(N13:P13)</f>
        <v>0</v>
      </c>
      <c r="S13" s="743">
        <f t="shared" ref="S13:S76" si="5">IF(M13&lt;&gt;"",(S12+L13+R13)-(M13+Q13),"")</f>
        <v>2328.66</v>
      </c>
      <c r="T13" s="157"/>
    </row>
    <row r="14" spans="2:20" ht="15" x14ac:dyDescent="0.25">
      <c r="B14" s="562">
        <v>36</v>
      </c>
      <c r="C14" s="563">
        <v>45906</v>
      </c>
      <c r="D14" s="816" t="s">
        <v>433</v>
      </c>
      <c r="E14" s="817">
        <v>7140</v>
      </c>
      <c r="F14" s="818">
        <v>660</v>
      </c>
      <c r="G14" s="728"/>
      <c r="H14" s="813"/>
      <c r="I14" s="814"/>
      <c r="J14" s="815"/>
      <c r="K14" s="728"/>
      <c r="L14" s="719"/>
      <c r="M14" s="719">
        <v>0</v>
      </c>
      <c r="N14" s="738" t="str">
        <f t="shared" si="1"/>
        <v/>
      </c>
      <c r="O14" s="739" t="str">
        <f t="shared" si="2"/>
        <v/>
      </c>
      <c r="P14" s="740" t="str">
        <f t="shared" si="3"/>
        <v/>
      </c>
      <c r="Q14" s="741"/>
      <c r="R14" s="742">
        <f t="shared" si="4"/>
        <v>0</v>
      </c>
      <c r="S14" s="743">
        <f t="shared" si="5"/>
        <v>2328.66</v>
      </c>
      <c r="T14" s="157"/>
    </row>
    <row r="15" spans="2:20" ht="15" x14ac:dyDescent="0.25">
      <c r="B15" s="562">
        <v>37</v>
      </c>
      <c r="C15" s="563">
        <v>45913</v>
      </c>
      <c r="D15" s="816">
        <v>93855</v>
      </c>
      <c r="E15" s="817">
        <v>2280</v>
      </c>
      <c r="F15" s="818">
        <v>230</v>
      </c>
      <c r="G15" s="728"/>
      <c r="H15" s="813"/>
      <c r="I15" s="814"/>
      <c r="J15" s="815"/>
      <c r="K15" s="728"/>
      <c r="L15" s="719"/>
      <c r="M15" s="719">
        <v>0</v>
      </c>
      <c r="N15" s="738" t="str">
        <f t="shared" si="1"/>
        <v/>
      </c>
      <c r="O15" s="739" t="str">
        <f t="shared" si="2"/>
        <v/>
      </c>
      <c r="P15" s="740" t="str">
        <f t="shared" si="3"/>
        <v/>
      </c>
      <c r="Q15" s="741"/>
      <c r="R15" s="742">
        <f t="shared" si="4"/>
        <v>0</v>
      </c>
      <c r="S15" s="743">
        <f t="shared" si="5"/>
        <v>2328.66</v>
      </c>
      <c r="T15" s="157"/>
    </row>
    <row r="16" spans="2:20" ht="15" x14ac:dyDescent="0.25">
      <c r="B16" s="562">
        <v>38</v>
      </c>
      <c r="C16" s="563">
        <v>45920</v>
      </c>
      <c r="D16" s="717">
        <v>45565</v>
      </c>
      <c r="E16" s="715">
        <v>1615</v>
      </c>
      <c r="F16" s="716">
        <v>140</v>
      </c>
      <c r="G16" s="728"/>
      <c r="H16" s="813"/>
      <c r="I16" s="814"/>
      <c r="J16" s="815">
        <v>3</v>
      </c>
      <c r="K16" s="728"/>
      <c r="L16" s="755"/>
      <c r="M16" s="719">
        <v>400</v>
      </c>
      <c r="N16" s="738" t="str">
        <f t="shared" si="1"/>
        <v/>
      </c>
      <c r="O16" s="739" t="str">
        <f t="shared" si="2"/>
        <v/>
      </c>
      <c r="P16" s="740">
        <f t="shared" si="3"/>
        <v>420</v>
      </c>
      <c r="Q16" s="741"/>
      <c r="R16" s="742">
        <f t="shared" si="4"/>
        <v>420</v>
      </c>
      <c r="S16" s="743">
        <f t="shared" si="5"/>
        <v>2348.66</v>
      </c>
      <c r="T16" s="157"/>
    </row>
    <row r="17" spans="2:20" ht="15" x14ac:dyDescent="0.25">
      <c r="B17" s="562">
        <v>39</v>
      </c>
      <c r="C17" s="563">
        <v>45927</v>
      </c>
      <c r="D17" s="717">
        <v>2739560</v>
      </c>
      <c r="E17" s="715">
        <v>17995</v>
      </c>
      <c r="F17" s="716">
        <v>1390</v>
      </c>
      <c r="G17" s="728"/>
      <c r="H17" s="813"/>
      <c r="I17" s="814"/>
      <c r="J17" s="815"/>
      <c r="K17" s="728"/>
      <c r="L17" s="719"/>
      <c r="M17" s="719">
        <v>400</v>
      </c>
      <c r="N17" s="738" t="str">
        <f t="shared" si="1"/>
        <v/>
      </c>
      <c r="O17" s="739" t="str">
        <f t="shared" si="2"/>
        <v/>
      </c>
      <c r="P17" s="740" t="str">
        <f t="shared" si="3"/>
        <v/>
      </c>
      <c r="Q17" s="741"/>
      <c r="R17" s="742">
        <f t="shared" si="4"/>
        <v>0</v>
      </c>
      <c r="S17" s="743">
        <f t="shared" si="5"/>
        <v>1948.6599999999999</v>
      </c>
      <c r="T17" s="157"/>
    </row>
    <row r="18" spans="2:20" ht="15" x14ac:dyDescent="0.25">
      <c r="B18" s="562">
        <v>40</v>
      </c>
      <c r="C18" s="563">
        <v>45934</v>
      </c>
      <c r="D18" s="717">
        <v>1235</v>
      </c>
      <c r="E18" s="715">
        <v>70</v>
      </c>
      <c r="F18" s="716">
        <v>10</v>
      </c>
      <c r="G18" s="728"/>
      <c r="H18" s="813"/>
      <c r="I18" s="814">
        <v>1</v>
      </c>
      <c r="J18" s="815">
        <v>14</v>
      </c>
      <c r="K18" s="728"/>
      <c r="L18" s="719"/>
      <c r="M18" s="719">
        <v>400</v>
      </c>
      <c r="N18" s="738" t="str">
        <f t="shared" si="1"/>
        <v/>
      </c>
      <c r="O18" s="739">
        <f t="shared" si="2"/>
        <v>70</v>
      </c>
      <c r="P18" s="740">
        <f t="shared" si="3"/>
        <v>140</v>
      </c>
      <c r="Q18" s="756"/>
      <c r="R18" s="742">
        <f t="shared" si="4"/>
        <v>210</v>
      </c>
      <c r="S18" s="743">
        <f t="shared" si="5"/>
        <v>1758.6599999999999</v>
      </c>
      <c r="T18" s="157"/>
    </row>
    <row r="19" spans="2:20" ht="15" x14ac:dyDescent="0.25">
      <c r="B19" s="562">
        <v>41</v>
      </c>
      <c r="C19" s="563">
        <v>45941</v>
      </c>
      <c r="D19" s="717">
        <v>3015</v>
      </c>
      <c r="E19" s="715">
        <v>145</v>
      </c>
      <c r="F19" s="716">
        <v>15</v>
      </c>
      <c r="G19" s="728"/>
      <c r="H19" s="813"/>
      <c r="I19" s="814"/>
      <c r="J19" s="815">
        <v>2</v>
      </c>
      <c r="K19" s="728"/>
      <c r="L19" s="719"/>
      <c r="M19" s="719">
        <v>400</v>
      </c>
      <c r="N19" s="738" t="str">
        <f t="shared" si="1"/>
        <v/>
      </c>
      <c r="O19" s="739" t="str">
        <f t="shared" si="2"/>
        <v/>
      </c>
      <c r="P19" s="740">
        <f t="shared" si="3"/>
        <v>30</v>
      </c>
      <c r="Q19" s="756"/>
      <c r="R19" s="742">
        <f t="shared" si="4"/>
        <v>30</v>
      </c>
      <c r="S19" s="743">
        <f t="shared" si="5"/>
        <v>1388.6599999999999</v>
      </c>
      <c r="T19" s="157"/>
    </row>
    <row r="20" spans="2:20" ht="15" x14ac:dyDescent="0.25">
      <c r="B20" s="562">
        <v>42</v>
      </c>
      <c r="C20" s="563">
        <v>45948</v>
      </c>
      <c r="D20" s="717">
        <v>1710</v>
      </c>
      <c r="E20" s="715">
        <v>100</v>
      </c>
      <c r="F20" s="716">
        <v>15</v>
      </c>
      <c r="G20" s="728"/>
      <c r="H20" s="813"/>
      <c r="I20" s="814">
        <v>3</v>
      </c>
      <c r="J20" s="815">
        <v>3</v>
      </c>
      <c r="K20" s="728"/>
      <c r="L20" s="755"/>
      <c r="M20" s="719">
        <v>400</v>
      </c>
      <c r="N20" s="738" t="str">
        <f t="shared" si="1"/>
        <v/>
      </c>
      <c r="O20" s="739">
        <f t="shared" si="2"/>
        <v>300</v>
      </c>
      <c r="P20" s="740">
        <f t="shared" si="3"/>
        <v>45</v>
      </c>
      <c r="Q20" s="741"/>
      <c r="R20" s="742">
        <f t="shared" si="4"/>
        <v>345</v>
      </c>
      <c r="S20" s="743">
        <f>IF(M20&lt;&gt;"",(S19+L20+R20)-(M20+Q20),"")</f>
        <v>1333.6599999999999</v>
      </c>
      <c r="T20" s="157"/>
    </row>
    <row r="21" spans="2:20" ht="15" x14ac:dyDescent="0.25">
      <c r="B21" s="562">
        <v>43</v>
      </c>
      <c r="C21" s="563">
        <v>45955</v>
      </c>
      <c r="D21" s="816">
        <v>227605</v>
      </c>
      <c r="E21" s="817">
        <v>1870</v>
      </c>
      <c r="F21" s="818">
        <v>160</v>
      </c>
      <c r="G21" s="728"/>
      <c r="H21" s="813"/>
      <c r="I21" s="814"/>
      <c r="J21" s="815">
        <v>1</v>
      </c>
      <c r="K21" s="728"/>
      <c r="L21" s="719"/>
      <c r="M21" s="719">
        <v>400</v>
      </c>
      <c r="N21" s="738" t="str">
        <f t="shared" si="1"/>
        <v/>
      </c>
      <c r="O21" s="739" t="str">
        <f t="shared" si="2"/>
        <v/>
      </c>
      <c r="P21" s="740">
        <f t="shared" si="3"/>
        <v>160</v>
      </c>
      <c r="Q21" s="756">
        <v>111</v>
      </c>
      <c r="R21" s="742">
        <f t="shared" si="4"/>
        <v>160</v>
      </c>
      <c r="S21" s="743">
        <f t="shared" si="5"/>
        <v>982.65999999999985</v>
      </c>
      <c r="T21" s="157"/>
    </row>
    <row r="22" spans="2:20" ht="15" x14ac:dyDescent="0.25">
      <c r="B22" s="562">
        <v>44</v>
      </c>
      <c r="C22" s="563">
        <v>45962</v>
      </c>
      <c r="D22" s="717">
        <v>2540</v>
      </c>
      <c r="E22" s="715">
        <v>90</v>
      </c>
      <c r="F22" s="716">
        <v>0</v>
      </c>
      <c r="G22" s="728"/>
      <c r="H22" s="813"/>
      <c r="I22" s="814">
        <v>1</v>
      </c>
      <c r="J22" s="815"/>
      <c r="K22" s="728"/>
      <c r="L22" s="719"/>
      <c r="M22" s="719">
        <v>400</v>
      </c>
      <c r="N22" s="738" t="str">
        <f t="shared" si="1"/>
        <v/>
      </c>
      <c r="O22" s="739">
        <f t="shared" si="2"/>
        <v>90</v>
      </c>
      <c r="P22" s="740" t="str">
        <f t="shared" si="3"/>
        <v/>
      </c>
      <c r="Q22" s="756">
        <v>36.9</v>
      </c>
      <c r="R22" s="742">
        <f t="shared" si="4"/>
        <v>90</v>
      </c>
      <c r="S22" s="743">
        <f t="shared" si="5"/>
        <v>635.75999999999988</v>
      </c>
      <c r="T22" s="157"/>
    </row>
    <row r="23" spans="2:20" ht="15" x14ac:dyDescent="0.25">
      <c r="B23" s="562">
        <v>45</v>
      </c>
      <c r="C23" s="563">
        <v>45969</v>
      </c>
      <c r="D23" s="816">
        <v>8180</v>
      </c>
      <c r="E23" s="817">
        <v>375</v>
      </c>
      <c r="F23" s="818">
        <v>45</v>
      </c>
      <c r="G23" s="728"/>
      <c r="H23" s="813"/>
      <c r="I23" s="814"/>
      <c r="J23" s="815"/>
      <c r="K23" s="728"/>
      <c r="L23" s="719"/>
      <c r="M23" s="719">
        <v>400</v>
      </c>
      <c r="N23" s="738" t="str">
        <f t="shared" ref="N23:P24" si="6">IF(H23&gt;0,D23*H23,"")</f>
        <v/>
      </c>
      <c r="O23" s="739" t="str">
        <f t="shared" si="6"/>
        <v/>
      </c>
      <c r="P23" s="740" t="str">
        <f t="shared" si="6"/>
        <v/>
      </c>
      <c r="Q23" s="744"/>
      <c r="R23" s="742">
        <f t="shared" si="4"/>
        <v>0</v>
      </c>
      <c r="S23" s="743">
        <f t="shared" si="5"/>
        <v>235.75999999999988</v>
      </c>
      <c r="T23" s="157"/>
    </row>
    <row r="24" spans="2:20" ht="15" x14ac:dyDescent="0.25">
      <c r="B24" s="562">
        <v>46</v>
      </c>
      <c r="C24" s="563">
        <v>45976</v>
      </c>
      <c r="D24" s="717">
        <v>12250</v>
      </c>
      <c r="E24" s="715">
        <v>500</v>
      </c>
      <c r="F24" s="716">
        <v>45</v>
      </c>
      <c r="G24" s="728"/>
      <c r="H24" s="813"/>
      <c r="I24" s="814">
        <v>1</v>
      </c>
      <c r="J24" s="815">
        <v>2</v>
      </c>
      <c r="K24" s="728"/>
      <c r="L24" s="755">
        <v>3500</v>
      </c>
      <c r="M24" s="719">
        <v>400</v>
      </c>
      <c r="N24" s="738" t="str">
        <f t="shared" si="6"/>
        <v/>
      </c>
      <c r="O24" s="739">
        <f t="shared" si="6"/>
        <v>500</v>
      </c>
      <c r="P24" s="740">
        <f t="shared" si="6"/>
        <v>90</v>
      </c>
      <c r="Q24" s="741"/>
      <c r="R24" s="742">
        <f>SUM(N24:P24)</f>
        <v>590</v>
      </c>
      <c r="S24" s="743">
        <f t="shared" si="5"/>
        <v>3925.76</v>
      </c>
      <c r="T24" s="157"/>
    </row>
    <row r="25" spans="2:20" ht="15" x14ac:dyDescent="0.25">
      <c r="B25" s="562">
        <v>47</v>
      </c>
      <c r="C25" s="563">
        <v>45983</v>
      </c>
      <c r="D25" s="816">
        <v>133305</v>
      </c>
      <c r="E25" s="817">
        <v>5010</v>
      </c>
      <c r="F25" s="818">
        <v>570</v>
      </c>
      <c r="G25" s="728"/>
      <c r="H25" s="813"/>
      <c r="I25" s="814"/>
      <c r="J25" s="815"/>
      <c r="K25" s="728"/>
      <c r="L25" s="719"/>
      <c r="M25" s="719">
        <v>400</v>
      </c>
      <c r="N25" s="738" t="str">
        <f t="shared" si="1"/>
        <v/>
      </c>
      <c r="O25" s="739" t="str">
        <f t="shared" si="2"/>
        <v/>
      </c>
      <c r="P25" s="740" t="str">
        <f t="shared" si="3"/>
        <v/>
      </c>
      <c r="Q25" s="741"/>
      <c r="R25" s="742">
        <f t="shared" si="4"/>
        <v>0</v>
      </c>
      <c r="S25" s="743">
        <f t="shared" si="5"/>
        <v>3525.76</v>
      </c>
      <c r="T25" s="157"/>
    </row>
    <row r="26" spans="2:20" ht="15" x14ac:dyDescent="0.25">
      <c r="B26" s="562">
        <v>48</v>
      </c>
      <c r="C26" s="563">
        <v>45990</v>
      </c>
      <c r="D26" s="816">
        <v>15960</v>
      </c>
      <c r="E26" s="817">
        <v>150</v>
      </c>
      <c r="F26" s="818">
        <v>20</v>
      </c>
      <c r="G26" s="728"/>
      <c r="H26" s="813"/>
      <c r="I26" s="814"/>
      <c r="J26" s="815">
        <v>5</v>
      </c>
      <c r="K26" s="728"/>
      <c r="L26" s="719"/>
      <c r="M26" s="719">
        <v>400</v>
      </c>
      <c r="N26" s="738" t="str">
        <f t="shared" si="1"/>
        <v/>
      </c>
      <c r="O26" s="739" t="str">
        <f t="shared" si="2"/>
        <v/>
      </c>
      <c r="P26" s="740">
        <f t="shared" si="3"/>
        <v>100</v>
      </c>
      <c r="Q26" s="741"/>
      <c r="R26" s="742">
        <f t="shared" si="4"/>
        <v>100</v>
      </c>
      <c r="S26" s="743">
        <f t="shared" si="5"/>
        <v>3225.76</v>
      </c>
      <c r="T26" s="157"/>
    </row>
    <row r="27" spans="2:20" ht="15" x14ac:dyDescent="0.25">
      <c r="B27" s="562">
        <v>49</v>
      </c>
      <c r="C27" s="563">
        <v>45997</v>
      </c>
      <c r="D27" s="816">
        <v>3820</v>
      </c>
      <c r="E27" s="817">
        <v>195</v>
      </c>
      <c r="F27" s="818">
        <v>25</v>
      </c>
      <c r="G27" s="728"/>
      <c r="H27" s="813"/>
      <c r="I27" s="814"/>
      <c r="J27" s="815"/>
      <c r="K27" s="728"/>
      <c r="L27" s="719"/>
      <c r="M27" s="719">
        <v>400</v>
      </c>
      <c r="N27" s="738" t="str">
        <f t="shared" si="1"/>
        <v/>
      </c>
      <c r="O27" s="739" t="str">
        <f t="shared" si="2"/>
        <v/>
      </c>
      <c r="P27" s="740" t="str">
        <f t="shared" si="3"/>
        <v/>
      </c>
      <c r="Q27" s="756"/>
      <c r="R27" s="742">
        <f t="shared" si="4"/>
        <v>0</v>
      </c>
      <c r="S27" s="743">
        <f t="shared" si="5"/>
        <v>2825.76</v>
      </c>
      <c r="T27" s="157"/>
    </row>
    <row r="28" spans="2:20" ht="15" x14ac:dyDescent="0.25">
      <c r="B28" s="562">
        <v>50</v>
      </c>
      <c r="C28" s="563">
        <v>46004</v>
      </c>
      <c r="D28" s="717">
        <v>2330</v>
      </c>
      <c r="E28" s="715">
        <v>115</v>
      </c>
      <c r="F28" s="716">
        <v>15</v>
      </c>
      <c r="G28" s="728"/>
      <c r="H28" s="813"/>
      <c r="I28" s="814"/>
      <c r="J28" s="815">
        <v>1</v>
      </c>
      <c r="K28" s="728"/>
      <c r="L28" s="719"/>
      <c r="M28" s="719">
        <v>400</v>
      </c>
      <c r="N28" s="738" t="str">
        <f t="shared" si="1"/>
        <v/>
      </c>
      <c r="O28" s="739" t="str">
        <f t="shared" si="2"/>
        <v/>
      </c>
      <c r="P28" s="740">
        <f t="shared" si="3"/>
        <v>15</v>
      </c>
      <c r="Q28" s="741"/>
      <c r="R28" s="742">
        <f t="shared" si="4"/>
        <v>15</v>
      </c>
      <c r="S28" s="743">
        <f t="shared" si="5"/>
        <v>2440.7600000000002</v>
      </c>
      <c r="T28" s="157"/>
    </row>
    <row r="29" spans="2:20" ht="15" x14ac:dyDescent="0.25">
      <c r="B29" s="562">
        <v>51</v>
      </c>
      <c r="C29" s="563">
        <v>46011</v>
      </c>
      <c r="D29" s="816">
        <v>3460</v>
      </c>
      <c r="E29" s="817">
        <v>160</v>
      </c>
      <c r="F29" s="818">
        <v>20</v>
      </c>
      <c r="G29" s="728"/>
      <c r="H29" s="813"/>
      <c r="I29" s="814"/>
      <c r="J29" s="815"/>
      <c r="K29" s="728"/>
      <c r="L29" s="719"/>
      <c r="M29" s="719">
        <v>0</v>
      </c>
      <c r="N29" s="738" t="str">
        <f t="shared" si="1"/>
        <v/>
      </c>
      <c r="O29" s="739" t="str">
        <f t="shared" si="2"/>
        <v/>
      </c>
      <c r="P29" s="740" t="str">
        <f t="shared" si="3"/>
        <v/>
      </c>
      <c r="Q29" s="741"/>
      <c r="R29" s="742">
        <f t="shared" si="4"/>
        <v>0</v>
      </c>
      <c r="S29" s="743">
        <f t="shared" si="5"/>
        <v>2440.7600000000002</v>
      </c>
      <c r="T29" s="157"/>
    </row>
    <row r="30" spans="2:20" ht="15" x14ac:dyDescent="0.25">
      <c r="B30" s="562">
        <v>52</v>
      </c>
      <c r="C30" s="563">
        <v>46018</v>
      </c>
      <c r="D30" s="816">
        <v>6245</v>
      </c>
      <c r="E30" s="817">
        <v>285</v>
      </c>
      <c r="F30" s="818">
        <v>35</v>
      </c>
      <c r="G30" s="728"/>
      <c r="H30" s="813"/>
      <c r="I30" s="814"/>
      <c r="J30" s="815"/>
      <c r="K30" s="728"/>
      <c r="L30" s="719"/>
      <c r="M30" s="719">
        <v>0</v>
      </c>
      <c r="N30" s="738" t="str">
        <f t="shared" si="1"/>
        <v/>
      </c>
      <c r="O30" s="739" t="str">
        <f t="shared" si="2"/>
        <v/>
      </c>
      <c r="P30" s="740" t="str">
        <f t="shared" si="3"/>
        <v/>
      </c>
      <c r="Q30" s="741"/>
      <c r="R30" s="742">
        <f t="shared" si="4"/>
        <v>0</v>
      </c>
      <c r="S30" s="743">
        <f t="shared" si="5"/>
        <v>2440.7600000000002</v>
      </c>
      <c r="T30" s="157"/>
    </row>
    <row r="31" spans="2:20" ht="15" x14ac:dyDescent="0.25">
      <c r="B31" s="562">
        <v>1</v>
      </c>
      <c r="C31" s="563">
        <v>46025</v>
      </c>
      <c r="D31" s="816">
        <v>42515</v>
      </c>
      <c r="E31" s="817">
        <v>2585</v>
      </c>
      <c r="F31" s="818">
        <v>225</v>
      </c>
      <c r="G31" s="728"/>
      <c r="H31" s="813"/>
      <c r="I31" s="814"/>
      <c r="J31" s="815"/>
      <c r="K31" s="728"/>
      <c r="L31" s="719"/>
      <c r="M31" s="719">
        <v>0</v>
      </c>
      <c r="N31" s="738" t="str">
        <f t="shared" si="1"/>
        <v/>
      </c>
      <c r="O31" s="739" t="str">
        <f t="shared" si="2"/>
        <v/>
      </c>
      <c r="P31" s="740" t="str">
        <f t="shared" si="3"/>
        <v/>
      </c>
      <c r="Q31" s="756"/>
      <c r="R31" s="742">
        <f t="shared" si="4"/>
        <v>0</v>
      </c>
      <c r="S31" s="743">
        <f t="shared" si="5"/>
        <v>2440.7600000000002</v>
      </c>
      <c r="T31" s="157"/>
    </row>
    <row r="32" spans="2:20" ht="15" x14ac:dyDescent="0.25">
      <c r="B32" s="562">
        <v>2</v>
      </c>
      <c r="C32" s="563">
        <v>46032</v>
      </c>
      <c r="D32" s="860">
        <v>1435</v>
      </c>
      <c r="E32" s="861">
        <v>80</v>
      </c>
      <c r="F32" s="862">
        <v>10</v>
      </c>
      <c r="G32" s="728"/>
      <c r="H32" s="813"/>
      <c r="I32" s="814"/>
      <c r="J32" s="815">
        <v>1</v>
      </c>
      <c r="K32" s="728"/>
      <c r="L32" s="720"/>
      <c r="M32" s="719">
        <v>400</v>
      </c>
      <c r="N32" s="738" t="str">
        <f t="shared" si="1"/>
        <v/>
      </c>
      <c r="O32" s="739" t="str">
        <f t="shared" si="2"/>
        <v/>
      </c>
      <c r="P32" s="740">
        <f t="shared" si="3"/>
        <v>10</v>
      </c>
      <c r="Q32" s="741"/>
      <c r="R32" s="742">
        <f t="shared" si="4"/>
        <v>10</v>
      </c>
      <c r="S32" s="743">
        <f t="shared" si="5"/>
        <v>2050.7600000000002</v>
      </c>
      <c r="T32" s="157"/>
    </row>
    <row r="33" spans="2:20" ht="15" x14ac:dyDescent="0.25">
      <c r="B33" s="562">
        <v>3</v>
      </c>
      <c r="C33" s="563">
        <v>46039</v>
      </c>
      <c r="D33" s="717" t="s">
        <v>433</v>
      </c>
      <c r="E33" s="715">
        <v>25890</v>
      </c>
      <c r="F33" s="716">
        <v>3150</v>
      </c>
      <c r="G33" s="728"/>
      <c r="H33" s="813"/>
      <c r="I33" s="814"/>
      <c r="J33" s="815"/>
      <c r="K33" s="728"/>
      <c r="L33" s="755"/>
      <c r="M33" s="719">
        <v>400</v>
      </c>
      <c r="N33" s="738" t="str">
        <f t="shared" si="1"/>
        <v/>
      </c>
      <c r="O33" s="739" t="str">
        <f t="shared" si="2"/>
        <v/>
      </c>
      <c r="P33" s="740" t="str">
        <f t="shared" si="3"/>
        <v/>
      </c>
      <c r="Q33" s="756"/>
      <c r="R33" s="742">
        <f t="shared" si="4"/>
        <v>0</v>
      </c>
      <c r="S33" s="743">
        <f t="shared" si="5"/>
        <v>1650.7600000000002</v>
      </c>
      <c r="T33" s="157"/>
    </row>
    <row r="34" spans="2:20" ht="15" x14ac:dyDescent="0.25">
      <c r="B34" s="562">
        <v>4</v>
      </c>
      <c r="C34" s="563">
        <v>46046</v>
      </c>
      <c r="D34" s="717">
        <v>1268305</v>
      </c>
      <c r="E34" s="715">
        <v>5375</v>
      </c>
      <c r="F34" s="716">
        <v>410</v>
      </c>
      <c r="G34" s="728"/>
      <c r="H34" s="813"/>
      <c r="I34" s="814"/>
      <c r="J34" s="815"/>
      <c r="K34" s="728"/>
      <c r="L34" s="755"/>
      <c r="M34" s="719">
        <v>400</v>
      </c>
      <c r="N34" s="738" t="str">
        <f t="shared" si="1"/>
        <v/>
      </c>
      <c r="O34" s="739" t="str">
        <f t="shared" si="2"/>
        <v/>
      </c>
      <c r="P34" s="740" t="str">
        <f t="shared" si="3"/>
        <v/>
      </c>
      <c r="Q34" s="741"/>
      <c r="R34" s="742">
        <f t="shared" si="4"/>
        <v>0</v>
      </c>
      <c r="S34" s="743">
        <f t="shared" si="5"/>
        <v>1250.7600000000002</v>
      </c>
      <c r="T34" s="157"/>
    </row>
    <row r="35" spans="2:20" ht="15" x14ac:dyDescent="0.25">
      <c r="B35" s="562">
        <v>5</v>
      </c>
      <c r="C35" s="563">
        <v>46053</v>
      </c>
      <c r="D35" s="816">
        <v>42605</v>
      </c>
      <c r="E35" s="817">
        <v>1610</v>
      </c>
      <c r="F35" s="818">
        <v>135</v>
      </c>
      <c r="G35" s="728"/>
      <c r="H35" s="813"/>
      <c r="I35" s="814"/>
      <c r="J35" s="815"/>
      <c r="K35" s="728"/>
      <c r="L35" s="719"/>
      <c r="M35" s="719">
        <v>400</v>
      </c>
      <c r="N35" s="738" t="str">
        <f t="shared" si="1"/>
        <v/>
      </c>
      <c r="O35" s="739" t="str">
        <f t="shared" si="2"/>
        <v/>
      </c>
      <c r="P35" s="740" t="str">
        <f t="shared" si="3"/>
        <v/>
      </c>
      <c r="Q35" s="741"/>
      <c r="R35" s="742">
        <f t="shared" si="4"/>
        <v>0</v>
      </c>
      <c r="S35" s="743">
        <f t="shared" si="5"/>
        <v>850.76000000000022</v>
      </c>
      <c r="T35" s="157"/>
    </row>
    <row r="36" spans="2:20" ht="15" x14ac:dyDescent="0.25">
      <c r="B36" s="562">
        <v>6</v>
      </c>
      <c r="C36" s="563">
        <v>46060</v>
      </c>
      <c r="D36" s="816">
        <v>52230</v>
      </c>
      <c r="E36" s="817">
        <v>2995</v>
      </c>
      <c r="F36" s="818">
        <v>315</v>
      </c>
      <c r="G36" s="728"/>
      <c r="H36" s="813"/>
      <c r="I36" s="814"/>
      <c r="J36" s="815">
        <v>2</v>
      </c>
      <c r="K36" s="728"/>
      <c r="L36" s="719"/>
      <c r="M36" s="719">
        <v>400</v>
      </c>
      <c r="N36" s="738" t="str">
        <f t="shared" si="1"/>
        <v/>
      </c>
      <c r="O36" s="739" t="str">
        <f t="shared" si="2"/>
        <v/>
      </c>
      <c r="P36" s="740">
        <f t="shared" si="3"/>
        <v>630</v>
      </c>
      <c r="Q36" s="756"/>
      <c r="R36" s="742">
        <f t="shared" si="4"/>
        <v>630</v>
      </c>
      <c r="S36" s="743">
        <f t="shared" si="5"/>
        <v>1080.7600000000002</v>
      </c>
      <c r="T36" s="157"/>
    </row>
    <row r="37" spans="2:20" ht="15" x14ac:dyDescent="0.25">
      <c r="B37" s="562">
        <v>7</v>
      </c>
      <c r="C37" s="563">
        <v>46067</v>
      </c>
      <c r="D37" s="816">
        <v>28130</v>
      </c>
      <c r="E37" s="817">
        <v>1505</v>
      </c>
      <c r="F37" s="818">
        <v>145</v>
      </c>
      <c r="G37" s="728"/>
      <c r="H37" s="813"/>
      <c r="I37" s="814"/>
      <c r="J37" s="815">
        <v>1</v>
      </c>
      <c r="K37" s="728"/>
      <c r="L37" s="719"/>
      <c r="M37" s="719">
        <v>400</v>
      </c>
      <c r="N37" s="738" t="str">
        <f t="shared" si="1"/>
        <v/>
      </c>
      <c r="O37" s="739" t="str">
        <f t="shared" si="2"/>
        <v/>
      </c>
      <c r="P37" s="740">
        <f t="shared" si="3"/>
        <v>145</v>
      </c>
      <c r="Q37" s="741"/>
      <c r="R37" s="742">
        <f t="shared" si="4"/>
        <v>145</v>
      </c>
      <c r="S37" s="743">
        <f t="shared" si="5"/>
        <v>825.76000000000022</v>
      </c>
      <c r="T37" s="157"/>
    </row>
    <row r="38" spans="2:20" ht="15" x14ac:dyDescent="0.25">
      <c r="B38" s="562">
        <v>8</v>
      </c>
      <c r="C38" s="563">
        <v>46074</v>
      </c>
      <c r="D38" s="816">
        <v>5247100</v>
      </c>
      <c r="E38" s="817">
        <v>36090</v>
      </c>
      <c r="F38" s="818">
        <v>2760</v>
      </c>
      <c r="G38" s="728"/>
      <c r="H38" s="813"/>
      <c r="I38" s="814"/>
      <c r="J38" s="815"/>
      <c r="K38" s="728"/>
      <c r="L38" s="719"/>
      <c r="M38" s="719">
        <v>400</v>
      </c>
      <c r="N38" s="738" t="str">
        <f t="shared" si="1"/>
        <v/>
      </c>
      <c r="O38" s="739" t="str">
        <f t="shared" si="2"/>
        <v/>
      </c>
      <c r="P38" s="740" t="str">
        <f t="shared" si="3"/>
        <v/>
      </c>
      <c r="Q38" s="756">
        <v>36.9</v>
      </c>
      <c r="R38" s="742">
        <f t="shared" si="4"/>
        <v>0</v>
      </c>
      <c r="S38" s="743">
        <f t="shared" si="5"/>
        <v>388.86000000000024</v>
      </c>
      <c r="T38" s="157"/>
    </row>
    <row r="39" spans="2:20" ht="15" x14ac:dyDescent="0.25">
      <c r="B39" s="562">
        <v>9</v>
      </c>
      <c r="C39" s="563">
        <v>46081</v>
      </c>
      <c r="D39" s="816">
        <v>1260</v>
      </c>
      <c r="E39" s="817">
        <v>85</v>
      </c>
      <c r="F39" s="818">
        <v>0</v>
      </c>
      <c r="G39" s="728"/>
      <c r="H39" s="813"/>
      <c r="I39" s="814"/>
      <c r="J39" s="815">
        <v>2</v>
      </c>
      <c r="K39" s="728"/>
      <c r="L39" s="755">
        <v>3500</v>
      </c>
      <c r="M39" s="719">
        <v>400</v>
      </c>
      <c r="N39" s="738" t="str">
        <f t="shared" si="1"/>
        <v/>
      </c>
      <c r="O39" s="739" t="str">
        <f t="shared" si="2"/>
        <v/>
      </c>
      <c r="P39" s="740">
        <f t="shared" si="3"/>
        <v>0</v>
      </c>
      <c r="Q39" s="744"/>
      <c r="R39" s="742">
        <f t="shared" si="4"/>
        <v>0</v>
      </c>
      <c r="S39" s="743">
        <f t="shared" si="5"/>
        <v>3488.86</v>
      </c>
      <c r="T39" s="157"/>
    </row>
    <row r="40" spans="2:20" ht="15" x14ac:dyDescent="0.25">
      <c r="B40" s="562">
        <v>10</v>
      </c>
      <c r="C40" s="563">
        <v>46088</v>
      </c>
      <c r="D40" s="816">
        <v>56415</v>
      </c>
      <c r="E40" s="817">
        <v>1835</v>
      </c>
      <c r="F40" s="818">
        <v>170</v>
      </c>
      <c r="G40" s="728"/>
      <c r="H40" s="813"/>
      <c r="I40" s="814"/>
      <c r="J40" s="815"/>
      <c r="K40" s="728"/>
      <c r="L40" s="719"/>
      <c r="M40" s="719">
        <v>400</v>
      </c>
      <c r="N40" s="738" t="str">
        <f t="shared" si="1"/>
        <v/>
      </c>
      <c r="O40" s="739" t="str">
        <f t="shared" si="2"/>
        <v/>
      </c>
      <c r="P40" s="740" t="str">
        <f t="shared" si="3"/>
        <v/>
      </c>
      <c r="Q40" s="744"/>
      <c r="R40" s="742">
        <f t="shared" si="4"/>
        <v>0</v>
      </c>
      <c r="S40" s="743">
        <f t="shared" si="5"/>
        <v>3088.86</v>
      </c>
      <c r="T40" s="157"/>
    </row>
    <row r="41" spans="2:20" ht="15" x14ac:dyDescent="0.25">
      <c r="B41" s="562">
        <v>11</v>
      </c>
      <c r="C41" s="563">
        <v>46095</v>
      </c>
      <c r="D41" s="717">
        <v>3120455</v>
      </c>
      <c r="E41" s="715">
        <v>12140</v>
      </c>
      <c r="F41" s="716">
        <v>1105</v>
      </c>
      <c r="G41" s="728"/>
      <c r="H41" s="813"/>
      <c r="I41" s="814"/>
      <c r="J41" s="815"/>
      <c r="K41" s="728"/>
      <c r="L41" s="719"/>
      <c r="M41" s="719">
        <v>400</v>
      </c>
      <c r="N41" s="738" t="str">
        <f t="shared" si="1"/>
        <v/>
      </c>
      <c r="O41" s="739" t="str">
        <f t="shared" si="2"/>
        <v/>
      </c>
      <c r="P41" s="740" t="str">
        <f t="shared" si="3"/>
        <v/>
      </c>
      <c r="Q41" s="741"/>
      <c r="R41" s="742">
        <f t="shared" si="4"/>
        <v>0</v>
      </c>
      <c r="S41" s="743">
        <f t="shared" si="5"/>
        <v>2688.86</v>
      </c>
      <c r="T41" s="157"/>
    </row>
    <row r="42" spans="2:20" ht="15" x14ac:dyDescent="0.25">
      <c r="B42" s="562">
        <v>12</v>
      </c>
      <c r="C42" s="563">
        <v>46102</v>
      </c>
      <c r="D42" s="717">
        <v>17140</v>
      </c>
      <c r="E42" s="715">
        <v>775</v>
      </c>
      <c r="F42" s="716">
        <v>85</v>
      </c>
      <c r="G42" s="728"/>
      <c r="H42" s="813"/>
      <c r="I42" s="814"/>
      <c r="J42" s="815"/>
      <c r="K42" s="728"/>
      <c r="L42" s="721"/>
      <c r="M42" s="719">
        <v>400</v>
      </c>
      <c r="N42" s="738" t="str">
        <f t="shared" si="1"/>
        <v/>
      </c>
      <c r="O42" s="739" t="str">
        <f t="shared" si="2"/>
        <v/>
      </c>
      <c r="P42" s="740" t="str">
        <f t="shared" si="3"/>
        <v/>
      </c>
      <c r="Q42" s="756"/>
      <c r="R42" s="742">
        <f t="shared" si="4"/>
        <v>0</v>
      </c>
      <c r="S42" s="743">
        <f>IF(M42&lt;&gt;"",(S41+L42+R42)-(M42+Q42),"")</f>
        <v>2288.86</v>
      </c>
      <c r="T42" s="157"/>
    </row>
    <row r="43" spans="2:20" ht="15" x14ac:dyDescent="0.25">
      <c r="B43" s="562">
        <v>13</v>
      </c>
      <c r="C43" s="563">
        <v>46109</v>
      </c>
      <c r="D43" s="717">
        <v>69815</v>
      </c>
      <c r="E43" s="715">
        <v>2070</v>
      </c>
      <c r="F43" s="716">
        <v>195</v>
      </c>
      <c r="G43" s="728"/>
      <c r="H43" s="813"/>
      <c r="I43" s="814"/>
      <c r="J43" s="815">
        <v>1</v>
      </c>
      <c r="K43" s="728"/>
      <c r="L43" s="719"/>
      <c r="M43" s="719">
        <v>400</v>
      </c>
      <c r="N43" s="738" t="str">
        <f t="shared" si="1"/>
        <v/>
      </c>
      <c r="O43" s="739" t="str">
        <f t="shared" si="2"/>
        <v/>
      </c>
      <c r="P43" s="740">
        <f t="shared" si="3"/>
        <v>195</v>
      </c>
      <c r="Q43" s="744"/>
      <c r="R43" s="742">
        <f t="shared" si="4"/>
        <v>195</v>
      </c>
      <c r="S43" s="743">
        <f>IF(M43&lt;&gt;"",(S42+L43+R43)-(M43+Q43),"")</f>
        <v>2083.86</v>
      </c>
      <c r="T43" s="157"/>
    </row>
    <row r="44" spans="2:20" ht="15" x14ac:dyDescent="0.25">
      <c r="B44" s="562">
        <v>14</v>
      </c>
      <c r="C44" s="563">
        <v>46116</v>
      </c>
      <c r="D44" s="717">
        <v>255330</v>
      </c>
      <c r="E44" s="715">
        <v>5490</v>
      </c>
      <c r="F44" s="716">
        <v>425</v>
      </c>
      <c r="G44" s="728"/>
      <c r="H44" s="813"/>
      <c r="I44" s="814"/>
      <c r="J44" s="815"/>
      <c r="K44" s="728"/>
      <c r="L44" s="719"/>
      <c r="M44" s="719">
        <v>0</v>
      </c>
      <c r="N44" s="738" t="str">
        <f t="shared" si="1"/>
        <v/>
      </c>
      <c r="O44" s="739" t="str">
        <f t="shared" si="2"/>
        <v/>
      </c>
      <c r="P44" s="740" t="str">
        <f t="shared" si="3"/>
        <v/>
      </c>
      <c r="Q44" s="741"/>
      <c r="R44" s="742">
        <f t="shared" si="4"/>
        <v>0</v>
      </c>
      <c r="S44" s="743">
        <f t="shared" si="5"/>
        <v>2083.86</v>
      </c>
      <c r="T44" s="157"/>
    </row>
    <row r="45" spans="2:20" ht="15" x14ac:dyDescent="0.25">
      <c r="B45" s="562">
        <v>15</v>
      </c>
      <c r="C45" s="563">
        <v>46123</v>
      </c>
      <c r="D45" s="717">
        <v>43890</v>
      </c>
      <c r="E45" s="715">
        <v>1510</v>
      </c>
      <c r="F45" s="716">
        <v>130</v>
      </c>
      <c r="G45" s="728"/>
      <c r="H45" s="813"/>
      <c r="I45" s="814"/>
      <c r="J45" s="815"/>
      <c r="K45" s="728"/>
      <c r="L45" s="719"/>
      <c r="M45" s="719">
        <v>400</v>
      </c>
      <c r="N45" s="738" t="str">
        <f t="shared" si="1"/>
        <v/>
      </c>
      <c r="O45" s="739" t="str">
        <f t="shared" si="2"/>
        <v/>
      </c>
      <c r="P45" s="740" t="str">
        <f t="shared" si="3"/>
        <v/>
      </c>
      <c r="Q45" s="741"/>
      <c r="R45" s="742">
        <f t="shared" si="4"/>
        <v>0</v>
      </c>
      <c r="S45" s="743">
        <f>IF(M45&lt;&gt;"",(S44+L45+R45)-(M45+Q46),"")</f>
        <v>1683.8600000000001</v>
      </c>
      <c r="T45" s="157"/>
    </row>
    <row r="46" spans="2:20" ht="15" x14ac:dyDescent="0.25">
      <c r="B46" s="562">
        <v>16</v>
      </c>
      <c r="C46" s="563">
        <v>46130</v>
      </c>
      <c r="D46" s="717">
        <v>64655</v>
      </c>
      <c r="E46" s="715">
        <v>780</v>
      </c>
      <c r="F46" s="716">
        <v>90</v>
      </c>
      <c r="G46" s="728"/>
      <c r="H46" s="813"/>
      <c r="I46" s="814"/>
      <c r="J46" s="815"/>
      <c r="K46" s="728"/>
      <c r="L46" s="719"/>
      <c r="M46" s="719">
        <v>400</v>
      </c>
      <c r="N46" s="738" t="str">
        <f t="shared" si="1"/>
        <v/>
      </c>
      <c r="O46" s="739" t="str">
        <f t="shared" si="2"/>
        <v/>
      </c>
      <c r="P46" s="740" t="str">
        <f t="shared" si="3"/>
        <v/>
      </c>
      <c r="Q46" s="744"/>
      <c r="R46" s="742">
        <f t="shared" si="4"/>
        <v>0</v>
      </c>
      <c r="S46" s="743">
        <f>IF(M46&lt;&gt;"",(S45+L46+R46)-(M46+Q47),"")</f>
        <v>1283.8600000000001</v>
      </c>
      <c r="T46" s="157"/>
    </row>
    <row r="47" spans="2:20" ht="15" x14ac:dyDescent="0.25">
      <c r="B47" s="562">
        <v>17</v>
      </c>
      <c r="C47" s="563">
        <v>46137</v>
      </c>
      <c r="D47" s="717">
        <v>8040</v>
      </c>
      <c r="E47" s="715">
        <v>320</v>
      </c>
      <c r="F47" s="716">
        <v>35</v>
      </c>
      <c r="G47" s="728"/>
      <c r="H47" s="813"/>
      <c r="I47" s="814">
        <v>2</v>
      </c>
      <c r="J47" s="815">
        <v>2</v>
      </c>
      <c r="K47" s="728"/>
      <c r="L47" s="719"/>
      <c r="M47" s="719">
        <v>400</v>
      </c>
      <c r="N47" s="738" t="str">
        <f t="shared" si="1"/>
        <v/>
      </c>
      <c r="O47" s="739">
        <f t="shared" si="2"/>
        <v>640</v>
      </c>
      <c r="P47" s="740">
        <f t="shared" si="3"/>
        <v>70</v>
      </c>
      <c r="Q47" s="741"/>
      <c r="R47" s="742">
        <f t="shared" si="4"/>
        <v>710</v>
      </c>
      <c r="S47" s="743">
        <f>IF(M47&lt;&gt;"",(S46+L47+R47)-(M47+Q48),"")</f>
        <v>1593.8600000000001</v>
      </c>
      <c r="T47" s="157"/>
    </row>
    <row r="48" spans="2:20" ht="15" x14ac:dyDescent="0.25">
      <c r="B48" s="562">
        <v>18</v>
      </c>
      <c r="C48" s="563">
        <v>46144</v>
      </c>
      <c r="D48" s="717">
        <v>5045</v>
      </c>
      <c r="E48" s="715">
        <v>245</v>
      </c>
      <c r="F48" s="716">
        <v>30</v>
      </c>
      <c r="G48" s="728"/>
      <c r="H48" s="813"/>
      <c r="I48" s="814"/>
      <c r="J48" s="815"/>
      <c r="K48" s="728"/>
      <c r="L48" s="719"/>
      <c r="M48" s="719">
        <v>400</v>
      </c>
      <c r="N48" s="738" t="str">
        <f t="shared" si="1"/>
        <v/>
      </c>
      <c r="O48" s="739" t="str">
        <f t="shared" si="2"/>
        <v/>
      </c>
      <c r="P48" s="740" t="str">
        <f t="shared" si="3"/>
        <v/>
      </c>
      <c r="Q48" s="741"/>
      <c r="R48" s="742">
        <f t="shared" si="4"/>
        <v>0</v>
      </c>
      <c r="S48" s="743">
        <f t="shared" ref="S48:S53" si="7">IF(M48&lt;&gt;"",(S47+L48+R48)-(M48+Q49),"")</f>
        <v>1193.8600000000001</v>
      </c>
      <c r="T48" s="157"/>
    </row>
    <row r="49" spans="2:20" ht="15" x14ac:dyDescent="0.25">
      <c r="B49" s="562">
        <v>19</v>
      </c>
      <c r="C49" s="563">
        <v>46151</v>
      </c>
      <c r="D49" s="717">
        <v>8415</v>
      </c>
      <c r="E49" s="715">
        <v>330</v>
      </c>
      <c r="F49" s="716">
        <v>30</v>
      </c>
      <c r="G49" s="728"/>
      <c r="H49" s="813"/>
      <c r="I49" s="814"/>
      <c r="J49" s="815">
        <v>1</v>
      </c>
      <c r="K49" s="728"/>
      <c r="L49" s="719"/>
      <c r="M49" s="719">
        <v>400</v>
      </c>
      <c r="N49" s="738" t="str">
        <f t="shared" si="1"/>
        <v/>
      </c>
      <c r="O49" s="739" t="str">
        <f t="shared" si="2"/>
        <v/>
      </c>
      <c r="P49" s="740">
        <f t="shared" si="3"/>
        <v>30</v>
      </c>
      <c r="Q49" s="741"/>
      <c r="R49" s="742">
        <f t="shared" si="4"/>
        <v>30</v>
      </c>
      <c r="S49" s="743">
        <f t="shared" si="7"/>
        <v>823.86000000000013</v>
      </c>
      <c r="T49" s="157"/>
    </row>
    <row r="50" spans="2:20" ht="15" x14ac:dyDescent="0.25">
      <c r="B50" s="562">
        <v>20</v>
      </c>
      <c r="C50" s="563">
        <v>46158</v>
      </c>
      <c r="D50" s="717"/>
      <c r="E50" s="715"/>
      <c r="F50" s="716"/>
      <c r="G50" s="728"/>
      <c r="H50" s="813"/>
      <c r="I50" s="814"/>
      <c r="J50" s="815"/>
      <c r="K50" s="728"/>
      <c r="L50" s="719"/>
      <c r="M50" s="719"/>
      <c r="N50" s="738" t="str">
        <f t="shared" si="1"/>
        <v/>
      </c>
      <c r="O50" s="739" t="str">
        <f t="shared" si="2"/>
        <v/>
      </c>
      <c r="P50" s="740" t="str">
        <f t="shared" si="3"/>
        <v/>
      </c>
      <c r="Q50" s="741"/>
      <c r="R50" s="742">
        <f t="shared" si="4"/>
        <v>0</v>
      </c>
      <c r="S50" s="743" t="str">
        <f t="shared" si="7"/>
        <v/>
      </c>
      <c r="T50" s="157"/>
    </row>
    <row r="51" spans="2:20" ht="15.75" thickBot="1" x14ac:dyDescent="0.3">
      <c r="B51" s="562">
        <v>21</v>
      </c>
      <c r="C51" s="563">
        <v>46165</v>
      </c>
      <c r="D51" s="717"/>
      <c r="E51" s="715"/>
      <c r="F51" s="716"/>
      <c r="G51" s="728"/>
      <c r="H51" s="813"/>
      <c r="I51" s="814"/>
      <c r="J51" s="815"/>
      <c r="K51" s="728"/>
      <c r="L51" s="719"/>
      <c r="M51" s="719"/>
      <c r="N51" s="738" t="str">
        <f t="shared" si="1"/>
        <v/>
      </c>
      <c r="O51" s="739" t="str">
        <f t="shared" si="2"/>
        <v/>
      </c>
      <c r="P51" s="740" t="str">
        <f t="shared" si="3"/>
        <v/>
      </c>
      <c r="Q51" s="741"/>
      <c r="R51" s="742">
        <f t="shared" si="4"/>
        <v>0</v>
      </c>
      <c r="S51" s="743" t="str">
        <f t="shared" si="7"/>
        <v/>
      </c>
      <c r="T51" s="157"/>
    </row>
    <row r="52" spans="2:20" ht="15.75" hidden="1" thickBot="1" x14ac:dyDescent="0.3">
      <c r="B52" s="564">
        <v>21</v>
      </c>
      <c r="C52" s="563" t="str">
        <f ca="1">IF(Data!AL42="","",Data!AL42)</f>
        <v/>
      </c>
      <c r="D52" s="717"/>
      <c r="E52" s="715"/>
      <c r="F52" s="716"/>
      <c r="G52" s="565"/>
      <c r="H52" s="444"/>
      <c r="I52" s="445"/>
      <c r="J52" s="446"/>
      <c r="K52" s="565"/>
      <c r="L52" s="441"/>
      <c r="M52" s="442"/>
      <c r="N52" s="450" t="str">
        <f t="shared" si="1"/>
        <v/>
      </c>
      <c r="O52" s="451" t="str">
        <f t="shared" si="2"/>
        <v/>
      </c>
      <c r="P52" s="452" t="str">
        <f t="shared" si="3"/>
        <v/>
      </c>
      <c r="Q52" s="443"/>
      <c r="R52" s="449">
        <f t="shared" si="4"/>
        <v>0</v>
      </c>
      <c r="S52" s="447" t="str">
        <f t="shared" si="7"/>
        <v/>
      </c>
      <c r="T52" s="157"/>
    </row>
    <row r="53" spans="2:20" ht="15.75" hidden="1" thickBot="1" x14ac:dyDescent="0.3">
      <c r="B53" s="564">
        <v>22</v>
      </c>
      <c r="C53" s="563" t="str">
        <f ca="1">IF(Data!AL43="","",Data!AL43)</f>
        <v/>
      </c>
      <c r="D53" s="717"/>
      <c r="E53" s="715"/>
      <c r="F53" s="716"/>
      <c r="G53" s="565"/>
      <c r="H53" s="444"/>
      <c r="I53" s="445"/>
      <c r="J53" s="446"/>
      <c r="K53" s="565"/>
      <c r="L53" s="441"/>
      <c r="M53" s="442"/>
      <c r="N53" s="450" t="str">
        <f t="shared" si="1"/>
        <v/>
      </c>
      <c r="O53" s="451" t="str">
        <f t="shared" si="2"/>
        <v/>
      </c>
      <c r="P53" s="452" t="str">
        <f t="shared" si="3"/>
        <v/>
      </c>
      <c r="Q53" s="443"/>
      <c r="R53" s="449">
        <f t="shared" si="4"/>
        <v>0</v>
      </c>
      <c r="S53" s="447" t="str">
        <f t="shared" si="7"/>
        <v/>
      </c>
      <c r="T53" s="157"/>
    </row>
    <row r="54" spans="2:20" ht="15.75" hidden="1" thickBot="1" x14ac:dyDescent="0.3">
      <c r="B54" s="564">
        <f ca="1">OFFSET(Kuponger!$D$5,Data!AN44,0)</f>
        <v>38</v>
      </c>
      <c r="C54" s="563" t="str">
        <f ca="1">IF(Data!AL44="","",Data!AL44)</f>
        <v/>
      </c>
      <c r="D54" s="717"/>
      <c r="E54" s="715"/>
      <c r="F54" s="716"/>
      <c r="G54" s="565"/>
      <c r="H54" s="444"/>
      <c r="I54" s="445"/>
      <c r="J54" s="446"/>
      <c r="K54" s="565"/>
      <c r="L54" s="441"/>
      <c r="M54" s="442"/>
      <c r="N54" s="450" t="str">
        <f t="shared" si="1"/>
        <v/>
      </c>
      <c r="O54" s="451" t="str">
        <f t="shared" si="2"/>
        <v/>
      </c>
      <c r="P54" s="452" t="str">
        <f t="shared" si="3"/>
        <v/>
      </c>
      <c r="Q54" s="443"/>
      <c r="R54" s="449">
        <f t="shared" si="4"/>
        <v>0</v>
      </c>
      <c r="S54" s="447" t="str">
        <f t="shared" si="5"/>
        <v/>
      </c>
      <c r="T54" s="157"/>
    </row>
    <row r="55" spans="2:20" ht="15.75" hidden="1" thickBot="1" x14ac:dyDescent="0.3">
      <c r="B55" s="564">
        <f ca="1">OFFSET(Kuponger!$D$5,Data!AN45,0)</f>
        <v>3</v>
      </c>
      <c r="C55" s="563" t="str">
        <f ca="1">IF(Data!AL45="","",Data!AL45)</f>
        <v/>
      </c>
      <c r="D55" s="717"/>
      <c r="E55" s="715"/>
      <c r="F55" s="716"/>
      <c r="G55" s="565"/>
      <c r="H55" s="444"/>
      <c r="I55" s="445"/>
      <c r="J55" s="446"/>
      <c r="K55" s="565"/>
      <c r="L55" s="441"/>
      <c r="M55" s="442"/>
      <c r="N55" s="450" t="str">
        <f t="shared" si="1"/>
        <v/>
      </c>
      <c r="O55" s="451" t="str">
        <f t="shared" si="2"/>
        <v/>
      </c>
      <c r="P55" s="452" t="str">
        <f t="shared" si="3"/>
        <v/>
      </c>
      <c r="Q55" s="443"/>
      <c r="R55" s="449">
        <f t="shared" si="4"/>
        <v>0</v>
      </c>
      <c r="S55" s="447" t="str">
        <f t="shared" si="5"/>
        <v/>
      </c>
      <c r="T55" s="157"/>
    </row>
    <row r="56" spans="2:20" ht="15.75" hidden="1" thickBot="1" x14ac:dyDescent="0.3">
      <c r="B56" s="564">
        <f ca="1">OFFSET(Kuponger!$D$5,Data!AN46,0)</f>
        <v>0</v>
      </c>
      <c r="C56" s="563" t="str">
        <f ca="1">IF(Data!AL46="","",Data!AL46)</f>
        <v/>
      </c>
      <c r="D56" s="717"/>
      <c r="E56" s="715"/>
      <c r="F56" s="716"/>
      <c r="G56" s="565"/>
      <c r="H56" s="444"/>
      <c r="I56" s="445"/>
      <c r="J56" s="446"/>
      <c r="K56" s="565"/>
      <c r="L56" s="441"/>
      <c r="M56" s="442"/>
      <c r="N56" s="450" t="str">
        <f t="shared" si="1"/>
        <v/>
      </c>
      <c r="O56" s="451" t="str">
        <f t="shared" si="2"/>
        <v/>
      </c>
      <c r="P56" s="452" t="str">
        <f t="shared" si="3"/>
        <v/>
      </c>
      <c r="Q56" s="443"/>
      <c r="R56" s="449">
        <f t="shared" si="4"/>
        <v>0</v>
      </c>
      <c r="S56" s="447" t="str">
        <f t="shared" si="5"/>
        <v/>
      </c>
      <c r="T56" s="157"/>
    </row>
    <row r="57" spans="2:20" ht="15.75" hidden="1" thickBot="1" x14ac:dyDescent="0.3">
      <c r="B57" s="564">
        <f ca="1">OFFSET(Kuponger!$D$5,Data!AN47,0)</f>
        <v>1</v>
      </c>
      <c r="C57" s="563" t="str">
        <f ca="1">IF(Data!AL47="","",Data!AL47)</f>
        <v/>
      </c>
      <c r="D57" s="717"/>
      <c r="E57" s="715"/>
      <c r="F57" s="716"/>
      <c r="G57" s="565"/>
      <c r="H57" s="444"/>
      <c r="I57" s="445"/>
      <c r="J57" s="446"/>
      <c r="K57" s="565"/>
      <c r="L57" s="441"/>
      <c r="M57" s="442"/>
      <c r="N57" s="450" t="str">
        <f t="shared" si="1"/>
        <v/>
      </c>
      <c r="O57" s="451" t="str">
        <f t="shared" si="2"/>
        <v/>
      </c>
      <c r="P57" s="452" t="str">
        <f t="shared" si="3"/>
        <v/>
      </c>
      <c r="Q57" s="443"/>
      <c r="R57" s="449">
        <f t="shared" si="4"/>
        <v>0</v>
      </c>
      <c r="S57" s="447" t="str">
        <f t="shared" si="5"/>
        <v/>
      </c>
      <c r="T57" s="157"/>
    </row>
    <row r="58" spans="2:20" ht="15.75" hidden="1" thickBot="1" x14ac:dyDescent="0.3">
      <c r="B58" s="564">
        <f ca="1">OFFSET(Kuponger!$D$5,Data!AN48,0)</f>
        <v>2</v>
      </c>
      <c r="C58" s="563" t="str">
        <f ca="1">IF(Data!AL48="","",Data!AL48)</f>
        <v/>
      </c>
      <c r="D58" s="717"/>
      <c r="E58" s="715"/>
      <c r="F58" s="716"/>
      <c r="G58" s="565"/>
      <c r="H58" s="444"/>
      <c r="I58" s="445"/>
      <c r="J58" s="446"/>
      <c r="K58" s="565"/>
      <c r="L58" s="441"/>
      <c r="M58" s="442"/>
      <c r="N58" s="450" t="str">
        <f t="shared" si="1"/>
        <v/>
      </c>
      <c r="O58" s="451" t="str">
        <f t="shared" si="2"/>
        <v/>
      </c>
      <c r="P58" s="452" t="str">
        <f t="shared" si="3"/>
        <v/>
      </c>
      <c r="Q58" s="443"/>
      <c r="R58" s="449">
        <f t="shared" si="4"/>
        <v>0</v>
      </c>
      <c r="S58" s="447" t="str">
        <f t="shared" si="5"/>
        <v/>
      </c>
      <c r="T58" s="157"/>
    </row>
    <row r="59" spans="2:20" ht="15.75" hidden="1" thickBot="1" x14ac:dyDescent="0.3">
      <c r="B59" s="564">
        <f ca="1">OFFSET(Kuponger!$D$5,Data!AN49,0)</f>
        <v>3</v>
      </c>
      <c r="C59" s="563" t="str">
        <f ca="1">IF(Data!AL49="","",Data!AL49)</f>
        <v/>
      </c>
      <c r="D59" s="717"/>
      <c r="E59" s="715"/>
      <c r="F59" s="716"/>
      <c r="G59" s="565"/>
      <c r="H59" s="444"/>
      <c r="I59" s="445"/>
      <c r="J59" s="446"/>
      <c r="K59" s="565"/>
      <c r="L59" s="441"/>
      <c r="M59" s="442"/>
      <c r="N59" s="450" t="str">
        <f t="shared" si="1"/>
        <v/>
      </c>
      <c r="O59" s="451" t="str">
        <f t="shared" si="2"/>
        <v/>
      </c>
      <c r="P59" s="452" t="str">
        <f t="shared" si="3"/>
        <v/>
      </c>
      <c r="Q59" s="443"/>
      <c r="R59" s="449">
        <f t="shared" si="4"/>
        <v>0</v>
      </c>
      <c r="S59" s="447" t="str">
        <f t="shared" si="5"/>
        <v/>
      </c>
      <c r="T59" s="157"/>
    </row>
    <row r="60" spans="2:20" ht="15.75" hidden="1" thickBot="1" x14ac:dyDescent="0.3">
      <c r="B60" s="564">
        <f ca="1">OFFSET(Kuponger!$D$5,Data!AN50,0)</f>
        <v>4</v>
      </c>
      <c r="C60" s="563" t="str">
        <f ca="1">IF(Data!AL50="","",Data!AL50)</f>
        <v/>
      </c>
      <c r="D60" s="717"/>
      <c r="E60" s="715"/>
      <c r="F60" s="716"/>
      <c r="G60" s="565"/>
      <c r="H60" s="444"/>
      <c r="I60" s="445"/>
      <c r="J60" s="446"/>
      <c r="K60" s="565"/>
      <c r="L60" s="441"/>
      <c r="M60" s="442"/>
      <c r="N60" s="450" t="str">
        <f t="shared" si="1"/>
        <v/>
      </c>
      <c r="O60" s="451" t="str">
        <f t="shared" si="2"/>
        <v/>
      </c>
      <c r="P60" s="452" t="str">
        <f t="shared" si="3"/>
        <v/>
      </c>
      <c r="Q60" s="443"/>
      <c r="R60" s="449">
        <f t="shared" si="4"/>
        <v>0</v>
      </c>
      <c r="S60" s="447" t="str">
        <f t="shared" si="5"/>
        <v/>
      </c>
      <c r="T60" s="157"/>
    </row>
    <row r="61" spans="2:20" ht="15.75" hidden="1" thickBot="1" x14ac:dyDescent="0.3">
      <c r="B61" s="564">
        <f ca="1">OFFSET(Kuponger!$D$5,Data!AN51,0)</f>
        <v>5</v>
      </c>
      <c r="C61" s="563" t="str">
        <f ca="1">IF(Data!AL51="","",Data!AL51)</f>
        <v/>
      </c>
      <c r="D61" s="717"/>
      <c r="E61" s="715"/>
      <c r="F61" s="716"/>
      <c r="G61" s="565"/>
      <c r="H61" s="444"/>
      <c r="I61" s="445"/>
      <c r="J61" s="446"/>
      <c r="K61" s="565"/>
      <c r="L61" s="441"/>
      <c r="M61" s="442"/>
      <c r="N61" s="450" t="str">
        <f t="shared" si="1"/>
        <v/>
      </c>
      <c r="O61" s="451" t="str">
        <f t="shared" si="2"/>
        <v/>
      </c>
      <c r="P61" s="452" t="str">
        <f t="shared" si="3"/>
        <v/>
      </c>
      <c r="Q61" s="443"/>
      <c r="R61" s="449">
        <f t="shared" si="4"/>
        <v>0</v>
      </c>
      <c r="S61" s="447" t="str">
        <f t="shared" si="5"/>
        <v/>
      </c>
      <c r="T61" s="157"/>
    </row>
    <row r="62" spans="2:20" ht="15.75" hidden="1" thickBot="1" x14ac:dyDescent="0.3">
      <c r="B62" s="564">
        <f ca="1">OFFSET(Kuponger!$D$5,Data!AN52,0)</f>
        <v>6</v>
      </c>
      <c r="C62" s="563" t="str">
        <f ca="1">IF(Data!AL52="","",Data!AL52)</f>
        <v/>
      </c>
      <c r="D62" s="717"/>
      <c r="E62" s="715"/>
      <c r="F62" s="716"/>
      <c r="G62" s="565"/>
      <c r="H62" s="444"/>
      <c r="I62" s="445"/>
      <c r="J62" s="446"/>
      <c r="K62" s="565"/>
      <c r="L62" s="441"/>
      <c r="M62" s="442"/>
      <c r="N62" s="450" t="str">
        <f t="shared" si="1"/>
        <v/>
      </c>
      <c r="O62" s="451" t="str">
        <f t="shared" si="2"/>
        <v/>
      </c>
      <c r="P62" s="452" t="str">
        <f t="shared" si="3"/>
        <v/>
      </c>
      <c r="Q62" s="443"/>
      <c r="R62" s="449">
        <f t="shared" si="4"/>
        <v>0</v>
      </c>
      <c r="S62" s="447" t="str">
        <f t="shared" si="5"/>
        <v/>
      </c>
      <c r="T62" s="157"/>
    </row>
    <row r="63" spans="2:20" ht="15.75" hidden="1" thickBot="1" x14ac:dyDescent="0.3">
      <c r="B63" s="564">
        <f ca="1">OFFSET(Kuponger!$D$5,Data!AN53,0)</f>
        <v>7</v>
      </c>
      <c r="C63" s="563" t="str">
        <f ca="1">IF(Data!AL53="","",Data!AL53)</f>
        <v/>
      </c>
      <c r="D63" s="717"/>
      <c r="E63" s="715"/>
      <c r="F63" s="716"/>
      <c r="G63" s="565"/>
      <c r="H63" s="444"/>
      <c r="I63" s="445"/>
      <c r="J63" s="446"/>
      <c r="K63" s="565"/>
      <c r="L63" s="441"/>
      <c r="M63" s="442"/>
      <c r="N63" s="450" t="str">
        <f t="shared" si="1"/>
        <v/>
      </c>
      <c r="O63" s="451" t="str">
        <f t="shared" si="2"/>
        <v/>
      </c>
      <c r="P63" s="452" t="str">
        <f t="shared" si="3"/>
        <v/>
      </c>
      <c r="Q63" s="443"/>
      <c r="R63" s="449">
        <f t="shared" si="4"/>
        <v>0</v>
      </c>
      <c r="S63" s="447" t="str">
        <f t="shared" si="5"/>
        <v/>
      </c>
      <c r="T63" s="157"/>
    </row>
    <row r="64" spans="2:20" ht="15.75" hidden="1" thickBot="1" x14ac:dyDescent="0.3">
      <c r="B64" s="564">
        <f ca="1">OFFSET(Kuponger!$D$5,Data!AN54,0)</f>
        <v>8</v>
      </c>
      <c r="C64" s="563" t="str">
        <f ca="1">IF(Data!AL54="","",Data!AL54)</f>
        <v/>
      </c>
      <c r="D64" s="717"/>
      <c r="E64" s="715"/>
      <c r="F64" s="716"/>
      <c r="G64" s="565"/>
      <c r="H64" s="444"/>
      <c r="I64" s="445"/>
      <c r="J64" s="446"/>
      <c r="K64" s="565"/>
      <c r="L64" s="441"/>
      <c r="M64" s="442"/>
      <c r="N64" s="450" t="str">
        <f t="shared" si="1"/>
        <v/>
      </c>
      <c r="O64" s="451" t="str">
        <f t="shared" si="2"/>
        <v/>
      </c>
      <c r="P64" s="452" t="str">
        <f t="shared" si="3"/>
        <v/>
      </c>
      <c r="Q64" s="443"/>
      <c r="R64" s="449">
        <f t="shared" si="4"/>
        <v>0</v>
      </c>
      <c r="S64" s="447" t="str">
        <f t="shared" si="5"/>
        <v/>
      </c>
      <c r="T64" s="157"/>
    </row>
    <row r="65" spans="2:20" ht="15.75" hidden="1" thickBot="1" x14ac:dyDescent="0.3">
      <c r="B65" s="564">
        <f ca="1">OFFSET(Kuponger!$D$5,Data!AN55,0)</f>
        <v>9</v>
      </c>
      <c r="C65" s="563" t="str">
        <f ca="1">IF(Data!AL55="","",Data!AL55)</f>
        <v/>
      </c>
      <c r="D65" s="717"/>
      <c r="E65" s="715"/>
      <c r="F65" s="716"/>
      <c r="G65" s="565"/>
      <c r="H65" s="444"/>
      <c r="I65" s="445"/>
      <c r="J65" s="446"/>
      <c r="K65" s="565"/>
      <c r="L65" s="441"/>
      <c r="M65" s="442"/>
      <c r="N65" s="450" t="str">
        <f t="shared" si="1"/>
        <v/>
      </c>
      <c r="O65" s="451" t="str">
        <f t="shared" si="2"/>
        <v/>
      </c>
      <c r="P65" s="452" t="str">
        <f t="shared" si="3"/>
        <v/>
      </c>
      <c r="Q65" s="443"/>
      <c r="R65" s="449">
        <f t="shared" si="4"/>
        <v>0</v>
      </c>
      <c r="S65" s="447" t="str">
        <f t="shared" si="5"/>
        <v/>
      </c>
      <c r="T65" s="157"/>
    </row>
    <row r="66" spans="2:20" ht="15.75" hidden="1" thickBot="1" x14ac:dyDescent="0.3">
      <c r="B66" s="564">
        <f ca="1">OFFSET(Kuponger!$D$5,Data!AN56,0)</f>
        <v>10</v>
      </c>
      <c r="C66" s="563" t="str">
        <f ca="1">IF(Data!AL56="","",Data!AL56)</f>
        <v/>
      </c>
      <c r="D66" s="717"/>
      <c r="E66" s="715"/>
      <c r="F66" s="716"/>
      <c r="G66" s="565"/>
      <c r="H66" s="444"/>
      <c r="I66" s="445"/>
      <c r="J66" s="446"/>
      <c r="K66" s="565"/>
      <c r="L66" s="441"/>
      <c r="M66" s="442"/>
      <c r="N66" s="450" t="str">
        <f t="shared" si="1"/>
        <v/>
      </c>
      <c r="O66" s="451" t="str">
        <f t="shared" si="2"/>
        <v/>
      </c>
      <c r="P66" s="452" t="str">
        <f t="shared" si="3"/>
        <v/>
      </c>
      <c r="Q66" s="443"/>
      <c r="R66" s="449">
        <f t="shared" si="4"/>
        <v>0</v>
      </c>
      <c r="S66" s="447" t="str">
        <f t="shared" si="5"/>
        <v/>
      </c>
      <c r="T66" s="157"/>
    </row>
    <row r="67" spans="2:20" ht="15.75" hidden="1" thickBot="1" x14ac:dyDescent="0.3">
      <c r="B67" s="564">
        <f ca="1">OFFSET(Kuponger!$D$5,Data!AN57,0)</f>
        <v>11</v>
      </c>
      <c r="C67" s="563" t="str">
        <f ca="1">IF(Data!AL57="","",Data!AL57)</f>
        <v/>
      </c>
      <c r="D67" s="717"/>
      <c r="E67" s="715"/>
      <c r="F67" s="716"/>
      <c r="G67" s="565"/>
      <c r="H67" s="444"/>
      <c r="I67" s="445"/>
      <c r="J67" s="446"/>
      <c r="K67" s="565"/>
      <c r="L67" s="441"/>
      <c r="M67" s="442"/>
      <c r="N67" s="450" t="str">
        <f t="shared" si="1"/>
        <v/>
      </c>
      <c r="O67" s="451" t="str">
        <f t="shared" si="2"/>
        <v/>
      </c>
      <c r="P67" s="452" t="str">
        <f t="shared" si="3"/>
        <v/>
      </c>
      <c r="Q67" s="443"/>
      <c r="R67" s="449">
        <f t="shared" si="4"/>
        <v>0</v>
      </c>
      <c r="S67" s="447" t="str">
        <f t="shared" si="5"/>
        <v/>
      </c>
      <c r="T67" s="157"/>
    </row>
    <row r="68" spans="2:20" ht="15.75" hidden="1" thickBot="1" x14ac:dyDescent="0.3">
      <c r="B68" s="564">
        <f ca="1">OFFSET(Kuponger!$D$5,Data!AN58,0)</f>
        <v>12</v>
      </c>
      <c r="C68" s="563" t="str">
        <f ca="1">IF(Data!AL58="","",Data!AL58)</f>
        <v/>
      </c>
      <c r="D68" s="717"/>
      <c r="E68" s="715"/>
      <c r="F68" s="716"/>
      <c r="G68" s="565"/>
      <c r="H68" s="444"/>
      <c r="I68" s="445"/>
      <c r="J68" s="446"/>
      <c r="K68" s="565"/>
      <c r="L68" s="441"/>
      <c r="M68" s="442"/>
      <c r="N68" s="450" t="str">
        <f t="shared" si="1"/>
        <v/>
      </c>
      <c r="O68" s="451" t="str">
        <f t="shared" si="2"/>
        <v/>
      </c>
      <c r="P68" s="452" t="str">
        <f t="shared" si="3"/>
        <v/>
      </c>
      <c r="Q68" s="443"/>
      <c r="R68" s="449">
        <f t="shared" si="4"/>
        <v>0</v>
      </c>
      <c r="S68" s="447" t="str">
        <f t="shared" si="5"/>
        <v/>
      </c>
      <c r="T68" s="157"/>
    </row>
    <row r="69" spans="2:20" ht="15.75" hidden="1" thickBot="1" x14ac:dyDescent="0.3">
      <c r="B69" s="564">
        <f ca="1">OFFSET(Kuponger!$D$5,Data!AN59,0)</f>
        <v>0</v>
      </c>
      <c r="C69" s="563" t="str">
        <f ca="1">IF(Data!AL59="","",Data!AL59)</f>
        <v/>
      </c>
      <c r="D69" s="717"/>
      <c r="E69" s="715"/>
      <c r="F69" s="716"/>
      <c r="G69" s="565"/>
      <c r="H69" s="444"/>
      <c r="I69" s="445"/>
      <c r="J69" s="446"/>
      <c r="K69" s="565"/>
      <c r="L69" s="441"/>
      <c r="M69" s="442"/>
      <c r="N69" s="450" t="str">
        <f t="shared" si="1"/>
        <v/>
      </c>
      <c r="O69" s="451" t="str">
        <f t="shared" si="2"/>
        <v/>
      </c>
      <c r="P69" s="452" t="str">
        <f t="shared" si="3"/>
        <v/>
      </c>
      <c r="Q69" s="443"/>
      <c r="R69" s="449">
        <f t="shared" si="4"/>
        <v>0</v>
      </c>
      <c r="S69" s="447" t="str">
        <f t="shared" si="5"/>
        <v/>
      </c>
      <c r="T69" s="157"/>
    </row>
    <row r="70" spans="2:20" ht="15.75" hidden="1" thickBot="1" x14ac:dyDescent="0.3">
      <c r="B70" s="564">
        <f ca="1">OFFSET(Kuponger!$D$5,Data!AN60,0)</f>
        <v>0</v>
      </c>
      <c r="C70" s="563" t="str">
        <f ca="1">IF(Data!AL60="","",Data!AL60)</f>
        <v/>
      </c>
      <c r="D70" s="717"/>
      <c r="E70" s="715"/>
      <c r="F70" s="716"/>
      <c r="G70" s="565"/>
      <c r="H70" s="444"/>
      <c r="I70" s="445"/>
      <c r="J70" s="446"/>
      <c r="K70" s="565"/>
      <c r="L70" s="441"/>
      <c r="M70" s="442"/>
      <c r="N70" s="450" t="str">
        <f t="shared" si="1"/>
        <v/>
      </c>
      <c r="O70" s="451" t="str">
        <f t="shared" si="2"/>
        <v/>
      </c>
      <c r="P70" s="452" t="str">
        <f t="shared" si="3"/>
        <v/>
      </c>
      <c r="Q70" s="443"/>
      <c r="R70" s="449">
        <f t="shared" si="4"/>
        <v>0</v>
      </c>
      <c r="S70" s="447" t="str">
        <f t="shared" si="5"/>
        <v/>
      </c>
      <c r="T70" s="157"/>
    </row>
    <row r="71" spans="2:20" ht="15.75" hidden="1" thickBot="1" x14ac:dyDescent="0.3">
      <c r="B71" s="564">
        <f ca="1">OFFSET(Kuponger!$D$5,Data!AN61,0)</f>
        <v>0</v>
      </c>
      <c r="C71" s="563" t="str">
        <f ca="1">IF(Data!AL61="","",Data!AL61)</f>
        <v/>
      </c>
      <c r="D71" s="717"/>
      <c r="E71" s="715"/>
      <c r="F71" s="716"/>
      <c r="G71" s="565"/>
      <c r="H71" s="444"/>
      <c r="I71" s="445"/>
      <c r="J71" s="446"/>
      <c r="K71" s="565"/>
      <c r="L71" s="441"/>
      <c r="M71" s="442"/>
      <c r="N71" s="450" t="str">
        <f t="shared" si="1"/>
        <v/>
      </c>
      <c r="O71" s="451" t="str">
        <f t="shared" si="2"/>
        <v/>
      </c>
      <c r="P71" s="452" t="str">
        <f t="shared" si="3"/>
        <v/>
      </c>
      <c r="Q71" s="443"/>
      <c r="R71" s="449">
        <f t="shared" si="4"/>
        <v>0</v>
      </c>
      <c r="S71" s="447" t="str">
        <f t="shared" si="5"/>
        <v/>
      </c>
      <c r="T71" s="157"/>
    </row>
    <row r="72" spans="2:20" ht="15.75" hidden="1" thickBot="1" x14ac:dyDescent="0.3">
      <c r="B72" s="564">
        <f ca="1">OFFSET(Kuponger!$D$5,Data!AN62,0)</f>
        <v>0</v>
      </c>
      <c r="C72" s="563" t="str">
        <f ca="1">IF(Data!AL62="","",Data!AL62)</f>
        <v/>
      </c>
      <c r="D72" s="717"/>
      <c r="E72" s="715"/>
      <c r="F72" s="716"/>
      <c r="G72" s="565"/>
      <c r="H72" s="444"/>
      <c r="I72" s="445"/>
      <c r="J72" s="446"/>
      <c r="K72" s="565"/>
      <c r="L72" s="441"/>
      <c r="M72" s="442"/>
      <c r="N72" s="450" t="str">
        <f t="shared" si="1"/>
        <v/>
      </c>
      <c r="O72" s="451" t="str">
        <f t="shared" si="2"/>
        <v/>
      </c>
      <c r="P72" s="452" t="str">
        <f t="shared" si="3"/>
        <v/>
      </c>
      <c r="Q72" s="443"/>
      <c r="R72" s="449">
        <f t="shared" si="4"/>
        <v>0</v>
      </c>
      <c r="S72" s="447" t="str">
        <f t="shared" si="5"/>
        <v/>
      </c>
      <c r="T72" s="157"/>
    </row>
    <row r="73" spans="2:20" ht="15.75" hidden="1" thickBot="1" x14ac:dyDescent="0.3">
      <c r="B73" s="564">
        <f ca="1">OFFSET(Kuponger!$D$5,Data!AN63,0)</f>
        <v>0</v>
      </c>
      <c r="C73" s="563" t="str">
        <f ca="1">IF(Data!AL63="","",Data!AL63)</f>
        <v/>
      </c>
      <c r="D73" s="717"/>
      <c r="E73" s="715"/>
      <c r="F73" s="716"/>
      <c r="G73" s="565"/>
      <c r="H73" s="444"/>
      <c r="I73" s="445"/>
      <c r="J73" s="446"/>
      <c r="K73" s="565"/>
      <c r="L73" s="441"/>
      <c r="M73" s="442"/>
      <c r="N73" s="450" t="str">
        <f t="shared" si="1"/>
        <v/>
      </c>
      <c r="O73" s="451" t="str">
        <f t="shared" si="2"/>
        <v/>
      </c>
      <c r="P73" s="452" t="str">
        <f t="shared" si="3"/>
        <v/>
      </c>
      <c r="Q73" s="443"/>
      <c r="R73" s="449">
        <f t="shared" si="4"/>
        <v>0</v>
      </c>
      <c r="S73" s="447" t="str">
        <f t="shared" si="5"/>
        <v/>
      </c>
      <c r="T73" s="157"/>
    </row>
    <row r="74" spans="2:20" ht="15.75" hidden="1" thickBot="1" x14ac:dyDescent="0.3">
      <c r="B74" s="564">
        <f ca="1">OFFSET(Kuponger!$D$5,Data!AN64,0)</f>
        <v>0</v>
      </c>
      <c r="C74" s="563" t="str">
        <f ca="1">IF(Data!AL64="","",Data!AL64)</f>
        <v/>
      </c>
      <c r="D74" s="717"/>
      <c r="E74" s="715"/>
      <c r="F74" s="716"/>
      <c r="G74" s="565"/>
      <c r="H74" s="444"/>
      <c r="I74" s="445"/>
      <c r="J74" s="446"/>
      <c r="K74" s="565"/>
      <c r="L74" s="441"/>
      <c r="M74" s="442"/>
      <c r="N74" s="450" t="str">
        <f t="shared" si="1"/>
        <v/>
      </c>
      <c r="O74" s="451" t="str">
        <f t="shared" si="2"/>
        <v/>
      </c>
      <c r="P74" s="452" t="str">
        <f t="shared" si="3"/>
        <v/>
      </c>
      <c r="Q74" s="443"/>
      <c r="R74" s="449">
        <f t="shared" si="4"/>
        <v>0</v>
      </c>
      <c r="S74" s="447" t="str">
        <f t="shared" si="5"/>
        <v/>
      </c>
      <c r="T74" s="157"/>
    </row>
    <row r="75" spans="2:20" ht="15.75" hidden="1" thickBot="1" x14ac:dyDescent="0.3">
      <c r="B75" s="564">
        <f ca="1">OFFSET(Kuponger!$D$5,Data!AN65,0)</f>
        <v>0</v>
      </c>
      <c r="C75" s="563" t="str">
        <f ca="1">IF(Data!AL65="","",Data!AL65)</f>
        <v/>
      </c>
      <c r="D75" s="717"/>
      <c r="E75" s="715"/>
      <c r="F75" s="716"/>
      <c r="G75" s="565"/>
      <c r="H75" s="444"/>
      <c r="I75" s="445"/>
      <c r="J75" s="446"/>
      <c r="K75" s="565"/>
      <c r="L75" s="441"/>
      <c r="M75" s="442"/>
      <c r="N75" s="450" t="str">
        <f t="shared" si="1"/>
        <v/>
      </c>
      <c r="O75" s="451" t="str">
        <f t="shared" si="2"/>
        <v/>
      </c>
      <c r="P75" s="452" t="str">
        <f t="shared" si="3"/>
        <v/>
      </c>
      <c r="Q75" s="443"/>
      <c r="R75" s="449">
        <f t="shared" si="4"/>
        <v>0</v>
      </c>
      <c r="S75" s="447" t="str">
        <f t="shared" si="5"/>
        <v/>
      </c>
      <c r="T75" s="157"/>
    </row>
    <row r="76" spans="2:20" ht="15.75" hidden="1" thickBot="1" x14ac:dyDescent="0.3">
      <c r="B76" s="564">
        <f ca="1">OFFSET(Kuponger!$D$5,Data!AN66,0)</f>
        <v>39</v>
      </c>
      <c r="C76" s="563" t="str">
        <f ca="1">IF(Data!AL66="","",Data!AL66)</f>
        <v/>
      </c>
      <c r="D76" s="717"/>
      <c r="E76" s="715"/>
      <c r="F76" s="716"/>
      <c r="G76" s="565"/>
      <c r="H76" s="444"/>
      <c r="I76" s="445"/>
      <c r="J76" s="446"/>
      <c r="K76" s="565"/>
      <c r="L76" s="441"/>
      <c r="M76" s="442"/>
      <c r="N76" s="450" t="str">
        <f t="shared" ref="N76:N139" si="8">IF(H76&gt;0,D76*H76,"")</f>
        <v/>
      </c>
      <c r="O76" s="451" t="str">
        <f t="shared" ref="O76:O139" si="9">IF(I76&gt;0,E76*I76,"")</f>
        <v/>
      </c>
      <c r="P76" s="452" t="str">
        <f t="shared" ref="P76:P139" si="10">IF(J76&gt;0,F76*J76,"")</f>
        <v/>
      </c>
      <c r="Q76" s="443"/>
      <c r="R76" s="449">
        <f t="shared" si="4"/>
        <v>0</v>
      </c>
      <c r="S76" s="447" t="str">
        <f t="shared" si="5"/>
        <v/>
      </c>
      <c r="T76" s="157"/>
    </row>
    <row r="77" spans="2:20" ht="15.75" hidden="1" thickBot="1" x14ac:dyDescent="0.3">
      <c r="B77" s="564">
        <f ca="1">OFFSET(Kuponger!$D$5,Data!AN67,0)</f>
        <v>4</v>
      </c>
      <c r="C77" s="563" t="str">
        <f ca="1">IF(Data!AL67="","",Data!AL67)</f>
        <v/>
      </c>
      <c r="D77" s="717"/>
      <c r="E77" s="715"/>
      <c r="F77" s="716"/>
      <c r="G77" s="565"/>
      <c r="H77" s="444"/>
      <c r="I77" s="445"/>
      <c r="J77" s="446"/>
      <c r="K77" s="565"/>
      <c r="L77" s="441"/>
      <c r="M77" s="442"/>
      <c r="N77" s="450" t="str">
        <f t="shared" si="8"/>
        <v/>
      </c>
      <c r="O77" s="451" t="str">
        <f t="shared" si="9"/>
        <v/>
      </c>
      <c r="P77" s="452" t="str">
        <f t="shared" si="10"/>
        <v/>
      </c>
      <c r="Q77" s="443"/>
      <c r="R77" s="449">
        <f t="shared" ref="R77:R140" si="11">SUM(N77:P77)</f>
        <v>0</v>
      </c>
      <c r="S77" s="447" t="str">
        <f t="shared" ref="S77:S140" si="12">IF(M77&lt;&gt;"",(S76+L77+R77)-(M77+Q77),"")</f>
        <v/>
      </c>
      <c r="T77" s="157"/>
    </row>
    <row r="78" spans="2:20" ht="15.75" hidden="1" thickBot="1" x14ac:dyDescent="0.3">
      <c r="B78" s="564">
        <f ca="1">OFFSET(Kuponger!$D$5,Data!AN68,0)</f>
        <v>0</v>
      </c>
      <c r="C78" s="563" t="str">
        <f ca="1">IF(Data!AL68="","",Data!AL68)</f>
        <v/>
      </c>
      <c r="D78" s="717"/>
      <c r="E78" s="715"/>
      <c r="F78" s="716"/>
      <c r="G78" s="565"/>
      <c r="H78" s="444"/>
      <c r="I78" s="445"/>
      <c r="J78" s="446"/>
      <c r="K78" s="565"/>
      <c r="L78" s="441"/>
      <c r="M78" s="442"/>
      <c r="N78" s="450" t="str">
        <f t="shared" si="8"/>
        <v/>
      </c>
      <c r="O78" s="451" t="str">
        <f t="shared" si="9"/>
        <v/>
      </c>
      <c r="P78" s="452" t="str">
        <f t="shared" si="10"/>
        <v/>
      </c>
      <c r="Q78" s="443"/>
      <c r="R78" s="449">
        <f t="shared" si="11"/>
        <v>0</v>
      </c>
      <c r="S78" s="447" t="str">
        <f t="shared" si="12"/>
        <v/>
      </c>
      <c r="T78" s="157"/>
    </row>
    <row r="79" spans="2:20" ht="15.75" hidden="1" thickBot="1" x14ac:dyDescent="0.3">
      <c r="B79" s="564">
        <f ca="1">OFFSET(Kuponger!$D$5,Data!AN69,0)</f>
        <v>1</v>
      </c>
      <c r="C79" s="563" t="str">
        <f ca="1">IF(Data!AL69="","",Data!AL69)</f>
        <v/>
      </c>
      <c r="D79" s="717"/>
      <c r="E79" s="715"/>
      <c r="F79" s="716"/>
      <c r="G79" s="565"/>
      <c r="H79" s="444"/>
      <c r="I79" s="445"/>
      <c r="J79" s="446"/>
      <c r="K79" s="565"/>
      <c r="L79" s="441"/>
      <c r="M79" s="442"/>
      <c r="N79" s="450" t="str">
        <f t="shared" si="8"/>
        <v/>
      </c>
      <c r="O79" s="451" t="str">
        <f t="shared" si="9"/>
        <v/>
      </c>
      <c r="P79" s="452" t="str">
        <f t="shared" si="10"/>
        <v/>
      </c>
      <c r="Q79" s="443"/>
      <c r="R79" s="449">
        <f t="shared" si="11"/>
        <v>0</v>
      </c>
      <c r="S79" s="447" t="str">
        <f t="shared" si="12"/>
        <v/>
      </c>
      <c r="T79" s="157"/>
    </row>
    <row r="80" spans="2:20" ht="15.75" hidden="1" thickBot="1" x14ac:dyDescent="0.3">
      <c r="B80" s="564">
        <f ca="1">OFFSET(Kuponger!$D$5,Data!AN70,0)</f>
        <v>2</v>
      </c>
      <c r="C80" s="563" t="str">
        <f ca="1">IF(Data!AL70="","",Data!AL70)</f>
        <v/>
      </c>
      <c r="D80" s="717"/>
      <c r="E80" s="715"/>
      <c r="F80" s="716"/>
      <c r="G80" s="565"/>
      <c r="H80" s="444"/>
      <c r="I80" s="445"/>
      <c r="J80" s="446"/>
      <c r="K80" s="565"/>
      <c r="L80" s="441"/>
      <c r="M80" s="442"/>
      <c r="N80" s="450" t="str">
        <f t="shared" si="8"/>
        <v/>
      </c>
      <c r="O80" s="451" t="str">
        <f t="shared" si="9"/>
        <v/>
      </c>
      <c r="P80" s="452" t="str">
        <f t="shared" si="10"/>
        <v/>
      </c>
      <c r="Q80" s="443"/>
      <c r="R80" s="449">
        <f t="shared" si="11"/>
        <v>0</v>
      </c>
      <c r="S80" s="447" t="str">
        <f t="shared" si="12"/>
        <v/>
      </c>
      <c r="T80" s="157"/>
    </row>
    <row r="81" spans="2:20" ht="15.75" hidden="1" thickBot="1" x14ac:dyDescent="0.3">
      <c r="B81" s="564">
        <f ca="1">OFFSET(Kuponger!$D$5,Data!AN71,0)</f>
        <v>3</v>
      </c>
      <c r="C81" s="563" t="str">
        <f ca="1">IF(Data!AL71="","",Data!AL71)</f>
        <v/>
      </c>
      <c r="D81" s="717"/>
      <c r="E81" s="715"/>
      <c r="F81" s="716"/>
      <c r="G81" s="565"/>
      <c r="H81" s="444"/>
      <c r="I81" s="445"/>
      <c r="J81" s="446"/>
      <c r="K81" s="565"/>
      <c r="L81" s="441"/>
      <c r="M81" s="442"/>
      <c r="N81" s="450" t="str">
        <f t="shared" si="8"/>
        <v/>
      </c>
      <c r="O81" s="451" t="str">
        <f t="shared" si="9"/>
        <v/>
      </c>
      <c r="P81" s="452" t="str">
        <f t="shared" si="10"/>
        <v/>
      </c>
      <c r="Q81" s="443"/>
      <c r="R81" s="449">
        <f t="shared" si="11"/>
        <v>0</v>
      </c>
      <c r="S81" s="447" t="str">
        <f t="shared" si="12"/>
        <v/>
      </c>
      <c r="T81" s="157"/>
    </row>
    <row r="82" spans="2:20" ht="15.75" hidden="1" thickBot="1" x14ac:dyDescent="0.3">
      <c r="B82" s="564">
        <f ca="1">OFFSET(Kuponger!$D$5,Data!AN72,0)</f>
        <v>4</v>
      </c>
      <c r="C82" s="563" t="str">
        <f ca="1">IF(Data!AL72="","",Data!AL72)</f>
        <v/>
      </c>
      <c r="D82" s="717"/>
      <c r="E82" s="715"/>
      <c r="F82" s="716"/>
      <c r="G82" s="565"/>
      <c r="H82" s="444"/>
      <c r="I82" s="445"/>
      <c r="J82" s="446"/>
      <c r="K82" s="565"/>
      <c r="L82" s="441"/>
      <c r="M82" s="442"/>
      <c r="N82" s="450" t="str">
        <f t="shared" si="8"/>
        <v/>
      </c>
      <c r="O82" s="451" t="str">
        <f t="shared" si="9"/>
        <v/>
      </c>
      <c r="P82" s="452" t="str">
        <f t="shared" si="10"/>
        <v/>
      </c>
      <c r="Q82" s="443"/>
      <c r="R82" s="449">
        <f t="shared" si="11"/>
        <v>0</v>
      </c>
      <c r="S82" s="447" t="str">
        <f t="shared" si="12"/>
        <v/>
      </c>
      <c r="T82" s="157"/>
    </row>
    <row r="83" spans="2:20" ht="15.75" hidden="1" thickBot="1" x14ac:dyDescent="0.3">
      <c r="B83" s="564">
        <f ca="1">OFFSET(Kuponger!$D$5,Data!AN73,0)</f>
        <v>5</v>
      </c>
      <c r="C83" s="563" t="str">
        <f ca="1">IF(Data!AL73="","",Data!AL73)</f>
        <v/>
      </c>
      <c r="D83" s="717"/>
      <c r="E83" s="715"/>
      <c r="F83" s="716"/>
      <c r="G83" s="565"/>
      <c r="H83" s="444"/>
      <c r="I83" s="445"/>
      <c r="J83" s="446"/>
      <c r="K83" s="565"/>
      <c r="L83" s="441"/>
      <c r="M83" s="442"/>
      <c r="N83" s="450" t="str">
        <f t="shared" si="8"/>
        <v/>
      </c>
      <c r="O83" s="451" t="str">
        <f t="shared" si="9"/>
        <v/>
      </c>
      <c r="P83" s="452" t="str">
        <f t="shared" si="10"/>
        <v/>
      </c>
      <c r="Q83" s="443"/>
      <c r="R83" s="449">
        <f t="shared" si="11"/>
        <v>0</v>
      </c>
      <c r="S83" s="447" t="str">
        <f t="shared" si="12"/>
        <v/>
      </c>
      <c r="T83" s="157"/>
    </row>
    <row r="84" spans="2:20" ht="15.75" hidden="1" thickBot="1" x14ac:dyDescent="0.3">
      <c r="B84" s="564">
        <f ca="1">OFFSET(Kuponger!$D$5,Data!AN74,0)</f>
        <v>6</v>
      </c>
      <c r="C84" s="563" t="str">
        <f ca="1">IF(Data!AL74="","",Data!AL74)</f>
        <v/>
      </c>
      <c r="D84" s="717"/>
      <c r="E84" s="715"/>
      <c r="F84" s="716"/>
      <c r="G84" s="565"/>
      <c r="H84" s="444"/>
      <c r="I84" s="445"/>
      <c r="J84" s="446"/>
      <c r="K84" s="565"/>
      <c r="L84" s="441"/>
      <c r="M84" s="442"/>
      <c r="N84" s="450" t="str">
        <f t="shared" si="8"/>
        <v/>
      </c>
      <c r="O84" s="451" t="str">
        <f t="shared" si="9"/>
        <v/>
      </c>
      <c r="P84" s="452" t="str">
        <f t="shared" si="10"/>
        <v/>
      </c>
      <c r="Q84" s="443"/>
      <c r="R84" s="449">
        <f t="shared" si="11"/>
        <v>0</v>
      </c>
      <c r="S84" s="447" t="str">
        <f t="shared" si="12"/>
        <v/>
      </c>
      <c r="T84" s="157"/>
    </row>
    <row r="85" spans="2:20" ht="15.75" hidden="1" thickBot="1" x14ac:dyDescent="0.3">
      <c r="B85" s="564">
        <f ca="1">OFFSET(Kuponger!$D$5,Data!AN75,0)</f>
        <v>7</v>
      </c>
      <c r="C85" s="563" t="str">
        <f ca="1">IF(Data!AL75="","",Data!AL75)</f>
        <v/>
      </c>
      <c r="D85" s="717"/>
      <c r="E85" s="715"/>
      <c r="F85" s="716"/>
      <c r="G85" s="565"/>
      <c r="H85" s="444"/>
      <c r="I85" s="445"/>
      <c r="J85" s="446"/>
      <c r="K85" s="565"/>
      <c r="L85" s="441"/>
      <c r="M85" s="442"/>
      <c r="N85" s="450" t="str">
        <f t="shared" si="8"/>
        <v/>
      </c>
      <c r="O85" s="451" t="str">
        <f t="shared" si="9"/>
        <v/>
      </c>
      <c r="P85" s="452" t="str">
        <f t="shared" si="10"/>
        <v/>
      </c>
      <c r="Q85" s="443"/>
      <c r="R85" s="449">
        <f t="shared" si="11"/>
        <v>0</v>
      </c>
      <c r="S85" s="447" t="str">
        <f t="shared" si="12"/>
        <v/>
      </c>
      <c r="T85" s="157"/>
    </row>
    <row r="86" spans="2:20" ht="15.75" hidden="1" thickBot="1" x14ac:dyDescent="0.3">
      <c r="B86" s="564">
        <f ca="1">OFFSET(Kuponger!$D$5,Data!AN76,0)</f>
        <v>8</v>
      </c>
      <c r="C86" s="563" t="str">
        <f ca="1">IF(Data!AL76="","",Data!AL76)</f>
        <v/>
      </c>
      <c r="D86" s="717"/>
      <c r="E86" s="715"/>
      <c r="F86" s="716"/>
      <c r="G86" s="565"/>
      <c r="H86" s="444"/>
      <c r="I86" s="445"/>
      <c r="J86" s="446"/>
      <c r="K86" s="565"/>
      <c r="L86" s="441"/>
      <c r="M86" s="442"/>
      <c r="N86" s="450" t="str">
        <f t="shared" si="8"/>
        <v/>
      </c>
      <c r="O86" s="451" t="str">
        <f t="shared" si="9"/>
        <v/>
      </c>
      <c r="P86" s="452" t="str">
        <f t="shared" si="10"/>
        <v/>
      </c>
      <c r="Q86" s="443"/>
      <c r="R86" s="449">
        <f t="shared" si="11"/>
        <v>0</v>
      </c>
      <c r="S86" s="447" t="str">
        <f t="shared" si="12"/>
        <v/>
      </c>
      <c r="T86" s="157"/>
    </row>
    <row r="87" spans="2:20" ht="15.75" hidden="1" thickBot="1" x14ac:dyDescent="0.3">
      <c r="B87" s="564">
        <f ca="1">OFFSET(Kuponger!$D$5,Data!AN77,0)</f>
        <v>9</v>
      </c>
      <c r="C87" s="563" t="str">
        <f ca="1">IF(Data!AL77="","",Data!AL77)</f>
        <v/>
      </c>
      <c r="D87" s="717"/>
      <c r="E87" s="715"/>
      <c r="F87" s="716"/>
      <c r="G87" s="565"/>
      <c r="H87" s="444"/>
      <c r="I87" s="445"/>
      <c r="J87" s="446"/>
      <c r="K87" s="565"/>
      <c r="L87" s="441"/>
      <c r="M87" s="442"/>
      <c r="N87" s="450" t="str">
        <f t="shared" si="8"/>
        <v/>
      </c>
      <c r="O87" s="451" t="str">
        <f t="shared" si="9"/>
        <v/>
      </c>
      <c r="P87" s="452" t="str">
        <f t="shared" si="10"/>
        <v/>
      </c>
      <c r="Q87" s="443"/>
      <c r="R87" s="449">
        <f t="shared" si="11"/>
        <v>0</v>
      </c>
      <c r="S87" s="447" t="str">
        <f t="shared" si="12"/>
        <v/>
      </c>
      <c r="T87" s="157"/>
    </row>
    <row r="88" spans="2:20" ht="15.75" hidden="1" thickBot="1" x14ac:dyDescent="0.3">
      <c r="B88" s="564">
        <f ca="1">OFFSET(Kuponger!$D$5,Data!AN78,0)</f>
        <v>10</v>
      </c>
      <c r="C88" s="563" t="str">
        <f ca="1">IF(Data!AL78="","",Data!AL78)</f>
        <v/>
      </c>
      <c r="D88" s="717"/>
      <c r="E88" s="715"/>
      <c r="F88" s="716"/>
      <c r="G88" s="565"/>
      <c r="H88" s="444"/>
      <c r="I88" s="445"/>
      <c r="J88" s="446"/>
      <c r="K88" s="565"/>
      <c r="L88" s="441"/>
      <c r="M88" s="442"/>
      <c r="N88" s="450" t="str">
        <f t="shared" si="8"/>
        <v/>
      </c>
      <c r="O88" s="451" t="str">
        <f t="shared" si="9"/>
        <v/>
      </c>
      <c r="P88" s="452" t="str">
        <f t="shared" si="10"/>
        <v/>
      </c>
      <c r="Q88" s="443"/>
      <c r="R88" s="449">
        <f t="shared" si="11"/>
        <v>0</v>
      </c>
      <c r="S88" s="447" t="str">
        <f t="shared" si="12"/>
        <v/>
      </c>
      <c r="T88" s="157"/>
    </row>
    <row r="89" spans="2:20" ht="15.75" hidden="1" thickBot="1" x14ac:dyDescent="0.3">
      <c r="B89" s="564">
        <f ca="1">OFFSET(Kuponger!$D$5,Data!AN79,0)</f>
        <v>11</v>
      </c>
      <c r="C89" s="563" t="str">
        <f ca="1">IF(Data!AL79="","",Data!AL79)</f>
        <v/>
      </c>
      <c r="D89" s="717"/>
      <c r="E89" s="715"/>
      <c r="F89" s="716"/>
      <c r="G89" s="565"/>
      <c r="H89" s="444"/>
      <c r="I89" s="445"/>
      <c r="J89" s="446"/>
      <c r="K89" s="565"/>
      <c r="L89" s="441"/>
      <c r="M89" s="442"/>
      <c r="N89" s="450" t="str">
        <f t="shared" si="8"/>
        <v/>
      </c>
      <c r="O89" s="451" t="str">
        <f t="shared" si="9"/>
        <v/>
      </c>
      <c r="P89" s="452" t="str">
        <f t="shared" si="10"/>
        <v/>
      </c>
      <c r="Q89" s="443"/>
      <c r="R89" s="449">
        <f t="shared" si="11"/>
        <v>0</v>
      </c>
      <c r="S89" s="447" t="str">
        <f t="shared" si="12"/>
        <v/>
      </c>
      <c r="T89" s="157"/>
    </row>
    <row r="90" spans="2:20" ht="15.75" hidden="1" thickBot="1" x14ac:dyDescent="0.3">
      <c r="B90" s="564">
        <f ca="1">OFFSET(Kuponger!$D$5,Data!AN80,0)</f>
        <v>12</v>
      </c>
      <c r="C90" s="563" t="str">
        <f ca="1">IF(Data!AL80="","",Data!AL80)</f>
        <v/>
      </c>
      <c r="D90" s="717"/>
      <c r="E90" s="715"/>
      <c r="F90" s="716"/>
      <c r="G90" s="565"/>
      <c r="H90" s="444"/>
      <c r="I90" s="445"/>
      <c r="J90" s="446"/>
      <c r="K90" s="565"/>
      <c r="L90" s="441"/>
      <c r="M90" s="442"/>
      <c r="N90" s="450" t="str">
        <f t="shared" si="8"/>
        <v/>
      </c>
      <c r="O90" s="451" t="str">
        <f t="shared" si="9"/>
        <v/>
      </c>
      <c r="P90" s="452" t="str">
        <f t="shared" si="10"/>
        <v/>
      </c>
      <c r="Q90" s="443"/>
      <c r="R90" s="449">
        <f t="shared" si="11"/>
        <v>0</v>
      </c>
      <c r="S90" s="447" t="str">
        <f t="shared" si="12"/>
        <v/>
      </c>
      <c r="T90" s="157"/>
    </row>
    <row r="91" spans="2:20" ht="15.75" hidden="1" thickBot="1" x14ac:dyDescent="0.3">
      <c r="B91" s="564">
        <f ca="1">OFFSET(Kuponger!$D$5,Data!AN81,0)</f>
        <v>0</v>
      </c>
      <c r="C91" s="563" t="str">
        <f ca="1">IF(Data!AL81="","",Data!AL81)</f>
        <v/>
      </c>
      <c r="D91" s="717"/>
      <c r="E91" s="715"/>
      <c r="F91" s="716"/>
      <c r="G91" s="565"/>
      <c r="H91" s="444"/>
      <c r="I91" s="445"/>
      <c r="J91" s="446"/>
      <c r="K91" s="565"/>
      <c r="L91" s="441"/>
      <c r="M91" s="442"/>
      <c r="N91" s="450" t="str">
        <f t="shared" si="8"/>
        <v/>
      </c>
      <c r="O91" s="451" t="str">
        <f t="shared" si="9"/>
        <v/>
      </c>
      <c r="P91" s="452" t="str">
        <f t="shared" si="10"/>
        <v/>
      </c>
      <c r="Q91" s="443"/>
      <c r="R91" s="449">
        <f t="shared" si="11"/>
        <v>0</v>
      </c>
      <c r="S91" s="447" t="str">
        <f t="shared" si="12"/>
        <v/>
      </c>
      <c r="T91" s="157"/>
    </row>
    <row r="92" spans="2:20" ht="15.75" hidden="1" thickBot="1" x14ac:dyDescent="0.3">
      <c r="B92" s="564">
        <f ca="1">OFFSET(Kuponger!$D$5,Data!AN82,0)</f>
        <v>0</v>
      </c>
      <c r="C92" s="563" t="str">
        <f ca="1">IF(Data!AL82="","",Data!AL82)</f>
        <v/>
      </c>
      <c r="D92" s="717"/>
      <c r="E92" s="715"/>
      <c r="F92" s="716"/>
      <c r="G92" s="565"/>
      <c r="H92" s="444"/>
      <c r="I92" s="445"/>
      <c r="J92" s="446"/>
      <c r="K92" s="565"/>
      <c r="L92" s="441"/>
      <c r="M92" s="442"/>
      <c r="N92" s="450" t="str">
        <f t="shared" si="8"/>
        <v/>
      </c>
      <c r="O92" s="451" t="str">
        <f t="shared" si="9"/>
        <v/>
      </c>
      <c r="P92" s="452" t="str">
        <f t="shared" si="10"/>
        <v/>
      </c>
      <c r="Q92" s="443"/>
      <c r="R92" s="449">
        <f t="shared" si="11"/>
        <v>0</v>
      </c>
      <c r="S92" s="447" t="str">
        <f t="shared" si="12"/>
        <v/>
      </c>
      <c r="T92" s="157"/>
    </row>
    <row r="93" spans="2:20" ht="15.75" hidden="1" thickBot="1" x14ac:dyDescent="0.3">
      <c r="B93" s="564">
        <f ca="1">OFFSET(Kuponger!$D$5,Data!AN83,0)</f>
        <v>0</v>
      </c>
      <c r="C93" s="563" t="str">
        <f ca="1">IF(Data!AL83="","",Data!AL83)</f>
        <v/>
      </c>
      <c r="D93" s="717"/>
      <c r="E93" s="715"/>
      <c r="F93" s="716"/>
      <c r="G93" s="565"/>
      <c r="H93" s="444"/>
      <c r="I93" s="445"/>
      <c r="J93" s="446"/>
      <c r="K93" s="565"/>
      <c r="L93" s="441"/>
      <c r="M93" s="442"/>
      <c r="N93" s="450" t="str">
        <f t="shared" si="8"/>
        <v/>
      </c>
      <c r="O93" s="451" t="str">
        <f t="shared" si="9"/>
        <v/>
      </c>
      <c r="P93" s="452" t="str">
        <f t="shared" si="10"/>
        <v/>
      </c>
      <c r="Q93" s="443"/>
      <c r="R93" s="449">
        <f t="shared" si="11"/>
        <v>0</v>
      </c>
      <c r="S93" s="447" t="str">
        <f t="shared" si="12"/>
        <v/>
      </c>
      <c r="T93" s="157"/>
    </row>
    <row r="94" spans="2:20" ht="15.75" hidden="1" thickBot="1" x14ac:dyDescent="0.3">
      <c r="B94" s="564">
        <f ca="1">OFFSET(Kuponger!$D$5,Data!AN84,0)</f>
        <v>0</v>
      </c>
      <c r="C94" s="563" t="str">
        <f ca="1">IF(Data!AL84="","",Data!AL84)</f>
        <v/>
      </c>
      <c r="D94" s="717"/>
      <c r="E94" s="715"/>
      <c r="F94" s="716"/>
      <c r="G94" s="565"/>
      <c r="H94" s="444"/>
      <c r="I94" s="445"/>
      <c r="J94" s="446"/>
      <c r="K94" s="565"/>
      <c r="L94" s="441"/>
      <c r="M94" s="442"/>
      <c r="N94" s="450" t="str">
        <f t="shared" si="8"/>
        <v/>
      </c>
      <c r="O94" s="451" t="str">
        <f t="shared" si="9"/>
        <v/>
      </c>
      <c r="P94" s="452" t="str">
        <f t="shared" si="10"/>
        <v/>
      </c>
      <c r="Q94" s="443"/>
      <c r="R94" s="449">
        <f t="shared" si="11"/>
        <v>0</v>
      </c>
      <c r="S94" s="447" t="str">
        <f t="shared" si="12"/>
        <v/>
      </c>
      <c r="T94" s="157"/>
    </row>
    <row r="95" spans="2:20" ht="15.75" hidden="1" thickBot="1" x14ac:dyDescent="0.3">
      <c r="B95" s="564">
        <f ca="1">OFFSET(Kuponger!$D$5,Data!AN85,0)</f>
        <v>0</v>
      </c>
      <c r="C95" s="563" t="str">
        <f ca="1">IF(Data!AL85="","",Data!AL85)</f>
        <v/>
      </c>
      <c r="D95" s="717"/>
      <c r="E95" s="715"/>
      <c r="F95" s="716"/>
      <c r="G95" s="565"/>
      <c r="H95" s="444"/>
      <c r="I95" s="445"/>
      <c r="J95" s="446"/>
      <c r="K95" s="565"/>
      <c r="L95" s="441"/>
      <c r="M95" s="442"/>
      <c r="N95" s="450" t="str">
        <f t="shared" si="8"/>
        <v/>
      </c>
      <c r="O95" s="451" t="str">
        <f t="shared" si="9"/>
        <v/>
      </c>
      <c r="P95" s="452" t="str">
        <f t="shared" si="10"/>
        <v/>
      </c>
      <c r="Q95" s="443"/>
      <c r="R95" s="449">
        <f t="shared" si="11"/>
        <v>0</v>
      </c>
      <c r="S95" s="447" t="str">
        <f t="shared" si="12"/>
        <v/>
      </c>
      <c r="T95" s="157"/>
    </row>
    <row r="96" spans="2:20" ht="15.75" hidden="1" thickBot="1" x14ac:dyDescent="0.3">
      <c r="B96" s="564">
        <f ca="1">OFFSET(Kuponger!$D$5,Data!AN86,0)</f>
        <v>0</v>
      </c>
      <c r="C96" s="563" t="str">
        <f ca="1">IF(Data!AL86="","",Data!AL86)</f>
        <v/>
      </c>
      <c r="D96" s="717"/>
      <c r="E96" s="715"/>
      <c r="F96" s="716"/>
      <c r="G96" s="565"/>
      <c r="H96" s="444"/>
      <c r="I96" s="445"/>
      <c r="J96" s="446"/>
      <c r="K96" s="565"/>
      <c r="L96" s="441"/>
      <c r="M96" s="442"/>
      <c r="N96" s="450" t="str">
        <f t="shared" si="8"/>
        <v/>
      </c>
      <c r="O96" s="451" t="str">
        <f t="shared" si="9"/>
        <v/>
      </c>
      <c r="P96" s="452" t="str">
        <f t="shared" si="10"/>
        <v/>
      </c>
      <c r="Q96" s="443"/>
      <c r="R96" s="449">
        <f t="shared" si="11"/>
        <v>0</v>
      </c>
      <c r="S96" s="447" t="str">
        <f t="shared" si="12"/>
        <v/>
      </c>
      <c r="T96" s="157"/>
    </row>
    <row r="97" spans="2:20" ht="15.75" hidden="1" thickBot="1" x14ac:dyDescent="0.3">
      <c r="B97" s="564">
        <f ca="1">OFFSET(Kuponger!$D$5,Data!AN87,0)</f>
        <v>0</v>
      </c>
      <c r="C97" s="563" t="str">
        <f ca="1">IF(Data!AL87="","",Data!AL87)</f>
        <v/>
      </c>
      <c r="D97" s="717"/>
      <c r="E97" s="715"/>
      <c r="F97" s="716"/>
      <c r="G97" s="565"/>
      <c r="H97" s="444"/>
      <c r="I97" s="445"/>
      <c r="J97" s="446"/>
      <c r="K97" s="565"/>
      <c r="L97" s="441"/>
      <c r="M97" s="442"/>
      <c r="N97" s="450" t="str">
        <f t="shared" si="8"/>
        <v/>
      </c>
      <c r="O97" s="451" t="str">
        <f t="shared" si="9"/>
        <v/>
      </c>
      <c r="P97" s="452" t="str">
        <f t="shared" si="10"/>
        <v/>
      </c>
      <c r="Q97" s="443"/>
      <c r="R97" s="449">
        <f t="shared" si="11"/>
        <v>0</v>
      </c>
      <c r="S97" s="447" t="str">
        <f t="shared" si="12"/>
        <v/>
      </c>
      <c r="T97" s="157"/>
    </row>
    <row r="98" spans="2:20" ht="15.75" hidden="1" thickBot="1" x14ac:dyDescent="0.3">
      <c r="B98" s="564">
        <f ca="1">OFFSET(Kuponger!$D$5,Data!AN88,0)</f>
        <v>40</v>
      </c>
      <c r="C98" s="563" t="str">
        <f ca="1">IF(Data!AL88="","",Data!AL88)</f>
        <v/>
      </c>
      <c r="D98" s="717"/>
      <c r="E98" s="715"/>
      <c r="F98" s="716"/>
      <c r="G98" s="565"/>
      <c r="H98" s="444"/>
      <c r="I98" s="445"/>
      <c r="J98" s="446"/>
      <c r="K98" s="565"/>
      <c r="L98" s="441"/>
      <c r="M98" s="442"/>
      <c r="N98" s="450" t="str">
        <f t="shared" si="8"/>
        <v/>
      </c>
      <c r="O98" s="451" t="str">
        <f t="shared" si="9"/>
        <v/>
      </c>
      <c r="P98" s="452" t="str">
        <f t="shared" si="10"/>
        <v/>
      </c>
      <c r="Q98" s="443"/>
      <c r="R98" s="449">
        <f t="shared" si="11"/>
        <v>0</v>
      </c>
      <c r="S98" s="447" t="str">
        <f t="shared" si="12"/>
        <v/>
      </c>
      <c r="T98" s="157"/>
    </row>
    <row r="99" spans="2:20" ht="15.75" hidden="1" thickBot="1" x14ac:dyDescent="0.3">
      <c r="B99" s="564">
        <f ca="1">OFFSET(Kuponger!$D$5,Data!AN89,0)</f>
        <v>5</v>
      </c>
      <c r="C99" s="563" t="str">
        <f ca="1">IF(Data!AL89="","",Data!AL89)</f>
        <v/>
      </c>
      <c r="D99" s="717"/>
      <c r="E99" s="715"/>
      <c r="F99" s="716"/>
      <c r="G99" s="565"/>
      <c r="H99" s="444"/>
      <c r="I99" s="445"/>
      <c r="J99" s="446"/>
      <c r="K99" s="565"/>
      <c r="L99" s="441"/>
      <c r="M99" s="442"/>
      <c r="N99" s="450" t="str">
        <f t="shared" si="8"/>
        <v/>
      </c>
      <c r="O99" s="451" t="str">
        <f t="shared" si="9"/>
        <v/>
      </c>
      <c r="P99" s="452" t="str">
        <f t="shared" si="10"/>
        <v/>
      </c>
      <c r="Q99" s="443"/>
      <c r="R99" s="449">
        <f t="shared" si="11"/>
        <v>0</v>
      </c>
      <c r="S99" s="447" t="str">
        <f t="shared" si="12"/>
        <v/>
      </c>
      <c r="T99" s="157"/>
    </row>
    <row r="100" spans="2:20" ht="15.75" hidden="1" thickBot="1" x14ac:dyDescent="0.3">
      <c r="B100" s="564">
        <f ca="1">OFFSET(Kuponger!$D$5,Data!AN90,0)</f>
        <v>0</v>
      </c>
      <c r="C100" s="563" t="str">
        <f ca="1">IF(Data!AL90="","",Data!AL90)</f>
        <v/>
      </c>
      <c r="D100" s="717"/>
      <c r="E100" s="715"/>
      <c r="F100" s="716"/>
      <c r="G100" s="565"/>
      <c r="H100" s="444"/>
      <c r="I100" s="445"/>
      <c r="J100" s="446"/>
      <c r="K100" s="565"/>
      <c r="L100" s="441"/>
      <c r="M100" s="442"/>
      <c r="N100" s="450" t="str">
        <f t="shared" si="8"/>
        <v/>
      </c>
      <c r="O100" s="451" t="str">
        <f t="shared" si="9"/>
        <v/>
      </c>
      <c r="P100" s="452" t="str">
        <f t="shared" si="10"/>
        <v/>
      </c>
      <c r="Q100" s="443"/>
      <c r="R100" s="449">
        <f t="shared" si="11"/>
        <v>0</v>
      </c>
      <c r="S100" s="447" t="str">
        <f t="shared" si="12"/>
        <v/>
      </c>
      <c r="T100" s="157"/>
    </row>
    <row r="101" spans="2:20" ht="15.75" hidden="1" thickBot="1" x14ac:dyDescent="0.3">
      <c r="B101" s="564">
        <f ca="1">OFFSET(Kuponger!$D$5,Data!AN91,0)</f>
        <v>1</v>
      </c>
      <c r="C101" s="563" t="str">
        <f ca="1">IF(Data!AL91="","",Data!AL91)</f>
        <v/>
      </c>
      <c r="D101" s="717"/>
      <c r="E101" s="715"/>
      <c r="F101" s="716"/>
      <c r="G101" s="565"/>
      <c r="H101" s="444"/>
      <c r="I101" s="445"/>
      <c r="J101" s="446"/>
      <c r="K101" s="565"/>
      <c r="L101" s="441"/>
      <c r="M101" s="442"/>
      <c r="N101" s="450" t="str">
        <f t="shared" si="8"/>
        <v/>
      </c>
      <c r="O101" s="451" t="str">
        <f t="shared" si="9"/>
        <v/>
      </c>
      <c r="P101" s="452" t="str">
        <f t="shared" si="10"/>
        <v/>
      </c>
      <c r="Q101" s="443"/>
      <c r="R101" s="449">
        <f t="shared" si="11"/>
        <v>0</v>
      </c>
      <c r="S101" s="447" t="str">
        <f t="shared" si="12"/>
        <v/>
      </c>
      <c r="T101" s="157"/>
    </row>
    <row r="102" spans="2:20" ht="15.75" hidden="1" thickBot="1" x14ac:dyDescent="0.3">
      <c r="B102" s="564">
        <f ca="1">OFFSET(Kuponger!$D$5,Data!AN92,0)</f>
        <v>2</v>
      </c>
      <c r="C102" s="563" t="str">
        <f ca="1">IF(Data!AL92="","",Data!AL92)</f>
        <v/>
      </c>
      <c r="D102" s="717"/>
      <c r="E102" s="715"/>
      <c r="F102" s="716"/>
      <c r="G102" s="565"/>
      <c r="H102" s="444"/>
      <c r="I102" s="445"/>
      <c r="J102" s="446"/>
      <c r="K102" s="565"/>
      <c r="L102" s="441"/>
      <c r="M102" s="442"/>
      <c r="N102" s="450" t="str">
        <f t="shared" si="8"/>
        <v/>
      </c>
      <c r="O102" s="451" t="str">
        <f t="shared" si="9"/>
        <v/>
      </c>
      <c r="P102" s="452" t="str">
        <f t="shared" si="10"/>
        <v/>
      </c>
      <c r="Q102" s="443"/>
      <c r="R102" s="449">
        <f t="shared" si="11"/>
        <v>0</v>
      </c>
      <c r="S102" s="447" t="str">
        <f t="shared" si="12"/>
        <v/>
      </c>
      <c r="T102" s="157"/>
    </row>
    <row r="103" spans="2:20" ht="15.75" hidden="1" thickBot="1" x14ac:dyDescent="0.3">
      <c r="B103" s="564">
        <f ca="1">OFFSET(Kuponger!$D$5,Data!AN93,0)</f>
        <v>3</v>
      </c>
      <c r="C103" s="563" t="str">
        <f ca="1">IF(Data!AL93="","",Data!AL93)</f>
        <v/>
      </c>
      <c r="D103" s="717"/>
      <c r="E103" s="715"/>
      <c r="F103" s="716"/>
      <c r="G103" s="565"/>
      <c r="H103" s="444"/>
      <c r="I103" s="445"/>
      <c r="J103" s="446"/>
      <c r="K103" s="565"/>
      <c r="L103" s="441"/>
      <c r="M103" s="442"/>
      <c r="N103" s="450" t="str">
        <f t="shared" si="8"/>
        <v/>
      </c>
      <c r="O103" s="451" t="str">
        <f t="shared" si="9"/>
        <v/>
      </c>
      <c r="P103" s="452" t="str">
        <f t="shared" si="10"/>
        <v/>
      </c>
      <c r="Q103" s="443"/>
      <c r="R103" s="449">
        <f t="shared" si="11"/>
        <v>0</v>
      </c>
      <c r="S103" s="447" t="str">
        <f t="shared" si="12"/>
        <v/>
      </c>
      <c r="T103" s="157"/>
    </row>
    <row r="104" spans="2:20" ht="15.75" hidden="1" thickBot="1" x14ac:dyDescent="0.3">
      <c r="B104" s="564">
        <f ca="1">OFFSET(Kuponger!$D$5,Data!AN94,0)</f>
        <v>4</v>
      </c>
      <c r="C104" s="563" t="str">
        <f ca="1">IF(Data!AL94="","",Data!AL94)</f>
        <v/>
      </c>
      <c r="D104" s="717"/>
      <c r="E104" s="715"/>
      <c r="F104" s="716"/>
      <c r="G104" s="565"/>
      <c r="H104" s="444"/>
      <c r="I104" s="445"/>
      <c r="J104" s="446"/>
      <c r="K104" s="565"/>
      <c r="L104" s="441"/>
      <c r="M104" s="442"/>
      <c r="N104" s="450" t="str">
        <f t="shared" si="8"/>
        <v/>
      </c>
      <c r="O104" s="451" t="str">
        <f t="shared" si="9"/>
        <v/>
      </c>
      <c r="P104" s="452" t="str">
        <f t="shared" si="10"/>
        <v/>
      </c>
      <c r="Q104" s="443"/>
      <c r="R104" s="449">
        <f t="shared" si="11"/>
        <v>0</v>
      </c>
      <c r="S104" s="447" t="str">
        <f t="shared" si="12"/>
        <v/>
      </c>
      <c r="T104" s="157"/>
    </row>
    <row r="105" spans="2:20" ht="15.75" hidden="1" thickBot="1" x14ac:dyDescent="0.3">
      <c r="B105" s="564">
        <f ca="1">OFFSET(Kuponger!$D$5,Data!AN95,0)</f>
        <v>5</v>
      </c>
      <c r="C105" s="563" t="str">
        <f ca="1">IF(Data!AL95="","",Data!AL95)</f>
        <v/>
      </c>
      <c r="D105" s="717"/>
      <c r="E105" s="715"/>
      <c r="F105" s="716"/>
      <c r="G105" s="565"/>
      <c r="H105" s="444"/>
      <c r="I105" s="445"/>
      <c r="J105" s="446"/>
      <c r="K105" s="565"/>
      <c r="L105" s="441"/>
      <c r="M105" s="442"/>
      <c r="N105" s="450" t="str">
        <f t="shared" si="8"/>
        <v/>
      </c>
      <c r="O105" s="451" t="str">
        <f t="shared" si="9"/>
        <v/>
      </c>
      <c r="P105" s="452" t="str">
        <f t="shared" si="10"/>
        <v/>
      </c>
      <c r="Q105" s="443"/>
      <c r="R105" s="449">
        <f t="shared" si="11"/>
        <v>0</v>
      </c>
      <c r="S105" s="447" t="str">
        <f t="shared" si="12"/>
        <v/>
      </c>
      <c r="T105" s="157"/>
    </row>
    <row r="106" spans="2:20" ht="15.75" hidden="1" thickBot="1" x14ac:dyDescent="0.3">
      <c r="B106" s="564">
        <f ca="1">OFFSET(Kuponger!$D$5,Data!AN96,0)</f>
        <v>6</v>
      </c>
      <c r="C106" s="563" t="str">
        <f ca="1">IF(Data!AL96="","",Data!AL96)</f>
        <v/>
      </c>
      <c r="D106" s="717"/>
      <c r="E106" s="715"/>
      <c r="F106" s="716"/>
      <c r="G106" s="565"/>
      <c r="H106" s="444"/>
      <c r="I106" s="445"/>
      <c r="J106" s="446"/>
      <c r="K106" s="565"/>
      <c r="L106" s="441"/>
      <c r="M106" s="442"/>
      <c r="N106" s="450" t="str">
        <f t="shared" si="8"/>
        <v/>
      </c>
      <c r="O106" s="451" t="str">
        <f t="shared" si="9"/>
        <v/>
      </c>
      <c r="P106" s="452" t="str">
        <f t="shared" si="10"/>
        <v/>
      </c>
      <c r="Q106" s="443"/>
      <c r="R106" s="449">
        <f t="shared" si="11"/>
        <v>0</v>
      </c>
      <c r="S106" s="447" t="str">
        <f t="shared" si="12"/>
        <v/>
      </c>
      <c r="T106" s="157"/>
    </row>
    <row r="107" spans="2:20" ht="15.75" hidden="1" thickBot="1" x14ac:dyDescent="0.3">
      <c r="B107" s="564">
        <f ca="1">OFFSET(Kuponger!$D$5,Data!AN97,0)</f>
        <v>7</v>
      </c>
      <c r="C107" s="563" t="str">
        <f ca="1">IF(Data!AL97="","",Data!AL97)</f>
        <v/>
      </c>
      <c r="D107" s="717"/>
      <c r="E107" s="715"/>
      <c r="F107" s="716"/>
      <c r="G107" s="565"/>
      <c r="H107" s="444"/>
      <c r="I107" s="445"/>
      <c r="J107" s="446"/>
      <c r="K107" s="565"/>
      <c r="L107" s="441"/>
      <c r="M107" s="442"/>
      <c r="N107" s="450" t="str">
        <f t="shared" si="8"/>
        <v/>
      </c>
      <c r="O107" s="451" t="str">
        <f t="shared" si="9"/>
        <v/>
      </c>
      <c r="P107" s="452" t="str">
        <f t="shared" si="10"/>
        <v/>
      </c>
      <c r="Q107" s="443"/>
      <c r="R107" s="449">
        <f t="shared" si="11"/>
        <v>0</v>
      </c>
      <c r="S107" s="447" t="str">
        <f t="shared" si="12"/>
        <v/>
      </c>
      <c r="T107" s="157"/>
    </row>
    <row r="108" spans="2:20" ht="15.75" hidden="1" thickBot="1" x14ac:dyDescent="0.3">
      <c r="B108" s="564">
        <f ca="1">OFFSET(Kuponger!$D$5,Data!AN98,0)</f>
        <v>8</v>
      </c>
      <c r="C108" s="563" t="str">
        <f ca="1">IF(Data!AL98="","",Data!AL98)</f>
        <v/>
      </c>
      <c r="D108" s="717"/>
      <c r="E108" s="715"/>
      <c r="F108" s="716"/>
      <c r="G108" s="565"/>
      <c r="H108" s="444"/>
      <c r="I108" s="445"/>
      <c r="J108" s="446"/>
      <c r="K108" s="565"/>
      <c r="L108" s="441"/>
      <c r="M108" s="442"/>
      <c r="N108" s="450" t="str">
        <f t="shared" si="8"/>
        <v/>
      </c>
      <c r="O108" s="451" t="str">
        <f t="shared" si="9"/>
        <v/>
      </c>
      <c r="P108" s="452" t="str">
        <f t="shared" si="10"/>
        <v/>
      </c>
      <c r="Q108" s="443"/>
      <c r="R108" s="449">
        <f t="shared" si="11"/>
        <v>0</v>
      </c>
      <c r="S108" s="447" t="str">
        <f t="shared" si="12"/>
        <v/>
      </c>
      <c r="T108" s="157"/>
    </row>
    <row r="109" spans="2:20" ht="15.75" hidden="1" thickBot="1" x14ac:dyDescent="0.3">
      <c r="B109" s="564">
        <f ca="1">OFFSET(Kuponger!$D$5,Data!AN99,0)</f>
        <v>9</v>
      </c>
      <c r="C109" s="563" t="str">
        <f ca="1">IF(Data!AL99="","",Data!AL99)</f>
        <v/>
      </c>
      <c r="D109" s="717"/>
      <c r="E109" s="715"/>
      <c r="F109" s="716"/>
      <c r="G109" s="565"/>
      <c r="H109" s="444"/>
      <c r="I109" s="445"/>
      <c r="J109" s="446"/>
      <c r="K109" s="565"/>
      <c r="L109" s="441"/>
      <c r="M109" s="442"/>
      <c r="N109" s="450" t="str">
        <f t="shared" si="8"/>
        <v/>
      </c>
      <c r="O109" s="451" t="str">
        <f t="shared" si="9"/>
        <v/>
      </c>
      <c r="P109" s="452" t="str">
        <f t="shared" si="10"/>
        <v/>
      </c>
      <c r="Q109" s="443"/>
      <c r="R109" s="449">
        <f t="shared" si="11"/>
        <v>0</v>
      </c>
      <c r="S109" s="447" t="str">
        <f t="shared" si="12"/>
        <v/>
      </c>
      <c r="T109" s="157"/>
    </row>
    <row r="110" spans="2:20" ht="15.75" hidden="1" thickBot="1" x14ac:dyDescent="0.3">
      <c r="B110" s="564">
        <f ca="1">OFFSET(Kuponger!$D$5,Data!AN100,0)</f>
        <v>10</v>
      </c>
      <c r="C110" s="563" t="str">
        <f ca="1">IF(Data!AL100="","",Data!AL100)</f>
        <v/>
      </c>
      <c r="D110" s="717"/>
      <c r="E110" s="715"/>
      <c r="F110" s="716"/>
      <c r="G110" s="565"/>
      <c r="H110" s="444"/>
      <c r="I110" s="445"/>
      <c r="J110" s="446"/>
      <c r="K110" s="565"/>
      <c r="L110" s="441"/>
      <c r="M110" s="442"/>
      <c r="N110" s="450" t="str">
        <f t="shared" si="8"/>
        <v/>
      </c>
      <c r="O110" s="451" t="str">
        <f t="shared" si="9"/>
        <v/>
      </c>
      <c r="P110" s="452" t="str">
        <f t="shared" si="10"/>
        <v/>
      </c>
      <c r="Q110" s="443"/>
      <c r="R110" s="449">
        <f t="shared" si="11"/>
        <v>0</v>
      </c>
      <c r="S110" s="447" t="str">
        <f t="shared" si="12"/>
        <v/>
      </c>
      <c r="T110" s="157"/>
    </row>
    <row r="111" spans="2:20" ht="15.75" hidden="1" thickBot="1" x14ac:dyDescent="0.3">
      <c r="B111" s="564">
        <f ca="1">OFFSET(Kuponger!$D$5,Data!AN101,0)</f>
        <v>11</v>
      </c>
      <c r="C111" s="563" t="str">
        <f ca="1">IF(Data!AL101="","",Data!AL101)</f>
        <v/>
      </c>
      <c r="D111" s="717"/>
      <c r="E111" s="715"/>
      <c r="F111" s="716"/>
      <c r="G111" s="565"/>
      <c r="H111" s="444"/>
      <c r="I111" s="445"/>
      <c r="J111" s="446"/>
      <c r="K111" s="565"/>
      <c r="L111" s="441"/>
      <c r="M111" s="442"/>
      <c r="N111" s="450" t="str">
        <f t="shared" si="8"/>
        <v/>
      </c>
      <c r="O111" s="451" t="str">
        <f t="shared" si="9"/>
        <v/>
      </c>
      <c r="P111" s="452" t="str">
        <f t="shared" si="10"/>
        <v/>
      </c>
      <c r="Q111" s="443"/>
      <c r="R111" s="449">
        <f t="shared" si="11"/>
        <v>0</v>
      </c>
      <c r="S111" s="447" t="str">
        <f t="shared" si="12"/>
        <v/>
      </c>
      <c r="T111" s="157"/>
    </row>
    <row r="112" spans="2:20" ht="15.75" hidden="1" thickBot="1" x14ac:dyDescent="0.3">
      <c r="B112" s="564">
        <f ca="1">OFFSET(Kuponger!$D$5,Data!AN102,0)</f>
        <v>12</v>
      </c>
      <c r="C112" s="563" t="str">
        <f ca="1">IF(Data!AL102="","",Data!AL102)</f>
        <v/>
      </c>
      <c r="D112" s="717"/>
      <c r="E112" s="715"/>
      <c r="F112" s="716"/>
      <c r="G112" s="565"/>
      <c r="H112" s="444"/>
      <c r="I112" s="445"/>
      <c r="J112" s="446"/>
      <c r="K112" s="565"/>
      <c r="L112" s="441"/>
      <c r="M112" s="442"/>
      <c r="N112" s="450" t="str">
        <f t="shared" si="8"/>
        <v/>
      </c>
      <c r="O112" s="451" t="str">
        <f t="shared" si="9"/>
        <v/>
      </c>
      <c r="P112" s="452" t="str">
        <f t="shared" si="10"/>
        <v/>
      </c>
      <c r="Q112" s="443"/>
      <c r="R112" s="449">
        <f t="shared" si="11"/>
        <v>0</v>
      </c>
      <c r="S112" s="447" t="str">
        <f t="shared" si="12"/>
        <v/>
      </c>
      <c r="T112" s="157"/>
    </row>
    <row r="113" spans="2:20" ht="15.75" hidden="1" thickBot="1" x14ac:dyDescent="0.3">
      <c r="B113" s="564">
        <f ca="1">OFFSET(Kuponger!$D$5,Data!AN103,0)</f>
        <v>0</v>
      </c>
      <c r="C113" s="563" t="str">
        <f ca="1">IF(Data!AL103="","",Data!AL103)</f>
        <v/>
      </c>
      <c r="D113" s="717"/>
      <c r="E113" s="715"/>
      <c r="F113" s="716"/>
      <c r="G113" s="565"/>
      <c r="H113" s="444"/>
      <c r="I113" s="445"/>
      <c r="J113" s="446"/>
      <c r="K113" s="565"/>
      <c r="L113" s="441"/>
      <c r="M113" s="442"/>
      <c r="N113" s="450" t="str">
        <f t="shared" si="8"/>
        <v/>
      </c>
      <c r="O113" s="451" t="str">
        <f t="shared" si="9"/>
        <v/>
      </c>
      <c r="P113" s="452" t="str">
        <f t="shared" si="10"/>
        <v/>
      </c>
      <c r="Q113" s="443"/>
      <c r="R113" s="449">
        <f t="shared" si="11"/>
        <v>0</v>
      </c>
      <c r="S113" s="447" t="str">
        <f t="shared" si="12"/>
        <v/>
      </c>
      <c r="T113" s="157"/>
    </row>
    <row r="114" spans="2:20" ht="15.75" hidden="1" thickBot="1" x14ac:dyDescent="0.3">
      <c r="B114" s="564">
        <f ca="1">OFFSET(Kuponger!$D$5,Data!AN104,0)</f>
        <v>0</v>
      </c>
      <c r="C114" s="563" t="str">
        <f ca="1">IF(Data!AL104="","",Data!AL104)</f>
        <v/>
      </c>
      <c r="D114" s="717"/>
      <c r="E114" s="715"/>
      <c r="F114" s="716"/>
      <c r="G114" s="565"/>
      <c r="H114" s="444"/>
      <c r="I114" s="445"/>
      <c r="J114" s="446"/>
      <c r="K114" s="565"/>
      <c r="L114" s="441"/>
      <c r="M114" s="442"/>
      <c r="N114" s="450" t="str">
        <f t="shared" si="8"/>
        <v/>
      </c>
      <c r="O114" s="451" t="str">
        <f t="shared" si="9"/>
        <v/>
      </c>
      <c r="P114" s="452" t="str">
        <f t="shared" si="10"/>
        <v/>
      </c>
      <c r="Q114" s="443"/>
      <c r="R114" s="449">
        <f t="shared" si="11"/>
        <v>0</v>
      </c>
      <c r="S114" s="447" t="str">
        <f t="shared" si="12"/>
        <v/>
      </c>
      <c r="T114" s="157"/>
    </row>
    <row r="115" spans="2:20" ht="15.75" hidden="1" thickBot="1" x14ac:dyDescent="0.3">
      <c r="B115" s="564">
        <f ca="1">OFFSET(Kuponger!$D$5,Data!AN105,0)</f>
        <v>0</v>
      </c>
      <c r="C115" s="563" t="str">
        <f ca="1">IF(Data!AL105="","",Data!AL105)</f>
        <v/>
      </c>
      <c r="D115" s="717"/>
      <c r="E115" s="715"/>
      <c r="F115" s="716"/>
      <c r="G115" s="565"/>
      <c r="H115" s="444"/>
      <c r="I115" s="445"/>
      <c r="J115" s="446"/>
      <c r="K115" s="565"/>
      <c r="L115" s="441"/>
      <c r="M115" s="442"/>
      <c r="N115" s="450" t="str">
        <f t="shared" si="8"/>
        <v/>
      </c>
      <c r="O115" s="451" t="str">
        <f t="shared" si="9"/>
        <v/>
      </c>
      <c r="P115" s="452" t="str">
        <f t="shared" si="10"/>
        <v/>
      </c>
      <c r="Q115" s="443"/>
      <c r="R115" s="449">
        <f t="shared" si="11"/>
        <v>0</v>
      </c>
      <c r="S115" s="447" t="str">
        <f t="shared" si="12"/>
        <v/>
      </c>
      <c r="T115" s="157"/>
    </row>
    <row r="116" spans="2:20" ht="15.75" hidden="1" thickBot="1" x14ac:dyDescent="0.3">
      <c r="B116" s="564">
        <f ca="1">OFFSET(Kuponger!$D$5,Data!AN106,0)</f>
        <v>0</v>
      </c>
      <c r="C116" s="563" t="str">
        <f ca="1">IF(Data!AL106="","",Data!AL106)</f>
        <v/>
      </c>
      <c r="D116" s="717"/>
      <c r="E116" s="715"/>
      <c r="F116" s="716"/>
      <c r="G116" s="565"/>
      <c r="H116" s="444"/>
      <c r="I116" s="445"/>
      <c r="J116" s="446"/>
      <c r="K116" s="565"/>
      <c r="L116" s="441"/>
      <c r="M116" s="442"/>
      <c r="N116" s="450" t="str">
        <f t="shared" si="8"/>
        <v/>
      </c>
      <c r="O116" s="451" t="str">
        <f t="shared" si="9"/>
        <v/>
      </c>
      <c r="P116" s="452" t="str">
        <f t="shared" si="10"/>
        <v/>
      </c>
      <c r="Q116" s="443"/>
      <c r="R116" s="449">
        <f t="shared" si="11"/>
        <v>0</v>
      </c>
      <c r="S116" s="447" t="str">
        <f t="shared" si="12"/>
        <v/>
      </c>
      <c r="T116" s="157"/>
    </row>
    <row r="117" spans="2:20" ht="15.75" hidden="1" thickBot="1" x14ac:dyDescent="0.3">
      <c r="B117" s="564">
        <f ca="1">OFFSET(Kuponger!$D$5,Data!AN107,0)</f>
        <v>0</v>
      </c>
      <c r="C117" s="563" t="str">
        <f ca="1">IF(Data!AL107="","",Data!AL107)</f>
        <v/>
      </c>
      <c r="D117" s="717"/>
      <c r="E117" s="715"/>
      <c r="F117" s="716"/>
      <c r="G117" s="565"/>
      <c r="H117" s="444"/>
      <c r="I117" s="445"/>
      <c r="J117" s="446"/>
      <c r="K117" s="565"/>
      <c r="L117" s="441"/>
      <c r="M117" s="442"/>
      <c r="N117" s="450" t="str">
        <f t="shared" si="8"/>
        <v/>
      </c>
      <c r="O117" s="451" t="str">
        <f t="shared" si="9"/>
        <v/>
      </c>
      <c r="P117" s="452" t="str">
        <f t="shared" si="10"/>
        <v/>
      </c>
      <c r="Q117" s="443"/>
      <c r="R117" s="449">
        <f t="shared" si="11"/>
        <v>0</v>
      </c>
      <c r="S117" s="447" t="str">
        <f t="shared" si="12"/>
        <v/>
      </c>
      <c r="T117" s="157"/>
    </row>
    <row r="118" spans="2:20" ht="15.75" hidden="1" thickBot="1" x14ac:dyDescent="0.3">
      <c r="B118" s="564">
        <f ca="1">OFFSET(Kuponger!$D$5,Data!AN108,0)</f>
        <v>0</v>
      </c>
      <c r="C118" s="563" t="str">
        <f ca="1">IF(Data!AL108="","",Data!AL108)</f>
        <v/>
      </c>
      <c r="D118" s="717"/>
      <c r="E118" s="715"/>
      <c r="F118" s="716"/>
      <c r="G118" s="565"/>
      <c r="H118" s="444"/>
      <c r="I118" s="445"/>
      <c r="J118" s="446"/>
      <c r="K118" s="565"/>
      <c r="L118" s="441"/>
      <c r="M118" s="442"/>
      <c r="N118" s="450" t="str">
        <f t="shared" si="8"/>
        <v/>
      </c>
      <c r="O118" s="451" t="str">
        <f t="shared" si="9"/>
        <v/>
      </c>
      <c r="P118" s="452" t="str">
        <f t="shared" si="10"/>
        <v/>
      </c>
      <c r="Q118" s="443"/>
      <c r="R118" s="449">
        <f t="shared" si="11"/>
        <v>0</v>
      </c>
      <c r="S118" s="447" t="str">
        <f t="shared" si="12"/>
        <v/>
      </c>
      <c r="T118" s="157"/>
    </row>
    <row r="119" spans="2:20" ht="15.75" hidden="1" thickBot="1" x14ac:dyDescent="0.3">
      <c r="B119" s="564">
        <f ca="1">OFFSET(Kuponger!$D$5,Data!AN109,0)</f>
        <v>0</v>
      </c>
      <c r="C119" s="563" t="str">
        <f ca="1">IF(Data!AL109="","",Data!AL109)</f>
        <v/>
      </c>
      <c r="D119" s="717"/>
      <c r="E119" s="715"/>
      <c r="F119" s="716"/>
      <c r="G119" s="565"/>
      <c r="H119" s="444"/>
      <c r="I119" s="445"/>
      <c r="J119" s="446"/>
      <c r="K119" s="565"/>
      <c r="L119" s="441"/>
      <c r="M119" s="442"/>
      <c r="N119" s="450" t="str">
        <f t="shared" si="8"/>
        <v/>
      </c>
      <c r="O119" s="451" t="str">
        <f t="shared" si="9"/>
        <v/>
      </c>
      <c r="P119" s="452" t="str">
        <f t="shared" si="10"/>
        <v/>
      </c>
      <c r="Q119" s="443"/>
      <c r="R119" s="449">
        <f t="shared" si="11"/>
        <v>0</v>
      </c>
      <c r="S119" s="447" t="str">
        <f t="shared" si="12"/>
        <v/>
      </c>
      <c r="T119" s="157"/>
    </row>
    <row r="120" spans="2:20" ht="15.75" hidden="1" thickBot="1" x14ac:dyDescent="0.3">
      <c r="B120" s="564">
        <f ca="1">OFFSET(Kuponger!$D$5,Data!AN110,0)</f>
        <v>41</v>
      </c>
      <c r="C120" s="563" t="str">
        <f ca="1">IF(Data!AL110="","",Data!AL110)</f>
        <v/>
      </c>
      <c r="D120" s="717"/>
      <c r="E120" s="715"/>
      <c r="F120" s="716"/>
      <c r="G120" s="565"/>
      <c r="H120" s="444"/>
      <c r="I120" s="445"/>
      <c r="J120" s="446"/>
      <c r="K120" s="565"/>
      <c r="L120" s="441"/>
      <c r="M120" s="442"/>
      <c r="N120" s="450" t="str">
        <f t="shared" si="8"/>
        <v/>
      </c>
      <c r="O120" s="451" t="str">
        <f t="shared" si="9"/>
        <v/>
      </c>
      <c r="P120" s="452" t="str">
        <f t="shared" si="10"/>
        <v/>
      </c>
      <c r="Q120" s="443"/>
      <c r="R120" s="449">
        <f t="shared" si="11"/>
        <v>0</v>
      </c>
      <c r="S120" s="447" t="str">
        <f t="shared" si="12"/>
        <v/>
      </c>
      <c r="T120" s="157"/>
    </row>
    <row r="121" spans="2:20" ht="15.75" hidden="1" thickBot="1" x14ac:dyDescent="0.3">
      <c r="B121" s="564">
        <f ca="1">OFFSET(Kuponger!$D$5,Data!AN111,0)</f>
        <v>6</v>
      </c>
      <c r="C121" s="563" t="str">
        <f ca="1">IF(Data!AL111="","",Data!AL111)</f>
        <v/>
      </c>
      <c r="D121" s="717"/>
      <c r="E121" s="715"/>
      <c r="F121" s="716"/>
      <c r="G121" s="565"/>
      <c r="H121" s="444"/>
      <c r="I121" s="445"/>
      <c r="J121" s="446"/>
      <c r="K121" s="565"/>
      <c r="L121" s="441"/>
      <c r="M121" s="442"/>
      <c r="N121" s="450" t="str">
        <f t="shared" si="8"/>
        <v/>
      </c>
      <c r="O121" s="451" t="str">
        <f t="shared" si="9"/>
        <v/>
      </c>
      <c r="P121" s="452" t="str">
        <f t="shared" si="10"/>
        <v/>
      </c>
      <c r="Q121" s="443"/>
      <c r="R121" s="449">
        <f t="shared" si="11"/>
        <v>0</v>
      </c>
      <c r="S121" s="447" t="str">
        <f t="shared" si="12"/>
        <v/>
      </c>
      <c r="T121" s="157"/>
    </row>
    <row r="122" spans="2:20" ht="15.75" hidden="1" thickBot="1" x14ac:dyDescent="0.3">
      <c r="B122" s="564">
        <f ca="1">OFFSET(Kuponger!$D$5,Data!AN112,0)</f>
        <v>0</v>
      </c>
      <c r="C122" s="563" t="str">
        <f ca="1">IF(Data!AL112="","",Data!AL112)</f>
        <v/>
      </c>
      <c r="D122" s="717"/>
      <c r="E122" s="715"/>
      <c r="F122" s="716"/>
      <c r="G122" s="565"/>
      <c r="H122" s="444"/>
      <c r="I122" s="445"/>
      <c r="J122" s="446"/>
      <c r="K122" s="565"/>
      <c r="L122" s="441"/>
      <c r="M122" s="442"/>
      <c r="N122" s="450" t="str">
        <f t="shared" si="8"/>
        <v/>
      </c>
      <c r="O122" s="451" t="str">
        <f t="shared" si="9"/>
        <v/>
      </c>
      <c r="P122" s="452" t="str">
        <f t="shared" si="10"/>
        <v/>
      </c>
      <c r="Q122" s="443"/>
      <c r="R122" s="449">
        <f t="shared" si="11"/>
        <v>0</v>
      </c>
      <c r="S122" s="447" t="str">
        <f t="shared" si="12"/>
        <v/>
      </c>
      <c r="T122" s="157"/>
    </row>
    <row r="123" spans="2:20" ht="15.75" hidden="1" thickBot="1" x14ac:dyDescent="0.3">
      <c r="B123" s="564">
        <f ca="1">OFFSET(Kuponger!$D$5,Data!AN113,0)</f>
        <v>1</v>
      </c>
      <c r="C123" s="563" t="str">
        <f ca="1">IF(Data!AL113="","",Data!AL113)</f>
        <v/>
      </c>
      <c r="D123" s="717"/>
      <c r="E123" s="715"/>
      <c r="F123" s="716"/>
      <c r="G123" s="565"/>
      <c r="H123" s="444"/>
      <c r="I123" s="445"/>
      <c r="J123" s="446"/>
      <c r="K123" s="565"/>
      <c r="L123" s="441"/>
      <c r="M123" s="442"/>
      <c r="N123" s="450" t="str">
        <f t="shared" si="8"/>
        <v/>
      </c>
      <c r="O123" s="451" t="str">
        <f t="shared" si="9"/>
        <v/>
      </c>
      <c r="P123" s="452" t="str">
        <f t="shared" si="10"/>
        <v/>
      </c>
      <c r="Q123" s="443"/>
      <c r="R123" s="449">
        <f t="shared" si="11"/>
        <v>0</v>
      </c>
      <c r="S123" s="447" t="str">
        <f t="shared" si="12"/>
        <v/>
      </c>
      <c r="T123" s="157"/>
    </row>
    <row r="124" spans="2:20" ht="15.75" hidden="1" thickBot="1" x14ac:dyDescent="0.3">
      <c r="B124" s="564">
        <f ca="1">OFFSET(Kuponger!$D$5,Data!AN114,0)</f>
        <v>2</v>
      </c>
      <c r="C124" s="563" t="str">
        <f ca="1">IF(Data!AL114="","",Data!AL114)</f>
        <v/>
      </c>
      <c r="D124" s="717"/>
      <c r="E124" s="715"/>
      <c r="F124" s="716"/>
      <c r="G124" s="565"/>
      <c r="H124" s="444"/>
      <c r="I124" s="445"/>
      <c r="J124" s="446"/>
      <c r="K124" s="565"/>
      <c r="L124" s="441"/>
      <c r="M124" s="442"/>
      <c r="N124" s="450" t="str">
        <f t="shared" si="8"/>
        <v/>
      </c>
      <c r="O124" s="451" t="str">
        <f t="shared" si="9"/>
        <v/>
      </c>
      <c r="P124" s="452" t="str">
        <f t="shared" si="10"/>
        <v/>
      </c>
      <c r="Q124" s="443"/>
      <c r="R124" s="449">
        <f t="shared" si="11"/>
        <v>0</v>
      </c>
      <c r="S124" s="447" t="str">
        <f t="shared" si="12"/>
        <v/>
      </c>
      <c r="T124" s="157"/>
    </row>
    <row r="125" spans="2:20" ht="15.75" hidden="1" thickBot="1" x14ac:dyDescent="0.3">
      <c r="B125" s="564">
        <f ca="1">OFFSET(Kuponger!$D$5,Data!AN115,0)</f>
        <v>3</v>
      </c>
      <c r="C125" s="563" t="str">
        <f ca="1">IF(Data!AL115="","",Data!AL115)</f>
        <v/>
      </c>
      <c r="D125" s="717"/>
      <c r="E125" s="715"/>
      <c r="F125" s="716"/>
      <c r="G125" s="565"/>
      <c r="H125" s="444"/>
      <c r="I125" s="445"/>
      <c r="J125" s="446"/>
      <c r="K125" s="565"/>
      <c r="L125" s="441"/>
      <c r="M125" s="442"/>
      <c r="N125" s="450" t="str">
        <f t="shared" si="8"/>
        <v/>
      </c>
      <c r="O125" s="451" t="str">
        <f t="shared" si="9"/>
        <v/>
      </c>
      <c r="P125" s="452" t="str">
        <f t="shared" si="10"/>
        <v/>
      </c>
      <c r="Q125" s="443"/>
      <c r="R125" s="449">
        <f t="shared" si="11"/>
        <v>0</v>
      </c>
      <c r="S125" s="447" t="str">
        <f t="shared" si="12"/>
        <v/>
      </c>
      <c r="T125" s="157"/>
    </row>
    <row r="126" spans="2:20" ht="15.75" hidden="1" thickBot="1" x14ac:dyDescent="0.3">
      <c r="B126" s="564">
        <f ca="1">OFFSET(Kuponger!$D$5,Data!AN116,0)</f>
        <v>4</v>
      </c>
      <c r="C126" s="563" t="str">
        <f ca="1">IF(Data!AL116="","",Data!AL116)</f>
        <v/>
      </c>
      <c r="D126" s="717"/>
      <c r="E126" s="715"/>
      <c r="F126" s="716"/>
      <c r="G126" s="565"/>
      <c r="H126" s="444"/>
      <c r="I126" s="445"/>
      <c r="J126" s="446"/>
      <c r="K126" s="565"/>
      <c r="L126" s="441"/>
      <c r="M126" s="442"/>
      <c r="N126" s="450" t="str">
        <f t="shared" si="8"/>
        <v/>
      </c>
      <c r="O126" s="451" t="str">
        <f t="shared" si="9"/>
        <v/>
      </c>
      <c r="P126" s="452" t="str">
        <f t="shared" si="10"/>
        <v/>
      </c>
      <c r="Q126" s="443"/>
      <c r="R126" s="449">
        <f t="shared" si="11"/>
        <v>0</v>
      </c>
      <c r="S126" s="447" t="str">
        <f t="shared" si="12"/>
        <v/>
      </c>
      <c r="T126" s="157"/>
    </row>
    <row r="127" spans="2:20" ht="15.75" hidden="1" thickBot="1" x14ac:dyDescent="0.3">
      <c r="B127" s="564">
        <f ca="1">OFFSET(Kuponger!$D$5,Data!AN117,0)</f>
        <v>5</v>
      </c>
      <c r="C127" s="563" t="str">
        <f ca="1">IF(Data!AL117="","",Data!AL117)</f>
        <v/>
      </c>
      <c r="D127" s="717"/>
      <c r="E127" s="715"/>
      <c r="F127" s="716"/>
      <c r="G127" s="565"/>
      <c r="H127" s="444"/>
      <c r="I127" s="445"/>
      <c r="J127" s="446"/>
      <c r="K127" s="565"/>
      <c r="L127" s="441"/>
      <c r="M127" s="442"/>
      <c r="N127" s="450" t="str">
        <f t="shared" si="8"/>
        <v/>
      </c>
      <c r="O127" s="451" t="str">
        <f t="shared" si="9"/>
        <v/>
      </c>
      <c r="P127" s="452" t="str">
        <f t="shared" si="10"/>
        <v/>
      </c>
      <c r="Q127" s="443"/>
      <c r="R127" s="449">
        <f t="shared" si="11"/>
        <v>0</v>
      </c>
      <c r="S127" s="447" t="str">
        <f t="shared" si="12"/>
        <v/>
      </c>
      <c r="T127" s="157"/>
    </row>
    <row r="128" spans="2:20" ht="15.75" hidden="1" thickBot="1" x14ac:dyDescent="0.3">
      <c r="B128" s="564">
        <f ca="1">OFFSET(Kuponger!$D$5,Data!AN118,0)</f>
        <v>6</v>
      </c>
      <c r="C128" s="563" t="str">
        <f ca="1">IF(Data!AL118="","",Data!AL118)</f>
        <v/>
      </c>
      <c r="D128" s="717"/>
      <c r="E128" s="715"/>
      <c r="F128" s="716"/>
      <c r="G128" s="565"/>
      <c r="H128" s="444"/>
      <c r="I128" s="445"/>
      <c r="J128" s="446"/>
      <c r="K128" s="565"/>
      <c r="L128" s="441"/>
      <c r="M128" s="442"/>
      <c r="N128" s="450" t="str">
        <f t="shared" si="8"/>
        <v/>
      </c>
      <c r="O128" s="451" t="str">
        <f t="shared" si="9"/>
        <v/>
      </c>
      <c r="P128" s="452" t="str">
        <f t="shared" si="10"/>
        <v/>
      </c>
      <c r="Q128" s="443"/>
      <c r="R128" s="449">
        <f t="shared" si="11"/>
        <v>0</v>
      </c>
      <c r="S128" s="447" t="str">
        <f t="shared" si="12"/>
        <v/>
      </c>
      <c r="T128" s="157"/>
    </row>
    <row r="129" spans="2:20" ht="15.75" hidden="1" thickBot="1" x14ac:dyDescent="0.3">
      <c r="B129" s="564">
        <f ca="1">OFFSET(Kuponger!$D$5,Data!AN119,0)</f>
        <v>7</v>
      </c>
      <c r="C129" s="563" t="str">
        <f ca="1">IF(Data!AL119="","",Data!AL119)</f>
        <v/>
      </c>
      <c r="D129" s="717"/>
      <c r="E129" s="715"/>
      <c r="F129" s="716"/>
      <c r="G129" s="565"/>
      <c r="H129" s="444"/>
      <c r="I129" s="445"/>
      <c r="J129" s="446"/>
      <c r="K129" s="565"/>
      <c r="L129" s="441"/>
      <c r="M129" s="442"/>
      <c r="N129" s="450" t="str">
        <f t="shared" si="8"/>
        <v/>
      </c>
      <c r="O129" s="451" t="str">
        <f t="shared" si="9"/>
        <v/>
      </c>
      <c r="P129" s="452" t="str">
        <f t="shared" si="10"/>
        <v/>
      </c>
      <c r="Q129" s="443"/>
      <c r="R129" s="449">
        <f t="shared" si="11"/>
        <v>0</v>
      </c>
      <c r="S129" s="447" t="str">
        <f t="shared" si="12"/>
        <v/>
      </c>
      <c r="T129" s="157"/>
    </row>
    <row r="130" spans="2:20" ht="15.75" hidden="1" thickBot="1" x14ac:dyDescent="0.3">
      <c r="B130" s="564">
        <f ca="1">OFFSET(Kuponger!$D$5,Data!AN120,0)</f>
        <v>8</v>
      </c>
      <c r="C130" s="563" t="str">
        <f ca="1">IF(Data!AL120="","",Data!AL120)</f>
        <v/>
      </c>
      <c r="D130" s="717"/>
      <c r="E130" s="715"/>
      <c r="F130" s="716"/>
      <c r="G130" s="565"/>
      <c r="H130" s="444"/>
      <c r="I130" s="445"/>
      <c r="J130" s="446"/>
      <c r="K130" s="565"/>
      <c r="L130" s="441"/>
      <c r="M130" s="442"/>
      <c r="N130" s="450" t="str">
        <f t="shared" si="8"/>
        <v/>
      </c>
      <c r="O130" s="451" t="str">
        <f t="shared" si="9"/>
        <v/>
      </c>
      <c r="P130" s="452" t="str">
        <f t="shared" si="10"/>
        <v/>
      </c>
      <c r="Q130" s="443"/>
      <c r="R130" s="449">
        <f t="shared" si="11"/>
        <v>0</v>
      </c>
      <c r="S130" s="447" t="str">
        <f t="shared" si="12"/>
        <v/>
      </c>
      <c r="T130" s="157"/>
    </row>
    <row r="131" spans="2:20" ht="15.75" hidden="1" thickBot="1" x14ac:dyDescent="0.3">
      <c r="B131" s="564">
        <f ca="1">OFFSET(Kuponger!$D$5,Data!AN121,0)</f>
        <v>9</v>
      </c>
      <c r="C131" s="563" t="str">
        <f ca="1">IF(Data!AL121="","",Data!AL121)</f>
        <v/>
      </c>
      <c r="D131" s="717"/>
      <c r="E131" s="715"/>
      <c r="F131" s="716"/>
      <c r="G131" s="565"/>
      <c r="H131" s="444"/>
      <c r="I131" s="445"/>
      <c r="J131" s="446"/>
      <c r="K131" s="565"/>
      <c r="L131" s="441"/>
      <c r="M131" s="442"/>
      <c r="N131" s="450" t="str">
        <f t="shared" si="8"/>
        <v/>
      </c>
      <c r="O131" s="451" t="str">
        <f t="shared" si="9"/>
        <v/>
      </c>
      <c r="P131" s="452" t="str">
        <f t="shared" si="10"/>
        <v/>
      </c>
      <c r="Q131" s="443"/>
      <c r="R131" s="449">
        <f t="shared" si="11"/>
        <v>0</v>
      </c>
      <c r="S131" s="447" t="str">
        <f t="shared" si="12"/>
        <v/>
      </c>
      <c r="T131" s="157"/>
    </row>
    <row r="132" spans="2:20" ht="15.75" hidden="1" thickBot="1" x14ac:dyDescent="0.3">
      <c r="B132" s="564">
        <f ca="1">OFFSET(Kuponger!$D$5,Data!AN122,0)</f>
        <v>10</v>
      </c>
      <c r="C132" s="563" t="str">
        <f ca="1">IF(Data!AL122="","",Data!AL122)</f>
        <v/>
      </c>
      <c r="D132" s="717"/>
      <c r="E132" s="715"/>
      <c r="F132" s="716"/>
      <c r="G132" s="565"/>
      <c r="H132" s="444"/>
      <c r="I132" s="445"/>
      <c r="J132" s="446"/>
      <c r="K132" s="565"/>
      <c r="L132" s="441"/>
      <c r="M132" s="442"/>
      <c r="N132" s="450" t="str">
        <f t="shared" si="8"/>
        <v/>
      </c>
      <c r="O132" s="451" t="str">
        <f t="shared" si="9"/>
        <v/>
      </c>
      <c r="P132" s="452" t="str">
        <f t="shared" si="10"/>
        <v/>
      </c>
      <c r="Q132" s="443"/>
      <c r="R132" s="449">
        <f t="shared" si="11"/>
        <v>0</v>
      </c>
      <c r="S132" s="447" t="str">
        <f t="shared" si="12"/>
        <v/>
      </c>
      <c r="T132" s="157"/>
    </row>
    <row r="133" spans="2:20" ht="15.75" hidden="1" thickBot="1" x14ac:dyDescent="0.3">
      <c r="B133" s="564">
        <f ca="1">OFFSET(Kuponger!$D$5,Data!AN123,0)</f>
        <v>11</v>
      </c>
      <c r="C133" s="563" t="str">
        <f ca="1">IF(Data!AL123="","",Data!AL123)</f>
        <v/>
      </c>
      <c r="D133" s="717"/>
      <c r="E133" s="715"/>
      <c r="F133" s="716"/>
      <c r="G133" s="565"/>
      <c r="H133" s="444"/>
      <c r="I133" s="445"/>
      <c r="J133" s="446"/>
      <c r="K133" s="565"/>
      <c r="L133" s="441"/>
      <c r="M133" s="442"/>
      <c r="N133" s="450" t="str">
        <f t="shared" si="8"/>
        <v/>
      </c>
      <c r="O133" s="451" t="str">
        <f t="shared" si="9"/>
        <v/>
      </c>
      <c r="P133" s="452" t="str">
        <f t="shared" si="10"/>
        <v/>
      </c>
      <c r="Q133" s="443"/>
      <c r="R133" s="449">
        <f t="shared" si="11"/>
        <v>0</v>
      </c>
      <c r="S133" s="447" t="str">
        <f t="shared" si="12"/>
        <v/>
      </c>
      <c r="T133" s="157"/>
    </row>
    <row r="134" spans="2:20" ht="15.75" hidden="1" thickBot="1" x14ac:dyDescent="0.3">
      <c r="B134" s="564">
        <f ca="1">OFFSET(Kuponger!$D$5,Data!AN124,0)</f>
        <v>12</v>
      </c>
      <c r="C134" s="563" t="str">
        <f ca="1">IF(Data!AL124="","",Data!AL124)</f>
        <v/>
      </c>
      <c r="D134" s="717"/>
      <c r="E134" s="715"/>
      <c r="F134" s="716"/>
      <c r="G134" s="565"/>
      <c r="H134" s="444"/>
      <c r="I134" s="445"/>
      <c r="J134" s="446"/>
      <c r="K134" s="565"/>
      <c r="L134" s="441"/>
      <c r="M134" s="442"/>
      <c r="N134" s="450" t="str">
        <f t="shared" si="8"/>
        <v/>
      </c>
      <c r="O134" s="451" t="str">
        <f t="shared" si="9"/>
        <v/>
      </c>
      <c r="P134" s="452" t="str">
        <f t="shared" si="10"/>
        <v/>
      </c>
      <c r="Q134" s="443"/>
      <c r="R134" s="449">
        <f t="shared" si="11"/>
        <v>0</v>
      </c>
      <c r="S134" s="447" t="str">
        <f t="shared" si="12"/>
        <v/>
      </c>
      <c r="T134" s="157"/>
    </row>
    <row r="135" spans="2:20" ht="15.75" hidden="1" thickBot="1" x14ac:dyDescent="0.3">
      <c r="B135" s="564">
        <f ca="1">OFFSET(Kuponger!$D$5,Data!AN125,0)</f>
        <v>0</v>
      </c>
      <c r="C135" s="563" t="str">
        <f ca="1">IF(Data!AL125="","",Data!AL125)</f>
        <v/>
      </c>
      <c r="D135" s="717"/>
      <c r="E135" s="715"/>
      <c r="F135" s="716"/>
      <c r="G135" s="565"/>
      <c r="H135" s="444"/>
      <c r="I135" s="445"/>
      <c r="J135" s="446"/>
      <c r="K135" s="565"/>
      <c r="L135" s="441"/>
      <c r="M135" s="442"/>
      <c r="N135" s="450" t="str">
        <f t="shared" si="8"/>
        <v/>
      </c>
      <c r="O135" s="451" t="str">
        <f t="shared" si="9"/>
        <v/>
      </c>
      <c r="P135" s="452" t="str">
        <f t="shared" si="10"/>
        <v/>
      </c>
      <c r="Q135" s="443"/>
      <c r="R135" s="449">
        <f t="shared" si="11"/>
        <v>0</v>
      </c>
      <c r="S135" s="447" t="str">
        <f t="shared" si="12"/>
        <v/>
      </c>
      <c r="T135" s="157"/>
    </row>
    <row r="136" spans="2:20" ht="15.75" hidden="1" thickBot="1" x14ac:dyDescent="0.3">
      <c r="B136" s="564">
        <f ca="1">OFFSET(Kuponger!$D$5,Data!AN126,0)</f>
        <v>0</v>
      </c>
      <c r="C136" s="563" t="str">
        <f ca="1">IF(Data!AL126="","",Data!AL126)</f>
        <v/>
      </c>
      <c r="D136" s="717"/>
      <c r="E136" s="715"/>
      <c r="F136" s="716"/>
      <c r="G136" s="565"/>
      <c r="H136" s="444"/>
      <c r="I136" s="445"/>
      <c r="J136" s="446"/>
      <c r="K136" s="565"/>
      <c r="L136" s="441"/>
      <c r="M136" s="442"/>
      <c r="N136" s="450" t="str">
        <f t="shared" si="8"/>
        <v/>
      </c>
      <c r="O136" s="451" t="str">
        <f t="shared" si="9"/>
        <v/>
      </c>
      <c r="P136" s="452" t="str">
        <f t="shared" si="10"/>
        <v/>
      </c>
      <c r="Q136" s="443"/>
      <c r="R136" s="449">
        <f t="shared" si="11"/>
        <v>0</v>
      </c>
      <c r="S136" s="447" t="str">
        <f t="shared" si="12"/>
        <v/>
      </c>
      <c r="T136" s="157"/>
    </row>
    <row r="137" spans="2:20" ht="15.75" hidden="1" thickBot="1" x14ac:dyDescent="0.3">
      <c r="B137" s="564">
        <f ca="1">OFFSET(Kuponger!$D$5,Data!AN127,0)</f>
        <v>0</v>
      </c>
      <c r="C137" s="563" t="str">
        <f ca="1">IF(Data!AL127="","",Data!AL127)</f>
        <v/>
      </c>
      <c r="D137" s="717"/>
      <c r="E137" s="715"/>
      <c r="F137" s="716"/>
      <c r="G137" s="565"/>
      <c r="H137" s="444"/>
      <c r="I137" s="445"/>
      <c r="J137" s="446"/>
      <c r="K137" s="565"/>
      <c r="L137" s="441"/>
      <c r="M137" s="442"/>
      <c r="N137" s="450" t="str">
        <f t="shared" si="8"/>
        <v/>
      </c>
      <c r="O137" s="451" t="str">
        <f t="shared" si="9"/>
        <v/>
      </c>
      <c r="P137" s="452" t="str">
        <f t="shared" si="10"/>
        <v/>
      </c>
      <c r="Q137" s="443"/>
      <c r="R137" s="449">
        <f t="shared" si="11"/>
        <v>0</v>
      </c>
      <c r="S137" s="447" t="str">
        <f t="shared" si="12"/>
        <v/>
      </c>
      <c r="T137" s="157"/>
    </row>
    <row r="138" spans="2:20" ht="15.75" hidden="1" thickBot="1" x14ac:dyDescent="0.3">
      <c r="B138" s="564">
        <f ca="1">OFFSET(Kuponger!$D$5,Data!AN128,0)</f>
        <v>0</v>
      </c>
      <c r="C138" s="563" t="str">
        <f ca="1">IF(Data!AL128="","",Data!AL128)</f>
        <v/>
      </c>
      <c r="D138" s="717"/>
      <c r="E138" s="715"/>
      <c r="F138" s="716"/>
      <c r="G138" s="565"/>
      <c r="H138" s="444"/>
      <c r="I138" s="445"/>
      <c r="J138" s="446"/>
      <c r="K138" s="565"/>
      <c r="L138" s="441"/>
      <c r="M138" s="442"/>
      <c r="N138" s="450" t="str">
        <f t="shared" si="8"/>
        <v/>
      </c>
      <c r="O138" s="451" t="str">
        <f t="shared" si="9"/>
        <v/>
      </c>
      <c r="P138" s="452" t="str">
        <f t="shared" si="10"/>
        <v/>
      </c>
      <c r="Q138" s="443"/>
      <c r="R138" s="449">
        <f t="shared" si="11"/>
        <v>0</v>
      </c>
      <c r="S138" s="447" t="str">
        <f t="shared" si="12"/>
        <v/>
      </c>
      <c r="T138" s="157"/>
    </row>
    <row r="139" spans="2:20" ht="15.75" hidden="1" thickBot="1" x14ac:dyDescent="0.3">
      <c r="B139" s="564">
        <f ca="1">OFFSET(Kuponger!$D$5,Data!AN129,0)</f>
        <v>0</v>
      </c>
      <c r="C139" s="563" t="str">
        <f ca="1">IF(Data!AL129="","",Data!AL129)</f>
        <v/>
      </c>
      <c r="D139" s="717"/>
      <c r="E139" s="715"/>
      <c r="F139" s="716"/>
      <c r="G139" s="565"/>
      <c r="H139" s="444"/>
      <c r="I139" s="445"/>
      <c r="J139" s="446"/>
      <c r="K139" s="565"/>
      <c r="L139" s="441"/>
      <c r="M139" s="442"/>
      <c r="N139" s="450" t="str">
        <f t="shared" si="8"/>
        <v/>
      </c>
      <c r="O139" s="451" t="str">
        <f t="shared" si="9"/>
        <v/>
      </c>
      <c r="P139" s="452" t="str">
        <f t="shared" si="10"/>
        <v/>
      </c>
      <c r="Q139" s="443"/>
      <c r="R139" s="449">
        <f t="shared" si="11"/>
        <v>0</v>
      </c>
      <c r="S139" s="447" t="str">
        <f t="shared" si="12"/>
        <v/>
      </c>
      <c r="T139" s="157"/>
    </row>
    <row r="140" spans="2:20" ht="15.75" hidden="1" thickBot="1" x14ac:dyDescent="0.3">
      <c r="B140" s="564">
        <f ca="1">OFFSET(Kuponger!$D$5,Data!AN130,0)</f>
        <v>0</v>
      </c>
      <c r="C140" s="563" t="str">
        <f ca="1">IF(Data!AL130="","",Data!AL130)</f>
        <v/>
      </c>
      <c r="D140" s="717"/>
      <c r="E140" s="715"/>
      <c r="F140" s="716"/>
      <c r="G140" s="565"/>
      <c r="H140" s="444"/>
      <c r="I140" s="445"/>
      <c r="J140" s="446"/>
      <c r="K140" s="565"/>
      <c r="L140" s="441"/>
      <c r="M140" s="442"/>
      <c r="N140" s="450" t="str">
        <f t="shared" ref="N140:N166" si="13">IF(H140&gt;0,D140*H140,"")</f>
        <v/>
      </c>
      <c r="O140" s="451" t="str">
        <f t="shared" ref="O140:O166" si="14">IF(I140&gt;0,E140*I140,"")</f>
        <v/>
      </c>
      <c r="P140" s="452" t="str">
        <f t="shared" ref="P140:P166" si="15">IF(J140&gt;0,F140*J140,"")</f>
        <v/>
      </c>
      <c r="Q140" s="443"/>
      <c r="R140" s="449">
        <f t="shared" si="11"/>
        <v>0</v>
      </c>
      <c r="S140" s="447" t="str">
        <f t="shared" si="12"/>
        <v/>
      </c>
      <c r="T140" s="157"/>
    </row>
    <row r="141" spans="2:20" ht="15.75" hidden="1" thickBot="1" x14ac:dyDescent="0.3">
      <c r="B141" s="564">
        <f ca="1">OFFSET(Kuponger!$D$5,Data!AN131,0)</f>
        <v>0</v>
      </c>
      <c r="C141" s="563" t="str">
        <f ca="1">IF(Data!AL131="","",Data!AL131)</f>
        <v/>
      </c>
      <c r="D141" s="717"/>
      <c r="E141" s="715"/>
      <c r="F141" s="716"/>
      <c r="G141" s="565"/>
      <c r="H141" s="444"/>
      <c r="I141" s="445"/>
      <c r="J141" s="446"/>
      <c r="K141" s="565"/>
      <c r="L141" s="441"/>
      <c r="M141" s="442"/>
      <c r="N141" s="450" t="str">
        <f t="shared" si="13"/>
        <v/>
      </c>
      <c r="O141" s="451" t="str">
        <f t="shared" si="14"/>
        <v/>
      </c>
      <c r="P141" s="452" t="str">
        <f t="shared" si="15"/>
        <v/>
      </c>
      <c r="Q141" s="443"/>
      <c r="R141" s="449">
        <f t="shared" ref="R141:R166" si="16">SUM(N141:P141)</f>
        <v>0</v>
      </c>
      <c r="S141" s="447" t="str">
        <f t="shared" ref="S141:S166" si="17">IF(M141&lt;&gt;"",(S140+L141+R141)-(M141+Q141),"")</f>
        <v/>
      </c>
      <c r="T141" s="157"/>
    </row>
    <row r="142" spans="2:20" ht="15.75" hidden="1" thickBot="1" x14ac:dyDescent="0.3">
      <c r="B142" s="564">
        <f ca="1">OFFSET(Kuponger!$D$5,Data!AN132,0)</f>
        <v>42</v>
      </c>
      <c r="C142" s="563" t="str">
        <f ca="1">IF(Data!AL132="","",Data!AL132)</f>
        <v/>
      </c>
      <c r="D142" s="717"/>
      <c r="E142" s="715"/>
      <c r="F142" s="716"/>
      <c r="G142" s="565"/>
      <c r="H142" s="444"/>
      <c r="I142" s="445"/>
      <c r="J142" s="446"/>
      <c r="K142" s="565"/>
      <c r="L142" s="441"/>
      <c r="M142" s="442"/>
      <c r="N142" s="450" t="str">
        <f t="shared" si="13"/>
        <v/>
      </c>
      <c r="O142" s="451" t="str">
        <f t="shared" si="14"/>
        <v/>
      </c>
      <c r="P142" s="452" t="str">
        <f t="shared" si="15"/>
        <v/>
      </c>
      <c r="Q142" s="443"/>
      <c r="R142" s="449">
        <f t="shared" si="16"/>
        <v>0</v>
      </c>
      <c r="S142" s="447" t="str">
        <f t="shared" si="17"/>
        <v/>
      </c>
      <c r="T142" s="157"/>
    </row>
    <row r="143" spans="2:20" ht="15.75" hidden="1" thickBot="1" x14ac:dyDescent="0.3">
      <c r="B143" s="564">
        <f ca="1">OFFSET(Kuponger!$D$5,Data!AN133,0)</f>
        <v>7</v>
      </c>
      <c r="C143" s="563" t="str">
        <f ca="1">IF(Data!AL133="","",Data!AL133)</f>
        <v/>
      </c>
      <c r="D143" s="717"/>
      <c r="E143" s="715"/>
      <c r="F143" s="716"/>
      <c r="G143" s="565"/>
      <c r="H143" s="444"/>
      <c r="I143" s="445"/>
      <c r="J143" s="446"/>
      <c r="K143" s="565"/>
      <c r="L143" s="441"/>
      <c r="M143" s="442"/>
      <c r="N143" s="450" t="str">
        <f t="shared" si="13"/>
        <v/>
      </c>
      <c r="O143" s="451" t="str">
        <f t="shared" si="14"/>
        <v/>
      </c>
      <c r="P143" s="452" t="str">
        <f t="shared" si="15"/>
        <v/>
      </c>
      <c r="Q143" s="443"/>
      <c r="R143" s="449">
        <f t="shared" si="16"/>
        <v>0</v>
      </c>
      <c r="S143" s="447" t="str">
        <f t="shared" si="17"/>
        <v/>
      </c>
      <c r="T143" s="157"/>
    </row>
    <row r="144" spans="2:20" ht="15.75" hidden="1" thickBot="1" x14ac:dyDescent="0.3">
      <c r="B144" s="564">
        <f ca="1">OFFSET(Kuponger!$D$5,Data!AN134,0)</f>
        <v>0</v>
      </c>
      <c r="C144" s="563" t="str">
        <f ca="1">IF(Data!AL134="","",Data!AL134)</f>
        <v/>
      </c>
      <c r="D144" s="717"/>
      <c r="E144" s="715"/>
      <c r="F144" s="716"/>
      <c r="G144" s="565"/>
      <c r="H144" s="444"/>
      <c r="I144" s="445"/>
      <c r="J144" s="446"/>
      <c r="K144" s="565"/>
      <c r="L144" s="441"/>
      <c r="M144" s="442"/>
      <c r="N144" s="450" t="str">
        <f t="shared" si="13"/>
        <v/>
      </c>
      <c r="O144" s="451" t="str">
        <f t="shared" si="14"/>
        <v/>
      </c>
      <c r="P144" s="452" t="str">
        <f t="shared" si="15"/>
        <v/>
      </c>
      <c r="Q144" s="443"/>
      <c r="R144" s="449">
        <f t="shared" si="16"/>
        <v>0</v>
      </c>
      <c r="S144" s="447" t="str">
        <f t="shared" si="17"/>
        <v/>
      </c>
      <c r="T144" s="157"/>
    </row>
    <row r="145" spans="2:20" ht="15.75" hidden="1" thickBot="1" x14ac:dyDescent="0.3">
      <c r="B145" s="564">
        <f ca="1">OFFSET(Kuponger!$D$5,Data!AN135,0)</f>
        <v>1</v>
      </c>
      <c r="C145" s="563" t="str">
        <f ca="1">IF(Data!AL135="","",Data!AL135)</f>
        <v/>
      </c>
      <c r="D145" s="717"/>
      <c r="E145" s="715"/>
      <c r="F145" s="716"/>
      <c r="G145" s="565"/>
      <c r="H145" s="444"/>
      <c r="I145" s="445"/>
      <c r="J145" s="446"/>
      <c r="K145" s="565"/>
      <c r="L145" s="441"/>
      <c r="M145" s="442"/>
      <c r="N145" s="450" t="str">
        <f t="shared" si="13"/>
        <v/>
      </c>
      <c r="O145" s="451" t="str">
        <f t="shared" si="14"/>
        <v/>
      </c>
      <c r="P145" s="452" t="str">
        <f t="shared" si="15"/>
        <v/>
      </c>
      <c r="Q145" s="443"/>
      <c r="R145" s="449">
        <f t="shared" si="16"/>
        <v>0</v>
      </c>
      <c r="S145" s="447" t="str">
        <f t="shared" si="17"/>
        <v/>
      </c>
      <c r="T145" s="157"/>
    </row>
    <row r="146" spans="2:20" ht="15.75" hidden="1" thickBot="1" x14ac:dyDescent="0.3">
      <c r="B146" s="564">
        <f ca="1">OFFSET(Kuponger!$D$5,Data!AN136,0)</f>
        <v>2</v>
      </c>
      <c r="C146" s="563" t="str">
        <f ca="1">IF(Data!AL136="","",Data!AL136)</f>
        <v/>
      </c>
      <c r="D146" s="717"/>
      <c r="E146" s="715"/>
      <c r="F146" s="716"/>
      <c r="G146" s="565"/>
      <c r="H146" s="444"/>
      <c r="I146" s="445"/>
      <c r="J146" s="446"/>
      <c r="K146" s="565"/>
      <c r="L146" s="441"/>
      <c r="M146" s="442"/>
      <c r="N146" s="450" t="str">
        <f t="shared" si="13"/>
        <v/>
      </c>
      <c r="O146" s="451" t="str">
        <f t="shared" si="14"/>
        <v/>
      </c>
      <c r="P146" s="452" t="str">
        <f t="shared" si="15"/>
        <v/>
      </c>
      <c r="Q146" s="443"/>
      <c r="R146" s="449">
        <f t="shared" si="16"/>
        <v>0</v>
      </c>
      <c r="S146" s="447" t="str">
        <f t="shared" si="17"/>
        <v/>
      </c>
      <c r="T146" s="157"/>
    </row>
    <row r="147" spans="2:20" ht="15.75" hidden="1" thickBot="1" x14ac:dyDescent="0.3">
      <c r="B147" s="564">
        <f ca="1">OFFSET(Kuponger!$D$5,Data!AN137,0)</f>
        <v>3</v>
      </c>
      <c r="C147" s="563" t="str">
        <f ca="1">IF(Data!AL137="","",Data!AL137)</f>
        <v/>
      </c>
      <c r="D147" s="717"/>
      <c r="E147" s="715"/>
      <c r="F147" s="716"/>
      <c r="G147" s="565"/>
      <c r="H147" s="444"/>
      <c r="I147" s="445"/>
      <c r="J147" s="446"/>
      <c r="K147" s="565"/>
      <c r="L147" s="441"/>
      <c r="M147" s="442"/>
      <c r="N147" s="450" t="str">
        <f t="shared" si="13"/>
        <v/>
      </c>
      <c r="O147" s="451" t="str">
        <f t="shared" si="14"/>
        <v/>
      </c>
      <c r="P147" s="452" t="str">
        <f t="shared" si="15"/>
        <v/>
      </c>
      <c r="Q147" s="443"/>
      <c r="R147" s="449">
        <f t="shared" si="16"/>
        <v>0</v>
      </c>
      <c r="S147" s="447" t="str">
        <f t="shared" si="17"/>
        <v/>
      </c>
      <c r="T147" s="157"/>
    </row>
    <row r="148" spans="2:20" ht="15.75" hidden="1" thickBot="1" x14ac:dyDescent="0.3">
      <c r="B148" s="564">
        <f ca="1">OFFSET(Kuponger!$D$5,Data!AN138,0)</f>
        <v>4</v>
      </c>
      <c r="C148" s="563" t="str">
        <f ca="1">IF(Data!AL138="","",Data!AL138)</f>
        <v/>
      </c>
      <c r="D148" s="717"/>
      <c r="E148" s="715"/>
      <c r="F148" s="716"/>
      <c r="G148" s="565"/>
      <c r="H148" s="444"/>
      <c r="I148" s="445"/>
      <c r="J148" s="446"/>
      <c r="K148" s="565"/>
      <c r="L148" s="441"/>
      <c r="M148" s="442"/>
      <c r="N148" s="450" t="str">
        <f t="shared" si="13"/>
        <v/>
      </c>
      <c r="O148" s="451" t="str">
        <f t="shared" si="14"/>
        <v/>
      </c>
      <c r="P148" s="452" t="str">
        <f t="shared" si="15"/>
        <v/>
      </c>
      <c r="Q148" s="443"/>
      <c r="R148" s="449">
        <f t="shared" si="16"/>
        <v>0</v>
      </c>
      <c r="S148" s="447" t="str">
        <f t="shared" si="17"/>
        <v/>
      </c>
      <c r="T148" s="157"/>
    </row>
    <row r="149" spans="2:20" ht="15.75" hidden="1" thickBot="1" x14ac:dyDescent="0.3">
      <c r="B149" s="564">
        <f ca="1">OFFSET(Kuponger!$D$5,Data!AN139,0)</f>
        <v>5</v>
      </c>
      <c r="C149" s="563" t="str">
        <f ca="1">IF(Data!AL139="","",Data!AL139)</f>
        <v/>
      </c>
      <c r="D149" s="717"/>
      <c r="E149" s="715"/>
      <c r="F149" s="716"/>
      <c r="G149" s="565"/>
      <c r="H149" s="444"/>
      <c r="I149" s="445"/>
      <c r="J149" s="446"/>
      <c r="K149" s="565"/>
      <c r="L149" s="441"/>
      <c r="M149" s="442"/>
      <c r="N149" s="450" t="str">
        <f t="shared" si="13"/>
        <v/>
      </c>
      <c r="O149" s="451" t="str">
        <f t="shared" si="14"/>
        <v/>
      </c>
      <c r="P149" s="452" t="str">
        <f t="shared" si="15"/>
        <v/>
      </c>
      <c r="Q149" s="443"/>
      <c r="R149" s="449">
        <f t="shared" si="16"/>
        <v>0</v>
      </c>
      <c r="S149" s="447" t="str">
        <f t="shared" si="17"/>
        <v/>
      </c>
      <c r="T149" s="157"/>
    </row>
    <row r="150" spans="2:20" ht="15.75" hidden="1" thickBot="1" x14ac:dyDescent="0.3">
      <c r="B150" s="564">
        <f ca="1">OFFSET(Kuponger!$D$5,Data!AN140,0)</f>
        <v>6</v>
      </c>
      <c r="C150" s="563" t="str">
        <f ca="1">IF(Data!AL140="","",Data!AL140)</f>
        <v/>
      </c>
      <c r="D150" s="717"/>
      <c r="E150" s="715"/>
      <c r="F150" s="716"/>
      <c r="G150" s="565"/>
      <c r="H150" s="444"/>
      <c r="I150" s="445"/>
      <c r="J150" s="446"/>
      <c r="K150" s="565"/>
      <c r="L150" s="441"/>
      <c r="M150" s="442"/>
      <c r="N150" s="450" t="str">
        <f t="shared" si="13"/>
        <v/>
      </c>
      <c r="O150" s="451" t="str">
        <f t="shared" si="14"/>
        <v/>
      </c>
      <c r="P150" s="452" t="str">
        <f t="shared" si="15"/>
        <v/>
      </c>
      <c r="Q150" s="443"/>
      <c r="R150" s="449">
        <f t="shared" si="16"/>
        <v>0</v>
      </c>
      <c r="S150" s="447" t="str">
        <f t="shared" si="17"/>
        <v/>
      </c>
      <c r="T150" s="157"/>
    </row>
    <row r="151" spans="2:20" ht="15.75" hidden="1" thickBot="1" x14ac:dyDescent="0.3">
      <c r="B151" s="564">
        <f ca="1">OFFSET(Kuponger!$D$5,Data!AN141,0)</f>
        <v>7</v>
      </c>
      <c r="C151" s="563" t="str">
        <f ca="1">IF(Data!AL141="","",Data!AL141)</f>
        <v/>
      </c>
      <c r="D151" s="717"/>
      <c r="E151" s="715"/>
      <c r="F151" s="716"/>
      <c r="G151" s="565"/>
      <c r="H151" s="444"/>
      <c r="I151" s="445"/>
      <c r="J151" s="446"/>
      <c r="K151" s="565"/>
      <c r="L151" s="441"/>
      <c r="M151" s="442"/>
      <c r="N151" s="450" t="str">
        <f t="shared" si="13"/>
        <v/>
      </c>
      <c r="O151" s="451" t="str">
        <f t="shared" si="14"/>
        <v/>
      </c>
      <c r="P151" s="452" t="str">
        <f t="shared" si="15"/>
        <v/>
      </c>
      <c r="Q151" s="443"/>
      <c r="R151" s="449">
        <f t="shared" si="16"/>
        <v>0</v>
      </c>
      <c r="S151" s="447" t="str">
        <f t="shared" si="17"/>
        <v/>
      </c>
      <c r="T151" s="157"/>
    </row>
    <row r="152" spans="2:20" ht="15.75" hidden="1" thickBot="1" x14ac:dyDescent="0.3">
      <c r="B152" s="564">
        <f ca="1">OFFSET(Kuponger!$D$5,Data!AN142,0)</f>
        <v>8</v>
      </c>
      <c r="C152" s="563" t="str">
        <f ca="1">IF(Data!AL142="","",Data!AL142)</f>
        <v/>
      </c>
      <c r="D152" s="717"/>
      <c r="E152" s="715"/>
      <c r="F152" s="716"/>
      <c r="G152" s="565"/>
      <c r="H152" s="444"/>
      <c r="I152" s="445"/>
      <c r="J152" s="446"/>
      <c r="K152" s="565"/>
      <c r="L152" s="441"/>
      <c r="M152" s="442"/>
      <c r="N152" s="450" t="str">
        <f t="shared" si="13"/>
        <v/>
      </c>
      <c r="O152" s="451" t="str">
        <f t="shared" si="14"/>
        <v/>
      </c>
      <c r="P152" s="452" t="str">
        <f t="shared" si="15"/>
        <v/>
      </c>
      <c r="Q152" s="443"/>
      <c r="R152" s="449">
        <f t="shared" si="16"/>
        <v>0</v>
      </c>
      <c r="S152" s="447" t="str">
        <f t="shared" si="17"/>
        <v/>
      </c>
      <c r="T152" s="157"/>
    </row>
    <row r="153" spans="2:20" ht="15.75" hidden="1" thickBot="1" x14ac:dyDescent="0.3">
      <c r="B153" s="564">
        <f ca="1">OFFSET(Kuponger!$D$5,Data!AN143,0)</f>
        <v>9</v>
      </c>
      <c r="C153" s="563" t="str">
        <f ca="1">IF(Data!AL143="","",Data!AL143)</f>
        <v/>
      </c>
      <c r="D153" s="717"/>
      <c r="E153" s="715"/>
      <c r="F153" s="716"/>
      <c r="G153" s="565"/>
      <c r="H153" s="444"/>
      <c r="I153" s="445"/>
      <c r="J153" s="446"/>
      <c r="K153" s="565"/>
      <c r="L153" s="441"/>
      <c r="M153" s="442"/>
      <c r="N153" s="450" t="str">
        <f t="shared" si="13"/>
        <v/>
      </c>
      <c r="O153" s="451" t="str">
        <f t="shared" si="14"/>
        <v/>
      </c>
      <c r="P153" s="452" t="str">
        <f t="shared" si="15"/>
        <v/>
      </c>
      <c r="Q153" s="443"/>
      <c r="R153" s="449">
        <f t="shared" si="16"/>
        <v>0</v>
      </c>
      <c r="S153" s="447" t="str">
        <f t="shared" si="17"/>
        <v/>
      </c>
      <c r="T153" s="157"/>
    </row>
    <row r="154" spans="2:20" ht="15.75" hidden="1" thickBot="1" x14ac:dyDescent="0.3">
      <c r="B154" s="564">
        <f ca="1">OFFSET(Kuponger!$D$5,Data!AN144,0)</f>
        <v>10</v>
      </c>
      <c r="C154" s="563" t="str">
        <f ca="1">IF(Data!AL144="","",Data!AL144)</f>
        <v/>
      </c>
      <c r="D154" s="717"/>
      <c r="E154" s="715"/>
      <c r="F154" s="716"/>
      <c r="G154" s="565"/>
      <c r="H154" s="444"/>
      <c r="I154" s="445"/>
      <c r="J154" s="446"/>
      <c r="K154" s="565"/>
      <c r="L154" s="441"/>
      <c r="M154" s="442"/>
      <c r="N154" s="450" t="str">
        <f t="shared" si="13"/>
        <v/>
      </c>
      <c r="O154" s="451" t="str">
        <f t="shared" si="14"/>
        <v/>
      </c>
      <c r="P154" s="452" t="str">
        <f t="shared" si="15"/>
        <v/>
      </c>
      <c r="Q154" s="443"/>
      <c r="R154" s="449">
        <f t="shared" si="16"/>
        <v>0</v>
      </c>
      <c r="S154" s="447" t="str">
        <f t="shared" si="17"/>
        <v/>
      </c>
      <c r="T154" s="157"/>
    </row>
    <row r="155" spans="2:20" ht="15.75" hidden="1" thickBot="1" x14ac:dyDescent="0.3">
      <c r="B155" s="564">
        <f ca="1">OFFSET(Kuponger!$D$5,Data!AN145,0)</f>
        <v>11</v>
      </c>
      <c r="C155" s="563" t="str">
        <f ca="1">IF(Data!AL145="","",Data!AL145)</f>
        <v/>
      </c>
      <c r="D155" s="717"/>
      <c r="E155" s="715"/>
      <c r="F155" s="716"/>
      <c r="G155" s="565"/>
      <c r="H155" s="444"/>
      <c r="I155" s="445"/>
      <c r="J155" s="446"/>
      <c r="K155" s="565"/>
      <c r="L155" s="441"/>
      <c r="M155" s="442"/>
      <c r="N155" s="450" t="str">
        <f t="shared" si="13"/>
        <v/>
      </c>
      <c r="O155" s="451" t="str">
        <f t="shared" si="14"/>
        <v/>
      </c>
      <c r="P155" s="452" t="str">
        <f t="shared" si="15"/>
        <v/>
      </c>
      <c r="Q155" s="443"/>
      <c r="R155" s="449">
        <f t="shared" si="16"/>
        <v>0</v>
      </c>
      <c r="S155" s="447" t="str">
        <f t="shared" si="17"/>
        <v/>
      </c>
      <c r="T155" s="157"/>
    </row>
    <row r="156" spans="2:20" ht="15.75" hidden="1" thickBot="1" x14ac:dyDescent="0.3">
      <c r="B156" s="564">
        <f ca="1">OFFSET(Kuponger!$D$5,Data!AN146,0)</f>
        <v>12</v>
      </c>
      <c r="C156" s="563" t="str">
        <f ca="1">IF(Data!AL146="","",Data!AL146)</f>
        <v/>
      </c>
      <c r="D156" s="717"/>
      <c r="E156" s="715"/>
      <c r="F156" s="716"/>
      <c r="G156" s="565"/>
      <c r="H156" s="444"/>
      <c r="I156" s="445"/>
      <c r="J156" s="446"/>
      <c r="K156" s="565"/>
      <c r="L156" s="441"/>
      <c r="M156" s="442"/>
      <c r="N156" s="450" t="str">
        <f t="shared" si="13"/>
        <v/>
      </c>
      <c r="O156" s="451" t="str">
        <f t="shared" si="14"/>
        <v/>
      </c>
      <c r="P156" s="452" t="str">
        <f t="shared" si="15"/>
        <v/>
      </c>
      <c r="Q156" s="443"/>
      <c r="R156" s="449">
        <f t="shared" si="16"/>
        <v>0</v>
      </c>
      <c r="S156" s="447" t="str">
        <f t="shared" si="17"/>
        <v/>
      </c>
      <c r="T156" s="157"/>
    </row>
    <row r="157" spans="2:20" ht="15.75" hidden="1" thickBot="1" x14ac:dyDescent="0.3">
      <c r="B157" s="564">
        <f ca="1">OFFSET(Kuponger!$D$5,Data!AN147,0)</f>
        <v>0</v>
      </c>
      <c r="C157" s="563" t="str">
        <f ca="1">IF(Data!AL147="","",Data!AL147)</f>
        <v/>
      </c>
      <c r="D157" s="717"/>
      <c r="E157" s="715"/>
      <c r="F157" s="716"/>
      <c r="G157" s="565"/>
      <c r="H157" s="444"/>
      <c r="I157" s="445"/>
      <c r="J157" s="446"/>
      <c r="K157" s="565"/>
      <c r="L157" s="441"/>
      <c r="M157" s="442"/>
      <c r="N157" s="450" t="str">
        <f t="shared" si="13"/>
        <v/>
      </c>
      <c r="O157" s="451" t="str">
        <f t="shared" si="14"/>
        <v/>
      </c>
      <c r="P157" s="452" t="str">
        <f t="shared" si="15"/>
        <v/>
      </c>
      <c r="Q157" s="443"/>
      <c r="R157" s="449">
        <f t="shared" si="16"/>
        <v>0</v>
      </c>
      <c r="S157" s="447" t="str">
        <f t="shared" si="17"/>
        <v/>
      </c>
      <c r="T157" s="157"/>
    </row>
    <row r="158" spans="2:20" ht="15.75" hidden="1" thickBot="1" x14ac:dyDescent="0.3">
      <c r="B158" s="564">
        <f ca="1">OFFSET(Kuponger!$D$5,Data!AN148,0)</f>
        <v>0</v>
      </c>
      <c r="C158" s="563" t="str">
        <f ca="1">IF(Data!AL148="","",Data!AL148)</f>
        <v/>
      </c>
      <c r="D158" s="717"/>
      <c r="E158" s="715"/>
      <c r="F158" s="716"/>
      <c r="G158" s="565"/>
      <c r="H158" s="444"/>
      <c r="I158" s="445"/>
      <c r="J158" s="446"/>
      <c r="K158" s="565"/>
      <c r="L158" s="441"/>
      <c r="M158" s="442"/>
      <c r="N158" s="450" t="str">
        <f t="shared" si="13"/>
        <v/>
      </c>
      <c r="O158" s="451" t="str">
        <f t="shared" si="14"/>
        <v/>
      </c>
      <c r="P158" s="452" t="str">
        <f t="shared" si="15"/>
        <v/>
      </c>
      <c r="Q158" s="443"/>
      <c r="R158" s="449">
        <f t="shared" si="16"/>
        <v>0</v>
      </c>
      <c r="S158" s="447" t="str">
        <f t="shared" si="17"/>
        <v/>
      </c>
      <c r="T158" s="157"/>
    </row>
    <row r="159" spans="2:20" ht="15.75" hidden="1" thickBot="1" x14ac:dyDescent="0.3">
      <c r="B159" s="564">
        <f ca="1">OFFSET(Kuponger!$D$5,Data!AN149,0)</f>
        <v>0</v>
      </c>
      <c r="C159" s="563" t="str">
        <f ca="1">IF(Data!AL149="","",Data!AL149)</f>
        <v/>
      </c>
      <c r="D159" s="717"/>
      <c r="E159" s="715"/>
      <c r="F159" s="716"/>
      <c r="G159" s="565"/>
      <c r="H159" s="444"/>
      <c r="I159" s="445"/>
      <c r="J159" s="446"/>
      <c r="K159" s="565"/>
      <c r="L159" s="441"/>
      <c r="M159" s="442"/>
      <c r="N159" s="450" t="str">
        <f t="shared" si="13"/>
        <v/>
      </c>
      <c r="O159" s="451" t="str">
        <f t="shared" si="14"/>
        <v/>
      </c>
      <c r="P159" s="452" t="str">
        <f t="shared" si="15"/>
        <v/>
      </c>
      <c r="Q159" s="443"/>
      <c r="R159" s="449">
        <f t="shared" si="16"/>
        <v>0</v>
      </c>
      <c r="S159" s="447" t="str">
        <f t="shared" si="17"/>
        <v/>
      </c>
      <c r="T159" s="157"/>
    </row>
    <row r="160" spans="2:20" ht="15.75" hidden="1" thickBot="1" x14ac:dyDescent="0.3">
      <c r="B160" s="564">
        <f ca="1">OFFSET(Kuponger!$D$5,Data!AN150,0)</f>
        <v>0</v>
      </c>
      <c r="C160" s="563" t="str">
        <f ca="1">IF(Data!AL150="","",Data!AL150)</f>
        <v/>
      </c>
      <c r="D160" s="717"/>
      <c r="E160" s="715"/>
      <c r="F160" s="716"/>
      <c r="G160" s="565"/>
      <c r="H160" s="444"/>
      <c r="I160" s="445"/>
      <c r="J160" s="446"/>
      <c r="K160" s="565"/>
      <c r="L160" s="441"/>
      <c r="M160" s="442"/>
      <c r="N160" s="450" t="str">
        <f t="shared" si="13"/>
        <v/>
      </c>
      <c r="O160" s="451" t="str">
        <f t="shared" si="14"/>
        <v/>
      </c>
      <c r="P160" s="452" t="str">
        <f t="shared" si="15"/>
        <v/>
      </c>
      <c r="Q160" s="443"/>
      <c r="R160" s="449">
        <f t="shared" si="16"/>
        <v>0</v>
      </c>
      <c r="S160" s="447" t="str">
        <f t="shared" si="17"/>
        <v/>
      </c>
      <c r="T160" s="157"/>
    </row>
    <row r="161" spans="2:20" ht="15.75" hidden="1" thickBot="1" x14ac:dyDescent="0.3">
      <c r="B161" s="564">
        <f ca="1">OFFSET(Kuponger!$D$5,Data!AN151,0)</f>
        <v>0</v>
      </c>
      <c r="C161" s="563" t="str">
        <f ca="1">IF(Data!AL151="","",Data!AL151)</f>
        <v/>
      </c>
      <c r="D161" s="717"/>
      <c r="E161" s="715"/>
      <c r="F161" s="716"/>
      <c r="G161" s="565"/>
      <c r="H161" s="444"/>
      <c r="I161" s="445"/>
      <c r="J161" s="446"/>
      <c r="K161" s="565"/>
      <c r="L161" s="441"/>
      <c r="M161" s="442"/>
      <c r="N161" s="450" t="str">
        <f t="shared" si="13"/>
        <v/>
      </c>
      <c r="O161" s="451" t="str">
        <f t="shared" si="14"/>
        <v/>
      </c>
      <c r="P161" s="452" t="str">
        <f t="shared" si="15"/>
        <v/>
      </c>
      <c r="Q161" s="443"/>
      <c r="R161" s="449">
        <f t="shared" si="16"/>
        <v>0</v>
      </c>
      <c r="S161" s="447" t="str">
        <f t="shared" si="17"/>
        <v/>
      </c>
      <c r="T161" s="157"/>
    </row>
    <row r="162" spans="2:20" ht="15.75" hidden="1" thickBot="1" x14ac:dyDescent="0.3">
      <c r="B162" s="564">
        <f ca="1">OFFSET(Kuponger!$D$5,Data!AN152,0)</f>
        <v>0</v>
      </c>
      <c r="C162" s="563" t="str">
        <f ca="1">IF(Data!AL152="","",Data!AL152)</f>
        <v/>
      </c>
      <c r="D162" s="717"/>
      <c r="E162" s="715"/>
      <c r="F162" s="716"/>
      <c r="G162" s="565"/>
      <c r="H162" s="444"/>
      <c r="I162" s="445"/>
      <c r="J162" s="446"/>
      <c r="K162" s="565"/>
      <c r="L162" s="441"/>
      <c r="M162" s="442"/>
      <c r="N162" s="450" t="str">
        <f t="shared" si="13"/>
        <v/>
      </c>
      <c r="O162" s="451" t="str">
        <f t="shared" si="14"/>
        <v/>
      </c>
      <c r="P162" s="452" t="str">
        <f t="shared" si="15"/>
        <v/>
      </c>
      <c r="Q162" s="443"/>
      <c r="R162" s="449">
        <f t="shared" si="16"/>
        <v>0</v>
      </c>
      <c r="S162" s="447" t="str">
        <f t="shared" si="17"/>
        <v/>
      </c>
      <c r="T162" s="157"/>
    </row>
    <row r="163" spans="2:20" ht="15.75" hidden="1" thickBot="1" x14ac:dyDescent="0.3">
      <c r="B163" s="564">
        <f ca="1">OFFSET(Kuponger!$D$5,Data!AN153,0)</f>
        <v>0</v>
      </c>
      <c r="C163" s="563" t="str">
        <f ca="1">IF(Data!AL153="","",Data!AL153)</f>
        <v/>
      </c>
      <c r="D163" s="717"/>
      <c r="E163" s="715"/>
      <c r="F163" s="716"/>
      <c r="G163" s="565"/>
      <c r="H163" s="444"/>
      <c r="I163" s="445"/>
      <c r="J163" s="446"/>
      <c r="K163" s="565"/>
      <c r="L163" s="441"/>
      <c r="M163" s="442"/>
      <c r="N163" s="450" t="str">
        <f t="shared" si="13"/>
        <v/>
      </c>
      <c r="O163" s="451" t="str">
        <f t="shared" si="14"/>
        <v/>
      </c>
      <c r="P163" s="452" t="str">
        <f t="shared" si="15"/>
        <v/>
      </c>
      <c r="Q163" s="443"/>
      <c r="R163" s="449">
        <f t="shared" si="16"/>
        <v>0</v>
      </c>
      <c r="S163" s="447" t="str">
        <f t="shared" si="17"/>
        <v/>
      </c>
      <c r="T163" s="157"/>
    </row>
    <row r="164" spans="2:20" ht="15.75" hidden="1" thickBot="1" x14ac:dyDescent="0.3">
      <c r="B164" s="564">
        <f ca="1">OFFSET(Kuponger!$D$5,Data!AN154,0)</f>
        <v>43</v>
      </c>
      <c r="C164" s="563" t="str">
        <f ca="1">IF(Data!AL154="","",Data!AL154)</f>
        <v/>
      </c>
      <c r="D164" s="717"/>
      <c r="E164" s="715"/>
      <c r="F164" s="716"/>
      <c r="G164" s="565"/>
      <c r="H164" s="444"/>
      <c r="I164" s="445"/>
      <c r="J164" s="446"/>
      <c r="K164" s="565"/>
      <c r="L164" s="441"/>
      <c r="M164" s="442"/>
      <c r="N164" s="450" t="str">
        <f t="shared" si="13"/>
        <v/>
      </c>
      <c r="O164" s="451" t="str">
        <f t="shared" si="14"/>
        <v/>
      </c>
      <c r="P164" s="452" t="str">
        <f t="shared" si="15"/>
        <v/>
      </c>
      <c r="Q164" s="443"/>
      <c r="R164" s="449">
        <f t="shared" si="16"/>
        <v>0</v>
      </c>
      <c r="S164" s="447" t="str">
        <f t="shared" si="17"/>
        <v/>
      </c>
      <c r="T164" s="157"/>
    </row>
    <row r="165" spans="2:20" ht="15.75" hidden="1" thickBot="1" x14ac:dyDescent="0.3">
      <c r="B165" s="564">
        <f ca="1">OFFSET(Kuponger!$D$5,Data!AN155,0)</f>
        <v>8</v>
      </c>
      <c r="C165" s="563" t="str">
        <f ca="1">IF(Data!AL155="","",Data!AL155)</f>
        <v/>
      </c>
      <c r="D165" s="717"/>
      <c r="E165" s="715"/>
      <c r="F165" s="716"/>
      <c r="G165" s="565"/>
      <c r="H165" s="444"/>
      <c r="I165" s="445"/>
      <c r="J165" s="446"/>
      <c r="K165" s="565"/>
      <c r="L165" s="441"/>
      <c r="M165" s="442"/>
      <c r="N165" s="450" t="str">
        <f t="shared" si="13"/>
        <v/>
      </c>
      <c r="O165" s="451" t="str">
        <f t="shared" si="14"/>
        <v/>
      </c>
      <c r="P165" s="452" t="str">
        <f t="shared" si="15"/>
        <v/>
      </c>
      <c r="Q165" s="443"/>
      <c r="R165" s="449">
        <f t="shared" si="16"/>
        <v>0</v>
      </c>
      <c r="S165" s="447" t="str">
        <f t="shared" si="17"/>
        <v/>
      </c>
      <c r="T165" s="157"/>
    </row>
    <row r="166" spans="2:20" ht="15.75" hidden="1" thickBot="1" x14ac:dyDescent="0.3">
      <c r="B166" s="564">
        <f ca="1">OFFSET(Kuponger!$D$5,Data!AN156,0)</f>
        <v>0</v>
      </c>
      <c r="C166" s="563" t="str">
        <f ca="1">IF(Data!AL156="","",Data!AL156)</f>
        <v/>
      </c>
      <c r="D166" s="723"/>
      <c r="E166" s="724"/>
      <c r="F166" s="725"/>
      <c r="G166" s="565"/>
      <c r="H166" s="566"/>
      <c r="I166" s="567"/>
      <c r="J166" s="568"/>
      <c r="K166" s="565"/>
      <c r="L166" s="569"/>
      <c r="M166" s="570"/>
      <c r="N166" s="571" t="str">
        <f t="shared" si="13"/>
        <v/>
      </c>
      <c r="O166" s="572" t="str">
        <f t="shared" si="14"/>
        <v/>
      </c>
      <c r="P166" s="573" t="str">
        <f t="shared" si="15"/>
        <v/>
      </c>
      <c r="Q166" s="574"/>
      <c r="R166" s="575">
        <f t="shared" si="16"/>
        <v>0</v>
      </c>
      <c r="S166" s="576" t="str">
        <f t="shared" si="17"/>
        <v/>
      </c>
      <c r="T166" s="157"/>
    </row>
    <row r="167" spans="2:20" ht="15.75" thickBot="1" x14ac:dyDescent="0.3">
      <c r="B167" s="577"/>
      <c r="C167" s="578"/>
      <c r="D167" s="726"/>
      <c r="E167" s="727"/>
      <c r="F167" s="727"/>
      <c r="G167" s="579"/>
      <c r="H167" s="580"/>
      <c r="I167" s="580"/>
      <c r="J167" s="580"/>
      <c r="K167" s="579"/>
      <c r="L167" s="581" t="s">
        <v>434</v>
      </c>
      <c r="M167" s="582" t="s">
        <v>435</v>
      </c>
      <c r="N167" s="583">
        <v>12</v>
      </c>
      <c r="O167" s="583">
        <v>11</v>
      </c>
      <c r="P167" s="583">
        <v>10</v>
      </c>
      <c r="Q167" s="584"/>
      <c r="R167" s="585"/>
      <c r="S167" s="586" t="s">
        <v>436</v>
      </c>
      <c r="T167" s="550"/>
    </row>
    <row r="168" spans="2:20" ht="15.75" thickBot="1" x14ac:dyDescent="0.3">
      <c r="B168" s="155"/>
      <c r="C168" s="158"/>
      <c r="D168" s="745">
        <f>SUM(D11:D166)</f>
        <v>13881115</v>
      </c>
      <c r="E168" s="746">
        <f t="shared" ref="E168:R168" si="18">SUM(E11:E166)</f>
        <v>143740</v>
      </c>
      <c r="F168" s="747">
        <f t="shared" si="18"/>
        <v>13190</v>
      </c>
      <c r="G168" s="748"/>
      <c r="H168" s="749">
        <f t="shared" si="18"/>
        <v>0</v>
      </c>
      <c r="I168" s="750">
        <f t="shared" si="18"/>
        <v>8</v>
      </c>
      <c r="J168" s="751">
        <f t="shared" si="18"/>
        <v>43</v>
      </c>
      <c r="K168" s="748"/>
      <c r="L168" s="752">
        <f t="shared" si="18"/>
        <v>9870</v>
      </c>
      <c r="M168" s="752">
        <f t="shared" si="18"/>
        <v>12800</v>
      </c>
      <c r="N168" s="745">
        <f t="shared" si="18"/>
        <v>0</v>
      </c>
      <c r="O168" s="746">
        <f t="shared" si="18"/>
        <v>1600</v>
      </c>
      <c r="P168" s="747">
        <f t="shared" si="18"/>
        <v>2150</v>
      </c>
      <c r="Q168" s="752">
        <f t="shared" si="18"/>
        <v>333.59999999999997</v>
      </c>
      <c r="R168" s="753">
        <f t="shared" si="18"/>
        <v>3750</v>
      </c>
      <c r="S168" s="754">
        <f>S9+R168+L168-M168-Q168</f>
        <v>823.85999999999922</v>
      </c>
      <c r="T168" s="409" t="s">
        <v>437</v>
      </c>
    </row>
    <row r="169" spans="2:20" ht="15.75" thickBot="1" x14ac:dyDescent="0.3">
      <c r="B169" s="155"/>
      <c r="C169" s="158"/>
      <c r="D169" s="156"/>
      <c r="E169" s="156"/>
      <c r="F169" s="156"/>
      <c r="G169" s="155"/>
      <c r="H169" s="155"/>
      <c r="I169" s="155"/>
      <c r="J169" s="155"/>
      <c r="K169" s="155"/>
      <c r="L169" s="155"/>
      <c r="M169" s="156"/>
      <c r="N169" s="156"/>
      <c r="O169" s="156"/>
      <c r="P169" s="156"/>
      <c r="Q169" s="159"/>
      <c r="R169" s="159"/>
      <c r="S169" s="159"/>
      <c r="T169" s="157"/>
    </row>
    <row r="170" spans="2:20" ht="15.75" thickBot="1" x14ac:dyDescent="0.3">
      <c r="B170" s="155"/>
      <c r="C170" s="158"/>
      <c r="D170" s="156"/>
      <c r="E170" s="156"/>
      <c r="F170" s="156"/>
      <c r="G170" s="155"/>
      <c r="H170" s="155"/>
      <c r="I170" s="155"/>
      <c r="J170" s="155"/>
      <c r="K170" s="155"/>
      <c r="L170" s="155"/>
      <c r="M170" s="156"/>
      <c r="N170" s="156"/>
      <c r="O170" s="156"/>
      <c r="P170" s="156"/>
      <c r="Q170" s="160"/>
      <c r="R170" s="161" t="s">
        <v>438</v>
      </c>
      <c r="S170" s="162">
        <f>S168/7</f>
        <v>117.6942857142856</v>
      </c>
      <c r="T170" s="163"/>
    </row>
    <row r="171" spans="2:20" ht="15" x14ac:dyDescent="0.25">
      <c r="B171" s="155"/>
      <c r="C171" s="158"/>
      <c r="D171" s="156"/>
      <c r="E171" s="156"/>
      <c r="F171" s="156"/>
      <c r="G171" s="155"/>
      <c r="H171" s="155"/>
      <c r="I171" s="155"/>
      <c r="J171" s="155"/>
      <c r="K171" s="155"/>
      <c r="L171" s="155"/>
      <c r="M171" s="156"/>
      <c r="N171" s="156"/>
      <c r="O171" s="156"/>
      <c r="P171" s="156"/>
      <c r="Q171" s="155"/>
      <c r="R171" s="156"/>
      <c r="S171" s="156"/>
      <c r="T171" s="155"/>
    </row>
    <row r="172" spans="2:20" ht="15" x14ac:dyDescent="0.25">
      <c r="B172" s="155"/>
      <c r="C172" s="158"/>
      <c r="D172" s="156"/>
      <c r="E172" s="156"/>
      <c r="F172" s="164"/>
      <c r="G172" s="165" t="s">
        <v>439</v>
      </c>
      <c r="H172" s="962" t="s">
        <v>440</v>
      </c>
      <c r="I172" s="962"/>
      <c r="J172" s="962"/>
      <c r="K172" s="962"/>
      <c r="L172" s="962"/>
      <c r="M172" s="156"/>
      <c r="N172" s="156"/>
      <c r="O172" s="156"/>
      <c r="P172" s="156"/>
      <c r="Q172" s="963" t="str">
        <f>IF(S168&gt;400,"Nok penger på konto for en runde til!","Klikk på knappen under for å sende ut nye krav")</f>
        <v>Nok penger på konto for en runde til!</v>
      </c>
      <c r="R172" s="963"/>
      <c r="S172" s="303"/>
      <c r="T172" s="155"/>
    </row>
    <row r="173" spans="2:20" ht="15" x14ac:dyDescent="0.25">
      <c r="B173" s="155"/>
      <c r="C173" s="158"/>
      <c r="D173" s="156"/>
      <c r="E173" s="156"/>
      <c r="F173" s="156"/>
      <c r="G173" s="155"/>
      <c r="H173" s="155"/>
      <c r="I173" s="155"/>
      <c r="J173" s="155"/>
      <c r="K173" s="155"/>
      <c r="L173" s="155"/>
      <c r="M173" s="156"/>
      <c r="N173" s="156"/>
      <c r="O173" s="156"/>
      <c r="P173" s="156"/>
      <c r="Q173" s="155"/>
      <c r="R173" s="156"/>
      <c r="S173" s="156"/>
      <c r="T173" s="155"/>
    </row>
  </sheetData>
  <sheetProtection selectLockedCells="1"/>
  <mergeCells count="2">
    <mergeCell ref="H172:L172"/>
    <mergeCell ref="Q172:R172"/>
  </mergeCells>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3009" r:id="rId4" name="Button 1">
              <controlPr defaultSize="0" print="0" autoFill="0" autoPict="0" macro="[0]!SendKrav">
                <anchor moveWithCells="1" sizeWithCells="1">
                  <from>
                    <xdr:col>15</xdr:col>
                    <xdr:colOff>609600</xdr:colOff>
                    <xdr:row>173</xdr:row>
                    <xdr:rowOff>28575</xdr:rowOff>
                  </from>
                  <to>
                    <xdr:col>20</xdr:col>
                    <xdr:colOff>28575</xdr:colOff>
                    <xdr:row>176</xdr:row>
                    <xdr:rowOff>28575</xdr:rowOff>
                  </to>
                </anchor>
              </controlPr>
            </control>
          </mc:Choice>
        </mc:AlternateContent>
      </controls>
    </mc:Choice>
  </mc:AlternateContent>
  <extLst>
    <ext xmlns:x15="http://schemas.microsoft.com/office/spreadsheetml/2010/11/main" uri="{F7C9EE02-42E1-4005-9D12-6889AFFD525C}">
      <x15:webExtensions xmlns:xm="http://schemas.microsoft.com/office/excel/2006/main">
        <x15:webExtension appRef="{15B66A94-4EEC-403A-9554-31C92B2E3CF2}">
          <xm:f>Regnskap!$U$29</xm:f>
        </x15:webExtension>
      </x15:webExtens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740D1-0536-491F-B6FA-4873BABD9938}">
  <sheetPr codeName="Ark4">
    <tabColor rgb="FFC00000"/>
  </sheetPr>
  <dimension ref="B2:CD72"/>
  <sheetViews>
    <sheetView showGridLines="0" topLeftCell="A41" workbookViewId="0">
      <selection activeCell="H16" sqref="H16"/>
    </sheetView>
  </sheetViews>
  <sheetFormatPr baseColWidth="10" defaultColWidth="11.42578125" defaultRowHeight="12.75" x14ac:dyDescent="0.2"/>
  <cols>
    <col min="1" max="1" width="11.42578125" style="27"/>
    <col min="2" max="12" width="11.42578125" style="27" customWidth="1"/>
    <col min="13" max="16384" width="11.42578125" style="27"/>
  </cols>
  <sheetData>
    <row r="2" spans="2:82" x14ac:dyDescent="0.2">
      <c r="C2" s="757"/>
      <c r="D2" s="758">
        <v>80</v>
      </c>
      <c r="E2" s="758"/>
      <c r="F2" s="759"/>
      <c r="G2" s="760"/>
      <c r="H2" s="758"/>
      <c r="I2" s="759"/>
      <c r="J2" s="760"/>
      <c r="K2" s="758"/>
      <c r="L2" s="759"/>
      <c r="M2" s="757"/>
      <c r="N2" s="758">
        <v>70</v>
      </c>
      <c r="O2" s="758"/>
      <c r="P2" s="759"/>
      <c r="Q2" s="760"/>
      <c r="R2" s="758"/>
      <c r="S2" s="759"/>
      <c r="T2" s="760"/>
      <c r="U2" s="758"/>
      <c r="V2" s="759"/>
      <c r="W2" s="757"/>
      <c r="X2" s="758">
        <v>60</v>
      </c>
      <c r="Y2" s="758"/>
      <c r="Z2" s="759"/>
      <c r="AA2" s="760"/>
      <c r="AB2" s="758"/>
      <c r="AC2" s="759"/>
      <c r="AD2" s="760"/>
      <c r="AE2" s="758"/>
      <c r="AF2" s="759"/>
      <c r="AG2" s="757"/>
      <c r="AH2" s="758">
        <v>50</v>
      </c>
      <c r="AI2" s="758"/>
      <c r="AJ2" s="759"/>
      <c r="AK2" s="760"/>
      <c r="AL2" s="758"/>
      <c r="AM2" s="759"/>
      <c r="AN2" s="760"/>
      <c r="AO2" s="758"/>
      <c r="AP2" s="759"/>
      <c r="AQ2" s="757"/>
      <c r="AR2" s="758">
        <v>40</v>
      </c>
      <c r="AS2" s="758"/>
      <c r="AT2" s="759"/>
      <c r="AU2" s="760"/>
      <c r="AV2" s="758"/>
      <c r="AW2" s="759"/>
      <c r="AX2" s="760"/>
      <c r="AY2" s="758"/>
      <c r="AZ2" s="759"/>
      <c r="BA2" s="757"/>
      <c r="BB2" s="758">
        <v>30</v>
      </c>
      <c r="BC2" s="758"/>
      <c r="BD2" s="759"/>
      <c r="BE2" s="760"/>
      <c r="BF2" s="758"/>
      <c r="BG2" s="759"/>
      <c r="BH2" s="760"/>
      <c r="BI2" s="758"/>
      <c r="BJ2" s="759"/>
      <c r="BK2" s="757"/>
      <c r="BL2" s="758">
        <v>20</v>
      </c>
      <c r="BM2" s="758"/>
      <c r="BN2" s="759"/>
      <c r="BO2" s="760"/>
      <c r="BP2" s="758"/>
      <c r="BQ2" s="759"/>
      <c r="BR2" s="760"/>
      <c r="BS2" s="758"/>
      <c r="BT2" s="759"/>
      <c r="BU2" s="757"/>
      <c r="BV2" s="758">
        <v>10</v>
      </c>
      <c r="BW2" s="758"/>
      <c r="BX2" s="759"/>
      <c r="BY2" s="760"/>
      <c r="BZ2" s="758"/>
      <c r="CA2" s="759"/>
      <c r="CB2" s="760"/>
      <c r="CC2" s="758"/>
      <c r="CD2" s="759"/>
    </row>
    <row r="3" spans="2:82" x14ac:dyDescent="0.2">
      <c r="C3" s="761"/>
      <c r="D3" s="762" t="s">
        <v>393</v>
      </c>
      <c r="E3" s="762"/>
      <c r="F3" s="763"/>
      <c r="G3" s="764"/>
      <c r="H3" s="762"/>
      <c r="I3" s="763"/>
      <c r="J3" s="764"/>
      <c r="K3" s="762"/>
      <c r="L3" s="763"/>
      <c r="M3" s="761"/>
      <c r="N3" s="762" t="s">
        <v>393</v>
      </c>
      <c r="O3" s="762"/>
      <c r="P3" s="763"/>
      <c r="Q3" s="764"/>
      <c r="R3" s="762"/>
      <c r="S3" s="763"/>
      <c r="T3" s="764"/>
      <c r="U3" s="762"/>
      <c r="V3" s="763"/>
      <c r="W3" s="761"/>
      <c r="X3" s="762" t="s">
        <v>393</v>
      </c>
      <c r="Y3" s="762"/>
      <c r="Z3" s="763"/>
      <c r="AA3" s="764"/>
      <c r="AB3" s="762"/>
      <c r="AC3" s="763"/>
      <c r="AD3" s="764"/>
      <c r="AE3" s="762"/>
      <c r="AF3" s="763"/>
      <c r="AG3" s="761"/>
      <c r="AH3" s="762" t="s">
        <v>393</v>
      </c>
      <c r="AI3" s="762"/>
      <c r="AJ3" s="763"/>
      <c r="AK3" s="764"/>
      <c r="AL3" s="762"/>
      <c r="AM3" s="763"/>
      <c r="AN3" s="764"/>
      <c r="AO3" s="762"/>
      <c r="AP3" s="763"/>
      <c r="AQ3" s="761"/>
      <c r="AR3" s="762" t="s">
        <v>393</v>
      </c>
      <c r="AS3" s="762"/>
      <c r="AT3" s="763"/>
      <c r="AU3" s="764"/>
      <c r="AV3" s="762"/>
      <c r="AW3" s="763"/>
      <c r="AX3" s="764"/>
      <c r="AY3" s="762"/>
      <c r="AZ3" s="763"/>
      <c r="BA3" s="761"/>
      <c r="BB3" s="762" t="s">
        <v>393</v>
      </c>
      <c r="BC3" s="762"/>
      <c r="BD3" s="763"/>
      <c r="BE3" s="764"/>
      <c r="BF3" s="762"/>
      <c r="BG3" s="763"/>
      <c r="BH3" s="764"/>
      <c r="BI3" s="762"/>
      <c r="BJ3" s="763"/>
      <c r="BK3" s="761"/>
      <c r="BL3" s="762" t="s">
        <v>393</v>
      </c>
      <c r="BM3" s="762"/>
      <c r="BN3" s="763"/>
      <c r="BO3" s="764"/>
      <c r="BP3" s="762"/>
      <c r="BQ3" s="763"/>
      <c r="BR3" s="764"/>
      <c r="BS3" s="762"/>
      <c r="BT3" s="763"/>
      <c r="BU3" s="761"/>
      <c r="BV3" s="762" t="s">
        <v>393</v>
      </c>
      <c r="BW3" s="762"/>
      <c r="BX3" s="763"/>
      <c r="BY3" s="764"/>
      <c r="BZ3" s="762"/>
      <c r="CA3" s="763"/>
      <c r="CB3" s="764"/>
      <c r="CC3" s="762"/>
      <c r="CD3" s="763"/>
    </row>
    <row r="4" spans="2:82" x14ac:dyDescent="0.2">
      <c r="C4" s="765"/>
      <c r="D4" s="766" t="s">
        <v>45</v>
      </c>
      <c r="E4" s="766" t="s">
        <v>441</v>
      </c>
      <c r="F4" s="767" t="s">
        <v>412</v>
      </c>
      <c r="G4" s="768" t="s">
        <v>46</v>
      </c>
      <c r="H4" s="766" t="s">
        <v>441</v>
      </c>
      <c r="I4" s="767" t="s">
        <v>412</v>
      </c>
      <c r="J4" s="768" t="s">
        <v>47</v>
      </c>
      <c r="K4" s="766" t="s">
        <v>441</v>
      </c>
      <c r="L4" s="767" t="s">
        <v>412</v>
      </c>
      <c r="M4" s="765"/>
      <c r="N4" s="766" t="s">
        <v>45</v>
      </c>
      <c r="O4" s="766" t="s">
        <v>441</v>
      </c>
      <c r="P4" s="767" t="s">
        <v>412</v>
      </c>
      <c r="Q4" s="768" t="s">
        <v>46</v>
      </c>
      <c r="R4" s="766" t="s">
        <v>441</v>
      </c>
      <c r="S4" s="767" t="s">
        <v>412</v>
      </c>
      <c r="T4" s="768" t="s">
        <v>47</v>
      </c>
      <c r="U4" s="766" t="s">
        <v>441</v>
      </c>
      <c r="V4" s="767" t="s">
        <v>412</v>
      </c>
      <c r="W4" s="765"/>
      <c r="X4" s="766" t="s">
        <v>45</v>
      </c>
      <c r="Y4" s="766" t="s">
        <v>441</v>
      </c>
      <c r="Z4" s="767" t="s">
        <v>412</v>
      </c>
      <c r="AA4" s="768" t="s">
        <v>46</v>
      </c>
      <c r="AB4" s="766" t="s">
        <v>441</v>
      </c>
      <c r="AC4" s="767" t="s">
        <v>412</v>
      </c>
      <c r="AD4" s="768" t="s">
        <v>47</v>
      </c>
      <c r="AE4" s="766" t="s">
        <v>441</v>
      </c>
      <c r="AF4" s="767" t="s">
        <v>412</v>
      </c>
      <c r="AG4" s="765"/>
      <c r="AH4" s="766" t="s">
        <v>45</v>
      </c>
      <c r="AI4" s="766" t="s">
        <v>441</v>
      </c>
      <c r="AJ4" s="767" t="s">
        <v>412</v>
      </c>
      <c r="AK4" s="768" t="s">
        <v>46</v>
      </c>
      <c r="AL4" s="766" t="s">
        <v>441</v>
      </c>
      <c r="AM4" s="767" t="s">
        <v>412</v>
      </c>
      <c r="AN4" s="768" t="s">
        <v>47</v>
      </c>
      <c r="AO4" s="766" t="s">
        <v>441</v>
      </c>
      <c r="AP4" s="767" t="s">
        <v>412</v>
      </c>
      <c r="AQ4" s="765"/>
      <c r="AR4" s="766" t="s">
        <v>45</v>
      </c>
      <c r="AS4" s="766" t="s">
        <v>441</v>
      </c>
      <c r="AT4" s="767" t="s">
        <v>412</v>
      </c>
      <c r="AU4" s="768" t="s">
        <v>46</v>
      </c>
      <c r="AV4" s="766" t="s">
        <v>441</v>
      </c>
      <c r="AW4" s="767" t="s">
        <v>412</v>
      </c>
      <c r="AX4" s="768" t="s">
        <v>47</v>
      </c>
      <c r="AY4" s="766" t="s">
        <v>441</v>
      </c>
      <c r="AZ4" s="767" t="s">
        <v>412</v>
      </c>
      <c r="BA4" s="765"/>
      <c r="BB4" s="766" t="s">
        <v>45</v>
      </c>
      <c r="BC4" s="766" t="s">
        <v>441</v>
      </c>
      <c r="BD4" s="767" t="s">
        <v>412</v>
      </c>
      <c r="BE4" s="768" t="s">
        <v>46</v>
      </c>
      <c r="BF4" s="766" t="s">
        <v>441</v>
      </c>
      <c r="BG4" s="767" t="s">
        <v>412</v>
      </c>
      <c r="BH4" s="768" t="s">
        <v>47</v>
      </c>
      <c r="BI4" s="766" t="s">
        <v>441</v>
      </c>
      <c r="BJ4" s="767" t="s">
        <v>412</v>
      </c>
      <c r="BK4" s="765"/>
      <c r="BL4" s="766" t="s">
        <v>45</v>
      </c>
      <c r="BM4" s="766" t="s">
        <v>441</v>
      </c>
      <c r="BN4" s="767" t="s">
        <v>412</v>
      </c>
      <c r="BO4" s="768" t="s">
        <v>46</v>
      </c>
      <c r="BP4" s="766" t="s">
        <v>441</v>
      </c>
      <c r="BQ4" s="767" t="s">
        <v>412</v>
      </c>
      <c r="BR4" s="768" t="s">
        <v>47</v>
      </c>
      <c r="BS4" s="766" t="s">
        <v>441</v>
      </c>
      <c r="BT4" s="767" t="s">
        <v>412</v>
      </c>
      <c r="BU4" s="765"/>
      <c r="BV4" s="766" t="s">
        <v>45</v>
      </c>
      <c r="BW4" s="766" t="s">
        <v>441</v>
      </c>
      <c r="BX4" s="767" t="s">
        <v>412</v>
      </c>
      <c r="BY4" s="768" t="s">
        <v>46</v>
      </c>
      <c r="BZ4" s="766" t="s">
        <v>441</v>
      </c>
      <c r="CA4" s="767" t="s">
        <v>412</v>
      </c>
      <c r="CB4" s="768" t="s">
        <v>47</v>
      </c>
      <c r="CC4" s="766" t="s">
        <v>441</v>
      </c>
      <c r="CD4" s="767" t="s">
        <v>412</v>
      </c>
    </row>
    <row r="5" spans="2:82" x14ac:dyDescent="0.2">
      <c r="C5" s="769" t="s">
        <v>20</v>
      </c>
      <c r="D5" s="47">
        <f>IFERROR(COUNTIF(Kuponger!$AD:$AD,D$2),0)</f>
        <v>137</v>
      </c>
      <c r="E5" s="47">
        <f>IFERROR(COUNTIF(Kuponger!$Z:$Z,Analyse!D$2),0)</f>
        <v>253</v>
      </c>
      <c r="F5" s="770">
        <f t="shared" ref="F5:F13" si="0">IFERROR(D5/E5,0)</f>
        <v>0.54150197628458496</v>
      </c>
      <c r="G5" s="771">
        <f>IFERROR(COUNTIF(Kuponger!$V:$V,D$2),0)</f>
        <v>5</v>
      </c>
      <c r="H5" s="47">
        <f>IFERROR(COUNTIF(Kuponger!$R:$R,Analyse!D$2),0)</f>
        <v>15</v>
      </c>
      <c r="I5" s="770">
        <f>IFERROR(G5/H5,0)</f>
        <v>0.33333333333333331</v>
      </c>
      <c r="J5" s="771">
        <f>IFERROR(COUNTIF(Kuponger!$W:$W,D$2),0)</f>
        <v>10</v>
      </c>
      <c r="K5" s="47">
        <f>IFERROR(COUNTIF(Kuponger!$S:$S,Analyse!D$2),0)</f>
        <v>11</v>
      </c>
      <c r="L5" s="770">
        <f>IFERROR(J5/K5,0)</f>
        <v>0.90909090909090906</v>
      </c>
      <c r="M5" s="769" t="s">
        <v>20</v>
      </c>
      <c r="N5" s="47">
        <f>IFERROR(COUNTIF(Kuponger!$AD:$AD,N$2),0)</f>
        <v>0</v>
      </c>
      <c r="O5" s="47">
        <f>IFERROR(COUNTIF(Kuponger!$Z:$Z,Analyse!N$2),0)</f>
        <v>0</v>
      </c>
      <c r="P5" s="770">
        <f t="shared" ref="P5:P13" si="1">IFERROR(N5/O5,0)</f>
        <v>0</v>
      </c>
      <c r="Q5" s="771">
        <f>IFERROR(COUNTIF(Kuponger!$V:$V,N$2),0)</f>
        <v>1</v>
      </c>
      <c r="R5" s="47">
        <f>IFERROR(COUNTIF(Kuponger!$R:$R,Analyse!N$2),0)</f>
        <v>8</v>
      </c>
      <c r="S5" s="770">
        <f>IFERROR(Q5/R5,0)</f>
        <v>0.125</v>
      </c>
      <c r="T5" s="771">
        <f>IFERROR(COUNTIF(Kuponger!$W:$W,N$2),0)</f>
        <v>6</v>
      </c>
      <c r="U5" s="47">
        <f>IFERROR(COUNTIF(Kuponger!$S:$S,Analyse!N$2),0)</f>
        <v>12</v>
      </c>
      <c r="V5" s="770">
        <f>IFERROR(T5/U5,0)</f>
        <v>0.5</v>
      </c>
      <c r="W5" s="769" t="s">
        <v>19</v>
      </c>
      <c r="X5" s="47">
        <f>IFERROR(COUNTIF(Kuponger!$U:$U,X$2),0)</f>
        <v>19</v>
      </c>
      <c r="Y5" s="47">
        <f>IFERROR(COUNTIF(Kuponger!$Q:$Q,Analyse!X$2),0)</f>
        <v>53</v>
      </c>
      <c r="Z5" s="770">
        <f t="shared" ref="Z5:Z13" si="2">IFERROR(X5/Y5,0)</f>
        <v>0.35849056603773582</v>
      </c>
      <c r="AA5" s="771">
        <f>IFERROR(COUNTIF(Kuponger!$V:$V,X$2),0)</f>
        <v>3</v>
      </c>
      <c r="AB5" s="47">
        <f>IFERROR(COUNTIF(Kuponger!$R:$R,Analyse!X$2),0)</f>
        <v>21</v>
      </c>
      <c r="AC5" s="770">
        <f>IFERROR(AA5/AB5,0)</f>
        <v>0.14285714285714285</v>
      </c>
      <c r="AD5" s="771">
        <f>IFERROR(COUNTIF(Kuponger!$W:$W,X$2),0)</f>
        <v>8</v>
      </c>
      <c r="AE5" s="47">
        <f>IFERROR(COUNTIF(Kuponger!$S:$S,Analyse!X$2),0)</f>
        <v>19</v>
      </c>
      <c r="AF5" s="770">
        <f>IFERROR(AD5/AE5,0)</f>
        <v>0.42105263157894735</v>
      </c>
      <c r="AG5" s="769" t="s">
        <v>24</v>
      </c>
      <c r="AH5" s="47">
        <f>IFERROR(COUNTIF(Kuponger!$BN:$BN,AH$2),0)</f>
        <v>2</v>
      </c>
      <c r="AI5" s="47">
        <f>IFERROR(COUNTIF(Kuponger!$BJ:$BJ,Analyse!AH$2),0)</f>
        <v>4</v>
      </c>
      <c r="AJ5" s="770">
        <f t="shared" ref="AJ5:AJ13" si="3">IFERROR(AH5/AI5,0)</f>
        <v>0.5</v>
      </c>
      <c r="AK5" s="771">
        <f>IFERROR(COUNTIF(Kuponger!$V:$V,AH$2),0)</f>
        <v>1</v>
      </c>
      <c r="AL5" s="47">
        <f>IFERROR(COUNTIF(Kuponger!$R:$R,Analyse!AH$2),0)</f>
        <v>6</v>
      </c>
      <c r="AM5" s="770">
        <f>IFERROR(AK5/AL5,0)</f>
        <v>0.16666666666666666</v>
      </c>
      <c r="AN5" s="771">
        <f>IFERROR(COUNTIF(Kuponger!$W:$W,AH$2),0)</f>
        <v>6</v>
      </c>
      <c r="AO5" s="47">
        <f>IFERROR(COUNTIF(Kuponger!$S:$S,Analyse!AH$2),0)</f>
        <v>20</v>
      </c>
      <c r="AP5" s="770">
        <f>IFERROR(AN5/AO5,0)</f>
        <v>0.3</v>
      </c>
      <c r="AQ5" s="769" t="s">
        <v>25</v>
      </c>
      <c r="AR5" s="47">
        <f>IFERROR(COUNTIF(Kuponger!$BW:$BW,AR$2),0)</f>
        <v>22</v>
      </c>
      <c r="AS5" s="47">
        <f>IFERROR(COUNTIF(Kuponger!$BS:$BS,Analyse!AR$2),0)</f>
        <v>60</v>
      </c>
      <c r="AT5" s="770">
        <f t="shared" ref="AT5:AT13" si="4">IFERROR(AR5/AS5,0)</f>
        <v>0.36666666666666664</v>
      </c>
      <c r="AU5" s="771">
        <f>IFERROR(COUNTIF(Kuponger!$V:$V,AR$2),0)</f>
        <v>2</v>
      </c>
      <c r="AV5" s="47">
        <f>IFERROR(COUNTIF(Kuponger!$R:$R,Analyse!AR$2),0)</f>
        <v>15</v>
      </c>
      <c r="AW5" s="770">
        <f>IFERROR(AU5/AV5,0)</f>
        <v>0.13333333333333333</v>
      </c>
      <c r="AX5" s="771">
        <f>IFERROR(COUNTIF(Kuponger!$W:$W,AR$2),0)</f>
        <v>5</v>
      </c>
      <c r="AY5" s="47">
        <f>IFERROR(COUNTIF(Kuponger!$S:$S,Analyse!AR$2),0)</f>
        <v>28</v>
      </c>
      <c r="AZ5" s="770">
        <f>IFERROR(AX5/AY5,0)</f>
        <v>0.17857142857142858</v>
      </c>
      <c r="BA5" s="769" t="s">
        <v>21</v>
      </c>
      <c r="BB5" s="47">
        <f>IFERROR(COUNTIF(Kuponger!$AM:$AM,BB$2),0)</f>
        <v>18</v>
      </c>
      <c r="BC5" s="47">
        <f>IFERROR(COUNTIF(Kuponger!$AI:$AI,Analyse!BB$2),0)</f>
        <v>53</v>
      </c>
      <c r="BD5" s="770">
        <f t="shared" ref="BD5:BD13" si="5">IFERROR(BB5/BC5,0)</f>
        <v>0.33962264150943394</v>
      </c>
      <c r="BE5" s="771">
        <f>IFERROR(COUNTIF(Kuponger!$V:$V,BB$2),0)</f>
        <v>40</v>
      </c>
      <c r="BF5" s="47">
        <f>IFERROR(COUNTIF(Kuponger!$R:$R,Analyse!BB$2),0)</f>
        <v>158</v>
      </c>
      <c r="BG5" s="770">
        <f>IFERROR(BE5/BF5,0)</f>
        <v>0.25316455696202533</v>
      </c>
      <c r="BH5" s="771">
        <f>IFERROR(COUNTIF(Kuponger!$W:$W,BB$2),0)</f>
        <v>25</v>
      </c>
      <c r="BI5" s="47">
        <f>IFERROR(COUNTIF(Kuponger!$S:$S,Analyse!BB$2),0)</f>
        <v>74</v>
      </c>
      <c r="BJ5" s="770">
        <f>IFERROR(BH5/BI5,0)</f>
        <v>0.33783783783783783</v>
      </c>
      <c r="BK5" s="769" t="s">
        <v>22</v>
      </c>
      <c r="BL5" s="47">
        <f>IFERROR(COUNTIF(Kuponger!$AV:$AV,BL$2),0)</f>
        <v>15</v>
      </c>
      <c r="BM5" s="47">
        <f>IFERROR(COUNTIF(Kuponger!$AR:$AR,Analyse!BL$2),0)</f>
        <v>30</v>
      </c>
      <c r="BN5" s="770">
        <f t="shared" ref="BN5:BN13" si="6">IFERROR(BL5/BM5,0)</f>
        <v>0.5</v>
      </c>
      <c r="BO5" s="771">
        <f>IFERROR(COUNTIF(Kuponger!$V:$V,BL$2),0)</f>
        <v>25</v>
      </c>
      <c r="BP5" s="47">
        <f>IFERROR(COUNTIF(Kuponger!$R:$R,Analyse!BL$2),0)</f>
        <v>107</v>
      </c>
      <c r="BQ5" s="770">
        <f>IFERROR(BO5/BP5,0)</f>
        <v>0.23364485981308411</v>
      </c>
      <c r="BR5" s="771">
        <f>IFERROR(COUNTIF(Kuponger!$W:$W,BL$2),0)</f>
        <v>33</v>
      </c>
      <c r="BS5" s="47">
        <f>IFERROR(COUNTIF(Kuponger!$S:$S,Analyse!BL$2),0)</f>
        <v>103</v>
      </c>
      <c r="BT5" s="770">
        <f>IFERROR(BR5/BS5,0)</f>
        <v>0.32038834951456313</v>
      </c>
      <c r="BU5" s="769" t="s">
        <v>19</v>
      </c>
      <c r="BV5" s="47">
        <f>IFERROR(COUNTIF(Kuponger!$U:$U,BV$2),0)</f>
        <v>5</v>
      </c>
      <c r="BW5" s="47">
        <f>IFERROR(COUNTIF(Kuponger!$Q:$Q,Analyse!BV$2),0)</f>
        <v>37</v>
      </c>
      <c r="BX5" s="770">
        <f t="shared" ref="BX5:BX13" si="7">IFERROR(BV5/BW5,0)</f>
        <v>0.13513513513513514</v>
      </c>
      <c r="BY5" s="771">
        <f>IFERROR(COUNTIF(Kuponger!$V:$V,BV$2),0)</f>
        <v>12</v>
      </c>
      <c r="BZ5" s="47">
        <f>IFERROR(COUNTIF(Kuponger!$R:$R,Analyse!BV$2),0)</f>
        <v>71</v>
      </c>
      <c r="CA5" s="770">
        <f>IFERROR(BY5/BZ5,0)</f>
        <v>0.16901408450704225</v>
      </c>
      <c r="CB5" s="771">
        <f>IFERROR(COUNTIF(Kuponger!$W:$W,BV$2),0)</f>
        <v>26</v>
      </c>
      <c r="CC5" s="47">
        <f>IFERROR(COUNTIF(Kuponger!$S:$S,Analyse!BV$2),0)</f>
        <v>128</v>
      </c>
      <c r="CD5" s="770">
        <f>IFERROR(CB5/CC5,0)</f>
        <v>0.203125</v>
      </c>
    </row>
    <row r="6" spans="2:82" x14ac:dyDescent="0.2">
      <c r="C6" s="769" t="s">
        <v>25</v>
      </c>
      <c r="D6" s="47">
        <f>IFERROR(COUNTIF(Kuponger!$BW:$BW,D$2),0)</f>
        <v>19</v>
      </c>
      <c r="E6" s="47">
        <f>IFERROR(COUNTIF(Kuponger!$BS:$BS,Analyse!D$2),0)</f>
        <v>27</v>
      </c>
      <c r="F6" s="770">
        <f t="shared" si="0"/>
        <v>0.70370370370370372</v>
      </c>
      <c r="G6" s="771">
        <f>IFERROR(COUNTIF(Kuponger!$AE:$AE,D$2),0)</f>
        <v>4</v>
      </c>
      <c r="H6" s="47">
        <f>IFERROR(COUNTIF(Kuponger!$AA:$AA,Analyse!D$2),0)</f>
        <v>17</v>
      </c>
      <c r="I6" s="770">
        <f t="shared" ref="I6:I13" si="8">IFERROR(G6/H6,0)</f>
        <v>0.23529411764705882</v>
      </c>
      <c r="J6" s="771">
        <f>IFERROR(COUNTIF(Kuponger!$AF:$AF,D$2),0)</f>
        <v>49</v>
      </c>
      <c r="K6" s="47">
        <f>IFERROR(COUNTIF(Kuponger!$AB:$AB,Analyse!D$2),0)</f>
        <v>100</v>
      </c>
      <c r="L6" s="770">
        <f t="shared" ref="L6:L13" si="9">IFERROR(J6/K6,0)</f>
        <v>0.49</v>
      </c>
      <c r="M6" s="769" t="s">
        <v>22</v>
      </c>
      <c r="N6" s="47">
        <f>IFERROR(COUNTIF(Kuponger!$AV:$AV,N$2),0)</f>
        <v>3</v>
      </c>
      <c r="O6" s="47">
        <f>IFERROR(COUNTIF(Kuponger!$AR:$AR,Analyse!N$2),0)</f>
        <v>6</v>
      </c>
      <c r="P6" s="770">
        <f t="shared" si="1"/>
        <v>0.5</v>
      </c>
      <c r="Q6" s="771">
        <f>IFERROR(COUNTIF(Kuponger!$AE:$AE,N$2),0)</f>
        <v>0</v>
      </c>
      <c r="R6" s="47">
        <f>IFERROR(COUNTIF(Kuponger!$AA:$AA,Analyse!N$2),0)</f>
        <v>0</v>
      </c>
      <c r="S6" s="770">
        <f t="shared" ref="S6:S13" si="10">IFERROR(Q6/R6,0)</f>
        <v>0</v>
      </c>
      <c r="T6" s="771">
        <f>IFERROR(COUNTIF(Kuponger!$AF:$AF,N$2),0)</f>
        <v>0</v>
      </c>
      <c r="U6" s="47">
        <f>IFERROR(COUNTIF(Kuponger!$AB:$AB,Analyse!N$2),0)</f>
        <v>0</v>
      </c>
      <c r="V6" s="770">
        <f t="shared" ref="V6:V13" si="11">IFERROR(T6/U6,0)</f>
        <v>0</v>
      </c>
      <c r="W6" s="769" t="s">
        <v>21</v>
      </c>
      <c r="X6" s="47">
        <f>IFERROR(COUNTIF(Kuponger!$AM:$AM,X$2),0)</f>
        <v>15</v>
      </c>
      <c r="Y6" s="47">
        <f>IFERROR(COUNTIF(Kuponger!$AI:$AI,Analyse!X$2),0)</f>
        <v>33</v>
      </c>
      <c r="Z6" s="770">
        <f t="shared" si="2"/>
        <v>0.45454545454545453</v>
      </c>
      <c r="AA6" s="771">
        <f>IFERROR(COUNTIF(Kuponger!$AE:$AE,X$2),0)</f>
        <v>0</v>
      </c>
      <c r="AB6" s="47">
        <f>IFERROR(COUNTIF(Kuponger!$AA:$AA,Analyse!X$2),0)</f>
        <v>1</v>
      </c>
      <c r="AC6" s="770">
        <f t="shared" ref="AC6:AC13" si="12">IFERROR(AA6/AB6,0)</f>
        <v>0</v>
      </c>
      <c r="AD6" s="771">
        <f>IFERROR(COUNTIF(Kuponger!$AF:$AF,X$2),0)</f>
        <v>0</v>
      </c>
      <c r="AE6" s="47">
        <f>IFERROR(COUNTIF(Kuponger!$AB:$AB,Analyse!X$2),0)</f>
        <v>0</v>
      </c>
      <c r="AF6" s="770">
        <f t="shared" ref="AF6:AF13" si="13">IFERROR(AD6/AE6,0)</f>
        <v>0</v>
      </c>
      <c r="AG6" s="769" t="s">
        <v>21</v>
      </c>
      <c r="AH6" s="47">
        <f>IFERROR(COUNTIF(Kuponger!$AM:$AM,AH$2),0)</f>
        <v>9</v>
      </c>
      <c r="AI6" s="47">
        <f>IFERROR(COUNTIF(Kuponger!$AI:$AI,Analyse!AH$2),0)</f>
        <v>27</v>
      </c>
      <c r="AJ6" s="770">
        <f t="shared" si="3"/>
        <v>0.33333333333333331</v>
      </c>
      <c r="AK6" s="771">
        <f>IFERROR(COUNTIF(Kuponger!$AE:$AE,AH$2),0)</f>
        <v>0</v>
      </c>
      <c r="AL6" s="47">
        <f>IFERROR(COUNTIF(Kuponger!$AA:$AA,Analyse!AH$2),0)</f>
        <v>7</v>
      </c>
      <c r="AM6" s="770">
        <f t="shared" ref="AM6:AM13" si="14">IFERROR(AK6/AL6,0)</f>
        <v>0</v>
      </c>
      <c r="AN6" s="771">
        <f>IFERROR(COUNTIF(Kuponger!$AF:$AF,AH$2),0)</f>
        <v>1</v>
      </c>
      <c r="AO6" s="47">
        <f>IFERROR(COUNTIF(Kuponger!$AB:$AB,Analyse!AH$2),0)</f>
        <v>5</v>
      </c>
      <c r="AP6" s="770">
        <f t="shared" ref="AP6:AP13" si="15">IFERROR(AN6/AO6,0)</f>
        <v>0.2</v>
      </c>
      <c r="AQ6" s="769" t="s">
        <v>23</v>
      </c>
      <c r="AR6" s="47">
        <f>IFERROR(COUNTIF(Kuponger!$BE:$BE,AR$2),0)</f>
        <v>5</v>
      </c>
      <c r="AS6" s="47">
        <f>IFERROR(COUNTIF(Kuponger!$BA:$BA,Analyse!AR$2),0)</f>
        <v>5</v>
      </c>
      <c r="AT6" s="770">
        <f t="shared" si="4"/>
        <v>1</v>
      </c>
      <c r="AU6" s="771">
        <f>IFERROR(COUNTIF(Kuponger!$AE:$AE,AR$2),0)</f>
        <v>0</v>
      </c>
      <c r="AV6" s="47">
        <f>IFERROR(COUNTIF(Kuponger!$AA:$AA,Analyse!AR$2),0)</f>
        <v>2</v>
      </c>
      <c r="AW6" s="770">
        <f t="shared" ref="AW6:AW13" si="16">IFERROR(AU6/AV6,0)</f>
        <v>0</v>
      </c>
      <c r="AX6" s="771">
        <f>IFERROR(COUNTIF(Kuponger!$AF:$AF,AR$2),0)</f>
        <v>2</v>
      </c>
      <c r="AY6" s="47">
        <f>IFERROR(COUNTIF(Kuponger!$AB:$AB,Analyse!AR$2),0)</f>
        <v>7</v>
      </c>
      <c r="AZ6" s="770">
        <f t="shared" ref="AZ6:AZ13" si="17">IFERROR(AX6/AY6,0)</f>
        <v>0.2857142857142857</v>
      </c>
      <c r="BA6" s="769" t="s">
        <v>23</v>
      </c>
      <c r="BB6" s="47">
        <f>IFERROR(COUNTIF(Kuponger!$BE:$BE,BB$2),0)</f>
        <v>0</v>
      </c>
      <c r="BC6" s="47">
        <f>IFERROR(COUNTIF(Kuponger!$BA:$BA,Analyse!BB$2),0)</f>
        <v>0</v>
      </c>
      <c r="BD6" s="770">
        <f t="shared" si="5"/>
        <v>0</v>
      </c>
      <c r="BE6" s="771">
        <f>IFERROR(COUNTIF(Kuponger!$AE:$AE,BB$2),0)</f>
        <v>0</v>
      </c>
      <c r="BF6" s="47">
        <f>IFERROR(COUNTIF(Kuponger!$AA:$AA,Analyse!BB$2),0)</f>
        <v>13</v>
      </c>
      <c r="BG6" s="770">
        <f t="shared" ref="BG6:BG13" si="18">IFERROR(BE6/BF6,0)</f>
        <v>0</v>
      </c>
      <c r="BH6" s="771">
        <f>IFERROR(COUNTIF(Kuponger!$AF:$AF,BB$2),0)</f>
        <v>0</v>
      </c>
      <c r="BI6" s="47">
        <f>IFERROR(COUNTIF(Kuponger!$AB:$AB,Analyse!BB$2),0)</f>
        <v>2</v>
      </c>
      <c r="BJ6" s="770">
        <f t="shared" ref="BJ6:BJ13" si="19">IFERROR(BH6/BI6,0)</f>
        <v>0</v>
      </c>
      <c r="BK6" s="769" t="s">
        <v>20</v>
      </c>
      <c r="BL6" s="47">
        <f>IFERROR(COUNTIF(Kuponger!$AD:$AD,BL$2),0)</f>
        <v>0</v>
      </c>
      <c r="BM6" s="47">
        <f>IFERROR(COUNTIF(Kuponger!$Z:$Z,Analyse!BL$2),0)</f>
        <v>0</v>
      </c>
      <c r="BN6" s="770">
        <f t="shared" si="6"/>
        <v>0</v>
      </c>
      <c r="BO6" s="771">
        <f>IFERROR(COUNTIF(Kuponger!$AE:$AE,BL$2),0)</f>
        <v>0</v>
      </c>
      <c r="BP6" s="47">
        <f>IFERROR(COUNTIF(Kuponger!$AA:$AA,Analyse!BL$2),0)</f>
        <v>7</v>
      </c>
      <c r="BQ6" s="770">
        <f t="shared" ref="BQ6:BQ13" si="20">IFERROR(BO6/BP6,0)</f>
        <v>0</v>
      </c>
      <c r="BR6" s="771">
        <f>IFERROR(COUNTIF(Kuponger!$AF:$AF,BL$2),0)</f>
        <v>0</v>
      </c>
      <c r="BS6" s="47">
        <f>IFERROR(COUNTIF(Kuponger!$AB:$AB,Analyse!BL$2),0)</f>
        <v>2</v>
      </c>
      <c r="BT6" s="770">
        <f t="shared" ref="BT6:BT13" si="21">IFERROR(BR6/BS6,0)</f>
        <v>0</v>
      </c>
      <c r="BU6" s="769" t="s">
        <v>25</v>
      </c>
      <c r="BV6" s="47">
        <f>IFERROR(COUNTIF(Kuponger!$BW:$BW,BV$2),0)</f>
        <v>6</v>
      </c>
      <c r="BW6" s="47">
        <f>IFERROR(COUNTIF(Kuponger!$BS:$BS,Analyse!BV$2),0)</f>
        <v>28</v>
      </c>
      <c r="BX6" s="770">
        <f t="shared" si="7"/>
        <v>0.21428571428571427</v>
      </c>
      <c r="BY6" s="771">
        <f>IFERROR(COUNTIF(Kuponger!$AE:$AE,BV$2),0)</f>
        <v>85</v>
      </c>
      <c r="BZ6" s="47">
        <f>IFERROR(COUNTIF(Kuponger!$AA:$AA,Analyse!BV$2),0)</f>
        <v>364</v>
      </c>
      <c r="CA6" s="770">
        <f t="shared" ref="CA6:CA13" si="22">IFERROR(BY6/BZ6,0)</f>
        <v>0.23351648351648352</v>
      </c>
      <c r="CB6" s="771">
        <f>IFERROR(COUNTIF(Kuponger!$AF:$AF,BV$2),0)</f>
        <v>67</v>
      </c>
      <c r="CC6" s="47">
        <f>IFERROR(COUNTIF(Kuponger!$AB:$AB,Analyse!BV$2),0)</f>
        <v>275</v>
      </c>
      <c r="CD6" s="770">
        <f t="shared" ref="CD6:CD13" si="23">IFERROR(CB6/CC6,0)</f>
        <v>0.24363636363636362</v>
      </c>
    </row>
    <row r="7" spans="2:82" x14ac:dyDescent="0.2">
      <c r="C7" s="769" t="s">
        <v>21</v>
      </c>
      <c r="D7" s="47">
        <f>IFERROR(COUNTIF(Kuponger!$AM:$AM,D$2),0)</f>
        <v>66</v>
      </c>
      <c r="E7" s="47">
        <f>IFERROR(COUNTIF(Kuponger!$AI:$AI,Analyse!D$2),0)</f>
        <v>98</v>
      </c>
      <c r="F7" s="770">
        <f t="shared" si="0"/>
        <v>0.67346938775510201</v>
      </c>
      <c r="G7" s="771">
        <f>IFERROR(COUNTIF(Kuponger!$AN:$AN,D$2),0)</f>
        <v>0</v>
      </c>
      <c r="H7" s="47">
        <f>IFERROR(COUNTIF(Kuponger!$AJ:$AJ,Analyse!D$2),0)</f>
        <v>3</v>
      </c>
      <c r="I7" s="770">
        <f t="shared" si="8"/>
        <v>0</v>
      </c>
      <c r="J7" s="771">
        <f>IFERROR(COUNTIF(Kuponger!$AO:$AO,D$2),0)</f>
        <v>12</v>
      </c>
      <c r="K7" s="47">
        <f>IFERROR(COUNTIF(Kuponger!$AK:$AK,Analyse!D$2),0)</f>
        <v>28</v>
      </c>
      <c r="L7" s="770">
        <f t="shared" si="9"/>
        <v>0.42857142857142855</v>
      </c>
      <c r="M7" s="769" t="s">
        <v>23</v>
      </c>
      <c r="N7" s="47">
        <f>IFERROR(COUNTIF(Kuponger!$BE:$BE,N$2),0)</f>
        <v>0</v>
      </c>
      <c r="O7" s="47">
        <f>IFERROR(COUNTIF(Kuponger!$BA:$BA,Analyse!N$2),0)</f>
        <v>0</v>
      </c>
      <c r="P7" s="770">
        <f t="shared" si="1"/>
        <v>0</v>
      </c>
      <c r="Q7" s="771">
        <f>IFERROR(COUNTIF(Kuponger!$AN:$AN,N$2),0)</f>
        <v>0</v>
      </c>
      <c r="R7" s="47">
        <f>IFERROR(COUNTIF(Kuponger!$AJ:$AJ,Analyse!N$2),0)</f>
        <v>2</v>
      </c>
      <c r="S7" s="770">
        <f t="shared" si="10"/>
        <v>0</v>
      </c>
      <c r="T7" s="771">
        <f>IFERROR(COUNTIF(Kuponger!$AO:$AO,N$2),0)</f>
        <v>2</v>
      </c>
      <c r="U7" s="47">
        <f>IFERROR(COUNTIF(Kuponger!$AK:$AK,Analyse!N$2),0)</f>
        <v>11</v>
      </c>
      <c r="V7" s="770">
        <f t="shared" si="11"/>
        <v>0.18181818181818182</v>
      </c>
      <c r="W7" s="769" t="s">
        <v>24</v>
      </c>
      <c r="X7" s="47">
        <f>IFERROR(COUNTIF(Kuponger!$BN:$BN,X$2),0)</f>
        <v>8</v>
      </c>
      <c r="Y7" s="47">
        <f>IFERROR(COUNTIF(Kuponger!$BJ:$BJ,Analyse!X$2),0)</f>
        <v>19</v>
      </c>
      <c r="Z7" s="770">
        <f t="shared" si="2"/>
        <v>0.42105263157894735</v>
      </c>
      <c r="AA7" s="771">
        <f>IFERROR(COUNTIF(Kuponger!$AN:$AN,X$2),0)</f>
        <v>0</v>
      </c>
      <c r="AB7" s="47">
        <f>IFERROR(COUNTIF(Kuponger!$AJ:$AJ,Analyse!X$2),0)</f>
        <v>8</v>
      </c>
      <c r="AC7" s="770">
        <f t="shared" si="12"/>
        <v>0</v>
      </c>
      <c r="AD7" s="771">
        <f>IFERROR(COUNTIF(Kuponger!$AO:$AO,X$2),0)</f>
        <v>9</v>
      </c>
      <c r="AE7" s="47">
        <f>IFERROR(COUNTIF(Kuponger!$AK:$AK,Analyse!X$2),0)</f>
        <v>23</v>
      </c>
      <c r="AF7" s="770">
        <f t="shared" si="13"/>
        <v>0.39130434782608697</v>
      </c>
      <c r="AG7" s="769" t="s">
        <v>26</v>
      </c>
      <c r="AH7" s="47">
        <f>IFERROR(COUNTIF(Kuponger!$CF:$CF,AH$2),0)</f>
        <v>27</v>
      </c>
      <c r="AI7" s="47">
        <f>IFERROR(COUNTIF(Kuponger!$CB:$CB,Analyse!AH$2),0)</f>
        <v>49</v>
      </c>
      <c r="AJ7" s="770">
        <f t="shared" si="3"/>
        <v>0.55102040816326525</v>
      </c>
      <c r="AK7" s="771">
        <f>IFERROR(COUNTIF(Kuponger!$AN:$AN,AH$2),0)</f>
        <v>1</v>
      </c>
      <c r="AL7" s="47">
        <f>IFERROR(COUNTIF(Kuponger!$AJ:$AJ,Analyse!AH$2),0)</f>
        <v>10</v>
      </c>
      <c r="AM7" s="770">
        <f t="shared" si="14"/>
        <v>0.1</v>
      </c>
      <c r="AN7" s="771">
        <f>IFERROR(COUNTIF(Kuponger!$AO:$AO,AH$2),0)</f>
        <v>12</v>
      </c>
      <c r="AO7" s="47">
        <f>IFERROR(COUNTIF(Kuponger!$AK:$AK,Analyse!AH$2),0)</f>
        <v>24</v>
      </c>
      <c r="AP7" s="770">
        <f t="shared" si="15"/>
        <v>0.5</v>
      </c>
      <c r="AQ7" s="769" t="s">
        <v>27</v>
      </c>
      <c r="AR7" s="47">
        <f>IFERROR(COUNTIF(Kuponger!$CO:$CO,AR$2),0)</f>
        <v>13</v>
      </c>
      <c r="AS7" s="47">
        <f>IFERROR(COUNTIF(Kuponger!$CK:$CK,Analyse!AR$2),0)</f>
        <v>26</v>
      </c>
      <c r="AT7" s="770">
        <f t="shared" si="4"/>
        <v>0.5</v>
      </c>
      <c r="AU7" s="771">
        <f>IFERROR(COUNTIF(Kuponger!$AN:$AN,AR$2),0)</f>
        <v>11</v>
      </c>
      <c r="AV7" s="47">
        <f>IFERROR(COUNTIF(Kuponger!$AJ:$AJ,Analyse!AR$2),0)</f>
        <v>45</v>
      </c>
      <c r="AW7" s="770">
        <f t="shared" si="16"/>
        <v>0.24444444444444444</v>
      </c>
      <c r="AX7" s="771">
        <f>IFERROR(COUNTIF(Kuponger!$AO:$AO,AR$2),0)</f>
        <v>19</v>
      </c>
      <c r="AY7" s="47">
        <f>IFERROR(COUNTIF(Kuponger!$AK:$AK,Analyse!AR$2),0)</f>
        <v>51</v>
      </c>
      <c r="AZ7" s="770">
        <f t="shared" si="17"/>
        <v>0.37254901960784315</v>
      </c>
      <c r="BA7" s="769" t="s">
        <v>25</v>
      </c>
      <c r="BB7" s="47">
        <f>IFERROR(COUNTIF(Kuponger!$BW:$BW,BB$2),0)</f>
        <v>19</v>
      </c>
      <c r="BC7" s="47">
        <f>IFERROR(COUNTIF(Kuponger!$BS:$BS,Analyse!BB$2),0)</f>
        <v>56</v>
      </c>
      <c r="BD7" s="770">
        <f t="shared" si="5"/>
        <v>0.3392857142857143</v>
      </c>
      <c r="BE7" s="771">
        <f>IFERROR(COUNTIF(Kuponger!$AN:$AN,BB$2),0)</f>
        <v>14</v>
      </c>
      <c r="BF7" s="47">
        <f>IFERROR(COUNTIF(Kuponger!$AJ:$AJ,Analyse!BB$2),0)</f>
        <v>69</v>
      </c>
      <c r="BG7" s="770">
        <f t="shared" si="18"/>
        <v>0.20289855072463769</v>
      </c>
      <c r="BH7" s="771">
        <f>IFERROR(COUNTIF(Kuponger!$AO:$AO,BB$2),0)</f>
        <v>18</v>
      </c>
      <c r="BI7" s="47">
        <f>IFERROR(COUNTIF(Kuponger!$AK:$AK,Analyse!BB$2),0)</f>
        <v>41</v>
      </c>
      <c r="BJ7" s="770">
        <f t="shared" si="19"/>
        <v>0.43902439024390244</v>
      </c>
      <c r="BK7" s="769" t="s">
        <v>27</v>
      </c>
      <c r="BL7" s="47">
        <f>IFERROR(COUNTIF(Kuponger!$CO:$CO,BL$2),0)</f>
        <v>17</v>
      </c>
      <c r="BM7" s="47">
        <f>IFERROR(COUNTIF(Kuponger!$CK:$CK,Analyse!BL$2),0)</f>
        <v>45</v>
      </c>
      <c r="BN7" s="770">
        <f t="shared" si="6"/>
        <v>0.37777777777777777</v>
      </c>
      <c r="BO7" s="771">
        <f>IFERROR(COUNTIF(Kuponger!$AN:$AN,BL$2),0)</f>
        <v>35</v>
      </c>
      <c r="BP7" s="47">
        <f>IFERROR(COUNTIF(Kuponger!$AJ:$AJ,Analyse!BL$2),0)</f>
        <v>133</v>
      </c>
      <c r="BQ7" s="770">
        <f t="shared" si="20"/>
        <v>0.26315789473684209</v>
      </c>
      <c r="BR7" s="771">
        <f>IFERROR(COUNTIF(Kuponger!$AO:$AO,BL$2),0)</f>
        <v>23</v>
      </c>
      <c r="BS7" s="47">
        <f>IFERROR(COUNTIF(Kuponger!$AK:$AK,Analyse!BL$2),0)</f>
        <v>76</v>
      </c>
      <c r="BT7" s="770">
        <f t="shared" si="21"/>
        <v>0.30263157894736842</v>
      </c>
      <c r="BU7" s="769" t="s">
        <v>24</v>
      </c>
      <c r="BV7" s="47">
        <f>IFERROR(COUNTIF(Kuponger!$BN:$BN,BV$2),0)</f>
        <v>45</v>
      </c>
      <c r="BW7" s="47">
        <f>IFERROR(COUNTIF(Kuponger!$BJ:$BJ,Analyse!BV$2),0)</f>
        <v>129</v>
      </c>
      <c r="BX7" s="770">
        <f t="shared" si="7"/>
        <v>0.34883720930232559</v>
      </c>
      <c r="BY7" s="771">
        <f>IFERROR(COUNTIF(Kuponger!$AN:$AN,BV$2),0)</f>
        <v>28</v>
      </c>
      <c r="BZ7" s="47">
        <f>IFERROR(COUNTIF(Kuponger!$AJ:$AJ,Analyse!BV$2),0)</f>
        <v>139</v>
      </c>
      <c r="CA7" s="770">
        <f t="shared" si="22"/>
        <v>0.20143884892086331</v>
      </c>
      <c r="CB7" s="771">
        <f>IFERROR(COUNTIF(Kuponger!$AO:$AO,BV$2),0)</f>
        <v>24</v>
      </c>
      <c r="CC7" s="47">
        <f>IFERROR(COUNTIF(Kuponger!$AK:$AK,Analyse!BV$2),0)</f>
        <v>137</v>
      </c>
      <c r="CD7" s="770">
        <f t="shared" si="23"/>
        <v>0.17518248175182483</v>
      </c>
    </row>
    <row r="8" spans="2:82" x14ac:dyDescent="0.2">
      <c r="C8" s="769" t="s">
        <v>19</v>
      </c>
      <c r="D8" s="47">
        <f>IFERROR(COUNTIF(Kuponger!$U:$U,D$2),0)</f>
        <v>38</v>
      </c>
      <c r="E8" s="47">
        <f>IFERROR(COUNTIF(Kuponger!$Q:$Q,Analyse!D$2),0)</f>
        <v>55</v>
      </c>
      <c r="F8" s="770">
        <f t="shared" si="0"/>
        <v>0.69090909090909092</v>
      </c>
      <c r="G8" s="771">
        <f>IFERROR(COUNTIF(Kuponger!$AW:$AW,D$2),0)</f>
        <v>0</v>
      </c>
      <c r="H8" s="47">
        <f>IFERROR(COUNTIF(Kuponger!$AS:$AS,Analyse!D$2),0)</f>
        <v>3</v>
      </c>
      <c r="I8" s="770">
        <f t="shared" si="8"/>
        <v>0</v>
      </c>
      <c r="J8" s="771">
        <f>IFERROR(COUNTIF(Kuponger!$AX:$AX,D$2),0)</f>
        <v>21</v>
      </c>
      <c r="K8" s="47">
        <f>IFERROR(COUNTIF(Kuponger!$AT:$AT,Analyse!D$2),0)</f>
        <v>33</v>
      </c>
      <c r="L8" s="770">
        <f t="shared" si="9"/>
        <v>0.63636363636363635</v>
      </c>
      <c r="M8" s="769" t="s">
        <v>19</v>
      </c>
      <c r="N8" s="47">
        <f>IFERROR(COUNTIF(Kuponger!$U:$U,N$2),0)</f>
        <v>24</v>
      </c>
      <c r="O8" s="47">
        <f>IFERROR(COUNTIF(Kuponger!$Q:$Q,Analyse!N$2),0)</f>
        <v>32</v>
      </c>
      <c r="P8" s="770">
        <f t="shared" si="1"/>
        <v>0.75</v>
      </c>
      <c r="Q8" s="771">
        <f>IFERROR(COUNTIF(Kuponger!$AW:$AW,N$2),0)</f>
        <v>0</v>
      </c>
      <c r="R8" s="47">
        <f>IFERROR(COUNTIF(Kuponger!$AS:$AS,Analyse!N$2),0)</f>
        <v>5</v>
      </c>
      <c r="S8" s="770">
        <f t="shared" si="10"/>
        <v>0</v>
      </c>
      <c r="T8" s="771">
        <f>IFERROR(COUNTIF(Kuponger!$AX:$AX,N$2),0)</f>
        <v>1</v>
      </c>
      <c r="U8" s="47">
        <f>IFERROR(COUNTIF(Kuponger!$AT:$AT,Analyse!N$2),0)</f>
        <v>7</v>
      </c>
      <c r="V8" s="770">
        <f t="shared" si="11"/>
        <v>0.14285714285714285</v>
      </c>
      <c r="W8" s="769" t="s">
        <v>27</v>
      </c>
      <c r="X8" s="47">
        <f>IFERROR(COUNTIF(Kuponger!$CO:$CO,X$2),0)</f>
        <v>25</v>
      </c>
      <c r="Y8" s="47">
        <f>IFERROR(COUNTIF(Kuponger!$CK:$CK,Analyse!X$2),0)</f>
        <v>52</v>
      </c>
      <c r="Z8" s="770">
        <f t="shared" si="2"/>
        <v>0.48076923076923078</v>
      </c>
      <c r="AA8" s="771">
        <f>IFERROR(COUNTIF(Kuponger!$AW:$AW,X$2),0)</f>
        <v>0</v>
      </c>
      <c r="AB8" s="47">
        <f>IFERROR(COUNTIF(Kuponger!$AS:$AS,Analyse!X$2),0)</f>
        <v>4</v>
      </c>
      <c r="AC8" s="770">
        <f t="shared" si="12"/>
        <v>0</v>
      </c>
      <c r="AD8" s="771">
        <f>IFERROR(COUNTIF(Kuponger!$AX:$AX,X$2),0)</f>
        <v>27</v>
      </c>
      <c r="AE8" s="47">
        <f>IFERROR(COUNTIF(Kuponger!$AT:$AT,Analyse!X$2),0)</f>
        <v>56</v>
      </c>
      <c r="AF8" s="770">
        <f t="shared" si="13"/>
        <v>0.48214285714285715</v>
      </c>
      <c r="AG8" s="769" t="s">
        <v>22</v>
      </c>
      <c r="AH8" s="47">
        <f>IFERROR(COUNTIF(Kuponger!$AV:$AV,AH$2),0)</f>
        <v>13</v>
      </c>
      <c r="AI8" s="47">
        <f>IFERROR(COUNTIF(Kuponger!$AR:$AR,Analyse!AH$2),0)</f>
        <v>35</v>
      </c>
      <c r="AJ8" s="770">
        <f t="shared" si="3"/>
        <v>0.37142857142857144</v>
      </c>
      <c r="AK8" s="771">
        <f>IFERROR(COUNTIF(Kuponger!$AW:$AW,AH$2),0)</f>
        <v>3</v>
      </c>
      <c r="AL8" s="47">
        <f>IFERROR(COUNTIF(Kuponger!$AS:$AS,Analyse!AH$2),0)</f>
        <v>17</v>
      </c>
      <c r="AM8" s="770">
        <f t="shared" si="14"/>
        <v>0.17647058823529413</v>
      </c>
      <c r="AN8" s="771">
        <f>IFERROR(COUNTIF(Kuponger!$AX:$AX,AH$2),0)</f>
        <v>11</v>
      </c>
      <c r="AO8" s="47">
        <f>IFERROR(COUNTIF(Kuponger!$AT:$AT,Analyse!AH$2),0)</f>
        <v>39</v>
      </c>
      <c r="AP8" s="770">
        <f t="shared" si="15"/>
        <v>0.28205128205128205</v>
      </c>
      <c r="AQ8" s="769" t="s">
        <v>22</v>
      </c>
      <c r="AR8" s="47">
        <f>IFERROR(COUNTIF(Kuponger!$AV:$AV,AR$2),0)</f>
        <v>12</v>
      </c>
      <c r="AS8" s="47">
        <f>IFERROR(COUNTIF(Kuponger!$AR:$AR,Analyse!AR$2),0)</f>
        <v>20</v>
      </c>
      <c r="AT8" s="770">
        <f t="shared" si="4"/>
        <v>0.6</v>
      </c>
      <c r="AU8" s="771">
        <f>IFERROR(COUNTIF(Kuponger!$AW:$AW,AR$2),0)</f>
        <v>6</v>
      </c>
      <c r="AV8" s="47">
        <f>IFERROR(COUNTIF(Kuponger!$AS:$AS,Analyse!AR$2),0)</f>
        <v>45</v>
      </c>
      <c r="AW8" s="770">
        <f t="shared" si="16"/>
        <v>0.13333333333333333</v>
      </c>
      <c r="AX8" s="771">
        <f>IFERROR(COUNTIF(Kuponger!$AX:$AX,AR$2),0)</f>
        <v>8</v>
      </c>
      <c r="AY8" s="47">
        <f>IFERROR(COUNTIF(Kuponger!$AT:$AT,Analyse!AR$2),0)</f>
        <v>21</v>
      </c>
      <c r="AZ8" s="770">
        <f t="shared" si="17"/>
        <v>0.38095238095238093</v>
      </c>
      <c r="BA8" s="769" t="s">
        <v>19</v>
      </c>
      <c r="BB8" s="47">
        <f>IFERROR(COUNTIF(Kuponger!$U:$U,BB$2),0)</f>
        <v>15</v>
      </c>
      <c r="BC8" s="47">
        <f>IFERROR(COUNTIF(Kuponger!$Q:$Q,Analyse!BB$2),0)</f>
        <v>40</v>
      </c>
      <c r="BD8" s="770">
        <f t="shared" si="5"/>
        <v>0.375</v>
      </c>
      <c r="BE8" s="771">
        <f>IFERROR(COUNTIF(Kuponger!$AW:$AW,BB$2),0)</f>
        <v>47</v>
      </c>
      <c r="BF8" s="47">
        <f>IFERROR(COUNTIF(Kuponger!$AS:$AS,Analyse!BB$2),0)</f>
        <v>178</v>
      </c>
      <c r="BG8" s="770">
        <f t="shared" si="18"/>
        <v>0.2640449438202247</v>
      </c>
      <c r="BH8" s="771">
        <f>IFERROR(COUNTIF(Kuponger!$AX:$AX,BB$2),0)</f>
        <v>5</v>
      </c>
      <c r="BI8" s="47">
        <f>IFERROR(COUNTIF(Kuponger!$AT:$AT,Analyse!BB$2),0)</f>
        <v>28</v>
      </c>
      <c r="BJ8" s="770">
        <f t="shared" si="19"/>
        <v>0.17857142857142858</v>
      </c>
      <c r="BK8" s="769" t="s">
        <v>26</v>
      </c>
      <c r="BL8" s="47">
        <f>IFERROR(COUNTIF(Kuponger!$CF:$CF,BL$2),0)</f>
        <v>9</v>
      </c>
      <c r="BM8" s="47">
        <f>IFERROR(COUNTIF(Kuponger!$CB:$CB,Analyse!BL$2),0)</f>
        <v>49</v>
      </c>
      <c r="BN8" s="770">
        <f t="shared" si="6"/>
        <v>0.18367346938775511</v>
      </c>
      <c r="BO8" s="771">
        <f>IFERROR(COUNTIF(Kuponger!$AW:$AW,BL$2),0)</f>
        <v>7</v>
      </c>
      <c r="BP8" s="47">
        <f>IFERROR(COUNTIF(Kuponger!$AS:$AS,Analyse!BL$2),0)</f>
        <v>33</v>
      </c>
      <c r="BQ8" s="770">
        <f t="shared" si="20"/>
        <v>0.21212121212121213</v>
      </c>
      <c r="BR8" s="771">
        <f>IFERROR(COUNTIF(Kuponger!$AX:$AX,BL$2),0)</f>
        <v>4</v>
      </c>
      <c r="BS8" s="47">
        <f>IFERROR(COUNTIF(Kuponger!$AT:$AT,Analyse!BL$2),0)</f>
        <v>25</v>
      </c>
      <c r="BT8" s="770">
        <f t="shared" si="21"/>
        <v>0.16</v>
      </c>
      <c r="BU8" s="769" t="s">
        <v>22</v>
      </c>
      <c r="BV8" s="47">
        <f>IFERROR(COUNTIF(Kuponger!$AV:$AV,BV$2),0)</f>
        <v>23</v>
      </c>
      <c r="BW8" s="47">
        <f>IFERROR(COUNTIF(Kuponger!$AR:$AR,Analyse!BV$2),0)</f>
        <v>95</v>
      </c>
      <c r="BX8" s="770">
        <f t="shared" si="7"/>
        <v>0.24210526315789474</v>
      </c>
      <c r="BY8" s="771">
        <f>IFERROR(COUNTIF(Kuponger!$AW:$AW,BV$2),0)</f>
        <v>26</v>
      </c>
      <c r="BZ8" s="47">
        <f>IFERROR(COUNTIF(Kuponger!$AS:$AS,Analyse!BV$2),0)</f>
        <v>121</v>
      </c>
      <c r="CA8" s="770">
        <f t="shared" si="22"/>
        <v>0.21487603305785125</v>
      </c>
      <c r="CB8" s="771">
        <f>IFERROR(COUNTIF(Kuponger!$AX:$AX,BV$2),0)</f>
        <v>42</v>
      </c>
      <c r="CC8" s="47">
        <f>IFERROR(COUNTIF(Kuponger!$AT:$AT,Analyse!BV$2),0)</f>
        <v>184</v>
      </c>
      <c r="CD8" s="770">
        <f t="shared" si="23"/>
        <v>0.22826086956521738</v>
      </c>
    </row>
    <row r="9" spans="2:82" x14ac:dyDescent="0.2">
      <c r="C9" s="769" t="s">
        <v>26</v>
      </c>
      <c r="D9" s="47">
        <f>IFERROR(COUNTIF(Kuponger!$CF:$CF,D$2),0)</f>
        <v>52</v>
      </c>
      <c r="E9" s="47">
        <f>IFERROR(COUNTIF(Kuponger!$CB:$CB,Analyse!D$2),0)</f>
        <v>71</v>
      </c>
      <c r="F9" s="770">
        <f t="shared" si="0"/>
        <v>0.73239436619718312</v>
      </c>
      <c r="G9" s="771">
        <f>IFERROR(COUNTIF(Kuponger!$BF:$BF,D$2),0)</f>
        <v>0</v>
      </c>
      <c r="H9" s="47">
        <f>IFERROR(COUNTIF(Kuponger!$BB:$BB,Analyse!D$2),0)</f>
        <v>2</v>
      </c>
      <c r="I9" s="770">
        <f t="shared" si="8"/>
        <v>0</v>
      </c>
      <c r="J9" s="771">
        <f>IFERROR(COUNTIF(Kuponger!$BG:$BG,D$2),0)</f>
        <v>49</v>
      </c>
      <c r="K9" s="47">
        <f>IFERROR(COUNTIF(Kuponger!$BC:$BC,Analyse!D$2),0)</f>
        <v>109</v>
      </c>
      <c r="L9" s="770">
        <f t="shared" si="9"/>
        <v>0.44954128440366975</v>
      </c>
      <c r="M9" s="769" t="s">
        <v>27</v>
      </c>
      <c r="N9" s="47">
        <f>IFERROR(COUNTIF(Kuponger!$CO:$CO,N$2),0)</f>
        <v>11</v>
      </c>
      <c r="O9" s="47">
        <f>IFERROR(COUNTIF(Kuponger!$CK:$CK,Analyse!N$2),0)</f>
        <v>22</v>
      </c>
      <c r="P9" s="770">
        <f t="shared" si="1"/>
        <v>0.5</v>
      </c>
      <c r="Q9" s="771">
        <f>IFERROR(COUNTIF(Kuponger!$BF:$BF,N$2),0)</f>
        <v>0</v>
      </c>
      <c r="R9" s="47">
        <f>IFERROR(COUNTIF(Kuponger!$BB:$BB,Analyse!N$2),0)</f>
        <v>0</v>
      </c>
      <c r="S9" s="770">
        <f t="shared" si="10"/>
        <v>0</v>
      </c>
      <c r="T9" s="771">
        <f>IFERROR(COUNTIF(Kuponger!$BG:$BG,N$2),0)</f>
        <v>0</v>
      </c>
      <c r="U9" s="47">
        <f>IFERROR(COUNTIF(Kuponger!$BC:$BC,Analyse!N$2),0)</f>
        <v>1</v>
      </c>
      <c r="V9" s="770">
        <f t="shared" si="11"/>
        <v>0</v>
      </c>
      <c r="W9" s="769" t="s">
        <v>26</v>
      </c>
      <c r="X9" s="47">
        <f>IFERROR(COUNTIF(Kuponger!$CF:$CF,X$2),0)</f>
        <v>29</v>
      </c>
      <c r="Y9" s="47">
        <f>IFERROR(COUNTIF(Kuponger!$CB:$CB,Analyse!X$2),0)</f>
        <v>65</v>
      </c>
      <c r="Z9" s="770">
        <f t="shared" si="2"/>
        <v>0.44615384615384618</v>
      </c>
      <c r="AA9" s="771">
        <f>IFERROR(COUNTIF(Kuponger!$BF:$BF,X$2),0)</f>
        <v>0</v>
      </c>
      <c r="AB9" s="47">
        <f>IFERROR(COUNTIF(Kuponger!$BB:$BB,Analyse!X$2),0)</f>
        <v>2</v>
      </c>
      <c r="AC9" s="770">
        <f t="shared" si="12"/>
        <v>0</v>
      </c>
      <c r="AD9" s="771">
        <f>IFERROR(COUNTIF(Kuponger!$BG:$BG,X$2),0)</f>
        <v>3</v>
      </c>
      <c r="AE9" s="47">
        <f>IFERROR(COUNTIF(Kuponger!$BC:$BC,Analyse!X$2),0)</f>
        <v>6</v>
      </c>
      <c r="AF9" s="770">
        <f t="shared" si="13"/>
        <v>0.5</v>
      </c>
      <c r="AG9" s="769" t="s">
        <v>27</v>
      </c>
      <c r="AH9" s="47">
        <f>IFERROR(COUNTIF(Kuponger!$CO:$CO,AH$2),0)</f>
        <v>15</v>
      </c>
      <c r="AI9" s="47">
        <f>IFERROR(COUNTIF(Kuponger!$CK:$CK,Analyse!AH$2),0)</f>
        <v>34</v>
      </c>
      <c r="AJ9" s="770">
        <f t="shared" si="3"/>
        <v>0.44117647058823528</v>
      </c>
      <c r="AK9" s="771">
        <f>IFERROR(COUNTIF(Kuponger!$BF:$BF,AH$2),0)</f>
        <v>0</v>
      </c>
      <c r="AL9" s="47">
        <f>IFERROR(COUNTIF(Kuponger!$BB:$BB,Analyse!AH$2),0)</f>
        <v>2</v>
      </c>
      <c r="AM9" s="770">
        <f t="shared" si="14"/>
        <v>0</v>
      </c>
      <c r="AN9" s="771">
        <f>IFERROR(COUNTIF(Kuponger!$BG:$BG,AH$2),0)</f>
        <v>1</v>
      </c>
      <c r="AO9" s="47">
        <f>IFERROR(COUNTIF(Kuponger!$BC:$BC,Analyse!AH$2),0)</f>
        <v>4</v>
      </c>
      <c r="AP9" s="770">
        <f t="shared" si="15"/>
        <v>0.25</v>
      </c>
      <c r="AQ9" s="769" t="s">
        <v>19</v>
      </c>
      <c r="AR9" s="47">
        <f>IFERROR(COUNTIF(Kuponger!$U:$U,AR$2),0)</f>
        <v>34</v>
      </c>
      <c r="AS9" s="47">
        <f>IFERROR(COUNTIF(Kuponger!$Q:$Q,Analyse!AR$2),0)</f>
        <v>73</v>
      </c>
      <c r="AT9" s="770">
        <f t="shared" si="4"/>
        <v>0.46575342465753422</v>
      </c>
      <c r="AU9" s="771">
        <f>IFERROR(COUNTIF(Kuponger!$BF:$BF,AR$2),0)</f>
        <v>3</v>
      </c>
      <c r="AV9" s="47">
        <f>IFERROR(COUNTIF(Kuponger!$BB:$BB,Analyse!AR$2),0)</f>
        <v>15</v>
      </c>
      <c r="AW9" s="770">
        <f t="shared" si="16"/>
        <v>0.2</v>
      </c>
      <c r="AX9" s="771">
        <f>IFERROR(COUNTIF(Kuponger!$BG:$BG,AR$2),0)</f>
        <v>1</v>
      </c>
      <c r="AY9" s="47">
        <f>IFERROR(COUNTIF(Kuponger!$BC:$BC,Analyse!AR$2),0)</f>
        <v>4</v>
      </c>
      <c r="AZ9" s="770">
        <f t="shared" si="17"/>
        <v>0.25</v>
      </c>
      <c r="BA9" s="769" t="s">
        <v>27</v>
      </c>
      <c r="BB9" s="47">
        <f>IFERROR(COUNTIF(Kuponger!$CO:$CO,BB$2),0)</f>
        <v>13</v>
      </c>
      <c r="BC9" s="47">
        <f>IFERROR(COUNTIF(Kuponger!$CK:$CK,Analyse!BB$2),0)</f>
        <v>42</v>
      </c>
      <c r="BD9" s="770">
        <f t="shared" si="5"/>
        <v>0.30952380952380953</v>
      </c>
      <c r="BE9" s="771">
        <f>IFERROR(COUNTIF(Kuponger!$BF:$BF,BB$2),0)</f>
        <v>1</v>
      </c>
      <c r="BF9" s="47">
        <f>IFERROR(COUNTIF(Kuponger!$BB:$BB,Analyse!BB$2),0)</f>
        <v>23</v>
      </c>
      <c r="BG9" s="770">
        <f t="shared" si="18"/>
        <v>4.3478260869565216E-2</v>
      </c>
      <c r="BH9" s="771">
        <f>IFERROR(COUNTIF(Kuponger!$BG:$BG,BB$2),0)</f>
        <v>1</v>
      </c>
      <c r="BI9" s="47">
        <f>IFERROR(COUNTIF(Kuponger!$BC:$BC,Analyse!BB$2),0)</f>
        <v>4</v>
      </c>
      <c r="BJ9" s="770">
        <f t="shared" si="19"/>
        <v>0.25</v>
      </c>
      <c r="BK9" s="769" t="s">
        <v>23</v>
      </c>
      <c r="BL9" s="47">
        <f>IFERROR(COUNTIF(Kuponger!$BE:$BE,BL$2),0)</f>
        <v>1</v>
      </c>
      <c r="BM9" s="47">
        <f>IFERROR(COUNTIF(Kuponger!$BA:$BA,Analyse!BL$2),0)</f>
        <v>2</v>
      </c>
      <c r="BN9" s="770">
        <f t="shared" si="6"/>
        <v>0.5</v>
      </c>
      <c r="BO9" s="771">
        <f>IFERROR(COUNTIF(Kuponger!$BF:$BF,BL$2),0)</f>
        <v>0</v>
      </c>
      <c r="BP9" s="47">
        <f>IFERROR(COUNTIF(Kuponger!$BB:$BB,Analyse!BL$2),0)</f>
        <v>8</v>
      </c>
      <c r="BQ9" s="770">
        <f t="shared" si="20"/>
        <v>0</v>
      </c>
      <c r="BR9" s="771">
        <f>IFERROR(COUNTIF(Kuponger!$BG:$BG,BL$2),0)</f>
        <v>0</v>
      </c>
      <c r="BS9" s="47">
        <f>IFERROR(COUNTIF(Kuponger!$BC:$BC,Analyse!BL$2),0)</f>
        <v>8</v>
      </c>
      <c r="BT9" s="770">
        <f t="shared" si="21"/>
        <v>0</v>
      </c>
      <c r="BU9" s="769" t="s">
        <v>20</v>
      </c>
      <c r="BV9" s="47">
        <f>IFERROR(COUNTIF(Kuponger!$AD:$AD,BV$2),0)</f>
        <v>34</v>
      </c>
      <c r="BW9" s="47">
        <f>IFERROR(COUNTIF(Kuponger!$Z:$Z,Analyse!BV$2),0)</f>
        <v>119</v>
      </c>
      <c r="BX9" s="770">
        <f t="shared" si="7"/>
        <v>0.2857142857142857</v>
      </c>
      <c r="BY9" s="771">
        <f>IFERROR(COUNTIF(Kuponger!$BF:$BF,BV$2),0)</f>
        <v>85</v>
      </c>
      <c r="BZ9" s="47">
        <f>IFERROR(COUNTIF(Kuponger!$BB:$BB,Analyse!BV$2),0)</f>
        <v>361</v>
      </c>
      <c r="CA9" s="770">
        <f t="shared" si="22"/>
        <v>0.23545706371191136</v>
      </c>
      <c r="CB9" s="771">
        <f>IFERROR(COUNTIF(Kuponger!$BG:$BG,BV$2),0)</f>
        <v>64</v>
      </c>
      <c r="CC9" s="47">
        <f>IFERROR(COUNTIF(Kuponger!$BC:$BC,Analyse!BV$2),0)</f>
        <v>258</v>
      </c>
      <c r="CD9" s="770">
        <f t="shared" si="23"/>
        <v>0.24806201550387597</v>
      </c>
    </row>
    <row r="10" spans="2:82" x14ac:dyDescent="0.2">
      <c r="C10" s="769" t="s">
        <v>27</v>
      </c>
      <c r="D10" s="47">
        <f>IFERROR(COUNTIF(Kuponger!$CO:$CO,D$2),0)</f>
        <v>67</v>
      </c>
      <c r="E10" s="47">
        <f>IFERROR(COUNTIF(Kuponger!$CK:$CK,Analyse!D$2),0)</f>
        <v>102</v>
      </c>
      <c r="F10" s="770">
        <f t="shared" si="0"/>
        <v>0.65686274509803921</v>
      </c>
      <c r="G10" s="771">
        <f>IFERROR(COUNTIF(Kuponger!$BO:$BO,D$2),0)</f>
        <v>2</v>
      </c>
      <c r="H10" s="47">
        <f>IFERROR(COUNTIF(Kuponger!$BK:$BK,Analyse!D$2),0)</f>
        <v>7</v>
      </c>
      <c r="I10" s="770">
        <f t="shared" si="8"/>
        <v>0.2857142857142857</v>
      </c>
      <c r="J10" s="771">
        <f>IFERROR(COUNTIF(Kuponger!$BP:$BP,D$2),0)</f>
        <v>53</v>
      </c>
      <c r="K10" s="47">
        <f>IFERROR(COUNTIF(Kuponger!$BL:$BL,Analyse!D$2),0)</f>
        <v>111</v>
      </c>
      <c r="L10" s="770">
        <f t="shared" si="9"/>
        <v>0.47747747747747749</v>
      </c>
      <c r="M10" s="769" t="s">
        <v>26</v>
      </c>
      <c r="N10" s="47">
        <f>IFERROR(COUNTIF(Kuponger!$CF:$CF,N$2),0)</f>
        <v>30</v>
      </c>
      <c r="O10" s="47">
        <f>IFERROR(COUNTIF(Kuponger!$CB:$CB,Analyse!N$2),0)</f>
        <v>63</v>
      </c>
      <c r="P10" s="770">
        <f t="shared" si="1"/>
        <v>0.47619047619047616</v>
      </c>
      <c r="Q10" s="771">
        <f>IFERROR(COUNTIF(Kuponger!$BO:$BO,N$2),0)</f>
        <v>0</v>
      </c>
      <c r="R10" s="47">
        <f>IFERROR(COUNTIF(Kuponger!$BK:$BK,Analyse!N$2),0)</f>
        <v>0</v>
      </c>
      <c r="S10" s="770">
        <f t="shared" si="10"/>
        <v>0</v>
      </c>
      <c r="T10" s="771">
        <f>IFERROR(COUNTIF(Kuponger!$BP:$BP,N$2),0)</f>
        <v>0</v>
      </c>
      <c r="U10" s="47">
        <f>IFERROR(COUNTIF(Kuponger!$BL:$BL,Analyse!N$2),0)</f>
        <v>4</v>
      </c>
      <c r="V10" s="770">
        <f t="shared" si="11"/>
        <v>0</v>
      </c>
      <c r="W10" s="769" t="s">
        <v>20</v>
      </c>
      <c r="X10" s="47">
        <f>IFERROR(COUNTIF(Kuponger!$AD:$AD,X$2),0)</f>
        <v>0</v>
      </c>
      <c r="Y10" s="47">
        <f>IFERROR(COUNTIF(Kuponger!$Z:$Z,Analyse!X$2),0)</f>
        <v>0</v>
      </c>
      <c r="Z10" s="770">
        <f t="shared" si="2"/>
        <v>0</v>
      </c>
      <c r="AA10" s="771">
        <f>IFERROR(COUNTIF(Kuponger!$BO:$BO,X$2),0)</f>
        <v>2</v>
      </c>
      <c r="AB10" s="47">
        <f>IFERROR(COUNTIF(Kuponger!$BK:$BK,Analyse!X$2),0)</f>
        <v>17</v>
      </c>
      <c r="AC10" s="770">
        <f t="shared" si="12"/>
        <v>0.11764705882352941</v>
      </c>
      <c r="AD10" s="771">
        <f>IFERROR(COUNTIF(Kuponger!$BP:$BP,X$2),0)</f>
        <v>7</v>
      </c>
      <c r="AE10" s="47">
        <f>IFERROR(COUNTIF(Kuponger!$BL:$BL,Analyse!X$2),0)</f>
        <v>20</v>
      </c>
      <c r="AF10" s="770">
        <f t="shared" si="13"/>
        <v>0.35</v>
      </c>
      <c r="AG10" s="769" t="s">
        <v>20</v>
      </c>
      <c r="AH10" s="47">
        <f>IFERROR(COUNTIF(Kuponger!$AD:$AD,AH$2),0)</f>
        <v>3</v>
      </c>
      <c r="AI10" s="47">
        <f>IFERROR(COUNTIF(Kuponger!$Z:$Z,Analyse!AH$2),0)</f>
        <v>5</v>
      </c>
      <c r="AJ10" s="770">
        <f t="shared" si="3"/>
        <v>0.6</v>
      </c>
      <c r="AK10" s="771">
        <f>IFERROR(COUNTIF(Kuponger!$BO:$BO,AH$2),0)</f>
        <v>0</v>
      </c>
      <c r="AL10" s="47">
        <f>IFERROR(COUNTIF(Kuponger!$BK:$BK,Analyse!AH$2),0)</f>
        <v>5</v>
      </c>
      <c r="AM10" s="770">
        <f t="shared" si="14"/>
        <v>0</v>
      </c>
      <c r="AN10" s="771">
        <f>IFERROR(COUNTIF(Kuponger!$BP:$BP,AH$2),0)</f>
        <v>4</v>
      </c>
      <c r="AO10" s="47">
        <f>IFERROR(COUNTIF(Kuponger!$BL:$BL,Analyse!AH$2),0)</f>
        <v>16</v>
      </c>
      <c r="AP10" s="770">
        <f t="shared" si="15"/>
        <v>0.25</v>
      </c>
      <c r="AQ10" s="769" t="s">
        <v>26</v>
      </c>
      <c r="AR10" s="47">
        <f>IFERROR(COUNTIF(Kuponger!$CF:$CF,AR$2),0)</f>
        <v>15</v>
      </c>
      <c r="AS10" s="47">
        <f>IFERROR(COUNTIF(Kuponger!$CB:$CB,Analyse!AR$2),0)</f>
        <v>37</v>
      </c>
      <c r="AT10" s="770">
        <f t="shared" si="4"/>
        <v>0.40540540540540543</v>
      </c>
      <c r="AU10" s="771">
        <f>IFERROR(COUNTIF(Kuponger!$BO:$BO,AR$2),0)</f>
        <v>11</v>
      </c>
      <c r="AV10" s="47">
        <f>IFERROR(COUNTIF(Kuponger!$BK:$BK,Analyse!AR$2),0)</f>
        <v>56</v>
      </c>
      <c r="AW10" s="770">
        <f t="shared" si="16"/>
        <v>0.19642857142857142</v>
      </c>
      <c r="AX10" s="771">
        <f>IFERROR(COUNTIF(Kuponger!$BP:$BP,AR$2),0)</f>
        <v>3</v>
      </c>
      <c r="AY10" s="47">
        <f>IFERROR(COUNTIF(Kuponger!$BL:$BL,Analyse!AR$2),0)</f>
        <v>6</v>
      </c>
      <c r="AZ10" s="770">
        <f t="shared" si="17"/>
        <v>0.5</v>
      </c>
      <c r="BA10" s="769" t="s">
        <v>24</v>
      </c>
      <c r="BB10" s="47">
        <f>IFERROR(COUNTIF(Kuponger!$BN:$BN,BB$2),0)</f>
        <v>22</v>
      </c>
      <c r="BC10" s="47">
        <f>IFERROR(COUNTIF(Kuponger!$BJ:$BJ,Analyse!BB$2),0)</f>
        <v>46</v>
      </c>
      <c r="BD10" s="770">
        <f t="shared" si="5"/>
        <v>0.47826086956521741</v>
      </c>
      <c r="BE10" s="771">
        <f>IFERROR(COUNTIF(Kuponger!$BO:$BO,BB$2),0)</f>
        <v>11</v>
      </c>
      <c r="BF10" s="47">
        <f>IFERROR(COUNTIF(Kuponger!$BK:$BK,Analyse!BB$2),0)</f>
        <v>37</v>
      </c>
      <c r="BG10" s="770">
        <f t="shared" si="18"/>
        <v>0.29729729729729731</v>
      </c>
      <c r="BH10" s="771">
        <f>IFERROR(COUNTIF(Kuponger!$BP:$BP,BB$2),0)</f>
        <v>14</v>
      </c>
      <c r="BI10" s="47">
        <f>IFERROR(COUNTIF(Kuponger!$BL:$BL,Analyse!BB$2),0)</f>
        <v>46</v>
      </c>
      <c r="BJ10" s="770">
        <f t="shared" si="19"/>
        <v>0.30434782608695654</v>
      </c>
      <c r="BK10" s="769" t="s">
        <v>24</v>
      </c>
      <c r="BL10" s="47">
        <f>IFERROR(COUNTIF(Kuponger!$BN:$BN,BL$2),0)</f>
        <v>13</v>
      </c>
      <c r="BM10" s="47">
        <f>IFERROR(COUNTIF(Kuponger!$BJ:$BJ,Analyse!BL$2),0)</f>
        <v>37</v>
      </c>
      <c r="BN10" s="770">
        <f t="shared" si="6"/>
        <v>0.35135135135135137</v>
      </c>
      <c r="BO10" s="771">
        <f>IFERROR(COUNTIF(Kuponger!$BO:$BO,BL$2),0)</f>
        <v>11</v>
      </c>
      <c r="BP10" s="47">
        <f>IFERROR(COUNTIF(Kuponger!$BK:$BK,Analyse!BL$2),0)</f>
        <v>34</v>
      </c>
      <c r="BQ10" s="770">
        <f t="shared" si="20"/>
        <v>0.3235294117647059</v>
      </c>
      <c r="BR10" s="771">
        <f>IFERROR(COUNTIF(Kuponger!$BP:$BP,BL$2),0)</f>
        <v>9</v>
      </c>
      <c r="BS10" s="47">
        <f>IFERROR(COUNTIF(Kuponger!$BL:$BL,Analyse!BL$2),0)</f>
        <v>27</v>
      </c>
      <c r="BT10" s="770">
        <f t="shared" si="21"/>
        <v>0.33333333333333331</v>
      </c>
      <c r="BU10" s="769" t="s">
        <v>21</v>
      </c>
      <c r="BV10" s="47">
        <f>IFERROR(COUNTIF(Kuponger!$AM:$AM,BV$2),0)</f>
        <v>13</v>
      </c>
      <c r="BW10" s="47">
        <f>IFERROR(COUNTIF(Kuponger!$AI:$AI,Analyse!BV$2),0)</f>
        <v>36</v>
      </c>
      <c r="BX10" s="770">
        <f t="shared" si="7"/>
        <v>0.3611111111111111</v>
      </c>
      <c r="BY10" s="771">
        <f>IFERROR(COUNTIF(Kuponger!$BO:$BO,BV$2),0)</f>
        <v>52</v>
      </c>
      <c r="BZ10" s="47">
        <f>IFERROR(COUNTIF(Kuponger!$BK:$BK,Analyse!BV$2),0)</f>
        <v>251</v>
      </c>
      <c r="CA10" s="770">
        <f t="shared" si="22"/>
        <v>0.20717131474103587</v>
      </c>
      <c r="CB10" s="771">
        <f>IFERROR(COUNTIF(Kuponger!$BP:$BP,BV$2),0)</f>
        <v>29</v>
      </c>
      <c r="CC10" s="47">
        <f>IFERROR(COUNTIF(Kuponger!$BL:$BL,Analyse!BV$2),0)</f>
        <v>159</v>
      </c>
      <c r="CD10" s="770">
        <f t="shared" si="23"/>
        <v>0.18238993710691823</v>
      </c>
    </row>
    <row r="11" spans="2:82" x14ac:dyDescent="0.2">
      <c r="C11" s="769" t="s">
        <v>23</v>
      </c>
      <c r="D11" s="47">
        <f>IFERROR(COUNTIF(Kuponger!$BE:$BE,D$2),0)</f>
        <v>130</v>
      </c>
      <c r="E11" s="47">
        <f>IFERROR(COUNTIF(Kuponger!$BA:$BA,Analyse!D$2),0)</f>
        <v>245</v>
      </c>
      <c r="F11" s="770">
        <f t="shared" si="0"/>
        <v>0.53061224489795922</v>
      </c>
      <c r="G11" s="771">
        <f>IFERROR(COUNTIF(Kuponger!$BX:$BX,D$2),0)</f>
        <v>0</v>
      </c>
      <c r="H11" s="47">
        <f>IFERROR(COUNTIF(Kuponger!$BT:$BT,Analyse!D$2),0)</f>
        <v>3</v>
      </c>
      <c r="I11" s="770">
        <f t="shared" si="8"/>
        <v>0</v>
      </c>
      <c r="J11" s="771">
        <f>IFERROR(COUNTIF(Kuponger!$BY:$BY,D$2),0)</f>
        <v>12</v>
      </c>
      <c r="K11" s="47">
        <f>IFERROR(COUNTIF(Kuponger!$BU:$BU,Analyse!D$2),0)</f>
        <v>20</v>
      </c>
      <c r="L11" s="770">
        <f t="shared" si="9"/>
        <v>0.6</v>
      </c>
      <c r="M11" s="769" t="s">
        <v>24</v>
      </c>
      <c r="N11" s="47">
        <f>IFERROR(COUNTIF(Kuponger!$BN:$BN,N$2),0)</f>
        <v>3</v>
      </c>
      <c r="O11" s="47">
        <f>IFERROR(COUNTIF(Kuponger!$BJ:$BJ,Analyse!N$2),0)</f>
        <v>7</v>
      </c>
      <c r="P11" s="770">
        <f t="shared" si="1"/>
        <v>0.42857142857142855</v>
      </c>
      <c r="Q11" s="771">
        <f>IFERROR(COUNTIF(Kuponger!$BX:$BX,N$2),0)</f>
        <v>0</v>
      </c>
      <c r="R11" s="47">
        <f>IFERROR(COUNTIF(Kuponger!$BT:$BT,Analyse!N$2),0)</f>
        <v>5</v>
      </c>
      <c r="S11" s="770">
        <f t="shared" si="10"/>
        <v>0</v>
      </c>
      <c r="T11" s="771">
        <f>IFERROR(COUNTIF(Kuponger!$BY:$BY,N$2),0)</f>
        <v>5</v>
      </c>
      <c r="U11" s="47">
        <f>IFERROR(COUNTIF(Kuponger!$BU:$BU,Analyse!N$2),0)</f>
        <v>13</v>
      </c>
      <c r="V11" s="770">
        <f t="shared" si="11"/>
        <v>0.38461538461538464</v>
      </c>
      <c r="W11" s="769" t="s">
        <v>23</v>
      </c>
      <c r="X11" s="47">
        <f>IFERROR(COUNTIF(Kuponger!$BE:$BE,X$2),0)</f>
        <v>2</v>
      </c>
      <c r="Y11" s="47">
        <f>IFERROR(COUNTIF(Kuponger!$BA:$BA,Analyse!X$2),0)</f>
        <v>4</v>
      </c>
      <c r="Z11" s="770">
        <f t="shared" si="2"/>
        <v>0.5</v>
      </c>
      <c r="AA11" s="771">
        <f>IFERROR(COUNTIF(Kuponger!$BX:$BX,X$2),0)</f>
        <v>3</v>
      </c>
      <c r="AB11" s="47">
        <f>IFERROR(COUNTIF(Kuponger!$BT:$BT,Analyse!X$2),0)</f>
        <v>7</v>
      </c>
      <c r="AC11" s="770">
        <f t="shared" si="12"/>
        <v>0.42857142857142855</v>
      </c>
      <c r="AD11" s="771">
        <f>IFERROR(COUNTIF(Kuponger!$BY:$BY,X$2),0)</f>
        <v>13</v>
      </c>
      <c r="AE11" s="47">
        <f>IFERROR(COUNTIF(Kuponger!$BU:$BU,Analyse!X$2),0)</f>
        <v>28</v>
      </c>
      <c r="AF11" s="770">
        <f t="shared" si="13"/>
        <v>0.4642857142857143</v>
      </c>
      <c r="AG11" s="769" t="s">
        <v>19</v>
      </c>
      <c r="AH11" s="47">
        <f>IFERROR(COUNTIF(Kuponger!$U:$U,AH$2),0)</f>
        <v>27</v>
      </c>
      <c r="AI11" s="47">
        <f>IFERROR(COUNTIF(Kuponger!$Q:$Q,Analyse!AH$2),0)</f>
        <v>52</v>
      </c>
      <c r="AJ11" s="770">
        <f t="shared" si="3"/>
        <v>0.51923076923076927</v>
      </c>
      <c r="AK11" s="771">
        <f>IFERROR(COUNTIF(Kuponger!$BX:$BX,AH$2),0)</f>
        <v>2</v>
      </c>
      <c r="AL11" s="47">
        <f>IFERROR(COUNTIF(Kuponger!$BT:$BT,Analyse!AH$2),0)</f>
        <v>15</v>
      </c>
      <c r="AM11" s="770">
        <f t="shared" si="14"/>
        <v>0.13333333333333333</v>
      </c>
      <c r="AN11" s="771">
        <f>IFERROR(COUNTIF(Kuponger!$BY:$BY,AH$2),0)</f>
        <v>12</v>
      </c>
      <c r="AO11" s="47">
        <f>IFERROR(COUNTIF(Kuponger!$BU:$BU,Analyse!AH$2),0)</f>
        <v>45</v>
      </c>
      <c r="AP11" s="770">
        <f t="shared" si="15"/>
        <v>0.26666666666666666</v>
      </c>
      <c r="AQ11" s="769" t="s">
        <v>20</v>
      </c>
      <c r="AR11" s="47">
        <f>IFERROR(COUNTIF(Kuponger!$AD:$AD,AR$2),0)</f>
        <v>2</v>
      </c>
      <c r="AS11" s="47">
        <f>IFERROR(COUNTIF(Kuponger!$Z:$Z,Analyse!AR$2),0)</f>
        <v>7</v>
      </c>
      <c r="AT11" s="770">
        <f t="shared" si="4"/>
        <v>0.2857142857142857</v>
      </c>
      <c r="AU11" s="771">
        <f>IFERROR(COUNTIF(Kuponger!$BX:$BX,AR$2),0)</f>
        <v>11</v>
      </c>
      <c r="AV11" s="47">
        <f>IFERROR(COUNTIF(Kuponger!$BT:$BT,Analyse!AR$2),0)</f>
        <v>40</v>
      </c>
      <c r="AW11" s="770">
        <f t="shared" si="16"/>
        <v>0.27500000000000002</v>
      </c>
      <c r="AX11" s="771">
        <f>IFERROR(COUNTIF(Kuponger!$BY:$BY,AR$2),0)</f>
        <v>17</v>
      </c>
      <c r="AY11" s="47">
        <f>IFERROR(COUNTIF(Kuponger!$BU:$BU,Analyse!AR$2),0)</f>
        <v>47</v>
      </c>
      <c r="AZ11" s="770">
        <f t="shared" si="17"/>
        <v>0.36170212765957449</v>
      </c>
      <c r="BA11" s="769" t="s">
        <v>20</v>
      </c>
      <c r="BB11" s="47">
        <f>IFERROR(COUNTIF(Kuponger!$AD:$AD,BB$2),0)</f>
        <v>0</v>
      </c>
      <c r="BC11" s="47">
        <f>IFERROR(COUNTIF(Kuponger!$Z:$Z,Analyse!BB$2),0)</f>
        <v>0</v>
      </c>
      <c r="BD11" s="770">
        <f t="shared" si="5"/>
        <v>0</v>
      </c>
      <c r="BE11" s="771">
        <f>IFERROR(COUNTIF(Kuponger!$BX:$BX,BB$2),0)</f>
        <v>22</v>
      </c>
      <c r="BF11" s="47">
        <f>IFERROR(COUNTIF(Kuponger!$BT:$BT,Analyse!BB$2),0)</f>
        <v>81</v>
      </c>
      <c r="BG11" s="770">
        <f t="shared" si="18"/>
        <v>0.27160493827160492</v>
      </c>
      <c r="BH11" s="771">
        <f>IFERROR(COUNTIF(Kuponger!$BY:$BY,BB$2),0)</f>
        <v>19</v>
      </c>
      <c r="BI11" s="47">
        <f>IFERROR(COUNTIF(Kuponger!$BU:$BU,Analyse!BB$2),0)</f>
        <v>63</v>
      </c>
      <c r="BJ11" s="770">
        <f t="shared" si="19"/>
        <v>0.30158730158730157</v>
      </c>
      <c r="BK11" s="769" t="s">
        <v>25</v>
      </c>
      <c r="BL11" s="47">
        <f>IFERROR(COUNTIF(Kuponger!$BW:$BW,BL$2),0)</f>
        <v>15</v>
      </c>
      <c r="BM11" s="47">
        <f>IFERROR(COUNTIF(Kuponger!$BS:$BS,Analyse!BL$2),0)</f>
        <v>46</v>
      </c>
      <c r="BN11" s="770">
        <f t="shared" si="6"/>
        <v>0.32608695652173914</v>
      </c>
      <c r="BO11" s="771">
        <f>IFERROR(COUNTIF(Kuponger!$BX:$BX,BL$2),0)</f>
        <v>32</v>
      </c>
      <c r="BP11" s="47">
        <f>IFERROR(COUNTIF(Kuponger!$BT:$BT,Analyse!BL$2),0)</f>
        <v>138</v>
      </c>
      <c r="BQ11" s="770">
        <f t="shared" si="20"/>
        <v>0.2318840579710145</v>
      </c>
      <c r="BR11" s="771">
        <f>IFERROR(COUNTIF(Kuponger!$BY:$BY,BL$2),0)</f>
        <v>26</v>
      </c>
      <c r="BS11" s="47">
        <f>IFERROR(COUNTIF(Kuponger!$BU:$BU,Analyse!BL$2),0)</f>
        <v>95</v>
      </c>
      <c r="BT11" s="770">
        <f t="shared" si="21"/>
        <v>0.27368421052631581</v>
      </c>
      <c r="BU11" s="769" t="s">
        <v>23</v>
      </c>
      <c r="BV11" s="47">
        <f>IFERROR(COUNTIF(Kuponger!$BE:$BE,BV$2),0)</f>
        <v>35</v>
      </c>
      <c r="BW11" s="47">
        <f>IFERROR(COUNTIF(Kuponger!$BA:$BA,Analyse!BV$2),0)</f>
        <v>120</v>
      </c>
      <c r="BX11" s="770">
        <f t="shared" si="7"/>
        <v>0.29166666666666669</v>
      </c>
      <c r="BY11" s="771">
        <f>IFERROR(COUNTIF(Kuponger!$BX:$BX,BV$2),0)</f>
        <v>17</v>
      </c>
      <c r="BZ11" s="47">
        <f>IFERROR(COUNTIF(Kuponger!$BT:$BT,Analyse!BV$2),0)</f>
        <v>101</v>
      </c>
      <c r="CA11" s="770">
        <f t="shared" si="22"/>
        <v>0.16831683168316833</v>
      </c>
      <c r="CB11" s="771">
        <f>IFERROR(COUNTIF(Kuponger!$BY:$BY,BV$2),0)</f>
        <v>10</v>
      </c>
      <c r="CC11" s="47">
        <f>IFERROR(COUNTIF(Kuponger!$BU:$BU,Analyse!BV$2),0)</f>
        <v>74</v>
      </c>
      <c r="CD11" s="770">
        <f t="shared" si="23"/>
        <v>0.13513513513513514</v>
      </c>
    </row>
    <row r="12" spans="2:82" x14ac:dyDescent="0.2">
      <c r="C12" s="769" t="s">
        <v>24</v>
      </c>
      <c r="D12" s="47">
        <f>IFERROR(COUNTIF(Kuponger!$BN:$BN,D$2),0)</f>
        <v>81</v>
      </c>
      <c r="E12" s="47">
        <f>IFERROR(COUNTIF(Kuponger!$BJ:$BJ,Analyse!D$2),0)</f>
        <v>136</v>
      </c>
      <c r="F12" s="770">
        <f t="shared" si="0"/>
        <v>0.59558823529411764</v>
      </c>
      <c r="G12" s="771">
        <f>IFERROR(COUNTIF(Kuponger!$CG:$CG,D$2),0)</f>
        <v>0</v>
      </c>
      <c r="H12" s="47">
        <f>IFERROR(COUNTIF(Kuponger!$CC:$CC,Analyse!D$2),0)</f>
        <v>3</v>
      </c>
      <c r="I12" s="770">
        <f t="shared" si="8"/>
        <v>0</v>
      </c>
      <c r="J12" s="771">
        <f>IFERROR(COUNTIF(Kuponger!$CH:$CH,D$2),0)</f>
        <v>5</v>
      </c>
      <c r="K12" s="47">
        <f>IFERROR(COUNTIF(Kuponger!$CC:$CC,Analyse!D$2),0)</f>
        <v>3</v>
      </c>
      <c r="L12" s="770">
        <f t="shared" si="9"/>
        <v>1.6666666666666667</v>
      </c>
      <c r="M12" s="769" t="s">
        <v>25</v>
      </c>
      <c r="N12" s="47">
        <f>IFERROR(COUNTIF(Kuponger!$BW:$BW,N$2),0)</f>
        <v>32</v>
      </c>
      <c r="O12" s="47">
        <f>IFERROR(COUNTIF(Kuponger!$BS:$BS,Analyse!N$2),0)</f>
        <v>38</v>
      </c>
      <c r="P12" s="770">
        <f t="shared" si="1"/>
        <v>0.84210526315789469</v>
      </c>
      <c r="Q12" s="771">
        <f>IFERROR(COUNTIF(Kuponger!$CG:$CG,N$2),0)</f>
        <v>0</v>
      </c>
      <c r="R12" s="47">
        <f>IFERROR(COUNTIF(Kuponger!$CC:$CC,Analyse!N$2),0)</f>
        <v>3</v>
      </c>
      <c r="S12" s="770">
        <f t="shared" si="10"/>
        <v>0</v>
      </c>
      <c r="T12" s="771">
        <f>IFERROR(COUNTIF(Kuponger!$CH:$CH,N$2),0)</f>
        <v>15</v>
      </c>
      <c r="U12" s="47">
        <f>IFERROR(COUNTIF(Kuponger!$CC:$CC,Analyse!N$2),0)</f>
        <v>3</v>
      </c>
      <c r="V12" s="770">
        <f t="shared" si="11"/>
        <v>5</v>
      </c>
      <c r="W12" s="769" t="s">
        <v>22</v>
      </c>
      <c r="X12" s="47">
        <f>IFERROR(COUNTIF(Kuponger!$AV:$AV,X$2),0)</f>
        <v>39</v>
      </c>
      <c r="Y12" s="47">
        <f>IFERROR(COUNTIF(Kuponger!$AR:$AR,Analyse!X$2),0)</f>
        <v>84</v>
      </c>
      <c r="Z12" s="770">
        <f t="shared" si="2"/>
        <v>0.4642857142857143</v>
      </c>
      <c r="AA12" s="771">
        <f>IFERROR(COUNTIF(Kuponger!$CG:$CG,X$2),0)</f>
        <v>0</v>
      </c>
      <c r="AB12" s="47">
        <f>IFERROR(COUNTIF(Kuponger!$CC:$CC,Analyse!X$2),0)</f>
        <v>2</v>
      </c>
      <c r="AC12" s="770">
        <f t="shared" si="12"/>
        <v>0</v>
      </c>
      <c r="AD12" s="771">
        <f>IFERROR(COUNTIF(Kuponger!$CH:$CH,X$2),0)</f>
        <v>17</v>
      </c>
      <c r="AE12" s="47">
        <f>IFERROR(COUNTIF(Kuponger!$CC:$CC,Analyse!X$2),0)</f>
        <v>2</v>
      </c>
      <c r="AF12" s="770">
        <f t="shared" si="13"/>
        <v>8.5</v>
      </c>
      <c r="AG12" s="769" t="s">
        <v>23</v>
      </c>
      <c r="AH12" s="47">
        <f>IFERROR(COUNTIF(Kuponger!$BE:$BE,AH$2),0)</f>
        <v>3</v>
      </c>
      <c r="AI12" s="47">
        <f>IFERROR(COUNTIF(Kuponger!$BA:$BA,Analyse!AH$2),0)</f>
        <v>8</v>
      </c>
      <c r="AJ12" s="770">
        <f t="shared" si="3"/>
        <v>0.375</v>
      </c>
      <c r="AK12" s="771">
        <f>IFERROR(COUNTIF(Kuponger!$CG:$CG,AH$2),0)</f>
        <v>0</v>
      </c>
      <c r="AL12" s="47">
        <f>IFERROR(COUNTIF(Kuponger!$CC:$CC,Analyse!AH$2),0)</f>
        <v>5</v>
      </c>
      <c r="AM12" s="770">
        <f t="shared" si="14"/>
        <v>0</v>
      </c>
      <c r="AN12" s="771">
        <f>IFERROR(COUNTIF(Kuponger!$CH:$CH,AH$2),0)</f>
        <v>8</v>
      </c>
      <c r="AO12" s="47">
        <f>IFERROR(COUNTIF(Kuponger!$CC:$CC,Analyse!AH$2),0)</f>
        <v>5</v>
      </c>
      <c r="AP12" s="770">
        <f t="shared" si="15"/>
        <v>1.6</v>
      </c>
      <c r="AQ12" s="769" t="s">
        <v>21</v>
      </c>
      <c r="AR12" s="47">
        <f>IFERROR(COUNTIF(Kuponger!$AM:$AM,AR$2),0)</f>
        <v>17</v>
      </c>
      <c r="AS12" s="47">
        <f>IFERROR(COUNTIF(Kuponger!$AI:$AI,Analyse!AR$2),0)</f>
        <v>47</v>
      </c>
      <c r="AT12" s="770">
        <f t="shared" si="4"/>
        <v>0.36170212765957449</v>
      </c>
      <c r="AU12" s="771">
        <f>IFERROR(COUNTIF(Kuponger!$CG:$CG,AR$2),0)</f>
        <v>0</v>
      </c>
      <c r="AV12" s="47">
        <f>IFERROR(COUNTIF(Kuponger!$CC:$CC,Analyse!AR$2),0)</f>
        <v>7</v>
      </c>
      <c r="AW12" s="770">
        <f t="shared" si="16"/>
        <v>0</v>
      </c>
      <c r="AX12" s="771">
        <f>IFERROR(COUNTIF(Kuponger!$CH:$CH,AR$2),0)</f>
        <v>17</v>
      </c>
      <c r="AY12" s="47">
        <f>IFERROR(COUNTIF(Kuponger!$CC:$CC,Analyse!AR$2),0)</f>
        <v>7</v>
      </c>
      <c r="AZ12" s="770">
        <f t="shared" si="17"/>
        <v>2.4285714285714284</v>
      </c>
      <c r="BA12" s="769" t="s">
        <v>26</v>
      </c>
      <c r="BB12" s="47">
        <f>IFERROR(COUNTIF(Kuponger!$CF:$CF,BB$2),0)</f>
        <v>13</v>
      </c>
      <c r="BC12" s="47">
        <f>IFERROR(COUNTIF(Kuponger!$CB:$CB,Analyse!BB$2),0)</f>
        <v>44</v>
      </c>
      <c r="BD12" s="770">
        <f t="shared" si="5"/>
        <v>0.29545454545454547</v>
      </c>
      <c r="BE12" s="771">
        <f>IFERROR(COUNTIF(Kuponger!$CG:$CG,BB$2),0)</f>
        <v>9</v>
      </c>
      <c r="BF12" s="47">
        <f>IFERROR(COUNTIF(Kuponger!$CC:$CC,Analyse!BB$2),0)</f>
        <v>46</v>
      </c>
      <c r="BG12" s="770">
        <f t="shared" si="18"/>
        <v>0.19565217391304349</v>
      </c>
      <c r="BH12" s="771">
        <f>IFERROR(COUNTIF(Kuponger!$CH:$CH,BB$2),0)</f>
        <v>11</v>
      </c>
      <c r="BI12" s="47">
        <f>IFERROR(COUNTIF(Kuponger!$CC:$CC,Analyse!BB$2),0)</f>
        <v>46</v>
      </c>
      <c r="BJ12" s="770">
        <f t="shared" si="19"/>
        <v>0.2391304347826087</v>
      </c>
      <c r="BK12" s="769" t="s">
        <v>21</v>
      </c>
      <c r="BL12" s="47">
        <f>IFERROR(COUNTIF(Kuponger!$AM:$AM,BL$2),0)</f>
        <v>17</v>
      </c>
      <c r="BM12" s="47">
        <f>IFERROR(COUNTIF(Kuponger!$AI:$AI,Analyse!BL$2),0)</f>
        <v>46</v>
      </c>
      <c r="BN12" s="770">
        <f t="shared" si="6"/>
        <v>0.36956521739130432</v>
      </c>
      <c r="BO12" s="771">
        <f>IFERROR(COUNTIF(Kuponger!$CG:$CG,BL$2),0)</f>
        <v>35</v>
      </c>
      <c r="BP12" s="47">
        <f>IFERROR(COUNTIF(Kuponger!$CC:$CC,Analyse!BL$2),0)</f>
        <v>156</v>
      </c>
      <c r="BQ12" s="770">
        <f t="shared" si="20"/>
        <v>0.22435897435897437</v>
      </c>
      <c r="BR12" s="771">
        <f>IFERROR(COUNTIF(Kuponger!$CH:$CH,BL$2),0)</f>
        <v>33</v>
      </c>
      <c r="BS12" s="47">
        <f>IFERROR(COUNTIF(Kuponger!$CC:$CC,Analyse!BL$2),0)</f>
        <v>156</v>
      </c>
      <c r="BT12" s="770">
        <f t="shared" si="21"/>
        <v>0.21153846153846154</v>
      </c>
      <c r="BU12" s="769" t="s">
        <v>26</v>
      </c>
      <c r="BV12" s="47">
        <f>IFERROR(COUNTIF(Kuponger!$CF:$CF,BV$2),0)</f>
        <v>1</v>
      </c>
      <c r="BW12" s="47">
        <f>IFERROR(COUNTIF(Kuponger!$CB:$CB,Analyse!BV$2),0)</f>
        <v>6</v>
      </c>
      <c r="BX12" s="770">
        <f t="shared" si="7"/>
        <v>0.16666666666666666</v>
      </c>
      <c r="BY12" s="771">
        <f>IFERROR(COUNTIF(Kuponger!$CG:$CG,BV$2),0)</f>
        <v>45</v>
      </c>
      <c r="BZ12" s="47">
        <f>IFERROR(COUNTIF(Kuponger!$CC:$CC,Analyse!BV$2),0)</f>
        <v>192</v>
      </c>
      <c r="CA12" s="770">
        <f t="shared" si="22"/>
        <v>0.234375</v>
      </c>
      <c r="CB12" s="771">
        <f>IFERROR(COUNTIF(Kuponger!$CH:$CH,BV$2),0)</f>
        <v>13</v>
      </c>
      <c r="CC12" s="47">
        <f>IFERROR(COUNTIF(Kuponger!$CC:$CC,Analyse!BV$2),0)</f>
        <v>192</v>
      </c>
      <c r="CD12" s="770">
        <f t="shared" si="23"/>
        <v>6.7708333333333329E-2</v>
      </c>
    </row>
    <row r="13" spans="2:82" x14ac:dyDescent="0.2">
      <c r="C13" s="772" t="s">
        <v>22</v>
      </c>
      <c r="D13" s="773">
        <f>IFERROR(COUNTIF(Kuponger!$AV:$AV,D$2),0)</f>
        <v>57</v>
      </c>
      <c r="E13" s="773">
        <f>IFERROR(COUNTIF(Kuponger!$Q:$Q,Analyse!D$2),0)</f>
        <v>55</v>
      </c>
      <c r="F13" s="774">
        <f t="shared" si="0"/>
        <v>1.0363636363636364</v>
      </c>
      <c r="G13" s="775">
        <f>IFERROR(COUNTIF(Kuponger!$CP:$CP,D$2),0)</f>
        <v>0</v>
      </c>
      <c r="H13" s="773">
        <f>IFERROR(COUNTIF(Kuponger!$CL:$CL,Analyse!D$2),0)</f>
        <v>8</v>
      </c>
      <c r="I13" s="774">
        <f t="shared" si="8"/>
        <v>0</v>
      </c>
      <c r="J13" s="775">
        <f>IFERROR(COUNTIF(Kuponger!$CQ:$CQ,D$2),0)</f>
        <v>21</v>
      </c>
      <c r="K13" s="773">
        <f>IFERROR(COUNTIF(Kuponger!$CM:$CM,Analyse!D$2),0)</f>
        <v>37</v>
      </c>
      <c r="L13" s="774">
        <f t="shared" si="9"/>
        <v>0.56756756756756754</v>
      </c>
      <c r="M13" s="772" t="s">
        <v>21</v>
      </c>
      <c r="N13" s="773">
        <f>IFERROR(COUNTIF(Kuponger!$AM:$AM,N$2),0)</f>
        <v>21</v>
      </c>
      <c r="O13" s="773">
        <f>IFERROR(COUNTIF(Kuponger!$AI:$AI,Analyse!N$2),0)</f>
        <v>44</v>
      </c>
      <c r="P13" s="774">
        <f t="shared" si="1"/>
        <v>0.47727272727272729</v>
      </c>
      <c r="Q13" s="775">
        <f>IFERROR(COUNTIF(Kuponger!$CP:$CP,N$2),0)</f>
        <v>0</v>
      </c>
      <c r="R13" s="773">
        <f>IFERROR(COUNTIF(Kuponger!$CL:$CL,Analyse!N$2),0)</f>
        <v>6</v>
      </c>
      <c r="S13" s="774">
        <f t="shared" si="10"/>
        <v>0</v>
      </c>
      <c r="T13" s="775">
        <f>IFERROR(COUNTIF(Kuponger!$CQ:$CQ,N$2),0)</f>
        <v>7</v>
      </c>
      <c r="U13" s="773">
        <f>IFERROR(COUNTIF(Kuponger!$CM:$CM,Analyse!N$2),0)</f>
        <v>16</v>
      </c>
      <c r="V13" s="774">
        <f t="shared" si="11"/>
        <v>0.4375</v>
      </c>
      <c r="W13" s="772" t="s">
        <v>25</v>
      </c>
      <c r="X13" s="773">
        <f>IFERROR(COUNTIF(Kuponger!$BW:$BW,X$2),0)</f>
        <v>21</v>
      </c>
      <c r="Y13" s="773">
        <f>IFERROR(COUNTIF(Kuponger!$BS:$BS,Analyse!X$2),0)</f>
        <v>45</v>
      </c>
      <c r="Z13" s="774">
        <f t="shared" si="2"/>
        <v>0.46666666666666667</v>
      </c>
      <c r="AA13" s="775">
        <f>IFERROR(COUNTIF(Kuponger!$CP:$CP,X$2),0)</f>
        <v>1</v>
      </c>
      <c r="AB13" s="773">
        <f>IFERROR(COUNTIF(Kuponger!$CL:$CL,Analyse!X$2),0)</f>
        <v>9</v>
      </c>
      <c r="AC13" s="774">
        <f t="shared" si="12"/>
        <v>0.1111111111111111</v>
      </c>
      <c r="AD13" s="775">
        <f>IFERROR(COUNTIF(Kuponger!$CQ:$CQ,X$2),0)</f>
        <v>10</v>
      </c>
      <c r="AE13" s="773">
        <f>IFERROR(COUNTIF(Kuponger!$CM:$CM,Analyse!X$2),0)</f>
        <v>35</v>
      </c>
      <c r="AF13" s="774">
        <f t="shared" si="13"/>
        <v>0.2857142857142857</v>
      </c>
      <c r="AG13" s="772" t="s">
        <v>25</v>
      </c>
      <c r="AH13" s="773">
        <f>IFERROR(COUNTIF(Kuponger!$BW:$BW,AH$2),0)</f>
        <v>37</v>
      </c>
      <c r="AI13" s="773">
        <f>IFERROR(COUNTIF(Kuponger!$BS:$BS,Analyse!AH$2),0)</f>
        <v>72</v>
      </c>
      <c r="AJ13" s="774">
        <f t="shared" si="3"/>
        <v>0.51388888888888884</v>
      </c>
      <c r="AK13" s="775">
        <f>IFERROR(COUNTIF(Kuponger!$CP:$CP,AH$2),0)</f>
        <v>1</v>
      </c>
      <c r="AL13" s="773">
        <f>IFERROR(COUNTIF(Kuponger!$CL:$CL,Analyse!AH$2),0)</f>
        <v>10</v>
      </c>
      <c r="AM13" s="774">
        <f t="shared" si="14"/>
        <v>0.1</v>
      </c>
      <c r="AN13" s="775">
        <f>IFERROR(COUNTIF(Kuponger!$CQ:$CQ,AH$2),0)</f>
        <v>8</v>
      </c>
      <c r="AO13" s="773">
        <f>IFERROR(COUNTIF(Kuponger!$CM:$CM,Analyse!AH$2),0)</f>
        <v>21</v>
      </c>
      <c r="AP13" s="774">
        <f t="shared" si="15"/>
        <v>0.38095238095238093</v>
      </c>
      <c r="AQ13" s="772" t="s">
        <v>24</v>
      </c>
      <c r="AR13" s="773">
        <f>IFERROR(COUNTIF(Kuponger!$BN:$BN,AR$2),0)</f>
        <v>2</v>
      </c>
      <c r="AS13" s="773">
        <f>IFERROR(COUNTIF(Kuponger!$BJ:$BJ,Analyse!AR$2),0)</f>
        <v>6</v>
      </c>
      <c r="AT13" s="774">
        <f t="shared" si="4"/>
        <v>0.33333333333333331</v>
      </c>
      <c r="AU13" s="775">
        <f>IFERROR(COUNTIF(Kuponger!$CP:$CP,AR$2),0)</f>
        <v>7</v>
      </c>
      <c r="AV13" s="773">
        <f>IFERROR(COUNTIF(Kuponger!$CL:$CL,Analyse!AR$2),0)</f>
        <v>42</v>
      </c>
      <c r="AW13" s="774">
        <f t="shared" si="16"/>
        <v>0.16666666666666666</v>
      </c>
      <c r="AX13" s="775">
        <f>IFERROR(COUNTIF(Kuponger!$CQ:$CQ,AR$2),0)</f>
        <v>8</v>
      </c>
      <c r="AY13" s="773">
        <f>IFERROR(COUNTIF(Kuponger!$CM:$CM,Analyse!AR$2),0)</f>
        <v>19</v>
      </c>
      <c r="AZ13" s="774">
        <f t="shared" si="17"/>
        <v>0.42105263157894735</v>
      </c>
      <c r="BA13" s="772" t="s">
        <v>22</v>
      </c>
      <c r="BB13" s="773">
        <f>IFERROR(COUNTIF(Kuponger!$AV:$AV,BB$2),0)</f>
        <v>14</v>
      </c>
      <c r="BC13" s="773">
        <f>IFERROR(COUNTIF(Kuponger!$AR:$AR,Analyse!BB$2),0)</f>
        <v>35</v>
      </c>
      <c r="BD13" s="774">
        <f t="shared" si="5"/>
        <v>0.4</v>
      </c>
      <c r="BE13" s="775">
        <f>IFERROR(COUNTIF(Kuponger!$CP:$CP,BB$2),0)</f>
        <v>22</v>
      </c>
      <c r="BF13" s="773">
        <f>IFERROR(COUNTIF(Kuponger!$CL:$CL,Analyse!BB$2),0)</f>
        <v>90</v>
      </c>
      <c r="BG13" s="774">
        <f t="shared" si="18"/>
        <v>0.24444444444444444</v>
      </c>
      <c r="BH13" s="775">
        <f>IFERROR(COUNTIF(Kuponger!$CQ:$CQ,BB$2),0)</f>
        <v>16</v>
      </c>
      <c r="BI13" s="773">
        <f>IFERROR(COUNTIF(Kuponger!$CM:$CM,Analyse!BB$2),0)</f>
        <v>41</v>
      </c>
      <c r="BJ13" s="774">
        <f t="shared" si="19"/>
        <v>0.3902439024390244</v>
      </c>
      <c r="BK13" s="772" t="s">
        <v>19</v>
      </c>
      <c r="BL13" s="773">
        <f>IFERROR(COUNTIF(Kuponger!$U:$U,BL$2),0)</f>
        <v>14</v>
      </c>
      <c r="BM13" s="773">
        <f>IFERROR(COUNTIF(Kuponger!$Q:$Q,Analyse!BL$2),0)</f>
        <v>42</v>
      </c>
      <c r="BN13" s="774">
        <f t="shared" si="6"/>
        <v>0.33333333333333331</v>
      </c>
      <c r="BO13" s="775">
        <f>IFERROR(COUNTIF(Kuponger!$CP:$CP,BL$2),0)</f>
        <v>19</v>
      </c>
      <c r="BP13" s="773">
        <f>IFERROR(COUNTIF(Kuponger!$CL:$CL,Analyse!BL$2),0)</f>
        <v>79</v>
      </c>
      <c r="BQ13" s="774">
        <f t="shared" si="20"/>
        <v>0.24050632911392406</v>
      </c>
      <c r="BR13" s="775">
        <f>IFERROR(COUNTIF(Kuponger!$CQ:$CQ,BL$2),0)</f>
        <v>19</v>
      </c>
      <c r="BS13" s="773">
        <f>IFERROR(COUNTIF(Kuponger!$CM:$CM,Analyse!BL$2),0)</f>
        <v>59</v>
      </c>
      <c r="BT13" s="774">
        <f t="shared" si="21"/>
        <v>0.32203389830508472</v>
      </c>
      <c r="BU13" s="772" t="s">
        <v>27</v>
      </c>
      <c r="BV13" s="773">
        <f>IFERROR(COUNTIF(Kuponger!$CO:$CO,BV$2),0)</f>
        <v>15</v>
      </c>
      <c r="BW13" s="773">
        <f>IFERROR(COUNTIF(Kuponger!$CK:$CK,Analyse!BV$2),0)</f>
        <v>61</v>
      </c>
      <c r="BX13" s="774">
        <f t="shared" si="7"/>
        <v>0.24590163934426229</v>
      </c>
      <c r="BY13" s="775">
        <f>IFERROR(COUNTIF(Kuponger!$CP:$CP,BV$2),0)</f>
        <v>39</v>
      </c>
      <c r="BZ13" s="773">
        <f>IFERROR(COUNTIF(Kuponger!$CL:$CL,Analyse!BV$2),0)</f>
        <v>166</v>
      </c>
      <c r="CA13" s="774">
        <f t="shared" si="22"/>
        <v>0.23493975903614459</v>
      </c>
      <c r="CB13" s="775">
        <f>IFERROR(COUNTIF(Kuponger!$CQ:$CQ,BV$2),0)</f>
        <v>30</v>
      </c>
      <c r="CC13" s="773">
        <f>IFERROR(COUNTIF(Kuponger!$CM:$CM,Analyse!BV$2),0)</f>
        <v>164</v>
      </c>
      <c r="CD13" s="774">
        <f t="shared" si="23"/>
        <v>0.18292682926829268</v>
      </c>
    </row>
    <row r="15" spans="2:82" x14ac:dyDescent="0.2">
      <c r="B15" s="27">
        <f>COUNTIF(Kuponger!Z:AB,80)</f>
        <v>370</v>
      </c>
    </row>
    <row r="17" spans="3:41" x14ac:dyDescent="0.2">
      <c r="C17" s="776"/>
      <c r="D17" s="760" t="s">
        <v>412</v>
      </c>
      <c r="E17" s="758"/>
      <c r="F17" s="759"/>
      <c r="G17" s="758"/>
      <c r="H17" s="758"/>
      <c r="I17" s="760"/>
      <c r="J17" s="758"/>
      <c r="K17" s="759"/>
      <c r="L17" s="758"/>
      <c r="M17" s="758"/>
      <c r="N17" s="760"/>
      <c r="O17" s="758"/>
      <c r="P17" s="759"/>
      <c r="Q17" s="758"/>
      <c r="R17" s="758"/>
      <c r="S17" s="760"/>
      <c r="T17" s="758"/>
      <c r="U17" s="759"/>
      <c r="V17" s="758"/>
      <c r="W17" s="758"/>
      <c r="X17" s="760"/>
      <c r="Y17" s="758"/>
      <c r="Z17" s="759"/>
      <c r="AA17" s="758"/>
      <c r="AB17" s="758"/>
      <c r="AC17" s="760"/>
      <c r="AD17" s="758"/>
      <c r="AE17" s="759"/>
      <c r="AF17" s="758"/>
      <c r="AG17" s="758"/>
      <c r="AH17" s="760"/>
      <c r="AI17" s="758"/>
      <c r="AJ17" s="759"/>
      <c r="AK17" s="758"/>
      <c r="AL17" s="758"/>
      <c r="AM17" s="760"/>
      <c r="AN17" s="758"/>
      <c r="AO17" s="759"/>
    </row>
    <row r="18" spans="3:41" x14ac:dyDescent="0.2">
      <c r="C18" s="769"/>
      <c r="D18" s="764">
        <f>$D$2</f>
        <v>80</v>
      </c>
      <c r="E18" s="762"/>
      <c r="F18" s="763"/>
      <c r="G18" s="762"/>
      <c r="H18" s="762"/>
      <c r="I18" s="764">
        <f>$N$2</f>
        <v>70</v>
      </c>
      <c r="J18" s="762"/>
      <c r="K18" s="763"/>
      <c r="L18" s="762"/>
      <c r="M18" s="762"/>
      <c r="N18" s="764">
        <v>60</v>
      </c>
      <c r="O18" s="762"/>
      <c r="P18" s="763"/>
      <c r="Q18" s="762"/>
      <c r="R18" s="762"/>
      <c r="S18" s="764">
        <v>50</v>
      </c>
      <c r="T18" s="762"/>
      <c r="U18" s="763"/>
      <c r="V18" s="762"/>
      <c r="W18" s="762"/>
      <c r="X18" s="764">
        <v>40</v>
      </c>
      <c r="Y18" s="762"/>
      <c r="Z18" s="763"/>
      <c r="AA18" s="762"/>
      <c r="AB18" s="762"/>
      <c r="AC18" s="764">
        <v>30</v>
      </c>
      <c r="AD18" s="762"/>
      <c r="AE18" s="763"/>
      <c r="AF18" s="762"/>
      <c r="AG18" s="762"/>
      <c r="AH18" s="764">
        <v>20</v>
      </c>
      <c r="AI18" s="762"/>
      <c r="AJ18" s="763"/>
      <c r="AK18" s="762"/>
      <c r="AL18" s="762"/>
      <c r="AM18" s="764">
        <v>10</v>
      </c>
      <c r="AN18" s="762"/>
      <c r="AO18" s="763"/>
    </row>
    <row r="19" spans="3:41" x14ac:dyDescent="0.2">
      <c r="C19" s="772"/>
      <c r="D19" s="768" t="s">
        <v>45</v>
      </c>
      <c r="E19" s="766" t="s">
        <v>46</v>
      </c>
      <c r="F19" s="767" t="s">
        <v>47</v>
      </c>
      <c r="G19" s="766"/>
      <c r="H19" s="766"/>
      <c r="I19" s="768" t="s">
        <v>45</v>
      </c>
      <c r="J19" s="766" t="s">
        <v>46</v>
      </c>
      <c r="K19" s="767" t="s">
        <v>47</v>
      </c>
      <c r="L19" s="766"/>
      <c r="M19" s="766"/>
      <c r="N19" s="768" t="s">
        <v>45</v>
      </c>
      <c r="O19" s="766" t="s">
        <v>46</v>
      </c>
      <c r="P19" s="767" t="s">
        <v>47</v>
      </c>
      <c r="Q19" s="766"/>
      <c r="R19" s="766"/>
      <c r="S19" s="768" t="s">
        <v>45</v>
      </c>
      <c r="T19" s="766" t="s">
        <v>46</v>
      </c>
      <c r="U19" s="767" t="s">
        <v>47</v>
      </c>
      <c r="V19" s="766"/>
      <c r="W19" s="766"/>
      <c r="X19" s="768" t="s">
        <v>45</v>
      </c>
      <c r="Y19" s="766" t="s">
        <v>46</v>
      </c>
      <c r="Z19" s="767" t="s">
        <v>47</v>
      </c>
      <c r="AA19" s="766"/>
      <c r="AB19" s="766"/>
      <c r="AC19" s="768" t="s">
        <v>45</v>
      </c>
      <c r="AD19" s="766" t="s">
        <v>46</v>
      </c>
      <c r="AE19" s="767" t="s">
        <v>47</v>
      </c>
      <c r="AF19" s="766"/>
      <c r="AG19" s="766"/>
      <c r="AH19" s="768" t="s">
        <v>45</v>
      </c>
      <c r="AI19" s="766" t="s">
        <v>46</v>
      </c>
      <c r="AJ19" s="767" t="s">
        <v>47</v>
      </c>
      <c r="AK19" s="766"/>
      <c r="AL19" s="766"/>
      <c r="AM19" s="768" t="s">
        <v>45</v>
      </c>
      <c r="AN19" s="766" t="s">
        <v>46</v>
      </c>
      <c r="AO19" s="767" t="s">
        <v>47</v>
      </c>
    </row>
    <row r="20" spans="3:41" x14ac:dyDescent="0.2">
      <c r="C20" s="27" t="s">
        <v>19</v>
      </c>
      <c r="D20" s="777">
        <f t="shared" ref="D20:D28" si="24">F5</f>
        <v>0.54150197628458496</v>
      </c>
      <c r="E20" s="778">
        <f t="shared" ref="E20:E28" si="25">I5</f>
        <v>0.33333333333333331</v>
      </c>
      <c r="F20" s="770">
        <f t="shared" ref="F20:F28" si="26">L5</f>
        <v>0.90909090909090906</v>
      </c>
      <c r="G20" s="778"/>
      <c r="H20" s="778" t="s">
        <v>19</v>
      </c>
      <c r="I20" s="777">
        <f t="shared" ref="I20:I28" si="27">P5</f>
        <v>0</v>
      </c>
      <c r="J20" s="778">
        <f t="shared" ref="J20:J28" si="28">S5</f>
        <v>0.125</v>
      </c>
      <c r="K20" s="770">
        <f t="shared" ref="K20:K28" si="29">V5</f>
        <v>0.5</v>
      </c>
      <c r="L20" s="778"/>
      <c r="M20" s="778" t="s">
        <v>19</v>
      </c>
      <c r="N20" s="777">
        <f t="shared" ref="N20:N28" si="30">Z5</f>
        <v>0.35849056603773582</v>
      </c>
      <c r="O20" s="778">
        <f t="shared" ref="O20:O28" si="31">AC5</f>
        <v>0.14285714285714285</v>
      </c>
      <c r="P20" s="770">
        <f t="shared" ref="P20:P28" si="32">AF5</f>
        <v>0.42105263157894735</v>
      </c>
      <c r="Q20" s="778"/>
      <c r="R20" s="778" t="s">
        <v>19</v>
      </c>
      <c r="S20" s="777">
        <f t="shared" ref="S20:S28" si="33">AJ5</f>
        <v>0.5</v>
      </c>
      <c r="T20" s="778">
        <f t="shared" ref="T20:T28" si="34">AM5</f>
        <v>0.16666666666666666</v>
      </c>
      <c r="U20" s="770">
        <f t="shared" ref="U20:U28" si="35">AP5</f>
        <v>0.3</v>
      </c>
      <c r="V20" s="778"/>
      <c r="W20" s="778" t="s">
        <v>19</v>
      </c>
      <c r="X20" s="777">
        <f t="shared" ref="X20:X28" si="36">AT5</f>
        <v>0.36666666666666664</v>
      </c>
      <c r="Y20" s="778">
        <f t="shared" ref="Y20:Y28" si="37">AW5</f>
        <v>0.13333333333333333</v>
      </c>
      <c r="Z20" s="770">
        <f t="shared" ref="Z20:Z28" si="38">AZ5</f>
        <v>0.17857142857142858</v>
      </c>
      <c r="AA20" s="778"/>
      <c r="AB20" s="778" t="s">
        <v>19</v>
      </c>
      <c r="AC20" s="777">
        <f t="shared" ref="AC20:AC28" si="39">BD5</f>
        <v>0.33962264150943394</v>
      </c>
      <c r="AD20" s="778">
        <f t="shared" ref="AD20:AD28" si="40">BG5</f>
        <v>0.25316455696202533</v>
      </c>
      <c r="AE20" s="770">
        <f t="shared" ref="AE20:AE28" si="41">BG5</f>
        <v>0.25316455696202533</v>
      </c>
      <c r="AF20" s="778"/>
      <c r="AG20" s="778" t="s">
        <v>19</v>
      </c>
      <c r="AH20" s="777">
        <f t="shared" ref="AH20:AH28" si="42">BN5</f>
        <v>0.5</v>
      </c>
      <c r="AI20" s="778">
        <f t="shared" ref="AI20:AI28" si="43">BQ5</f>
        <v>0.23364485981308411</v>
      </c>
      <c r="AJ20" s="770">
        <f t="shared" ref="AJ20:AJ28" si="44">BT5</f>
        <v>0.32038834951456313</v>
      </c>
      <c r="AK20" s="778"/>
      <c r="AL20" s="778" t="s">
        <v>19</v>
      </c>
      <c r="AM20" s="777">
        <f t="shared" ref="AM20:AM28" si="45">BX5</f>
        <v>0.13513513513513514</v>
      </c>
      <c r="AN20" s="778">
        <f t="shared" ref="AN20:AN28" si="46">CA5</f>
        <v>0.16901408450704225</v>
      </c>
      <c r="AO20" s="770">
        <f t="shared" ref="AO20:AO28" si="47">CD5</f>
        <v>0.203125</v>
      </c>
    </row>
    <row r="21" spans="3:41" x14ac:dyDescent="0.2">
      <c r="C21" s="27" t="s">
        <v>20</v>
      </c>
      <c r="D21" s="777">
        <f t="shared" si="24"/>
        <v>0.70370370370370372</v>
      </c>
      <c r="E21" s="778">
        <f t="shared" si="25"/>
        <v>0.23529411764705882</v>
      </c>
      <c r="F21" s="770">
        <f t="shared" si="26"/>
        <v>0.49</v>
      </c>
      <c r="G21" s="778"/>
      <c r="H21" s="778" t="s">
        <v>20</v>
      </c>
      <c r="I21" s="777">
        <f t="shared" si="27"/>
        <v>0.5</v>
      </c>
      <c r="J21" s="778">
        <f t="shared" si="28"/>
        <v>0</v>
      </c>
      <c r="K21" s="770">
        <f t="shared" si="29"/>
        <v>0</v>
      </c>
      <c r="L21" s="778"/>
      <c r="M21" s="778" t="s">
        <v>20</v>
      </c>
      <c r="N21" s="777">
        <f t="shared" si="30"/>
        <v>0.45454545454545453</v>
      </c>
      <c r="O21" s="778">
        <f t="shared" si="31"/>
        <v>0</v>
      </c>
      <c r="P21" s="770">
        <f t="shared" si="32"/>
        <v>0</v>
      </c>
      <c r="Q21" s="778"/>
      <c r="R21" s="778" t="s">
        <v>20</v>
      </c>
      <c r="S21" s="777">
        <f t="shared" si="33"/>
        <v>0.33333333333333331</v>
      </c>
      <c r="T21" s="778">
        <f t="shared" si="34"/>
        <v>0</v>
      </c>
      <c r="U21" s="770">
        <f t="shared" si="35"/>
        <v>0.2</v>
      </c>
      <c r="V21" s="778"/>
      <c r="W21" s="778" t="s">
        <v>20</v>
      </c>
      <c r="X21" s="777">
        <f t="shared" si="36"/>
        <v>1</v>
      </c>
      <c r="Y21" s="778">
        <f t="shared" si="37"/>
        <v>0</v>
      </c>
      <c r="Z21" s="770">
        <f t="shared" si="38"/>
        <v>0.2857142857142857</v>
      </c>
      <c r="AA21" s="778"/>
      <c r="AB21" s="778" t="s">
        <v>20</v>
      </c>
      <c r="AC21" s="777">
        <f t="shared" si="39"/>
        <v>0</v>
      </c>
      <c r="AD21" s="778">
        <f t="shared" si="40"/>
        <v>0</v>
      </c>
      <c r="AE21" s="770">
        <f t="shared" si="41"/>
        <v>0</v>
      </c>
      <c r="AF21" s="778"/>
      <c r="AG21" s="778" t="s">
        <v>20</v>
      </c>
      <c r="AH21" s="777">
        <f t="shared" si="42"/>
        <v>0</v>
      </c>
      <c r="AI21" s="778">
        <f t="shared" si="43"/>
        <v>0</v>
      </c>
      <c r="AJ21" s="770">
        <f t="shared" si="44"/>
        <v>0</v>
      </c>
      <c r="AK21" s="778"/>
      <c r="AL21" s="778" t="s">
        <v>20</v>
      </c>
      <c r="AM21" s="777">
        <f t="shared" si="45"/>
        <v>0.21428571428571427</v>
      </c>
      <c r="AN21" s="778">
        <f t="shared" si="46"/>
        <v>0.23351648351648352</v>
      </c>
      <c r="AO21" s="770">
        <f t="shared" si="47"/>
        <v>0.24363636363636362</v>
      </c>
    </row>
    <row r="22" spans="3:41" x14ac:dyDescent="0.2">
      <c r="C22" s="27" t="s">
        <v>21</v>
      </c>
      <c r="D22" s="777">
        <f t="shared" si="24"/>
        <v>0.67346938775510201</v>
      </c>
      <c r="E22" s="778">
        <f t="shared" si="25"/>
        <v>0</v>
      </c>
      <c r="F22" s="770">
        <f t="shared" si="26"/>
        <v>0.42857142857142855</v>
      </c>
      <c r="G22" s="778"/>
      <c r="H22" s="778" t="s">
        <v>21</v>
      </c>
      <c r="I22" s="777">
        <f t="shared" si="27"/>
        <v>0</v>
      </c>
      <c r="J22" s="778">
        <f t="shared" si="28"/>
        <v>0</v>
      </c>
      <c r="K22" s="770">
        <f t="shared" si="29"/>
        <v>0.18181818181818182</v>
      </c>
      <c r="L22" s="778"/>
      <c r="M22" s="778" t="s">
        <v>21</v>
      </c>
      <c r="N22" s="777">
        <f t="shared" si="30"/>
        <v>0.42105263157894735</v>
      </c>
      <c r="O22" s="778">
        <f t="shared" si="31"/>
        <v>0</v>
      </c>
      <c r="P22" s="770">
        <f t="shared" si="32"/>
        <v>0.39130434782608697</v>
      </c>
      <c r="Q22" s="778"/>
      <c r="R22" s="778" t="s">
        <v>21</v>
      </c>
      <c r="S22" s="777">
        <f t="shared" si="33"/>
        <v>0.55102040816326525</v>
      </c>
      <c r="T22" s="778">
        <f t="shared" si="34"/>
        <v>0.1</v>
      </c>
      <c r="U22" s="770">
        <f t="shared" si="35"/>
        <v>0.5</v>
      </c>
      <c r="V22" s="778"/>
      <c r="W22" s="778" t="s">
        <v>21</v>
      </c>
      <c r="X22" s="777">
        <f t="shared" si="36"/>
        <v>0.5</v>
      </c>
      <c r="Y22" s="778">
        <f t="shared" si="37"/>
        <v>0.24444444444444444</v>
      </c>
      <c r="Z22" s="770">
        <f t="shared" si="38"/>
        <v>0.37254901960784315</v>
      </c>
      <c r="AA22" s="778"/>
      <c r="AB22" s="778" t="s">
        <v>21</v>
      </c>
      <c r="AC22" s="777">
        <f t="shared" si="39"/>
        <v>0.3392857142857143</v>
      </c>
      <c r="AD22" s="778">
        <f t="shared" si="40"/>
        <v>0.20289855072463769</v>
      </c>
      <c r="AE22" s="770">
        <f t="shared" si="41"/>
        <v>0.20289855072463769</v>
      </c>
      <c r="AF22" s="778"/>
      <c r="AG22" s="778" t="s">
        <v>21</v>
      </c>
      <c r="AH22" s="777">
        <f t="shared" si="42"/>
        <v>0.37777777777777777</v>
      </c>
      <c r="AI22" s="778">
        <f t="shared" si="43"/>
        <v>0.26315789473684209</v>
      </c>
      <c r="AJ22" s="770">
        <f t="shared" si="44"/>
        <v>0.30263157894736842</v>
      </c>
      <c r="AK22" s="778"/>
      <c r="AL22" s="778" t="s">
        <v>21</v>
      </c>
      <c r="AM22" s="777">
        <f t="shared" si="45"/>
        <v>0.34883720930232559</v>
      </c>
      <c r="AN22" s="778">
        <f t="shared" si="46"/>
        <v>0.20143884892086331</v>
      </c>
      <c r="AO22" s="770">
        <f t="shared" si="47"/>
        <v>0.17518248175182483</v>
      </c>
    </row>
    <row r="23" spans="3:41" x14ac:dyDescent="0.2">
      <c r="C23" s="27" t="s">
        <v>22</v>
      </c>
      <c r="D23" s="777">
        <f t="shared" si="24"/>
        <v>0.69090909090909092</v>
      </c>
      <c r="E23" s="778">
        <f t="shared" si="25"/>
        <v>0</v>
      </c>
      <c r="F23" s="770">
        <f t="shared" si="26"/>
        <v>0.63636363636363635</v>
      </c>
      <c r="G23" s="778"/>
      <c r="H23" s="778" t="s">
        <v>22</v>
      </c>
      <c r="I23" s="777">
        <f t="shared" si="27"/>
        <v>0.75</v>
      </c>
      <c r="J23" s="778">
        <f t="shared" si="28"/>
        <v>0</v>
      </c>
      <c r="K23" s="770">
        <f t="shared" si="29"/>
        <v>0.14285714285714285</v>
      </c>
      <c r="L23" s="778"/>
      <c r="M23" s="778" t="s">
        <v>22</v>
      </c>
      <c r="N23" s="777">
        <f t="shared" si="30"/>
        <v>0.48076923076923078</v>
      </c>
      <c r="O23" s="778">
        <f t="shared" si="31"/>
        <v>0</v>
      </c>
      <c r="P23" s="770">
        <f t="shared" si="32"/>
        <v>0.48214285714285715</v>
      </c>
      <c r="Q23" s="778"/>
      <c r="R23" s="778" t="s">
        <v>22</v>
      </c>
      <c r="S23" s="777">
        <f t="shared" si="33"/>
        <v>0.37142857142857144</v>
      </c>
      <c r="T23" s="778">
        <f t="shared" si="34"/>
        <v>0.17647058823529413</v>
      </c>
      <c r="U23" s="770">
        <f t="shared" si="35"/>
        <v>0.28205128205128205</v>
      </c>
      <c r="V23" s="778"/>
      <c r="W23" s="778" t="s">
        <v>22</v>
      </c>
      <c r="X23" s="777">
        <f t="shared" si="36"/>
        <v>0.6</v>
      </c>
      <c r="Y23" s="778">
        <f t="shared" si="37"/>
        <v>0.13333333333333333</v>
      </c>
      <c r="Z23" s="770">
        <f t="shared" si="38"/>
        <v>0.38095238095238093</v>
      </c>
      <c r="AA23" s="778"/>
      <c r="AB23" s="778" t="s">
        <v>22</v>
      </c>
      <c r="AC23" s="777">
        <f t="shared" si="39"/>
        <v>0.375</v>
      </c>
      <c r="AD23" s="778">
        <f t="shared" si="40"/>
        <v>0.2640449438202247</v>
      </c>
      <c r="AE23" s="770">
        <f t="shared" si="41"/>
        <v>0.2640449438202247</v>
      </c>
      <c r="AF23" s="778"/>
      <c r="AG23" s="778" t="s">
        <v>22</v>
      </c>
      <c r="AH23" s="777">
        <f t="shared" si="42"/>
        <v>0.18367346938775511</v>
      </c>
      <c r="AI23" s="778">
        <f t="shared" si="43"/>
        <v>0.21212121212121213</v>
      </c>
      <c r="AJ23" s="770">
        <f t="shared" si="44"/>
        <v>0.16</v>
      </c>
      <c r="AK23" s="778"/>
      <c r="AL23" s="778" t="s">
        <v>22</v>
      </c>
      <c r="AM23" s="777">
        <f t="shared" si="45"/>
        <v>0.24210526315789474</v>
      </c>
      <c r="AN23" s="778">
        <f t="shared" si="46"/>
        <v>0.21487603305785125</v>
      </c>
      <c r="AO23" s="770">
        <f t="shared" si="47"/>
        <v>0.22826086956521738</v>
      </c>
    </row>
    <row r="24" spans="3:41" x14ac:dyDescent="0.2">
      <c r="C24" s="27" t="s">
        <v>23</v>
      </c>
      <c r="D24" s="777">
        <f t="shared" si="24"/>
        <v>0.73239436619718312</v>
      </c>
      <c r="E24" s="778">
        <f t="shared" si="25"/>
        <v>0</v>
      </c>
      <c r="F24" s="770">
        <f t="shared" si="26"/>
        <v>0.44954128440366975</v>
      </c>
      <c r="G24" s="778"/>
      <c r="H24" s="778" t="s">
        <v>23</v>
      </c>
      <c r="I24" s="777">
        <f t="shared" si="27"/>
        <v>0.5</v>
      </c>
      <c r="J24" s="778">
        <f t="shared" si="28"/>
        <v>0</v>
      </c>
      <c r="K24" s="770">
        <f t="shared" si="29"/>
        <v>0</v>
      </c>
      <c r="L24" s="778"/>
      <c r="M24" s="778" t="s">
        <v>23</v>
      </c>
      <c r="N24" s="777">
        <f t="shared" si="30"/>
        <v>0.44615384615384618</v>
      </c>
      <c r="O24" s="778">
        <f t="shared" si="31"/>
        <v>0</v>
      </c>
      <c r="P24" s="770">
        <f t="shared" si="32"/>
        <v>0.5</v>
      </c>
      <c r="Q24" s="778"/>
      <c r="R24" s="778" t="s">
        <v>23</v>
      </c>
      <c r="S24" s="777">
        <f t="shared" si="33"/>
        <v>0.44117647058823528</v>
      </c>
      <c r="T24" s="778">
        <f t="shared" si="34"/>
        <v>0</v>
      </c>
      <c r="U24" s="770">
        <f t="shared" si="35"/>
        <v>0.25</v>
      </c>
      <c r="V24" s="778"/>
      <c r="W24" s="778" t="s">
        <v>23</v>
      </c>
      <c r="X24" s="777">
        <f t="shared" si="36"/>
        <v>0.46575342465753422</v>
      </c>
      <c r="Y24" s="778">
        <f t="shared" si="37"/>
        <v>0.2</v>
      </c>
      <c r="Z24" s="770">
        <f t="shared" si="38"/>
        <v>0.25</v>
      </c>
      <c r="AA24" s="778"/>
      <c r="AB24" s="778" t="s">
        <v>23</v>
      </c>
      <c r="AC24" s="777">
        <f t="shared" si="39"/>
        <v>0.30952380952380953</v>
      </c>
      <c r="AD24" s="778">
        <f t="shared" si="40"/>
        <v>4.3478260869565216E-2</v>
      </c>
      <c r="AE24" s="770">
        <f t="shared" si="41"/>
        <v>4.3478260869565216E-2</v>
      </c>
      <c r="AF24" s="778"/>
      <c r="AG24" s="778" t="s">
        <v>23</v>
      </c>
      <c r="AH24" s="777">
        <f t="shared" si="42"/>
        <v>0.5</v>
      </c>
      <c r="AI24" s="778">
        <f t="shared" si="43"/>
        <v>0</v>
      </c>
      <c r="AJ24" s="770">
        <f t="shared" si="44"/>
        <v>0</v>
      </c>
      <c r="AK24" s="778"/>
      <c r="AL24" s="778" t="s">
        <v>23</v>
      </c>
      <c r="AM24" s="777">
        <f t="shared" si="45"/>
        <v>0.2857142857142857</v>
      </c>
      <c r="AN24" s="778">
        <f t="shared" si="46"/>
        <v>0.23545706371191136</v>
      </c>
      <c r="AO24" s="770">
        <f t="shared" si="47"/>
        <v>0.24806201550387597</v>
      </c>
    </row>
    <row r="25" spans="3:41" x14ac:dyDescent="0.2">
      <c r="C25" s="27" t="s">
        <v>24</v>
      </c>
      <c r="D25" s="777">
        <f t="shared" si="24"/>
        <v>0.65686274509803921</v>
      </c>
      <c r="E25" s="778">
        <f t="shared" si="25"/>
        <v>0.2857142857142857</v>
      </c>
      <c r="F25" s="770">
        <f t="shared" si="26"/>
        <v>0.47747747747747749</v>
      </c>
      <c r="G25" s="778"/>
      <c r="H25" s="778" t="s">
        <v>24</v>
      </c>
      <c r="I25" s="777">
        <f t="shared" si="27"/>
        <v>0.47619047619047616</v>
      </c>
      <c r="J25" s="778">
        <f t="shared" si="28"/>
        <v>0</v>
      </c>
      <c r="K25" s="770">
        <f t="shared" si="29"/>
        <v>0</v>
      </c>
      <c r="L25" s="778"/>
      <c r="M25" s="778" t="s">
        <v>24</v>
      </c>
      <c r="N25" s="777">
        <f t="shared" si="30"/>
        <v>0</v>
      </c>
      <c r="O25" s="778">
        <f t="shared" si="31"/>
        <v>0.11764705882352941</v>
      </c>
      <c r="P25" s="770">
        <f t="shared" si="32"/>
        <v>0.35</v>
      </c>
      <c r="Q25" s="778"/>
      <c r="R25" s="778" t="s">
        <v>24</v>
      </c>
      <c r="S25" s="777">
        <f t="shared" si="33"/>
        <v>0.6</v>
      </c>
      <c r="T25" s="778">
        <f t="shared" si="34"/>
        <v>0</v>
      </c>
      <c r="U25" s="770">
        <f t="shared" si="35"/>
        <v>0.25</v>
      </c>
      <c r="V25" s="778"/>
      <c r="W25" s="778" t="s">
        <v>24</v>
      </c>
      <c r="X25" s="777">
        <f t="shared" si="36"/>
        <v>0.40540540540540543</v>
      </c>
      <c r="Y25" s="778">
        <f t="shared" si="37"/>
        <v>0.19642857142857142</v>
      </c>
      <c r="Z25" s="770">
        <f t="shared" si="38"/>
        <v>0.5</v>
      </c>
      <c r="AA25" s="778"/>
      <c r="AB25" s="778" t="s">
        <v>24</v>
      </c>
      <c r="AC25" s="777">
        <f t="shared" si="39"/>
        <v>0.47826086956521741</v>
      </c>
      <c r="AD25" s="778">
        <f t="shared" si="40"/>
        <v>0.29729729729729731</v>
      </c>
      <c r="AE25" s="770">
        <f t="shared" si="41"/>
        <v>0.29729729729729731</v>
      </c>
      <c r="AF25" s="778"/>
      <c r="AG25" s="778" t="s">
        <v>24</v>
      </c>
      <c r="AH25" s="777">
        <f t="shared" si="42"/>
        <v>0.35135135135135137</v>
      </c>
      <c r="AI25" s="778">
        <f t="shared" si="43"/>
        <v>0.3235294117647059</v>
      </c>
      <c r="AJ25" s="770">
        <f t="shared" si="44"/>
        <v>0.33333333333333331</v>
      </c>
      <c r="AK25" s="778"/>
      <c r="AL25" s="778" t="s">
        <v>24</v>
      </c>
      <c r="AM25" s="777">
        <f t="shared" si="45"/>
        <v>0.3611111111111111</v>
      </c>
      <c r="AN25" s="778">
        <f t="shared" si="46"/>
        <v>0.20717131474103587</v>
      </c>
      <c r="AO25" s="770">
        <f t="shared" si="47"/>
        <v>0.18238993710691823</v>
      </c>
    </row>
    <row r="26" spans="3:41" x14ac:dyDescent="0.2">
      <c r="C26" s="27" t="s">
        <v>25</v>
      </c>
      <c r="D26" s="777">
        <f t="shared" si="24"/>
        <v>0.53061224489795922</v>
      </c>
      <c r="E26" s="778">
        <f t="shared" si="25"/>
        <v>0</v>
      </c>
      <c r="F26" s="770">
        <f t="shared" si="26"/>
        <v>0.6</v>
      </c>
      <c r="G26" s="778"/>
      <c r="H26" s="778" t="s">
        <v>25</v>
      </c>
      <c r="I26" s="777">
        <f t="shared" si="27"/>
        <v>0.42857142857142855</v>
      </c>
      <c r="J26" s="778">
        <f t="shared" si="28"/>
        <v>0</v>
      </c>
      <c r="K26" s="770">
        <f t="shared" si="29"/>
        <v>0.38461538461538464</v>
      </c>
      <c r="L26" s="778"/>
      <c r="M26" s="778" t="s">
        <v>25</v>
      </c>
      <c r="N26" s="777">
        <f t="shared" si="30"/>
        <v>0.5</v>
      </c>
      <c r="O26" s="778">
        <f t="shared" si="31"/>
        <v>0.42857142857142855</v>
      </c>
      <c r="P26" s="770">
        <f t="shared" si="32"/>
        <v>0.4642857142857143</v>
      </c>
      <c r="Q26" s="778"/>
      <c r="R26" s="778" t="s">
        <v>25</v>
      </c>
      <c r="S26" s="777">
        <f t="shared" si="33"/>
        <v>0.51923076923076927</v>
      </c>
      <c r="T26" s="778">
        <f t="shared" si="34"/>
        <v>0.13333333333333333</v>
      </c>
      <c r="U26" s="770">
        <f t="shared" si="35"/>
        <v>0.26666666666666666</v>
      </c>
      <c r="V26" s="778"/>
      <c r="W26" s="778" t="s">
        <v>25</v>
      </c>
      <c r="X26" s="777">
        <f t="shared" si="36"/>
        <v>0.2857142857142857</v>
      </c>
      <c r="Y26" s="778">
        <f t="shared" si="37"/>
        <v>0.27500000000000002</v>
      </c>
      <c r="Z26" s="770">
        <f t="shared" si="38"/>
        <v>0.36170212765957449</v>
      </c>
      <c r="AA26" s="778"/>
      <c r="AB26" s="778" t="s">
        <v>25</v>
      </c>
      <c r="AC26" s="777">
        <f t="shared" si="39"/>
        <v>0</v>
      </c>
      <c r="AD26" s="778">
        <f t="shared" si="40"/>
        <v>0.27160493827160492</v>
      </c>
      <c r="AE26" s="770">
        <f t="shared" si="41"/>
        <v>0.27160493827160492</v>
      </c>
      <c r="AF26" s="778"/>
      <c r="AG26" s="778" t="s">
        <v>25</v>
      </c>
      <c r="AH26" s="777">
        <f t="shared" si="42"/>
        <v>0.32608695652173914</v>
      </c>
      <c r="AI26" s="778">
        <f t="shared" si="43"/>
        <v>0.2318840579710145</v>
      </c>
      <c r="AJ26" s="770">
        <f t="shared" si="44"/>
        <v>0.27368421052631581</v>
      </c>
      <c r="AK26" s="778"/>
      <c r="AL26" s="778" t="s">
        <v>25</v>
      </c>
      <c r="AM26" s="777">
        <f t="shared" si="45"/>
        <v>0.29166666666666669</v>
      </c>
      <c r="AN26" s="778">
        <f t="shared" si="46"/>
        <v>0.16831683168316833</v>
      </c>
      <c r="AO26" s="770">
        <f t="shared" si="47"/>
        <v>0.13513513513513514</v>
      </c>
    </row>
    <row r="27" spans="3:41" x14ac:dyDescent="0.2">
      <c r="C27" s="27" t="s">
        <v>26</v>
      </c>
      <c r="D27" s="777">
        <f t="shared" si="24"/>
        <v>0.59558823529411764</v>
      </c>
      <c r="E27" s="778">
        <f t="shared" si="25"/>
        <v>0</v>
      </c>
      <c r="F27" s="770">
        <f t="shared" si="26"/>
        <v>1.6666666666666667</v>
      </c>
      <c r="G27" s="778"/>
      <c r="H27" s="778" t="s">
        <v>26</v>
      </c>
      <c r="I27" s="777">
        <f t="shared" si="27"/>
        <v>0.84210526315789469</v>
      </c>
      <c r="J27" s="778">
        <f t="shared" si="28"/>
        <v>0</v>
      </c>
      <c r="K27" s="770">
        <f t="shared" si="29"/>
        <v>5</v>
      </c>
      <c r="L27" s="778"/>
      <c r="M27" s="778" t="s">
        <v>26</v>
      </c>
      <c r="N27" s="777">
        <f t="shared" si="30"/>
        <v>0.4642857142857143</v>
      </c>
      <c r="O27" s="778">
        <f t="shared" si="31"/>
        <v>0</v>
      </c>
      <c r="P27" s="770">
        <f t="shared" si="32"/>
        <v>8.5</v>
      </c>
      <c r="Q27" s="778"/>
      <c r="R27" s="778" t="s">
        <v>26</v>
      </c>
      <c r="S27" s="777">
        <f t="shared" si="33"/>
        <v>0.375</v>
      </c>
      <c r="T27" s="778">
        <f t="shared" si="34"/>
        <v>0</v>
      </c>
      <c r="U27" s="770">
        <f t="shared" si="35"/>
        <v>1.6</v>
      </c>
      <c r="V27" s="778"/>
      <c r="W27" s="778" t="s">
        <v>26</v>
      </c>
      <c r="X27" s="777">
        <f t="shared" si="36"/>
        <v>0.36170212765957449</v>
      </c>
      <c r="Y27" s="778">
        <f t="shared" si="37"/>
        <v>0</v>
      </c>
      <c r="Z27" s="770">
        <f t="shared" si="38"/>
        <v>2.4285714285714284</v>
      </c>
      <c r="AA27" s="778"/>
      <c r="AB27" s="778" t="s">
        <v>26</v>
      </c>
      <c r="AC27" s="777">
        <f t="shared" si="39"/>
        <v>0.29545454545454547</v>
      </c>
      <c r="AD27" s="778">
        <f t="shared" si="40"/>
        <v>0.19565217391304349</v>
      </c>
      <c r="AE27" s="770">
        <f t="shared" si="41"/>
        <v>0.19565217391304349</v>
      </c>
      <c r="AF27" s="778"/>
      <c r="AG27" s="778" t="s">
        <v>26</v>
      </c>
      <c r="AH27" s="777">
        <f t="shared" si="42"/>
        <v>0.36956521739130432</v>
      </c>
      <c r="AI27" s="778">
        <f t="shared" si="43"/>
        <v>0.22435897435897437</v>
      </c>
      <c r="AJ27" s="770">
        <f t="shared" si="44"/>
        <v>0.21153846153846154</v>
      </c>
      <c r="AK27" s="778"/>
      <c r="AL27" s="778" t="s">
        <v>26</v>
      </c>
      <c r="AM27" s="777">
        <f t="shared" si="45"/>
        <v>0.16666666666666666</v>
      </c>
      <c r="AN27" s="778">
        <f t="shared" si="46"/>
        <v>0.234375</v>
      </c>
      <c r="AO27" s="770">
        <f t="shared" si="47"/>
        <v>6.7708333333333329E-2</v>
      </c>
    </row>
    <row r="28" spans="3:41" x14ac:dyDescent="0.2">
      <c r="C28" s="27" t="s">
        <v>27</v>
      </c>
      <c r="D28" s="779">
        <f t="shared" si="24"/>
        <v>1.0363636363636364</v>
      </c>
      <c r="E28" s="780">
        <f t="shared" si="25"/>
        <v>0</v>
      </c>
      <c r="F28" s="774">
        <f t="shared" si="26"/>
        <v>0.56756756756756754</v>
      </c>
      <c r="G28" s="780"/>
      <c r="H28" s="780" t="s">
        <v>27</v>
      </c>
      <c r="I28" s="779">
        <f t="shared" si="27"/>
        <v>0.47727272727272729</v>
      </c>
      <c r="J28" s="780">
        <f t="shared" si="28"/>
        <v>0</v>
      </c>
      <c r="K28" s="774">
        <f t="shared" si="29"/>
        <v>0.4375</v>
      </c>
      <c r="L28" s="780"/>
      <c r="M28" s="780" t="s">
        <v>27</v>
      </c>
      <c r="N28" s="779">
        <f t="shared" si="30"/>
        <v>0.46666666666666667</v>
      </c>
      <c r="O28" s="780">
        <f t="shared" si="31"/>
        <v>0.1111111111111111</v>
      </c>
      <c r="P28" s="774">
        <f t="shared" si="32"/>
        <v>0.2857142857142857</v>
      </c>
      <c r="Q28" s="780"/>
      <c r="R28" s="780" t="s">
        <v>27</v>
      </c>
      <c r="S28" s="779">
        <f t="shared" si="33"/>
        <v>0.51388888888888884</v>
      </c>
      <c r="T28" s="780">
        <f t="shared" si="34"/>
        <v>0.1</v>
      </c>
      <c r="U28" s="774">
        <f t="shared" si="35"/>
        <v>0.38095238095238093</v>
      </c>
      <c r="V28" s="780"/>
      <c r="W28" s="780" t="s">
        <v>27</v>
      </c>
      <c r="X28" s="779">
        <f t="shared" si="36"/>
        <v>0.33333333333333331</v>
      </c>
      <c r="Y28" s="780">
        <f t="shared" si="37"/>
        <v>0.16666666666666666</v>
      </c>
      <c r="Z28" s="774">
        <f t="shared" si="38"/>
        <v>0.42105263157894735</v>
      </c>
      <c r="AA28" s="780"/>
      <c r="AB28" s="780" t="s">
        <v>27</v>
      </c>
      <c r="AC28" s="779">
        <f t="shared" si="39"/>
        <v>0.4</v>
      </c>
      <c r="AD28" s="780">
        <f t="shared" si="40"/>
        <v>0.24444444444444444</v>
      </c>
      <c r="AE28" s="774">
        <f t="shared" si="41"/>
        <v>0.24444444444444444</v>
      </c>
      <c r="AF28" s="780"/>
      <c r="AG28" s="780" t="s">
        <v>27</v>
      </c>
      <c r="AH28" s="779">
        <f t="shared" si="42"/>
        <v>0.33333333333333331</v>
      </c>
      <c r="AI28" s="780">
        <f t="shared" si="43"/>
        <v>0.24050632911392406</v>
      </c>
      <c r="AJ28" s="774">
        <f t="shared" si="44"/>
        <v>0.32203389830508472</v>
      </c>
      <c r="AK28" s="780"/>
      <c r="AL28" s="780" t="s">
        <v>27</v>
      </c>
      <c r="AM28" s="779">
        <f t="shared" si="45"/>
        <v>0.24590163934426229</v>
      </c>
      <c r="AN28" s="780">
        <f t="shared" si="46"/>
        <v>0.23493975903614459</v>
      </c>
      <c r="AO28" s="774">
        <f t="shared" si="47"/>
        <v>0.18292682926829268</v>
      </c>
    </row>
    <row r="31" spans="3:41" x14ac:dyDescent="0.2">
      <c r="G31" s="27">
        <v>1</v>
      </c>
      <c r="H31" s="27">
        <v>1</v>
      </c>
      <c r="I31" s="27">
        <v>1</v>
      </c>
    </row>
    <row r="32" spans="3:41" x14ac:dyDescent="0.2">
      <c r="D32" s="27" t="s">
        <v>442</v>
      </c>
      <c r="G32" s="27" t="s">
        <v>443</v>
      </c>
      <c r="N32" s="47"/>
      <c r="O32" s="47"/>
      <c r="P32" s="47"/>
    </row>
    <row r="33" spans="3:18" x14ac:dyDescent="0.2">
      <c r="D33" s="781" t="s">
        <v>45</v>
      </c>
      <c r="E33" s="782" t="s">
        <v>46</v>
      </c>
      <c r="F33" s="783" t="s">
        <v>47</v>
      </c>
      <c r="G33" s="781" t="s">
        <v>45</v>
      </c>
      <c r="H33" s="782" t="s">
        <v>46</v>
      </c>
      <c r="I33" s="783" t="s">
        <v>47</v>
      </c>
      <c r="J33" s="47" t="s">
        <v>444</v>
      </c>
      <c r="K33" s="47" t="s">
        <v>445</v>
      </c>
      <c r="N33" s="47" t="s">
        <v>45</v>
      </c>
      <c r="O33" s="47" t="s">
        <v>46</v>
      </c>
      <c r="P33" s="47" t="s">
        <v>47</v>
      </c>
      <c r="R33" s="27" t="s">
        <v>446</v>
      </c>
    </row>
    <row r="34" spans="3:18" x14ac:dyDescent="0.2">
      <c r="C34" s="696" t="s">
        <v>19</v>
      </c>
      <c r="D34" s="777">
        <f t="shared" ref="D34:D42" si="48">AVERAGE(D20,I20,N20,S20,X20,AC20,AH20,AM20)</f>
        <v>0.34267712320419458</v>
      </c>
      <c r="E34" s="778">
        <f t="shared" ref="E34:E42" si="49">AVERAGE(E20,J20,O20,T20,Y20,AD20,AI20,AN20)</f>
        <v>0.19462674718407846</v>
      </c>
      <c r="F34" s="770">
        <f t="shared" ref="F34:F42" si="50">AVERAGE(F20,K20,P20,U20,Z20,AE20,AJ20,AO20)</f>
        <v>0.38567410946473413</v>
      </c>
      <c r="G34" s="777">
        <f t="shared" ref="G34:G42" si="51">SUM(D20,I20,N20,S20,X20,AC20,AH20,AM20)</f>
        <v>2.7414169856335566</v>
      </c>
      <c r="H34" s="778">
        <f t="shared" ref="H34:H42" si="52">SUM(E20,J20,O20,T20,Y20,AD20,AI20,AN20)</f>
        <v>1.5570139774726277</v>
      </c>
      <c r="I34" s="770">
        <f t="shared" ref="I34:I42" si="53">SUM(F20,K20,P20,U20,Z20,AE20,AJ20,AO20)</f>
        <v>3.085392875717873</v>
      </c>
      <c r="J34" s="784">
        <f>_xlfn.RANK.EQ(G34,$G$34:$G$42)*$G$31+_xlfn.RANK.EQ(H34,$H$34:$H$42,-1)*$H$31+_xlfn.RANK.EQ(I34,$I$34:$I$42,-1)*$I$31</f>
        <v>26</v>
      </c>
      <c r="K34" s="785">
        <f>_xlfn.RANK.EQ(J34,$J$34:$J$42)+COUNTIF($J$34:J34,J34)-1</f>
        <v>1</v>
      </c>
      <c r="L34" s="27">
        <v>1</v>
      </c>
      <c r="M34" s="27" t="str">
        <f>_xlfn.XLOOKUP(L34,$K$34:$K$42,$C$34:$C$42)</f>
        <v>AHH</v>
      </c>
      <c r="N34" s="778">
        <f>_xlfn.XLOOKUP($M34,$C$34:$C$42,G$34:G$42)</f>
        <v>2.7414169856335566</v>
      </c>
      <c r="O34" s="778">
        <f t="shared" ref="O34:P42" si="54">_xlfn.SINGLE(_xlfn.XLOOKUP($M34,$C$34:$C$42,H$34:H$42))</f>
        <v>1.5570139774726277</v>
      </c>
      <c r="P34" s="778">
        <f t="shared" si="54"/>
        <v>3.085392875717873</v>
      </c>
      <c r="R34" s="27" t="str">
        <f>_xlfn.XLOOKUP(LARGE($N$34:$N$42,1),$N$34:$N$42,$M$34:$M$42)&amp;" er vår beste tipper på hjemmekamper"</f>
        <v>LEV er vår beste tipper på hjemmekamper</v>
      </c>
    </row>
    <row r="35" spans="3:18" x14ac:dyDescent="0.2">
      <c r="C35" s="786" t="s">
        <v>20</v>
      </c>
      <c r="D35" s="777">
        <f t="shared" si="48"/>
        <v>0.40073352573352572</v>
      </c>
      <c r="E35" s="778">
        <f t="shared" si="49"/>
        <v>5.8601325145442792E-2</v>
      </c>
      <c r="F35" s="770">
        <f t="shared" si="50"/>
        <v>0.15241883116883115</v>
      </c>
      <c r="G35" s="777">
        <f t="shared" si="51"/>
        <v>3.2058682058682058</v>
      </c>
      <c r="H35" s="778">
        <f t="shared" si="52"/>
        <v>0.46881060116354234</v>
      </c>
      <c r="I35" s="770">
        <f t="shared" si="53"/>
        <v>1.2193506493506492</v>
      </c>
      <c r="J35" s="784">
        <f t="shared" ref="J35:J42" si="55">_xlfn.RANK.EQ(G35,$G$34:$G$42,-1)*$G$31+_xlfn.RANK.EQ(H35,$H$34:$H$42,-1)*$H$31+_xlfn.RANK.EQ(I35,$I$34:$I$42,-1)*$I$31</f>
        <v>5</v>
      </c>
      <c r="K35" s="785">
        <f>_xlfn.RANK.EQ(J35,$J$34:$J$42)+COUNTIF($J$34:J35,J35)-1</f>
        <v>9</v>
      </c>
      <c r="L35" s="27">
        <v>2</v>
      </c>
      <c r="M35" s="27" t="str">
        <f t="shared" ref="M35:M42" si="56">_xlfn.XLOOKUP(L35,$K$34:$K$42,$C$34:$C$42)</f>
        <v>LEV</v>
      </c>
      <c r="N35" s="778">
        <f t="shared" ref="N35:N42" si="57">_xlfn.SINGLE(_xlfn.XLOOKUP($M35,$C$34:$C$42,G$34:G$42))</f>
        <v>3.8067602252028485</v>
      </c>
      <c r="O35" s="778">
        <f t="shared" si="54"/>
        <v>1.0976683103722908</v>
      </c>
      <c r="P35" s="778">
        <f t="shared" si="54"/>
        <v>2.8421920378310035</v>
      </c>
      <c r="R35" s="27" t="str">
        <f>_xlfn.XLOOKUP(LARGE($O$34:$O$42,1),$O$34:$O$42,$M$34:$M$42)&amp;" er vår beste tipper på uavgjorte kamper"</f>
        <v>AHH er vår beste tipper på uavgjorte kamper</v>
      </c>
    </row>
    <row r="36" spans="3:18" x14ac:dyDescent="0.2">
      <c r="C36" s="786" t="s">
        <v>21</v>
      </c>
      <c r="D36" s="777">
        <f t="shared" si="48"/>
        <v>0.40143039110789158</v>
      </c>
      <c r="E36" s="778">
        <f t="shared" si="49"/>
        <v>0.12649246735334846</v>
      </c>
      <c r="F36" s="770">
        <f t="shared" si="50"/>
        <v>0.31936944865592143</v>
      </c>
      <c r="G36" s="777">
        <f t="shared" si="51"/>
        <v>3.2114431288631327</v>
      </c>
      <c r="H36" s="778">
        <f t="shared" si="52"/>
        <v>1.0119397388267877</v>
      </c>
      <c r="I36" s="770">
        <f t="shared" si="53"/>
        <v>2.5549555892473714</v>
      </c>
      <c r="J36" s="784">
        <f t="shared" si="55"/>
        <v>13</v>
      </c>
      <c r="K36" s="785">
        <f>_xlfn.RANK.EQ(J36,$J$34:$J$42)+COUNTIF($J$34:J36,J36)-1</f>
        <v>7</v>
      </c>
      <c r="L36" s="27">
        <v>3</v>
      </c>
      <c r="M36" s="27" t="str">
        <f t="shared" si="56"/>
        <v>UTG</v>
      </c>
      <c r="N36" s="778">
        <f t="shared" si="57"/>
        <v>3.4703677699098177</v>
      </c>
      <c r="O36" s="778">
        <f t="shared" si="54"/>
        <v>0.65438614827201791</v>
      </c>
      <c r="P36" s="778">
        <f t="shared" si="54"/>
        <v>19.670137064022931</v>
      </c>
      <c r="R36" s="27" t="str">
        <f>_xlfn.XLOOKUP(LARGE($P$34:$P$42,1),$P$34:$P$42,$M$34:$M$42)&amp;" er vår beste tipper på bortekamper"</f>
        <v>UTG er vår beste tipper på bortekamper</v>
      </c>
    </row>
    <row r="37" spans="3:18" x14ac:dyDescent="0.2">
      <c r="C37" s="786" t="s">
        <v>22</v>
      </c>
      <c r="D37" s="777">
        <f t="shared" si="48"/>
        <v>0.46173570320656787</v>
      </c>
      <c r="E37" s="778">
        <f t="shared" si="49"/>
        <v>0.12510576382098945</v>
      </c>
      <c r="F37" s="770">
        <f t="shared" si="50"/>
        <v>0.32208413909409273</v>
      </c>
      <c r="G37" s="777">
        <f t="shared" si="51"/>
        <v>3.693885625652543</v>
      </c>
      <c r="H37" s="778">
        <f t="shared" si="52"/>
        <v>1.0008461105679156</v>
      </c>
      <c r="I37" s="770">
        <f t="shared" si="53"/>
        <v>2.5766731127527418</v>
      </c>
      <c r="J37" s="784">
        <f t="shared" si="55"/>
        <v>17</v>
      </c>
      <c r="K37" s="785">
        <f>_xlfn.RANK.EQ(J37,$J$34:$J$42)+COUNTIF($J$34:J37,J37)-1</f>
        <v>4</v>
      </c>
      <c r="L37" s="27">
        <v>4</v>
      </c>
      <c r="M37" s="27" t="str">
        <f t="shared" si="56"/>
        <v>KAF</v>
      </c>
      <c r="N37" s="778">
        <f t="shared" si="57"/>
        <v>3.693885625652543</v>
      </c>
      <c r="O37" s="778">
        <f t="shared" si="54"/>
        <v>1.0008461105679156</v>
      </c>
      <c r="P37" s="778">
        <f t="shared" si="54"/>
        <v>2.5766731127527418</v>
      </c>
    </row>
    <row r="38" spans="3:18" x14ac:dyDescent="0.2">
      <c r="C38" s="786" t="s">
        <v>23</v>
      </c>
      <c r="D38" s="777">
        <f t="shared" si="48"/>
        <v>0.46008952535436176</v>
      </c>
      <c r="E38" s="778">
        <f t="shared" si="49"/>
        <v>5.9866915572684573E-2</v>
      </c>
      <c r="F38" s="770">
        <f t="shared" si="50"/>
        <v>0.21763519509713886</v>
      </c>
      <c r="G38" s="777">
        <f t="shared" si="51"/>
        <v>3.6807162028348941</v>
      </c>
      <c r="H38" s="778">
        <f t="shared" si="52"/>
        <v>0.47893532458147658</v>
      </c>
      <c r="I38" s="770">
        <f t="shared" si="53"/>
        <v>1.7410815607771108</v>
      </c>
      <c r="J38" s="784">
        <f t="shared" si="55"/>
        <v>11</v>
      </c>
      <c r="K38" s="785">
        <f>_xlfn.RANK.EQ(J38,$J$34:$J$42)+COUNTIF($J$34:J38,J38)-1</f>
        <v>8</v>
      </c>
      <c r="L38" s="27">
        <v>5</v>
      </c>
      <c r="M38" s="27" t="str">
        <f t="shared" si="56"/>
        <v>TOH</v>
      </c>
      <c r="N38" s="778">
        <f t="shared" si="57"/>
        <v>2.8818823516028482</v>
      </c>
      <c r="O38" s="778">
        <f t="shared" si="54"/>
        <v>1.5087105898305495</v>
      </c>
      <c r="P38" s="778">
        <f t="shared" si="54"/>
        <v>2.757694177160396</v>
      </c>
      <c r="R38" s="27" t="str">
        <f>C5&amp;" er tippelagets beste på 80-tips. Han har truffet på "&amp;D5&amp;" av "&amp;E5&amp;" hjemmetips"</f>
        <v>RB er tippelagets beste på 80-tips. Han har truffet på 137 av 253 hjemmetips</v>
      </c>
    </row>
    <row r="39" spans="3:18" x14ac:dyDescent="0.2">
      <c r="C39" s="786" t="s">
        <v>24</v>
      </c>
      <c r="D39" s="777">
        <f t="shared" si="48"/>
        <v>0.41614774484020006</v>
      </c>
      <c r="E39" s="778">
        <f t="shared" si="49"/>
        <v>0.17847349247117819</v>
      </c>
      <c r="F39" s="770">
        <f t="shared" si="50"/>
        <v>0.29881225565187836</v>
      </c>
      <c r="G39" s="777">
        <f t="shared" si="51"/>
        <v>3.3291819587216005</v>
      </c>
      <c r="H39" s="778">
        <f t="shared" si="52"/>
        <v>1.4277879397694255</v>
      </c>
      <c r="I39" s="770">
        <f t="shared" si="53"/>
        <v>2.3904980452150268</v>
      </c>
      <c r="J39" s="784">
        <f t="shared" si="55"/>
        <v>15</v>
      </c>
      <c r="K39" s="785">
        <f>_xlfn.RANK.EQ(J39,$J$34:$J$42)+COUNTIF($J$34:J39,J39)-1</f>
        <v>6</v>
      </c>
      <c r="L39" s="27">
        <v>6</v>
      </c>
      <c r="M39" s="27" t="str">
        <f t="shared" si="56"/>
        <v>JH</v>
      </c>
      <c r="N39" s="778">
        <f t="shared" si="57"/>
        <v>3.3291819587216005</v>
      </c>
      <c r="O39" s="778">
        <f t="shared" si="54"/>
        <v>1.4277879397694255</v>
      </c>
      <c r="P39" s="778">
        <f t="shared" si="54"/>
        <v>2.3904980452150268</v>
      </c>
    </row>
    <row r="40" spans="3:18" x14ac:dyDescent="0.2">
      <c r="C40" s="786" t="s">
        <v>25</v>
      </c>
      <c r="D40" s="777">
        <f t="shared" si="48"/>
        <v>0.36023529395035603</v>
      </c>
      <c r="E40" s="778">
        <f t="shared" si="49"/>
        <v>0.18858882372881869</v>
      </c>
      <c r="F40" s="770">
        <f t="shared" si="50"/>
        <v>0.3447117721450495</v>
      </c>
      <c r="G40" s="777">
        <f t="shared" si="51"/>
        <v>2.8818823516028482</v>
      </c>
      <c r="H40" s="778">
        <f t="shared" si="52"/>
        <v>1.5087105898305495</v>
      </c>
      <c r="I40" s="770">
        <f t="shared" si="53"/>
        <v>2.757694177160396</v>
      </c>
      <c r="J40" s="784">
        <f t="shared" si="55"/>
        <v>16</v>
      </c>
      <c r="K40" s="785">
        <f>_xlfn.RANK.EQ(J40,$J$34:$J$42)+COUNTIF($J$34:J40,J40)-1</f>
        <v>5</v>
      </c>
      <c r="L40" s="27">
        <v>7</v>
      </c>
      <c r="M40" s="27" t="str">
        <f t="shared" si="56"/>
        <v>EB</v>
      </c>
      <c r="N40" s="778">
        <f t="shared" si="57"/>
        <v>3.2114431288631327</v>
      </c>
      <c r="O40" s="778">
        <f t="shared" si="54"/>
        <v>1.0119397388267877</v>
      </c>
      <c r="P40" s="778">
        <f t="shared" si="54"/>
        <v>2.5549555892473714</v>
      </c>
    </row>
    <row r="41" spans="3:18" x14ac:dyDescent="0.2">
      <c r="C41" s="786" t="s">
        <v>26</v>
      </c>
      <c r="D41" s="777">
        <f t="shared" si="48"/>
        <v>0.43379597123872721</v>
      </c>
      <c r="E41" s="778">
        <f t="shared" si="49"/>
        <v>8.1798268534002239E-2</v>
      </c>
      <c r="F41" s="770">
        <f t="shared" si="50"/>
        <v>2.4587671330028664</v>
      </c>
      <c r="G41" s="777">
        <f t="shared" si="51"/>
        <v>3.4703677699098177</v>
      </c>
      <c r="H41" s="778">
        <f t="shared" si="52"/>
        <v>0.65438614827201791</v>
      </c>
      <c r="I41" s="770">
        <f t="shared" si="53"/>
        <v>19.670137064022931</v>
      </c>
      <c r="J41" s="784">
        <f t="shared" si="55"/>
        <v>18</v>
      </c>
      <c r="K41" s="785">
        <f>_xlfn.RANK.EQ(J41,$J$34:$J$42)+COUNTIF($J$34:J41,J41)-1</f>
        <v>3</v>
      </c>
      <c r="L41" s="27">
        <v>8</v>
      </c>
      <c r="M41" s="27" t="str">
        <f t="shared" si="56"/>
        <v>ØG</v>
      </c>
      <c r="N41" s="778">
        <f t="shared" si="57"/>
        <v>3.6807162028348941</v>
      </c>
      <c r="O41" s="778">
        <f t="shared" si="54"/>
        <v>0.47893532458147658</v>
      </c>
      <c r="P41" s="778">
        <f t="shared" si="54"/>
        <v>1.7410815607771108</v>
      </c>
    </row>
    <row r="42" spans="3:18" x14ac:dyDescent="0.2">
      <c r="C42" s="787" t="s">
        <v>27</v>
      </c>
      <c r="D42" s="779">
        <f t="shared" si="48"/>
        <v>0.47584502815035606</v>
      </c>
      <c r="E42" s="780">
        <f t="shared" si="49"/>
        <v>0.13720853879653636</v>
      </c>
      <c r="F42" s="774">
        <f t="shared" si="50"/>
        <v>0.35527400472887544</v>
      </c>
      <c r="G42" s="779">
        <f t="shared" si="51"/>
        <v>3.8067602252028485</v>
      </c>
      <c r="H42" s="780">
        <f t="shared" si="52"/>
        <v>1.0976683103722908</v>
      </c>
      <c r="I42" s="774">
        <f t="shared" si="53"/>
        <v>2.8421920378310035</v>
      </c>
      <c r="J42" s="784">
        <f t="shared" si="55"/>
        <v>22</v>
      </c>
      <c r="K42" s="785">
        <f>_xlfn.RANK.EQ(J42,$J$34:$J$42)+COUNTIF($J$34:J42,J42)-1</f>
        <v>2</v>
      </c>
      <c r="L42" s="27">
        <v>9</v>
      </c>
      <c r="M42" s="27" t="str">
        <f t="shared" si="56"/>
        <v>RB</v>
      </c>
      <c r="N42" s="778">
        <f t="shared" si="57"/>
        <v>3.2058682058682058</v>
      </c>
      <c r="O42" s="778">
        <f t="shared" si="54"/>
        <v>0.46881060116354234</v>
      </c>
      <c r="P42" s="778">
        <f t="shared" si="54"/>
        <v>1.2193506493506492</v>
      </c>
    </row>
    <row r="47" spans="3:18" x14ac:dyDescent="0.2">
      <c r="D47" s="62" t="s">
        <v>441</v>
      </c>
      <c r="E47" s="62"/>
      <c r="F47" s="62"/>
      <c r="G47" s="62" t="s">
        <v>410</v>
      </c>
      <c r="H47" s="62"/>
      <c r="I47" s="62"/>
    </row>
    <row r="48" spans="3:18" x14ac:dyDescent="0.2">
      <c r="D48" s="788" t="s">
        <v>45</v>
      </c>
      <c r="E48" s="789" t="s">
        <v>46</v>
      </c>
      <c r="F48" s="790" t="s">
        <v>47</v>
      </c>
      <c r="G48" s="788" t="s">
        <v>45</v>
      </c>
      <c r="H48" s="789" t="s">
        <v>46</v>
      </c>
      <c r="I48" s="790" t="s">
        <v>47</v>
      </c>
    </row>
    <row r="49" spans="3:20" x14ac:dyDescent="0.2">
      <c r="C49" s="696" t="s">
        <v>19</v>
      </c>
      <c r="D49" s="47">
        <f t="shared" ref="D49:D57" si="58">SUM(E5+O5+Y5+AI5+AS5+BC5+BM5+BW5)</f>
        <v>490</v>
      </c>
      <c r="E49" s="47">
        <f t="shared" ref="E49:E57" si="59">SUM(H5+R5+AB5+AL5+AV5+BF5+BP5+BZ5)</f>
        <v>401</v>
      </c>
      <c r="F49" s="47">
        <f t="shared" ref="F49:F57" si="60">SUM(K5+U5+AE5+AO5+AY5+BI5+BS5+CC5)</f>
        <v>395</v>
      </c>
      <c r="G49" s="47">
        <f t="shared" ref="G49:G57" si="61">SUM(D5+N5+X5+AH5+AR5+BB5+BL5+BV5)</f>
        <v>218</v>
      </c>
      <c r="H49" s="47">
        <f t="shared" ref="H49:H57" si="62">SUM(G5+Q5+AA5+AK5+AU5+BE5+BO5+BY5)</f>
        <v>89</v>
      </c>
      <c r="I49" s="47">
        <f t="shared" ref="I49:I57" si="63">SUM(J5+T5+AD5+AN5+AX5+BH5+BR5+CB5)</f>
        <v>119</v>
      </c>
    </row>
    <row r="50" spans="3:20" x14ac:dyDescent="0.2">
      <c r="C50" s="786" t="s">
        <v>20</v>
      </c>
      <c r="D50" s="47">
        <f t="shared" si="58"/>
        <v>126</v>
      </c>
      <c r="E50" s="47">
        <f t="shared" si="59"/>
        <v>411</v>
      </c>
      <c r="F50" s="47">
        <f t="shared" si="60"/>
        <v>391</v>
      </c>
      <c r="G50" s="47">
        <f t="shared" si="61"/>
        <v>57</v>
      </c>
      <c r="H50" s="47">
        <f t="shared" si="62"/>
        <v>89</v>
      </c>
      <c r="I50" s="47">
        <f t="shared" si="63"/>
        <v>119</v>
      </c>
    </row>
    <row r="51" spans="3:20" x14ac:dyDescent="0.2">
      <c r="C51" s="786" t="s">
        <v>21</v>
      </c>
      <c r="D51" s="47">
        <f t="shared" si="58"/>
        <v>422</v>
      </c>
      <c r="E51" s="47">
        <f t="shared" si="59"/>
        <v>409</v>
      </c>
      <c r="F51" s="47">
        <f t="shared" si="60"/>
        <v>391</v>
      </c>
      <c r="G51" s="47">
        <f t="shared" si="61"/>
        <v>195</v>
      </c>
      <c r="H51" s="47">
        <f t="shared" si="62"/>
        <v>89</v>
      </c>
      <c r="I51" s="47">
        <f t="shared" si="63"/>
        <v>119</v>
      </c>
    </row>
    <row r="52" spans="3:20" x14ac:dyDescent="0.2">
      <c r="C52" s="786" t="s">
        <v>22</v>
      </c>
      <c r="D52" s="47">
        <f t="shared" si="58"/>
        <v>378</v>
      </c>
      <c r="E52" s="47">
        <f t="shared" si="59"/>
        <v>406</v>
      </c>
      <c r="F52" s="47">
        <f t="shared" si="60"/>
        <v>393</v>
      </c>
      <c r="G52" s="47">
        <f t="shared" si="61"/>
        <v>159</v>
      </c>
      <c r="H52" s="47">
        <f t="shared" si="62"/>
        <v>89</v>
      </c>
      <c r="I52" s="47">
        <f t="shared" si="63"/>
        <v>119</v>
      </c>
    </row>
    <row r="53" spans="3:20" x14ac:dyDescent="0.2">
      <c r="C53" s="786" t="s">
        <v>23</v>
      </c>
      <c r="D53" s="47">
        <f t="shared" si="58"/>
        <v>428</v>
      </c>
      <c r="E53" s="47">
        <f t="shared" si="59"/>
        <v>413</v>
      </c>
      <c r="F53" s="47">
        <f t="shared" si="60"/>
        <v>394</v>
      </c>
      <c r="G53" s="47">
        <f t="shared" si="61"/>
        <v>189</v>
      </c>
      <c r="H53" s="47">
        <f t="shared" si="62"/>
        <v>89</v>
      </c>
      <c r="I53" s="47">
        <f t="shared" si="63"/>
        <v>119</v>
      </c>
    </row>
    <row r="54" spans="3:20" x14ac:dyDescent="0.2">
      <c r="C54" s="786" t="s">
        <v>24</v>
      </c>
      <c r="D54" s="47">
        <f t="shared" si="58"/>
        <v>326</v>
      </c>
      <c r="E54" s="47">
        <f t="shared" si="59"/>
        <v>407</v>
      </c>
      <c r="F54" s="47">
        <f t="shared" si="60"/>
        <v>389</v>
      </c>
      <c r="G54" s="47">
        <f t="shared" si="61"/>
        <v>163</v>
      </c>
      <c r="H54" s="47">
        <f t="shared" si="62"/>
        <v>89</v>
      </c>
      <c r="I54" s="47">
        <f t="shared" si="63"/>
        <v>119</v>
      </c>
    </row>
    <row r="55" spans="3:20" x14ac:dyDescent="0.2">
      <c r="C55" s="786" t="s">
        <v>25</v>
      </c>
      <c r="D55" s="47">
        <f t="shared" si="58"/>
        <v>481</v>
      </c>
      <c r="E55" s="47">
        <f t="shared" si="59"/>
        <v>390</v>
      </c>
      <c r="F55" s="47">
        <f t="shared" si="60"/>
        <v>385</v>
      </c>
      <c r="G55" s="47">
        <f t="shared" si="61"/>
        <v>214</v>
      </c>
      <c r="H55" s="47">
        <f t="shared" si="62"/>
        <v>87</v>
      </c>
      <c r="I55" s="47">
        <f t="shared" si="63"/>
        <v>114</v>
      </c>
    </row>
    <row r="56" spans="3:20" x14ac:dyDescent="0.2">
      <c r="C56" s="786" t="s">
        <v>26</v>
      </c>
      <c r="D56" s="47">
        <f t="shared" si="58"/>
        <v>409</v>
      </c>
      <c r="E56" s="47">
        <f t="shared" si="59"/>
        <v>414</v>
      </c>
      <c r="F56" s="47">
        <f t="shared" si="60"/>
        <v>414</v>
      </c>
      <c r="G56" s="47">
        <f t="shared" si="61"/>
        <v>203</v>
      </c>
      <c r="H56" s="47">
        <f t="shared" si="62"/>
        <v>89</v>
      </c>
      <c r="I56" s="47">
        <f t="shared" si="63"/>
        <v>119</v>
      </c>
    </row>
    <row r="57" spans="3:20" x14ac:dyDescent="0.2">
      <c r="C57" s="787" t="s">
        <v>27</v>
      </c>
      <c r="D57" s="47">
        <f t="shared" si="58"/>
        <v>360</v>
      </c>
      <c r="E57" s="47">
        <f t="shared" si="59"/>
        <v>410</v>
      </c>
      <c r="F57" s="47">
        <f t="shared" si="60"/>
        <v>392</v>
      </c>
      <c r="G57" s="47">
        <f t="shared" si="61"/>
        <v>181</v>
      </c>
      <c r="H57" s="47">
        <f t="shared" si="62"/>
        <v>89</v>
      </c>
      <c r="I57" s="47">
        <f t="shared" si="63"/>
        <v>119</v>
      </c>
    </row>
    <row r="59" spans="3:20" ht="15.75" x14ac:dyDescent="0.25">
      <c r="N59" s="791" t="s">
        <v>447</v>
      </c>
    </row>
    <row r="61" spans="3:20" ht="26.25" x14ac:dyDescent="0.4">
      <c r="N61" s="792" t="s">
        <v>448</v>
      </c>
    </row>
    <row r="62" spans="3:20" x14ac:dyDescent="0.2">
      <c r="D62" s="27">
        <v>1000</v>
      </c>
      <c r="E62" s="27">
        <v>10000</v>
      </c>
      <c r="F62" s="27">
        <v>5000</v>
      </c>
      <c r="G62" s="27">
        <v>-5000</v>
      </c>
      <c r="H62" s="27">
        <v>5000</v>
      </c>
      <c r="I62" s="27">
        <v>10000</v>
      </c>
    </row>
    <row r="63" spans="3:20" x14ac:dyDescent="0.2">
      <c r="D63" s="793" t="s">
        <v>16</v>
      </c>
      <c r="E63" s="794" t="s">
        <v>17</v>
      </c>
      <c r="F63" s="794" t="s">
        <v>18</v>
      </c>
      <c r="G63" s="794" t="s">
        <v>15</v>
      </c>
      <c r="H63" s="794" t="s">
        <v>449</v>
      </c>
      <c r="I63" s="794" t="s">
        <v>450</v>
      </c>
      <c r="J63" s="794" t="s">
        <v>451</v>
      </c>
      <c r="K63" s="795" t="s">
        <v>452</v>
      </c>
      <c r="O63" s="788" t="s">
        <v>16</v>
      </c>
      <c r="P63" s="789" t="s">
        <v>17</v>
      </c>
      <c r="Q63" s="789" t="s">
        <v>18</v>
      </c>
      <c r="R63" s="789" t="s">
        <v>15</v>
      </c>
      <c r="S63" s="789" t="s">
        <v>449</v>
      </c>
      <c r="T63" s="789" t="s">
        <v>453</v>
      </c>
    </row>
    <row r="64" spans="3:20" x14ac:dyDescent="0.2">
      <c r="C64" s="696" t="s">
        <v>19</v>
      </c>
      <c r="D64" s="27">
        <f ca="1">SUM(INDIRECT("t_"&amp;$C64&amp;"["&amp;D$63&amp;"]"))</f>
        <v>9350</v>
      </c>
      <c r="E64" s="27">
        <f ca="1">SUM(INDIRECT("t_"&amp;$C64&amp;"["&amp;E$63&amp;"]"))</f>
        <v>2600</v>
      </c>
      <c r="F64" s="27">
        <f ca="1">SUM(INDIRECT("t_"&amp;$C64&amp;"["&amp;F$63&amp;"]"))</f>
        <v>3870</v>
      </c>
      <c r="G64" s="27">
        <v>0</v>
      </c>
      <c r="H64" s="27">
        <f ca="1">SUM(INDIRECT("t_"&amp;$C64&amp;"["&amp;H$63&amp;"]"))</f>
        <v>15820</v>
      </c>
      <c r="I64" s="796">
        <f ca="1">AVERAGE(INDIRECT("t_"&amp;$C64&amp;"["&amp;I$63&amp;"]"))</f>
        <v>5.5625</v>
      </c>
      <c r="J64" s="27">
        <f ca="1">_xlfn.RANK.EQ(D64,$D$64:$D$72)*$D$62+_xlfn.RANK.EQ(E64,$E$64:$E$72)*$E$62+_xlfn.RANK.EQ(F64,$F$64:$F$72)*$F$62+_xlfn.RANK.EQ(G64,$G$64:$G$72)*$G$62+_xlfn.RANK.EQ(H64,$H$64:$H$72)*$H$62+_xlfn.RANK.EQ(I64,$I$64:$I$72)*$I$62</f>
        <v>116000</v>
      </c>
      <c r="K64" s="27">
        <f ca="1">_xlfn.RANK.EQ(J64,$J$64:$J$72)+COUNTIF($J$64:J64,J64)-1</f>
        <v>7</v>
      </c>
      <c r="M64" s="27">
        <v>1</v>
      </c>
      <c r="N64" s="27" t="str">
        <f ca="1">_xlfn.XLOOKUP(M64,$K$64:$K$72,$C$64:$C$72)</f>
        <v>UTG</v>
      </c>
      <c r="O64" s="47">
        <f ca="1">_xlfn.XLOOKUP($N64,$C$64:$C$72,D$64:D$72)</f>
        <v>10530</v>
      </c>
      <c r="P64" s="47">
        <f t="shared" ref="P64:T72" ca="1" si="64">_xlfn.SINGLE(_xlfn.XLOOKUP($N64,$C$64:$C$72,E$64:E$72))</f>
        <v>1420</v>
      </c>
      <c r="Q64" s="47">
        <f t="shared" ca="1" si="64"/>
        <v>4670</v>
      </c>
      <c r="R64" s="47">
        <f t="shared" ca="1" si="64"/>
        <v>0</v>
      </c>
      <c r="S64" s="47">
        <f t="shared" ca="1" si="64"/>
        <v>16620</v>
      </c>
      <c r="T64" s="797">
        <f t="shared" ca="1" si="64"/>
        <v>4.09375</v>
      </c>
    </row>
    <row r="65" spans="3:20" x14ac:dyDescent="0.2">
      <c r="C65" s="786" t="s">
        <v>20</v>
      </c>
      <c r="D65" s="27">
        <f t="shared" ref="D65:H72" ca="1" si="65">SUM(INDIRECT("t_"&amp;$C65&amp;"["&amp;D$63&amp;"]"))</f>
        <v>11530</v>
      </c>
      <c r="E65" s="27">
        <f t="shared" ca="1" si="65"/>
        <v>1170</v>
      </c>
      <c r="F65" s="27">
        <f t="shared" ca="1" si="65"/>
        <v>4720</v>
      </c>
      <c r="G65" s="27">
        <f t="shared" ca="1" si="65"/>
        <v>-100</v>
      </c>
      <c r="H65" s="27">
        <f t="shared" ca="1" si="65"/>
        <v>17320</v>
      </c>
      <c r="I65" s="796">
        <f t="shared" ref="I65:I72" ca="1" si="66">AVERAGE(INDIRECT("t_"&amp;$C65&amp;"["&amp;I$63&amp;"]"))</f>
        <v>3.53125</v>
      </c>
      <c r="J65" s="27">
        <f t="shared" ref="J65:J72" ca="1" si="67">_xlfn.RANK.EQ(D65,$D$64:$D$72)*$D$62+_xlfn.RANK.EQ(E65,$E$64:$E$72)*$E$62+_xlfn.RANK.EQ(F65,$F$64:$F$72)*$F$62+_xlfn.RANK.EQ(G65,$G$64:$G$72)*$G$62+_xlfn.RANK.EQ(H65,$H$64:$H$72)*$H$62+_xlfn.RANK.EQ(I65,$I$64:$I$72)*$I$62</f>
        <v>156000</v>
      </c>
      <c r="K65" s="27">
        <f ca="1">_xlfn.RANK.EQ(J65,$J$64:$J$72)+COUNTIF($J$64:J65,J65)-1</f>
        <v>3</v>
      </c>
      <c r="M65" s="27">
        <v>2</v>
      </c>
      <c r="N65" s="27" t="str">
        <f t="shared" ref="N65:N72" ca="1" si="68">_xlfn.XLOOKUP(M65,$K$64:$K$72,$C$64:$C$72)</f>
        <v>ØG</v>
      </c>
      <c r="O65" s="47">
        <f t="shared" ref="O65:O72" ca="1" si="69">_xlfn.SINGLE(_xlfn.XLOOKUP($N65,$C$64:$C$72,D$64:D$72))</f>
        <v>11240</v>
      </c>
      <c r="P65" s="47">
        <f t="shared" ca="1" si="64"/>
        <v>1000</v>
      </c>
      <c r="Q65" s="47">
        <f t="shared" ca="1" si="64"/>
        <v>4860</v>
      </c>
      <c r="R65" s="47">
        <f t="shared" ca="1" si="64"/>
        <v>-50</v>
      </c>
      <c r="S65" s="47">
        <f t="shared" ca="1" si="64"/>
        <v>17050</v>
      </c>
      <c r="T65" s="797">
        <f t="shared" ca="1" si="64"/>
        <v>3.96875</v>
      </c>
    </row>
    <row r="66" spans="3:20" x14ac:dyDescent="0.2">
      <c r="C66" s="786" t="s">
        <v>21</v>
      </c>
      <c r="D66" s="27">
        <f t="shared" ca="1" si="65"/>
        <v>9790</v>
      </c>
      <c r="E66" s="27">
        <f t="shared" ca="1" si="65"/>
        <v>1890</v>
      </c>
      <c r="F66" s="27">
        <f t="shared" ca="1" si="65"/>
        <v>4240</v>
      </c>
      <c r="G66" s="27">
        <f t="shared" ca="1" si="65"/>
        <v>0</v>
      </c>
      <c r="H66" s="27">
        <f t="shared" ca="1" si="65"/>
        <v>15920</v>
      </c>
      <c r="I66" s="796">
        <f t="shared" ca="1" si="66"/>
        <v>5.5</v>
      </c>
      <c r="J66" s="27">
        <f t="shared" ca="1" si="67"/>
        <v>144000</v>
      </c>
      <c r="K66" s="27">
        <f ca="1">_xlfn.RANK.EQ(J66,$J$64:$J$72)+COUNTIF($J$64:J66,J66)-1</f>
        <v>5</v>
      </c>
      <c r="M66" s="27">
        <v>3</v>
      </c>
      <c r="N66" s="27" t="str">
        <f t="shared" ca="1" si="68"/>
        <v>RB</v>
      </c>
      <c r="O66" s="47">
        <f t="shared" ca="1" si="69"/>
        <v>11530</v>
      </c>
      <c r="P66" s="47">
        <f t="shared" ca="1" si="64"/>
        <v>1170</v>
      </c>
      <c r="Q66" s="47">
        <f t="shared" ca="1" si="64"/>
        <v>4720</v>
      </c>
      <c r="R66" s="47">
        <f t="shared" ca="1" si="64"/>
        <v>-100</v>
      </c>
      <c r="S66" s="47">
        <f t="shared" ca="1" si="64"/>
        <v>17320</v>
      </c>
      <c r="T66" s="797">
        <f t="shared" ca="1" si="64"/>
        <v>3.53125</v>
      </c>
    </row>
    <row r="67" spans="3:20" x14ac:dyDescent="0.2">
      <c r="C67" s="786" t="s">
        <v>22</v>
      </c>
      <c r="D67" s="27">
        <f t="shared" ca="1" si="65"/>
        <v>9190</v>
      </c>
      <c r="E67" s="27">
        <f t="shared" ca="1" si="65"/>
        <v>2200</v>
      </c>
      <c r="F67" s="27">
        <f t="shared" ca="1" si="65"/>
        <v>4890</v>
      </c>
      <c r="G67" s="27">
        <f t="shared" ca="1" si="65"/>
        <v>-50</v>
      </c>
      <c r="H67" s="27">
        <f t="shared" ca="1" si="65"/>
        <v>16230</v>
      </c>
      <c r="I67" s="796">
        <f t="shared" ca="1" si="66"/>
        <v>4.875</v>
      </c>
      <c r="J67" s="27">
        <f t="shared" ca="1" si="67"/>
        <v>92000</v>
      </c>
      <c r="K67" s="27">
        <f ca="1">_xlfn.RANK.EQ(J67,$J$64:$J$72)+COUNTIF($J$64:J67,J67)-1</f>
        <v>8</v>
      </c>
      <c r="M67" s="27">
        <v>4</v>
      </c>
      <c r="N67" s="27" t="str">
        <f t="shared" ca="1" si="68"/>
        <v>LEV</v>
      </c>
      <c r="O67" s="47">
        <f t="shared" ca="1" si="69"/>
        <v>9780</v>
      </c>
      <c r="P67" s="47">
        <f t="shared" ca="1" si="64"/>
        <v>1820</v>
      </c>
      <c r="Q67" s="47">
        <f t="shared" ca="1" si="64"/>
        <v>4650</v>
      </c>
      <c r="R67" s="47">
        <f t="shared" ca="1" si="64"/>
        <v>0</v>
      </c>
      <c r="S67" s="47">
        <f t="shared" ca="1" si="64"/>
        <v>16250</v>
      </c>
      <c r="T67" s="797">
        <f t="shared" ca="1" si="64"/>
        <v>4.96875</v>
      </c>
    </row>
    <row r="68" spans="3:20" x14ac:dyDescent="0.2">
      <c r="C68" s="786" t="s">
        <v>23</v>
      </c>
      <c r="D68" s="27">
        <f t="shared" ca="1" si="65"/>
        <v>11240</v>
      </c>
      <c r="E68" s="27">
        <f t="shared" ca="1" si="65"/>
        <v>1000</v>
      </c>
      <c r="F68" s="27">
        <f t="shared" ca="1" si="65"/>
        <v>4860</v>
      </c>
      <c r="G68" s="27">
        <f t="shared" ca="1" si="65"/>
        <v>-50</v>
      </c>
      <c r="H68" s="27">
        <f t="shared" ca="1" si="65"/>
        <v>17050</v>
      </c>
      <c r="I68" s="796">
        <f t="shared" ca="1" si="66"/>
        <v>3.96875</v>
      </c>
      <c r="J68" s="27">
        <f t="shared" ca="1" si="67"/>
        <v>172000</v>
      </c>
      <c r="K68" s="27">
        <f ca="1">_xlfn.RANK.EQ(J68,$J$64:$J$72)+COUNTIF($J$64:J68,J68)-1</f>
        <v>2</v>
      </c>
      <c r="M68" s="27">
        <v>5</v>
      </c>
      <c r="N68" s="27" t="str">
        <f t="shared" ca="1" si="68"/>
        <v>EB</v>
      </c>
      <c r="O68" s="47">
        <f t="shared" ca="1" si="69"/>
        <v>9790</v>
      </c>
      <c r="P68" s="47">
        <f t="shared" ca="1" si="64"/>
        <v>1890</v>
      </c>
      <c r="Q68" s="47">
        <f t="shared" ca="1" si="64"/>
        <v>4240</v>
      </c>
      <c r="R68" s="47">
        <f t="shared" ca="1" si="64"/>
        <v>0</v>
      </c>
      <c r="S68" s="47">
        <f t="shared" ca="1" si="64"/>
        <v>15920</v>
      </c>
      <c r="T68" s="797">
        <f t="shared" ca="1" si="64"/>
        <v>5.5</v>
      </c>
    </row>
    <row r="69" spans="3:20" x14ac:dyDescent="0.2">
      <c r="C69" s="786" t="s">
        <v>24</v>
      </c>
      <c r="D69" s="27">
        <f t="shared" ca="1" si="65"/>
        <v>8720</v>
      </c>
      <c r="E69" s="27">
        <f t="shared" ca="1" si="65"/>
        <v>1790</v>
      </c>
      <c r="F69" s="27">
        <f t="shared" ca="1" si="65"/>
        <v>5870</v>
      </c>
      <c r="G69" s="27">
        <f t="shared" ca="1" si="65"/>
        <v>-50</v>
      </c>
      <c r="H69" s="27">
        <f t="shared" ca="1" si="65"/>
        <v>16330</v>
      </c>
      <c r="I69" s="796">
        <f t="shared" ca="1" si="66"/>
        <v>4.78125</v>
      </c>
      <c r="J69" s="27">
        <f t="shared" ca="1" si="67"/>
        <v>128000</v>
      </c>
      <c r="K69" s="27">
        <f ca="1">_xlfn.RANK.EQ(J69,$J$64:$J$72)+COUNTIF($J$64:J69,J69)-1</f>
        <v>6</v>
      </c>
      <c r="M69" s="27">
        <v>6</v>
      </c>
      <c r="N69" s="27" t="str">
        <f t="shared" ca="1" si="68"/>
        <v>JH</v>
      </c>
      <c r="O69" s="47">
        <f t="shared" ca="1" si="69"/>
        <v>8720</v>
      </c>
      <c r="P69" s="47">
        <f t="shared" ca="1" si="64"/>
        <v>1790</v>
      </c>
      <c r="Q69" s="47">
        <f t="shared" ca="1" si="64"/>
        <v>5870</v>
      </c>
      <c r="R69" s="47">
        <f t="shared" ca="1" si="64"/>
        <v>-50</v>
      </c>
      <c r="S69" s="47">
        <f t="shared" ca="1" si="64"/>
        <v>16330</v>
      </c>
      <c r="T69" s="797">
        <f t="shared" ca="1" si="64"/>
        <v>4.78125</v>
      </c>
    </row>
    <row r="70" spans="3:20" x14ac:dyDescent="0.2">
      <c r="C70" s="786" t="s">
        <v>25</v>
      </c>
      <c r="D70" s="27">
        <f t="shared" ca="1" si="65"/>
        <v>8680</v>
      </c>
      <c r="E70" s="27">
        <f t="shared" ca="1" si="65"/>
        <v>2190</v>
      </c>
      <c r="F70" s="27">
        <f t="shared" ca="1" si="65"/>
        <v>4560</v>
      </c>
      <c r="G70" s="27">
        <f t="shared" ca="1" si="65"/>
        <v>-500</v>
      </c>
      <c r="H70" s="27">
        <f t="shared" ca="1" si="65"/>
        <v>14930</v>
      </c>
      <c r="I70" s="796">
        <f t="shared" ca="1" si="66"/>
        <v>5.78125</v>
      </c>
      <c r="J70" s="27">
        <f t="shared" ca="1" si="67"/>
        <v>84000</v>
      </c>
      <c r="K70" s="27">
        <f ca="1">_xlfn.RANK.EQ(J70,$J$64:$J$72)+COUNTIF($J$64:J70,J70)-1</f>
        <v>9</v>
      </c>
      <c r="M70" s="27">
        <v>7</v>
      </c>
      <c r="N70" s="27" t="str">
        <f t="shared" ca="1" si="68"/>
        <v>AHH</v>
      </c>
      <c r="O70" s="47">
        <f t="shared" ca="1" si="69"/>
        <v>9350</v>
      </c>
      <c r="P70" s="47">
        <f t="shared" ca="1" si="64"/>
        <v>2600</v>
      </c>
      <c r="Q70" s="47">
        <f t="shared" ca="1" si="64"/>
        <v>3870</v>
      </c>
      <c r="R70" s="47">
        <f t="shared" ca="1" si="64"/>
        <v>0</v>
      </c>
      <c r="S70" s="47">
        <f t="shared" ca="1" si="64"/>
        <v>15820</v>
      </c>
      <c r="T70" s="797">
        <f t="shared" ca="1" si="64"/>
        <v>5.5625</v>
      </c>
    </row>
    <row r="71" spans="3:20" x14ac:dyDescent="0.2">
      <c r="C71" s="786" t="s">
        <v>26</v>
      </c>
      <c r="D71" s="27">
        <f t="shared" ca="1" si="65"/>
        <v>10530</v>
      </c>
      <c r="E71" s="27">
        <f t="shared" ca="1" si="65"/>
        <v>1420</v>
      </c>
      <c r="F71" s="27">
        <f t="shared" ca="1" si="65"/>
        <v>4670</v>
      </c>
      <c r="G71" s="27">
        <f t="shared" ca="1" si="65"/>
        <v>0</v>
      </c>
      <c r="H71" s="27">
        <f t="shared" ca="1" si="65"/>
        <v>16620</v>
      </c>
      <c r="I71" s="796">
        <f t="shared" ca="1" si="66"/>
        <v>4.09375</v>
      </c>
      <c r="J71" s="27">
        <f t="shared" ca="1" si="67"/>
        <v>178000</v>
      </c>
      <c r="K71" s="27">
        <f ca="1">_xlfn.RANK.EQ(J71,$J$64:$J$72)+COUNTIF($J$64:J71,J71)-1</f>
        <v>1</v>
      </c>
      <c r="M71" s="27">
        <v>8</v>
      </c>
      <c r="N71" s="27" t="str">
        <f t="shared" ca="1" si="68"/>
        <v>KAF</v>
      </c>
      <c r="O71" s="47">
        <f t="shared" ca="1" si="69"/>
        <v>9190</v>
      </c>
      <c r="P71" s="47">
        <f t="shared" ca="1" si="64"/>
        <v>2200</v>
      </c>
      <c r="Q71" s="47">
        <f t="shared" ca="1" si="64"/>
        <v>4890</v>
      </c>
      <c r="R71" s="47">
        <f t="shared" ca="1" si="64"/>
        <v>-50</v>
      </c>
      <c r="S71" s="47">
        <f t="shared" ca="1" si="64"/>
        <v>16230</v>
      </c>
      <c r="T71" s="797">
        <f t="shared" ca="1" si="64"/>
        <v>4.875</v>
      </c>
    </row>
    <row r="72" spans="3:20" x14ac:dyDescent="0.2">
      <c r="C72" s="787" t="s">
        <v>27</v>
      </c>
      <c r="D72" s="27">
        <f t="shared" ca="1" si="65"/>
        <v>9780</v>
      </c>
      <c r="E72" s="27">
        <f t="shared" ca="1" si="65"/>
        <v>1820</v>
      </c>
      <c r="F72" s="27">
        <f t="shared" ca="1" si="65"/>
        <v>4650</v>
      </c>
      <c r="G72" s="27">
        <f t="shared" ca="1" si="65"/>
        <v>0</v>
      </c>
      <c r="H72" s="27">
        <f t="shared" ca="1" si="65"/>
        <v>16250</v>
      </c>
      <c r="I72" s="796">
        <f t="shared" ca="1" si="66"/>
        <v>4.96875</v>
      </c>
      <c r="J72" s="27">
        <f t="shared" ca="1" si="67"/>
        <v>145000</v>
      </c>
      <c r="K72" s="27">
        <f ca="1">_xlfn.RANK.EQ(J72,$J$64:$J$72)+COUNTIF($J$64:J72,J72)-1</f>
        <v>4</v>
      </c>
      <c r="M72" s="27">
        <v>9</v>
      </c>
      <c r="N72" s="27" t="str">
        <f t="shared" ca="1" si="68"/>
        <v>TOH</v>
      </c>
      <c r="O72" s="47">
        <f t="shared" ca="1" si="69"/>
        <v>8680</v>
      </c>
      <c r="P72" s="47">
        <f t="shared" ca="1" si="64"/>
        <v>2190</v>
      </c>
      <c r="Q72" s="47">
        <f t="shared" ca="1" si="64"/>
        <v>4560</v>
      </c>
      <c r="R72" s="47">
        <f t="shared" ca="1" si="64"/>
        <v>-500</v>
      </c>
      <c r="S72" s="47">
        <f t="shared" ca="1" si="64"/>
        <v>14930</v>
      </c>
      <c r="T72" s="797">
        <f t="shared" ca="1" si="64"/>
        <v>5.78125</v>
      </c>
    </row>
  </sheetData>
  <sortState xmlns:xlrd2="http://schemas.microsoft.com/office/spreadsheetml/2017/richdata2" ref="BU5:BX13">
    <sortCondition descending="1" ref="BX5:BX13"/>
  </sortState>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D9C67-87A7-4AD0-8528-BB5557D42648}">
  <sheetPr codeName="Ark19">
    <tabColor rgb="FFFFFFCC"/>
  </sheetPr>
  <dimension ref="E6:E388"/>
  <sheetViews>
    <sheetView showGridLines="0" topLeftCell="A376" workbookViewId="0">
      <selection activeCell="E388" sqref="E388"/>
    </sheetView>
  </sheetViews>
  <sheetFormatPr baseColWidth="10" defaultColWidth="11.42578125" defaultRowHeight="12.75" x14ac:dyDescent="0.2"/>
  <cols>
    <col min="1" max="16384" width="11.42578125" style="27"/>
  </cols>
  <sheetData>
    <row r="6" spans="5:5" x14ac:dyDescent="0.2">
      <c r="E6" s="62" t="s">
        <v>454</v>
      </c>
    </row>
    <row r="7" spans="5:5" x14ac:dyDescent="0.2">
      <c r="E7" s="27" t="s">
        <v>455</v>
      </c>
    </row>
    <row r="8" spans="5:5" x14ac:dyDescent="0.2">
      <c r="E8" s="27" t="s">
        <v>456</v>
      </c>
    </row>
    <row r="9" spans="5:5" x14ac:dyDescent="0.2">
      <c r="E9" s="27" t="s">
        <v>457</v>
      </c>
    </row>
    <row r="10" spans="5:5" x14ac:dyDescent="0.2">
      <c r="E10" s="27" t="s">
        <v>458</v>
      </c>
    </row>
    <row r="12" spans="5:5" x14ac:dyDescent="0.2">
      <c r="E12" s="62" t="s">
        <v>459</v>
      </c>
    </row>
    <row r="13" spans="5:5" x14ac:dyDescent="0.2">
      <c r="E13" s="27" t="s">
        <v>460</v>
      </c>
    </row>
    <row r="14" spans="5:5" x14ac:dyDescent="0.2">
      <c r="E14" s="27" t="s">
        <v>461</v>
      </c>
    </row>
    <row r="16" spans="5:5" x14ac:dyDescent="0.2">
      <c r="E16" s="27" t="s">
        <v>462</v>
      </c>
    </row>
    <row r="17" spans="5:5" x14ac:dyDescent="0.2">
      <c r="E17" s="27" t="s">
        <v>463</v>
      </c>
    </row>
    <row r="19" spans="5:5" x14ac:dyDescent="0.2">
      <c r="E19" s="27" t="s">
        <v>464</v>
      </c>
    </row>
    <row r="21" spans="5:5" x14ac:dyDescent="0.2">
      <c r="E21" s="27" t="s">
        <v>465</v>
      </c>
    </row>
    <row r="22" spans="5:5" x14ac:dyDescent="0.2">
      <c r="E22" s="27" t="s">
        <v>466</v>
      </c>
    </row>
    <row r="24" spans="5:5" x14ac:dyDescent="0.2">
      <c r="E24" s="27" t="s">
        <v>467</v>
      </c>
    </row>
    <row r="25" spans="5:5" x14ac:dyDescent="0.2">
      <c r="E25" s="27" t="s">
        <v>468</v>
      </c>
    </row>
    <row r="26" spans="5:5" x14ac:dyDescent="0.2">
      <c r="E26" s="27" t="s">
        <v>469</v>
      </c>
    </row>
    <row r="27" spans="5:5" x14ac:dyDescent="0.2">
      <c r="E27" s="27" t="s">
        <v>470</v>
      </c>
    </row>
    <row r="29" spans="5:5" x14ac:dyDescent="0.2">
      <c r="E29" s="27" t="s">
        <v>471</v>
      </c>
    </row>
    <row r="31" spans="5:5" x14ac:dyDescent="0.2">
      <c r="E31" s="27" t="s">
        <v>472</v>
      </c>
    </row>
    <row r="33" spans="5:5" x14ac:dyDescent="0.2">
      <c r="E33" s="918">
        <v>40894</v>
      </c>
    </row>
    <row r="34" spans="5:5" x14ac:dyDescent="0.2">
      <c r="E34" s="27" t="s">
        <v>473</v>
      </c>
    </row>
    <row r="37" spans="5:5" x14ac:dyDescent="0.2">
      <c r="E37" s="918">
        <v>40927</v>
      </c>
    </row>
    <row r="38" spans="5:5" x14ac:dyDescent="0.2">
      <c r="E38" s="27" t="s">
        <v>474</v>
      </c>
    </row>
    <row r="39" spans="5:5" x14ac:dyDescent="0.2">
      <c r="E39" s="27" t="s">
        <v>475</v>
      </c>
    </row>
    <row r="41" spans="5:5" x14ac:dyDescent="0.2">
      <c r="E41" s="918">
        <v>40929</v>
      </c>
    </row>
    <row r="42" spans="5:5" x14ac:dyDescent="0.2">
      <c r="E42" s="27" t="s">
        <v>476</v>
      </c>
    </row>
    <row r="43" spans="5:5" x14ac:dyDescent="0.2">
      <c r="E43" s="27" t="s">
        <v>477</v>
      </c>
    </row>
    <row r="45" spans="5:5" x14ac:dyDescent="0.2">
      <c r="E45" s="918">
        <v>41063</v>
      </c>
    </row>
    <row r="46" spans="5:5" x14ac:dyDescent="0.2">
      <c r="E46" s="27" t="s">
        <v>478</v>
      </c>
    </row>
    <row r="47" spans="5:5" x14ac:dyDescent="0.2">
      <c r="E47" s="27" t="s">
        <v>479</v>
      </c>
    </row>
    <row r="49" spans="5:5" x14ac:dyDescent="0.2">
      <c r="E49" s="918">
        <v>41090</v>
      </c>
    </row>
    <row r="50" spans="5:5" x14ac:dyDescent="0.2">
      <c r="E50" s="27" t="s">
        <v>480</v>
      </c>
    </row>
    <row r="52" spans="5:5" x14ac:dyDescent="0.2">
      <c r="E52" s="918">
        <v>41348</v>
      </c>
    </row>
    <row r="53" spans="5:5" x14ac:dyDescent="0.2">
      <c r="E53" s="27" t="s">
        <v>481</v>
      </c>
    </row>
    <row r="55" spans="5:5" x14ac:dyDescent="0.2">
      <c r="E55" s="918">
        <v>41371</v>
      </c>
    </row>
    <row r="56" spans="5:5" x14ac:dyDescent="0.2">
      <c r="E56" s="27" t="s">
        <v>482</v>
      </c>
    </row>
    <row r="58" spans="5:5" x14ac:dyDescent="0.2">
      <c r="E58" s="918">
        <v>41372</v>
      </c>
    </row>
    <row r="59" spans="5:5" x14ac:dyDescent="0.2">
      <c r="E59" s="27" t="s">
        <v>483</v>
      </c>
    </row>
    <row r="61" spans="5:5" x14ac:dyDescent="0.2">
      <c r="E61" s="62" t="s">
        <v>484</v>
      </c>
    </row>
    <row r="62" spans="5:5" x14ac:dyDescent="0.2">
      <c r="E62" s="27" t="s">
        <v>485</v>
      </c>
    </row>
    <row r="63" spans="5:5" x14ac:dyDescent="0.2">
      <c r="E63" s="27" t="s">
        <v>486</v>
      </c>
    </row>
    <row r="64" spans="5:5" x14ac:dyDescent="0.2">
      <c r="E64" s="27" t="s">
        <v>487</v>
      </c>
    </row>
    <row r="65" spans="5:5" x14ac:dyDescent="0.2">
      <c r="E65" s="27" t="s">
        <v>488</v>
      </c>
    </row>
    <row r="66" spans="5:5" x14ac:dyDescent="0.2">
      <c r="E66" s="27" t="s">
        <v>489</v>
      </c>
    </row>
    <row r="68" spans="5:5" x14ac:dyDescent="0.2">
      <c r="E68" s="62" t="s">
        <v>490</v>
      </c>
    </row>
    <row r="69" spans="5:5" x14ac:dyDescent="0.2">
      <c r="E69" s="27" t="s">
        <v>491</v>
      </c>
    </row>
    <row r="70" spans="5:5" x14ac:dyDescent="0.2">
      <c r="E70" s="27" t="s">
        <v>492</v>
      </c>
    </row>
    <row r="73" spans="5:5" x14ac:dyDescent="0.2">
      <c r="E73" s="62" t="s">
        <v>493</v>
      </c>
    </row>
    <row r="74" spans="5:5" x14ac:dyDescent="0.2">
      <c r="E74" s="27" t="s">
        <v>494</v>
      </c>
    </row>
    <row r="75" spans="5:5" x14ac:dyDescent="0.2">
      <c r="E75" s="27" t="s">
        <v>495</v>
      </c>
    </row>
    <row r="76" spans="5:5" x14ac:dyDescent="0.2">
      <c r="E76" s="27" t="s">
        <v>496</v>
      </c>
    </row>
    <row r="78" spans="5:5" x14ac:dyDescent="0.2">
      <c r="E78" s="62" t="s">
        <v>497</v>
      </c>
    </row>
    <row r="79" spans="5:5" x14ac:dyDescent="0.2">
      <c r="E79" s="27" t="s">
        <v>498</v>
      </c>
    </row>
    <row r="81" spans="5:5" x14ac:dyDescent="0.2">
      <c r="E81" s="62" t="s">
        <v>499</v>
      </c>
    </row>
    <row r="82" spans="5:5" x14ac:dyDescent="0.2">
      <c r="E82" s="27" t="s">
        <v>500</v>
      </c>
    </row>
    <row r="85" spans="5:5" x14ac:dyDescent="0.2">
      <c r="E85" s="62" t="s">
        <v>501</v>
      </c>
    </row>
    <row r="86" spans="5:5" x14ac:dyDescent="0.2">
      <c r="E86" s="27" t="s">
        <v>502</v>
      </c>
    </row>
    <row r="87" spans="5:5" x14ac:dyDescent="0.2">
      <c r="E87" s="27" t="s">
        <v>503</v>
      </c>
    </row>
    <row r="88" spans="5:5" x14ac:dyDescent="0.2">
      <c r="E88" s="27" t="s">
        <v>504</v>
      </c>
    </row>
    <row r="89" spans="5:5" x14ac:dyDescent="0.2">
      <c r="E89" s="27" t="s">
        <v>505</v>
      </c>
    </row>
    <row r="90" spans="5:5" x14ac:dyDescent="0.2">
      <c r="E90" s="27" t="s">
        <v>506</v>
      </c>
    </row>
    <row r="91" spans="5:5" x14ac:dyDescent="0.2">
      <c r="E91" s="27" t="s">
        <v>507</v>
      </c>
    </row>
    <row r="92" spans="5:5" x14ac:dyDescent="0.2">
      <c r="E92" s="27" t="s">
        <v>508</v>
      </c>
    </row>
    <row r="93" spans="5:5" x14ac:dyDescent="0.2">
      <c r="E93" s="27" t="s">
        <v>509</v>
      </c>
    </row>
    <row r="94" spans="5:5" x14ac:dyDescent="0.2">
      <c r="E94" s="27" t="s">
        <v>510</v>
      </c>
    </row>
    <row r="96" spans="5:5" x14ac:dyDescent="0.2">
      <c r="E96" s="62" t="s">
        <v>511</v>
      </c>
    </row>
    <row r="97" spans="5:5" x14ac:dyDescent="0.2">
      <c r="E97" s="27" t="s">
        <v>512</v>
      </c>
    </row>
    <row r="99" spans="5:5" x14ac:dyDescent="0.2">
      <c r="E99" s="62" t="s">
        <v>513</v>
      </c>
    </row>
    <row r="100" spans="5:5" x14ac:dyDescent="0.2">
      <c r="E100" s="27" t="s">
        <v>514</v>
      </c>
    </row>
    <row r="101" spans="5:5" x14ac:dyDescent="0.2">
      <c r="E101" s="27" t="s">
        <v>515</v>
      </c>
    </row>
    <row r="102" spans="5:5" x14ac:dyDescent="0.2">
      <c r="E102" s="27" t="s">
        <v>516</v>
      </c>
    </row>
    <row r="104" spans="5:5" x14ac:dyDescent="0.2">
      <c r="E104" s="62" t="s">
        <v>517</v>
      </c>
    </row>
    <row r="105" spans="5:5" x14ac:dyDescent="0.2">
      <c r="E105" s="27" t="s">
        <v>518</v>
      </c>
    </row>
    <row r="107" spans="5:5" x14ac:dyDescent="0.2">
      <c r="E107" s="62" t="s">
        <v>519</v>
      </c>
    </row>
    <row r="108" spans="5:5" x14ac:dyDescent="0.2">
      <c r="E108" s="27" t="s">
        <v>520</v>
      </c>
    </row>
    <row r="109" spans="5:5" x14ac:dyDescent="0.2">
      <c r="E109" s="27" t="s">
        <v>521</v>
      </c>
    </row>
    <row r="112" spans="5:5" x14ac:dyDescent="0.2">
      <c r="E112" s="62" t="s">
        <v>522</v>
      </c>
    </row>
    <row r="113" spans="5:5" x14ac:dyDescent="0.2">
      <c r="E113" s="27" t="s">
        <v>523</v>
      </c>
    </row>
    <row r="114" spans="5:5" x14ac:dyDescent="0.2">
      <c r="E114" s="27" t="s">
        <v>524</v>
      </c>
    </row>
    <row r="115" spans="5:5" x14ac:dyDescent="0.2">
      <c r="E115" s="27" t="s">
        <v>525</v>
      </c>
    </row>
    <row r="116" spans="5:5" x14ac:dyDescent="0.2">
      <c r="E116" s="27" t="s">
        <v>526</v>
      </c>
    </row>
    <row r="117" spans="5:5" x14ac:dyDescent="0.2">
      <c r="E117" s="27" t="s">
        <v>527</v>
      </c>
    </row>
    <row r="118" spans="5:5" x14ac:dyDescent="0.2">
      <c r="E118" s="27" t="s">
        <v>528</v>
      </c>
    </row>
    <row r="119" spans="5:5" x14ac:dyDescent="0.2">
      <c r="E119" s="27" t="s">
        <v>529</v>
      </c>
    </row>
    <row r="121" spans="5:5" x14ac:dyDescent="0.2">
      <c r="E121" s="27" t="s">
        <v>530</v>
      </c>
    </row>
    <row r="122" spans="5:5" x14ac:dyDescent="0.2">
      <c r="E122" s="27" t="s">
        <v>531</v>
      </c>
    </row>
    <row r="123" spans="5:5" x14ac:dyDescent="0.2">
      <c r="E123" s="27" t="s">
        <v>532</v>
      </c>
    </row>
    <row r="126" spans="5:5" x14ac:dyDescent="0.2">
      <c r="E126" s="62" t="s">
        <v>533</v>
      </c>
    </row>
    <row r="127" spans="5:5" x14ac:dyDescent="0.2">
      <c r="E127" s="27" t="s">
        <v>534</v>
      </c>
    </row>
    <row r="130" spans="5:5" x14ac:dyDescent="0.2">
      <c r="E130" s="62" t="s">
        <v>535</v>
      </c>
    </row>
    <row r="131" spans="5:5" x14ac:dyDescent="0.2">
      <c r="E131" s="27" t="s">
        <v>536</v>
      </c>
    </row>
    <row r="132" spans="5:5" x14ac:dyDescent="0.2">
      <c r="E132" s="27" t="s">
        <v>537</v>
      </c>
    </row>
    <row r="135" spans="5:5" x14ac:dyDescent="0.2">
      <c r="E135" s="62" t="s">
        <v>538</v>
      </c>
    </row>
    <row r="136" spans="5:5" x14ac:dyDescent="0.2">
      <c r="E136" s="27" t="s">
        <v>539</v>
      </c>
    </row>
    <row r="138" spans="5:5" x14ac:dyDescent="0.2">
      <c r="E138" s="27" t="s">
        <v>540</v>
      </c>
    </row>
    <row r="140" spans="5:5" x14ac:dyDescent="0.2">
      <c r="E140" s="62" t="s">
        <v>541</v>
      </c>
    </row>
    <row r="141" spans="5:5" x14ac:dyDescent="0.2">
      <c r="E141" s="27" t="s">
        <v>542</v>
      </c>
    </row>
    <row r="142" spans="5:5" x14ac:dyDescent="0.2">
      <c r="E142" s="27" t="s">
        <v>543</v>
      </c>
    </row>
    <row r="145" spans="5:5" x14ac:dyDescent="0.2">
      <c r="E145" s="62" t="s">
        <v>544</v>
      </c>
    </row>
    <row r="146" spans="5:5" x14ac:dyDescent="0.2">
      <c r="E146" s="27" t="s">
        <v>545</v>
      </c>
    </row>
    <row r="148" spans="5:5" x14ac:dyDescent="0.2">
      <c r="E148" s="62" t="s">
        <v>546</v>
      </c>
    </row>
    <row r="149" spans="5:5" x14ac:dyDescent="0.2">
      <c r="E149" s="27" t="s">
        <v>547</v>
      </c>
    </row>
    <row r="150" spans="5:5" x14ac:dyDescent="0.2">
      <c r="E150" s="27" t="s">
        <v>548</v>
      </c>
    </row>
    <row r="153" spans="5:5" x14ac:dyDescent="0.2">
      <c r="E153" s="62" t="s">
        <v>549</v>
      </c>
    </row>
    <row r="154" spans="5:5" x14ac:dyDescent="0.2">
      <c r="E154" s="27" t="s">
        <v>550</v>
      </c>
    </row>
    <row r="155" spans="5:5" x14ac:dyDescent="0.2">
      <c r="E155" s="27" t="s">
        <v>551</v>
      </c>
    </row>
    <row r="156" spans="5:5" x14ac:dyDescent="0.2">
      <c r="E156" s="27" t="s">
        <v>552</v>
      </c>
    </row>
    <row r="157" spans="5:5" x14ac:dyDescent="0.2">
      <c r="E157" s="27" t="s">
        <v>553</v>
      </c>
    </row>
    <row r="158" spans="5:5" x14ac:dyDescent="0.2">
      <c r="E158" s="27" t="s">
        <v>554</v>
      </c>
    </row>
    <row r="159" spans="5:5" x14ac:dyDescent="0.2">
      <c r="E159" s="27" t="s">
        <v>555</v>
      </c>
    </row>
    <row r="160" spans="5:5" x14ac:dyDescent="0.2">
      <c r="E160" s="27" t="s">
        <v>556</v>
      </c>
    </row>
    <row r="162" spans="5:5" x14ac:dyDescent="0.2">
      <c r="E162" s="62" t="s">
        <v>557</v>
      </c>
    </row>
    <row r="163" spans="5:5" x14ac:dyDescent="0.2">
      <c r="E163" s="27" t="s">
        <v>558</v>
      </c>
    </row>
    <row r="166" spans="5:5" x14ac:dyDescent="0.2">
      <c r="E166" s="62" t="s">
        <v>559</v>
      </c>
    </row>
    <row r="167" spans="5:5" x14ac:dyDescent="0.2">
      <c r="E167" s="27" t="s">
        <v>560</v>
      </c>
    </row>
    <row r="168" spans="5:5" x14ac:dyDescent="0.2">
      <c r="E168" s="27" t="s">
        <v>561</v>
      </c>
    </row>
    <row r="169" spans="5:5" x14ac:dyDescent="0.2">
      <c r="E169" s="27" t="s">
        <v>562</v>
      </c>
    </row>
    <row r="172" spans="5:5" x14ac:dyDescent="0.2">
      <c r="E172" s="62" t="s">
        <v>563</v>
      </c>
    </row>
    <row r="173" spans="5:5" x14ac:dyDescent="0.2">
      <c r="E173" s="27" t="s">
        <v>564</v>
      </c>
    </row>
    <row r="176" spans="5:5" x14ac:dyDescent="0.2">
      <c r="E176" s="62" t="s">
        <v>565</v>
      </c>
    </row>
    <row r="177" spans="5:5" x14ac:dyDescent="0.2">
      <c r="E177" s="27" t="s">
        <v>566</v>
      </c>
    </row>
    <row r="180" spans="5:5" x14ac:dyDescent="0.2">
      <c r="E180" s="62" t="s">
        <v>567</v>
      </c>
    </row>
    <row r="181" spans="5:5" x14ac:dyDescent="0.2">
      <c r="E181" s="27" t="s">
        <v>568</v>
      </c>
    </row>
    <row r="183" spans="5:5" x14ac:dyDescent="0.2">
      <c r="E183" s="62" t="s">
        <v>569</v>
      </c>
    </row>
    <row r="184" spans="5:5" x14ac:dyDescent="0.2">
      <c r="E184" s="27" t="s">
        <v>570</v>
      </c>
    </row>
    <row r="186" spans="5:5" x14ac:dyDescent="0.2">
      <c r="E186" s="62" t="s">
        <v>571</v>
      </c>
    </row>
    <row r="187" spans="5:5" x14ac:dyDescent="0.2">
      <c r="E187" s="27" t="s">
        <v>572</v>
      </c>
    </row>
    <row r="188" spans="5:5" x14ac:dyDescent="0.2">
      <c r="E188" s="27" t="s">
        <v>573</v>
      </c>
    </row>
    <row r="189" spans="5:5" x14ac:dyDescent="0.2">
      <c r="E189" s="27" t="s">
        <v>574</v>
      </c>
    </row>
    <row r="191" spans="5:5" x14ac:dyDescent="0.2">
      <c r="E191" s="27" t="s">
        <v>574</v>
      </c>
    </row>
    <row r="192" spans="5:5" x14ac:dyDescent="0.2">
      <c r="E192" s="27" t="s">
        <v>575</v>
      </c>
    </row>
    <row r="194" spans="5:5" x14ac:dyDescent="0.2">
      <c r="E194" s="62" t="s">
        <v>576</v>
      </c>
    </row>
    <row r="195" spans="5:5" x14ac:dyDescent="0.2">
      <c r="E195" s="27" t="s">
        <v>577</v>
      </c>
    </row>
    <row r="197" spans="5:5" x14ac:dyDescent="0.2">
      <c r="E197" s="62" t="s">
        <v>578</v>
      </c>
    </row>
    <row r="198" spans="5:5" x14ac:dyDescent="0.2">
      <c r="E198" s="27" t="s">
        <v>579</v>
      </c>
    </row>
    <row r="199" spans="5:5" x14ac:dyDescent="0.2">
      <c r="E199" s="27" t="s">
        <v>580</v>
      </c>
    </row>
    <row r="200" spans="5:5" x14ac:dyDescent="0.2">
      <c r="E200" s="27" t="s">
        <v>581</v>
      </c>
    </row>
    <row r="201" spans="5:5" x14ac:dyDescent="0.2">
      <c r="E201" s="27" t="s">
        <v>582</v>
      </c>
    </row>
    <row r="202" spans="5:5" x14ac:dyDescent="0.2">
      <c r="E202" s="27" t="s">
        <v>583</v>
      </c>
    </row>
    <row r="205" spans="5:5" x14ac:dyDescent="0.2">
      <c r="E205" s="62" t="s">
        <v>584</v>
      </c>
    </row>
    <row r="206" spans="5:5" x14ac:dyDescent="0.2">
      <c r="E206" s="27" t="s">
        <v>585</v>
      </c>
    </row>
    <row r="207" spans="5:5" x14ac:dyDescent="0.2">
      <c r="E207" s="27" t="s">
        <v>586</v>
      </c>
    </row>
    <row r="209" spans="5:5" x14ac:dyDescent="0.2">
      <c r="E209" s="27" t="s">
        <v>587</v>
      </c>
    </row>
    <row r="210" spans="5:5" x14ac:dyDescent="0.2">
      <c r="E210" s="27" t="s">
        <v>588</v>
      </c>
    </row>
    <row r="211" spans="5:5" x14ac:dyDescent="0.2">
      <c r="E211" s="27" t="s">
        <v>589</v>
      </c>
    </row>
    <row r="213" spans="5:5" x14ac:dyDescent="0.2">
      <c r="E213" s="62" t="s">
        <v>590</v>
      </c>
    </row>
    <row r="214" spans="5:5" x14ac:dyDescent="0.2">
      <c r="E214" s="27" t="s">
        <v>591</v>
      </c>
    </row>
    <row r="215" spans="5:5" x14ac:dyDescent="0.2">
      <c r="E215" s="27" t="s">
        <v>592</v>
      </c>
    </row>
    <row r="217" spans="5:5" x14ac:dyDescent="0.2">
      <c r="E217" s="62" t="s">
        <v>593</v>
      </c>
    </row>
    <row r="218" spans="5:5" x14ac:dyDescent="0.2">
      <c r="E218" s="27" t="s">
        <v>594</v>
      </c>
    </row>
    <row r="220" spans="5:5" x14ac:dyDescent="0.2">
      <c r="E220" s="62" t="s">
        <v>595</v>
      </c>
    </row>
    <row r="221" spans="5:5" x14ac:dyDescent="0.2">
      <c r="E221" s="27" t="s">
        <v>596</v>
      </c>
    </row>
    <row r="222" spans="5:5" x14ac:dyDescent="0.2">
      <c r="E222" s="27" t="s">
        <v>597</v>
      </c>
    </row>
    <row r="223" spans="5:5" x14ac:dyDescent="0.2">
      <c r="E223" s="27" t="s">
        <v>598</v>
      </c>
    </row>
    <row r="225" spans="5:5" x14ac:dyDescent="0.2">
      <c r="E225" s="62" t="s">
        <v>599</v>
      </c>
    </row>
    <row r="226" spans="5:5" x14ac:dyDescent="0.2">
      <c r="E226" s="27" t="s">
        <v>600</v>
      </c>
    </row>
    <row r="228" spans="5:5" x14ac:dyDescent="0.2">
      <c r="E228" s="62" t="s">
        <v>601</v>
      </c>
    </row>
    <row r="229" spans="5:5" x14ac:dyDescent="0.2">
      <c r="E229" s="27" t="s">
        <v>602</v>
      </c>
    </row>
    <row r="230" spans="5:5" x14ac:dyDescent="0.2">
      <c r="E230" s="27" t="s">
        <v>603</v>
      </c>
    </row>
    <row r="231" spans="5:5" x14ac:dyDescent="0.2">
      <c r="E231" s="27" t="s">
        <v>604</v>
      </c>
    </row>
    <row r="232" spans="5:5" x14ac:dyDescent="0.2">
      <c r="E232" s="919"/>
    </row>
    <row r="234" spans="5:5" x14ac:dyDescent="0.2">
      <c r="E234" s="62" t="s">
        <v>605</v>
      </c>
    </row>
    <row r="235" spans="5:5" x14ac:dyDescent="0.2">
      <c r="E235" s="27" t="s">
        <v>606</v>
      </c>
    </row>
    <row r="236" spans="5:5" x14ac:dyDescent="0.2">
      <c r="E236" s="27" t="s">
        <v>607</v>
      </c>
    </row>
    <row r="237" spans="5:5" x14ac:dyDescent="0.2">
      <c r="E237" s="27" t="s">
        <v>608</v>
      </c>
    </row>
    <row r="240" spans="5:5" x14ac:dyDescent="0.2">
      <c r="E240" s="62" t="s">
        <v>609</v>
      </c>
    </row>
    <row r="241" spans="5:5" x14ac:dyDescent="0.2">
      <c r="E241" s="27" t="s">
        <v>610</v>
      </c>
    </row>
    <row r="242" spans="5:5" x14ac:dyDescent="0.2">
      <c r="E242" s="27" t="s">
        <v>611</v>
      </c>
    </row>
    <row r="243" spans="5:5" x14ac:dyDescent="0.2">
      <c r="E243" s="27" t="s">
        <v>612</v>
      </c>
    </row>
    <row r="244" spans="5:5" x14ac:dyDescent="0.2">
      <c r="E244" s="27" t="s">
        <v>613</v>
      </c>
    </row>
    <row r="245" spans="5:5" x14ac:dyDescent="0.2">
      <c r="E245" s="27" t="s">
        <v>614</v>
      </c>
    </row>
    <row r="246" spans="5:5" x14ac:dyDescent="0.2">
      <c r="E246" s="27" t="s">
        <v>615</v>
      </c>
    </row>
    <row r="247" spans="5:5" x14ac:dyDescent="0.2">
      <c r="E247" s="920" t="s">
        <v>616</v>
      </c>
    </row>
    <row r="250" spans="5:5" x14ac:dyDescent="0.2">
      <c r="E250" s="62" t="s">
        <v>617</v>
      </c>
    </row>
    <row r="251" spans="5:5" x14ac:dyDescent="0.2">
      <c r="E251" s="27" t="s">
        <v>618</v>
      </c>
    </row>
    <row r="252" spans="5:5" x14ac:dyDescent="0.2">
      <c r="E252" s="27" t="s">
        <v>619</v>
      </c>
    </row>
    <row r="255" spans="5:5" x14ac:dyDescent="0.2">
      <c r="E255" s="62" t="s">
        <v>620</v>
      </c>
    </row>
    <row r="256" spans="5:5" x14ac:dyDescent="0.2">
      <c r="E256" s="27" t="s">
        <v>621</v>
      </c>
    </row>
    <row r="259" spans="5:5" x14ac:dyDescent="0.2">
      <c r="E259" s="62" t="s">
        <v>622</v>
      </c>
    </row>
    <row r="260" spans="5:5" x14ac:dyDescent="0.2">
      <c r="E260" s="27" t="s">
        <v>623</v>
      </c>
    </row>
    <row r="262" spans="5:5" x14ac:dyDescent="0.2">
      <c r="E262" s="62" t="s">
        <v>624</v>
      </c>
    </row>
    <row r="263" spans="5:5" x14ac:dyDescent="0.2">
      <c r="E263" s="27" t="s">
        <v>625</v>
      </c>
    </row>
    <row r="265" spans="5:5" x14ac:dyDescent="0.2">
      <c r="E265" s="62" t="s">
        <v>626</v>
      </c>
    </row>
    <row r="266" spans="5:5" x14ac:dyDescent="0.2">
      <c r="E266" s="27" t="s">
        <v>627</v>
      </c>
    </row>
    <row r="267" spans="5:5" x14ac:dyDescent="0.2">
      <c r="E267" s="27" t="s">
        <v>628</v>
      </c>
    </row>
    <row r="268" spans="5:5" x14ac:dyDescent="0.2">
      <c r="E268" s="27" t="s">
        <v>629</v>
      </c>
    </row>
    <row r="269" spans="5:5" x14ac:dyDescent="0.2">
      <c r="E269" s="27" t="s">
        <v>630</v>
      </c>
    </row>
    <row r="270" spans="5:5" x14ac:dyDescent="0.2">
      <c r="E270" s="27" t="s">
        <v>631</v>
      </c>
    </row>
    <row r="273" spans="5:5" x14ac:dyDescent="0.2">
      <c r="E273" s="62" t="s">
        <v>632</v>
      </c>
    </row>
    <row r="274" spans="5:5" x14ac:dyDescent="0.2">
      <c r="E274" s="27" t="s">
        <v>633</v>
      </c>
    </row>
    <row r="275" spans="5:5" x14ac:dyDescent="0.2">
      <c r="E275" s="27" t="s">
        <v>634</v>
      </c>
    </row>
    <row r="276" spans="5:5" x14ac:dyDescent="0.2">
      <c r="E276" s="27" t="s">
        <v>635</v>
      </c>
    </row>
    <row r="279" spans="5:5" x14ac:dyDescent="0.2">
      <c r="E279" s="62" t="s">
        <v>636</v>
      </c>
    </row>
    <row r="280" spans="5:5" x14ac:dyDescent="0.2">
      <c r="E280" s="27" t="s">
        <v>637</v>
      </c>
    </row>
    <row r="281" spans="5:5" x14ac:dyDescent="0.2">
      <c r="E281" s="27" t="s">
        <v>638</v>
      </c>
    </row>
    <row r="283" spans="5:5" x14ac:dyDescent="0.2">
      <c r="E283" s="62" t="s">
        <v>639</v>
      </c>
    </row>
    <row r="284" spans="5:5" x14ac:dyDescent="0.2">
      <c r="E284" s="27" t="s">
        <v>640</v>
      </c>
    </row>
    <row r="286" spans="5:5" x14ac:dyDescent="0.2">
      <c r="E286" s="62" t="s">
        <v>641</v>
      </c>
    </row>
    <row r="287" spans="5:5" x14ac:dyDescent="0.2">
      <c r="E287" s="27" t="s">
        <v>642</v>
      </c>
    </row>
    <row r="288" spans="5:5" x14ac:dyDescent="0.2">
      <c r="E288" s="27" t="s">
        <v>643</v>
      </c>
    </row>
    <row r="290" spans="5:5" x14ac:dyDescent="0.2">
      <c r="E290" s="62" t="s">
        <v>644</v>
      </c>
    </row>
    <row r="291" spans="5:5" x14ac:dyDescent="0.2">
      <c r="E291" s="27" t="s">
        <v>645</v>
      </c>
    </row>
    <row r="293" spans="5:5" x14ac:dyDescent="0.2">
      <c r="E293" s="62" t="s">
        <v>646</v>
      </c>
    </row>
    <row r="294" spans="5:5" x14ac:dyDescent="0.2">
      <c r="E294" s="27" t="s">
        <v>647</v>
      </c>
    </row>
    <row r="295" spans="5:5" x14ac:dyDescent="0.2">
      <c r="E295" s="27" t="s">
        <v>648</v>
      </c>
    </row>
    <row r="296" spans="5:5" x14ac:dyDescent="0.2">
      <c r="E296" s="27" t="s">
        <v>649</v>
      </c>
    </row>
    <row r="298" spans="5:5" x14ac:dyDescent="0.2">
      <c r="E298" s="62" t="s">
        <v>650</v>
      </c>
    </row>
    <row r="299" spans="5:5" x14ac:dyDescent="0.2">
      <c r="E299" s="27" t="s">
        <v>651</v>
      </c>
    </row>
    <row r="301" spans="5:5" x14ac:dyDescent="0.2">
      <c r="E301" s="62" t="s">
        <v>652</v>
      </c>
    </row>
    <row r="302" spans="5:5" x14ac:dyDescent="0.2">
      <c r="E302" s="27" t="s">
        <v>653</v>
      </c>
    </row>
    <row r="303" spans="5:5" x14ac:dyDescent="0.2">
      <c r="E303" s="27" t="s">
        <v>654</v>
      </c>
    </row>
    <row r="305" spans="5:5" x14ac:dyDescent="0.2">
      <c r="E305" s="62" t="s">
        <v>655</v>
      </c>
    </row>
    <row r="306" spans="5:5" x14ac:dyDescent="0.2">
      <c r="E306" s="27" t="s">
        <v>656</v>
      </c>
    </row>
    <row r="308" spans="5:5" x14ac:dyDescent="0.2">
      <c r="E308" s="62" t="s">
        <v>657</v>
      </c>
    </row>
    <row r="309" spans="5:5" x14ac:dyDescent="0.2">
      <c r="E309" s="27" t="s">
        <v>658</v>
      </c>
    </row>
    <row r="310" spans="5:5" x14ac:dyDescent="0.2">
      <c r="E310" s="27" t="s">
        <v>659</v>
      </c>
    </row>
    <row r="311" spans="5:5" x14ac:dyDescent="0.2">
      <c r="E311" s="27" t="s">
        <v>660</v>
      </c>
    </row>
    <row r="313" spans="5:5" x14ac:dyDescent="0.2">
      <c r="E313" s="62" t="s">
        <v>661</v>
      </c>
    </row>
    <row r="314" spans="5:5" x14ac:dyDescent="0.2">
      <c r="E314" s="27" t="s">
        <v>662</v>
      </c>
    </row>
    <row r="315" spans="5:5" x14ac:dyDescent="0.2">
      <c r="E315" s="27" t="s">
        <v>663</v>
      </c>
    </row>
    <row r="317" spans="5:5" x14ac:dyDescent="0.2">
      <c r="E317" s="62" t="s">
        <v>664</v>
      </c>
    </row>
    <row r="318" spans="5:5" x14ac:dyDescent="0.2">
      <c r="E318" s="27" t="s">
        <v>665</v>
      </c>
    </row>
    <row r="319" spans="5:5" x14ac:dyDescent="0.2">
      <c r="E319" s="27" t="s">
        <v>666</v>
      </c>
    </row>
    <row r="321" spans="5:5" x14ac:dyDescent="0.2">
      <c r="E321" s="62" t="s">
        <v>667</v>
      </c>
    </row>
    <row r="322" spans="5:5" x14ac:dyDescent="0.2">
      <c r="E322" s="27" t="s">
        <v>668</v>
      </c>
    </row>
    <row r="324" spans="5:5" x14ac:dyDescent="0.2">
      <c r="E324" s="62" t="s">
        <v>669</v>
      </c>
    </row>
    <row r="325" spans="5:5" x14ac:dyDescent="0.2">
      <c r="E325" s="27" t="s">
        <v>670</v>
      </c>
    </row>
    <row r="326" spans="5:5" x14ac:dyDescent="0.2">
      <c r="E326" s="27" t="s">
        <v>671</v>
      </c>
    </row>
    <row r="328" spans="5:5" x14ac:dyDescent="0.2">
      <c r="E328" s="62" t="s">
        <v>672</v>
      </c>
    </row>
    <row r="329" spans="5:5" x14ac:dyDescent="0.2">
      <c r="E329" s="27" t="s">
        <v>673</v>
      </c>
    </row>
    <row r="330" spans="5:5" x14ac:dyDescent="0.2">
      <c r="E330" s="27" t="s">
        <v>674</v>
      </c>
    </row>
    <row r="332" spans="5:5" x14ac:dyDescent="0.2">
      <c r="E332" s="62" t="s">
        <v>675</v>
      </c>
    </row>
    <row r="333" spans="5:5" x14ac:dyDescent="0.2">
      <c r="E333" s="27" t="s">
        <v>676</v>
      </c>
    </row>
    <row r="334" spans="5:5" x14ac:dyDescent="0.2">
      <c r="E334" s="27" t="s">
        <v>677</v>
      </c>
    </row>
    <row r="335" spans="5:5" x14ac:dyDescent="0.2">
      <c r="E335" s="27" t="s">
        <v>678</v>
      </c>
    </row>
    <row r="336" spans="5:5" x14ac:dyDescent="0.2">
      <c r="E336" s="27" t="s">
        <v>679</v>
      </c>
    </row>
    <row r="337" spans="5:5" x14ac:dyDescent="0.2">
      <c r="E337" s="27" t="s">
        <v>680</v>
      </c>
    </row>
    <row r="338" spans="5:5" x14ac:dyDescent="0.2">
      <c r="E338" s="27" t="s">
        <v>681</v>
      </c>
    </row>
    <row r="339" spans="5:5" x14ac:dyDescent="0.2">
      <c r="E339" s="27" t="s">
        <v>682</v>
      </c>
    </row>
    <row r="340" spans="5:5" x14ac:dyDescent="0.2">
      <c r="E340" s="27" t="s">
        <v>683</v>
      </c>
    </row>
    <row r="341" spans="5:5" x14ac:dyDescent="0.2">
      <c r="E341" s="27" t="s">
        <v>684</v>
      </c>
    </row>
    <row r="342" spans="5:5" x14ac:dyDescent="0.2">
      <c r="E342" s="27" t="s">
        <v>685</v>
      </c>
    </row>
    <row r="344" spans="5:5" x14ac:dyDescent="0.2">
      <c r="E344" s="62" t="s">
        <v>686</v>
      </c>
    </row>
    <row r="345" spans="5:5" x14ac:dyDescent="0.2">
      <c r="E345" s="27" t="s">
        <v>687</v>
      </c>
    </row>
    <row r="346" spans="5:5" x14ac:dyDescent="0.2">
      <c r="E346" s="27" t="s">
        <v>688</v>
      </c>
    </row>
    <row r="347" spans="5:5" x14ac:dyDescent="0.2">
      <c r="E347" s="27" t="s">
        <v>689</v>
      </c>
    </row>
    <row r="348" spans="5:5" x14ac:dyDescent="0.2">
      <c r="E348" s="27" t="s">
        <v>690</v>
      </c>
    </row>
    <row r="349" spans="5:5" x14ac:dyDescent="0.2">
      <c r="E349" s="919" t="s">
        <v>691</v>
      </c>
    </row>
    <row r="350" spans="5:5" x14ac:dyDescent="0.2">
      <c r="E350" s="27" t="s">
        <v>692</v>
      </c>
    </row>
    <row r="352" spans="5:5" x14ac:dyDescent="0.2">
      <c r="E352" s="62" t="s">
        <v>693</v>
      </c>
    </row>
    <row r="353" spans="5:5" x14ac:dyDescent="0.2">
      <c r="E353" s="27" t="s">
        <v>694</v>
      </c>
    </row>
    <row r="354" spans="5:5" x14ac:dyDescent="0.2">
      <c r="E354" s="27" t="s">
        <v>695</v>
      </c>
    </row>
    <row r="355" spans="5:5" x14ac:dyDescent="0.2">
      <c r="E355" s="27" t="s">
        <v>696</v>
      </c>
    </row>
    <row r="357" spans="5:5" x14ac:dyDescent="0.2">
      <c r="E357" s="62" t="s">
        <v>697</v>
      </c>
    </row>
    <row r="358" spans="5:5" x14ac:dyDescent="0.2">
      <c r="E358" s="27" t="s">
        <v>698</v>
      </c>
    </row>
    <row r="359" spans="5:5" x14ac:dyDescent="0.2">
      <c r="E359" s="27" t="s">
        <v>699</v>
      </c>
    </row>
    <row r="360" spans="5:5" x14ac:dyDescent="0.2">
      <c r="E360" s="27" t="s">
        <v>700</v>
      </c>
    </row>
    <row r="361" spans="5:5" x14ac:dyDescent="0.2">
      <c r="E361" s="27" t="s">
        <v>701</v>
      </c>
    </row>
    <row r="362" spans="5:5" x14ac:dyDescent="0.2">
      <c r="E362" s="27" t="s">
        <v>702</v>
      </c>
    </row>
    <row r="364" spans="5:5" x14ac:dyDescent="0.2">
      <c r="E364" s="62" t="s">
        <v>703</v>
      </c>
    </row>
    <row r="365" spans="5:5" x14ac:dyDescent="0.2">
      <c r="E365" s="27" t="s">
        <v>704</v>
      </c>
    </row>
    <row r="366" spans="5:5" x14ac:dyDescent="0.2">
      <c r="E366" s="27" t="s">
        <v>705</v>
      </c>
    </row>
    <row r="367" spans="5:5" x14ac:dyDescent="0.2">
      <c r="E367" s="27" t="s">
        <v>706</v>
      </c>
    </row>
    <row r="368" spans="5:5" x14ac:dyDescent="0.2">
      <c r="E368" s="27" t="s">
        <v>707</v>
      </c>
    </row>
    <row r="370" spans="5:5" x14ac:dyDescent="0.2">
      <c r="E370" s="62" t="s">
        <v>708</v>
      </c>
    </row>
    <row r="371" spans="5:5" x14ac:dyDescent="0.2">
      <c r="E371" s="27" t="s">
        <v>709</v>
      </c>
    </row>
    <row r="373" spans="5:5" x14ac:dyDescent="0.2">
      <c r="E373" s="62" t="s">
        <v>710</v>
      </c>
    </row>
    <row r="374" spans="5:5" x14ac:dyDescent="0.2">
      <c r="E374" s="27" t="s">
        <v>711</v>
      </c>
    </row>
    <row r="377" spans="5:5" x14ac:dyDescent="0.2">
      <c r="E377" s="62" t="s">
        <v>712</v>
      </c>
    </row>
    <row r="378" spans="5:5" x14ac:dyDescent="0.2">
      <c r="E378" s="27" t="s">
        <v>713</v>
      </c>
    </row>
    <row r="380" spans="5:5" x14ac:dyDescent="0.2">
      <c r="E380" s="62" t="s">
        <v>714</v>
      </c>
    </row>
    <row r="381" spans="5:5" x14ac:dyDescent="0.2">
      <c r="E381" s="27" t="s">
        <v>715</v>
      </c>
    </row>
    <row r="383" spans="5:5" x14ac:dyDescent="0.2">
      <c r="E383" s="62" t="s">
        <v>716</v>
      </c>
    </row>
    <row r="384" spans="5:5" x14ac:dyDescent="0.2">
      <c r="E384" s="27" t="s">
        <v>717</v>
      </c>
    </row>
    <row r="386" spans="5:5" x14ac:dyDescent="0.2">
      <c r="E386" s="62" t="s">
        <v>718</v>
      </c>
    </row>
    <row r="387" spans="5:5" x14ac:dyDescent="0.2">
      <c r="E387" s="923" t="s">
        <v>719</v>
      </c>
    </row>
    <row r="388" spans="5:5" x14ac:dyDescent="0.2">
      <c r="E388" s="921" t="s">
        <v>720</v>
      </c>
    </row>
  </sheetData>
  <sheetProtection selectLockedCells="1" selectUnlockedCells="1"/>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FE49B-2170-48EC-9C40-CDF34E421287}">
  <sheetPr codeName="Ark7">
    <pageSetUpPr fitToPage="1"/>
  </sheetPr>
  <dimension ref="B1:N55"/>
  <sheetViews>
    <sheetView zoomScaleNormal="100" workbookViewId="0">
      <selection activeCell="C6" sqref="C6:C17"/>
    </sheetView>
  </sheetViews>
  <sheetFormatPr baseColWidth="10" defaultRowHeight="18" customHeight="1" x14ac:dyDescent="0.2"/>
  <cols>
    <col min="2" max="2" width="3.7109375" customWidth="1"/>
    <col min="3" max="3" width="40.7109375" customWidth="1"/>
    <col min="4" max="6" width="5.7109375" customWidth="1"/>
    <col min="7" max="7" width="2.5703125" customWidth="1"/>
    <col min="8" max="8" width="6.140625" customWidth="1"/>
    <col min="9" max="9" width="3.7109375" customWidth="1"/>
    <col min="10" max="10" width="40.7109375" customWidth="1"/>
    <col min="11" max="13" width="5.7109375" customWidth="1"/>
    <col min="14" max="14" width="2.85546875" customWidth="1"/>
  </cols>
  <sheetData>
    <row r="1" spans="2:14" ht="18" customHeight="1" thickBot="1" x14ac:dyDescent="0.25"/>
    <row r="2" spans="2:14" ht="18" customHeight="1" thickTop="1" x14ac:dyDescent="0.2">
      <c r="B2" s="290"/>
      <c r="C2" s="273"/>
      <c r="D2" s="803"/>
      <c r="E2" s="805"/>
      <c r="F2" s="805"/>
      <c r="G2" s="291"/>
      <c r="I2" s="290"/>
      <c r="J2" s="273"/>
      <c r="K2" s="803"/>
      <c r="L2" s="805"/>
      <c r="M2" s="805"/>
      <c r="N2" s="291"/>
    </row>
    <row r="3" spans="2:14" ht="38.25" customHeight="1" x14ac:dyDescent="0.2">
      <c r="B3" s="916"/>
      <c r="C3" s="933" t="s">
        <v>896</v>
      </c>
      <c r="D3" s="804"/>
      <c r="E3" s="934">
        <v>46137</v>
      </c>
      <c r="F3" s="935"/>
      <c r="G3" s="295"/>
      <c r="I3" s="916"/>
      <c r="J3" s="933" t="s">
        <v>896</v>
      </c>
      <c r="K3" s="804"/>
      <c r="L3" s="934">
        <v>46137</v>
      </c>
      <c r="M3" s="935"/>
      <c r="N3" s="295"/>
    </row>
    <row r="4" spans="2:14" ht="18" customHeight="1" thickBot="1" x14ac:dyDescent="0.25">
      <c r="B4" s="269"/>
      <c r="C4" s="402"/>
      <c r="D4" s="802"/>
      <c r="E4" s="807"/>
      <c r="F4" s="807"/>
      <c r="G4" s="297"/>
      <c r="I4" s="269"/>
      <c r="J4" s="402"/>
      <c r="K4" s="802"/>
      <c r="L4" s="807"/>
      <c r="M4" s="807"/>
      <c r="N4" s="297"/>
    </row>
    <row r="5" spans="2:14" ht="18" customHeight="1" thickBot="1" x14ac:dyDescent="0.25">
      <c r="B5" s="270"/>
      <c r="C5" s="224"/>
      <c r="D5" s="940" t="s">
        <v>45</v>
      </c>
      <c r="E5" s="941" t="s">
        <v>46</v>
      </c>
      <c r="F5" s="942" t="s">
        <v>47</v>
      </c>
      <c r="G5" s="298"/>
      <c r="I5" s="270"/>
      <c r="J5" s="224"/>
      <c r="K5" s="940" t="s">
        <v>45</v>
      </c>
      <c r="L5" s="941" t="s">
        <v>46</v>
      </c>
      <c r="M5" s="942" t="s">
        <v>47</v>
      </c>
      <c r="N5" s="298"/>
    </row>
    <row r="6" spans="2:14" ht="18" customHeight="1" x14ac:dyDescent="0.2">
      <c r="B6" s="271">
        <v>1</v>
      </c>
      <c r="C6" s="936" t="s">
        <v>897</v>
      </c>
      <c r="D6" s="170"/>
      <c r="E6" s="387"/>
      <c r="F6" s="388"/>
      <c r="G6" s="900"/>
      <c r="I6" s="271">
        <v>1</v>
      </c>
      <c r="J6" s="936" t="str">
        <f t="shared" ref="J6:J17" si="0">C6</f>
        <v>Brann-Fredrikstad</v>
      </c>
      <c r="K6" s="170"/>
      <c r="L6" s="387"/>
      <c r="M6" s="388"/>
      <c r="N6" s="900"/>
    </row>
    <row r="7" spans="2:14" ht="18" customHeight="1" x14ac:dyDescent="0.2">
      <c r="B7" s="271">
        <v>2</v>
      </c>
      <c r="C7" s="937" t="s">
        <v>898</v>
      </c>
      <c r="D7" s="389"/>
      <c r="E7" s="390"/>
      <c r="F7" s="391"/>
      <c r="G7" s="900"/>
      <c r="I7" s="271">
        <v>2</v>
      </c>
      <c r="J7" s="937" t="str">
        <f t="shared" si="0"/>
        <v>Arsenal-Fulham</v>
      </c>
      <c r="K7" s="389"/>
      <c r="L7" s="390"/>
      <c r="M7" s="391"/>
      <c r="N7" s="900"/>
    </row>
    <row r="8" spans="2:14" ht="18" customHeight="1" thickBot="1" x14ac:dyDescent="0.25">
      <c r="B8" s="271">
        <v>3</v>
      </c>
      <c r="C8" s="938" t="s">
        <v>899</v>
      </c>
      <c r="D8" s="392"/>
      <c r="E8" s="393"/>
      <c r="F8" s="394"/>
      <c r="G8" s="900"/>
      <c r="I8" s="271">
        <v>3</v>
      </c>
      <c r="J8" s="938" t="str">
        <f t="shared" si="0"/>
        <v>Brentford-West Ham</v>
      </c>
      <c r="K8" s="392"/>
      <c r="L8" s="393"/>
      <c r="M8" s="394"/>
      <c r="N8" s="900"/>
    </row>
    <row r="9" spans="2:14" ht="18" customHeight="1" x14ac:dyDescent="0.2">
      <c r="B9" s="271">
        <v>4</v>
      </c>
      <c r="C9" s="936" t="s">
        <v>900</v>
      </c>
      <c r="D9" s="170"/>
      <c r="E9" s="387"/>
      <c r="F9" s="388"/>
      <c r="G9" s="900"/>
      <c r="I9" s="271">
        <v>4</v>
      </c>
      <c r="J9" s="936" t="str">
        <f t="shared" si="0"/>
        <v>Newcastle-Brighton</v>
      </c>
      <c r="K9" s="170"/>
      <c r="L9" s="387"/>
      <c r="M9" s="388"/>
      <c r="N9" s="900"/>
    </row>
    <row r="10" spans="2:14" ht="18" customHeight="1" x14ac:dyDescent="0.2">
      <c r="B10" s="271">
        <v>5</v>
      </c>
      <c r="C10" s="937" t="s">
        <v>901</v>
      </c>
      <c r="D10" s="389"/>
      <c r="E10" s="390"/>
      <c r="F10" s="391"/>
      <c r="G10" s="900"/>
      <c r="I10" s="271">
        <v>5</v>
      </c>
      <c r="J10" s="937" t="str">
        <f t="shared" si="0"/>
        <v>Wolverhampton-Sunderland</v>
      </c>
      <c r="K10" s="389"/>
      <c r="L10" s="390"/>
      <c r="M10" s="391"/>
      <c r="N10" s="900"/>
    </row>
    <row r="11" spans="2:14" ht="18" customHeight="1" thickBot="1" x14ac:dyDescent="0.25">
      <c r="B11" s="271">
        <v>6</v>
      </c>
      <c r="C11" s="938" t="s">
        <v>902</v>
      </c>
      <c r="D11" s="392"/>
      <c r="E11" s="393"/>
      <c r="F11" s="394"/>
      <c r="G11" s="900"/>
      <c r="I11" s="271">
        <v>6</v>
      </c>
      <c r="J11" s="938" t="str">
        <f t="shared" si="0"/>
        <v>AFC Wimbledon-Huddersfield</v>
      </c>
      <c r="K11" s="392"/>
      <c r="L11" s="393"/>
      <c r="M11" s="394"/>
      <c r="N11" s="900"/>
    </row>
    <row r="12" spans="2:14" ht="18" customHeight="1" x14ac:dyDescent="0.2">
      <c r="B12" s="271">
        <v>7</v>
      </c>
      <c r="C12" s="936" t="s">
        <v>903</v>
      </c>
      <c r="D12" s="170"/>
      <c r="E12" s="387"/>
      <c r="F12" s="388"/>
      <c r="G12" s="900"/>
      <c r="I12" s="271">
        <v>7</v>
      </c>
      <c r="J12" s="936" t="str">
        <f t="shared" si="0"/>
        <v>Barnsley-Stockport County</v>
      </c>
      <c r="K12" s="170"/>
      <c r="L12" s="387"/>
      <c r="M12" s="388"/>
      <c r="N12" s="900"/>
    </row>
    <row r="13" spans="2:14" ht="18" customHeight="1" x14ac:dyDescent="0.2">
      <c r="B13" s="271">
        <v>8</v>
      </c>
      <c r="C13" s="937" t="s">
        <v>904</v>
      </c>
      <c r="D13" s="389"/>
      <c r="E13" s="390"/>
      <c r="F13" s="391"/>
      <c r="G13" s="900"/>
      <c r="I13" s="271">
        <v>8</v>
      </c>
      <c r="J13" s="937" t="str">
        <f t="shared" si="0"/>
        <v>Bolton Wanderers-Luton</v>
      </c>
      <c r="K13" s="389"/>
      <c r="L13" s="390"/>
      <c r="M13" s="391"/>
      <c r="N13" s="900"/>
    </row>
    <row r="14" spans="2:14" ht="18" customHeight="1" thickBot="1" x14ac:dyDescent="0.25">
      <c r="B14" s="271">
        <v>9</v>
      </c>
      <c r="C14" s="938" t="s">
        <v>905</v>
      </c>
      <c r="D14" s="392"/>
      <c r="E14" s="393"/>
      <c r="F14" s="394"/>
      <c r="G14" s="900"/>
      <c r="I14" s="271">
        <v>9</v>
      </c>
      <c r="J14" s="938" t="str">
        <f t="shared" si="0"/>
        <v>Exeter City-Bradford City</v>
      </c>
      <c r="K14" s="392"/>
      <c r="L14" s="393"/>
      <c r="M14" s="394"/>
      <c r="N14" s="900"/>
    </row>
    <row r="15" spans="2:14" ht="18" customHeight="1" x14ac:dyDescent="0.2">
      <c r="B15" s="271">
        <v>10</v>
      </c>
      <c r="C15" s="939" t="s">
        <v>906</v>
      </c>
      <c r="D15" s="170"/>
      <c r="E15" s="387"/>
      <c r="F15" s="388"/>
      <c r="G15" s="900"/>
      <c r="I15" s="271">
        <v>10</v>
      </c>
      <c r="J15" s="939" t="str">
        <f t="shared" si="0"/>
        <v>Leyton Orient-Burton Albion</v>
      </c>
      <c r="K15" s="170"/>
      <c r="L15" s="387"/>
      <c r="M15" s="388"/>
      <c r="N15" s="900"/>
    </row>
    <row r="16" spans="2:14" ht="18" customHeight="1" x14ac:dyDescent="0.2">
      <c r="B16" s="271">
        <v>11</v>
      </c>
      <c r="C16" s="937" t="s">
        <v>907</v>
      </c>
      <c r="D16" s="389"/>
      <c r="E16" s="390"/>
      <c r="F16" s="391"/>
      <c r="G16" s="900"/>
      <c r="I16" s="271">
        <v>11</v>
      </c>
      <c r="J16" s="937" t="str">
        <f t="shared" si="0"/>
        <v>Reading-Blackpool</v>
      </c>
      <c r="K16" s="389"/>
      <c r="L16" s="390"/>
      <c r="M16" s="391"/>
      <c r="N16" s="900"/>
    </row>
    <row r="17" spans="2:14" ht="18" customHeight="1" thickBot="1" x14ac:dyDescent="0.25">
      <c r="B17" s="271">
        <v>12</v>
      </c>
      <c r="C17" s="938" t="s">
        <v>908</v>
      </c>
      <c r="D17" s="392"/>
      <c r="E17" s="393"/>
      <c r="F17" s="394"/>
      <c r="G17" s="900"/>
      <c r="I17" s="271">
        <v>12</v>
      </c>
      <c r="J17" s="938" t="str">
        <f t="shared" si="0"/>
        <v>Stevenage-Wigan</v>
      </c>
      <c r="K17" s="392"/>
      <c r="L17" s="393"/>
      <c r="M17" s="394"/>
      <c r="N17" s="900"/>
    </row>
    <row r="18" spans="2:14" ht="18" customHeight="1" thickBot="1" x14ac:dyDescent="0.25">
      <c r="B18" s="289"/>
      <c r="C18" s="282"/>
      <c r="D18" s="282"/>
      <c r="E18" s="282"/>
      <c r="F18" s="282"/>
      <c r="G18" s="293"/>
      <c r="I18" s="289"/>
      <c r="J18" s="282"/>
      <c r="K18" s="282"/>
      <c r="L18" s="282"/>
      <c r="M18" s="282"/>
      <c r="N18" s="293"/>
    </row>
    <row r="19" spans="2:14" ht="18" customHeight="1" thickTop="1" thickBot="1" x14ac:dyDescent="0.25"/>
    <row r="20" spans="2:14" ht="18" customHeight="1" thickTop="1" x14ac:dyDescent="0.2">
      <c r="B20" s="290"/>
      <c r="C20" s="273"/>
      <c r="D20" s="803"/>
      <c r="E20" s="805"/>
      <c r="F20" s="805"/>
      <c r="G20" s="291"/>
      <c r="I20" s="290"/>
      <c r="J20" s="273"/>
      <c r="K20" s="803"/>
      <c r="L20" s="805"/>
      <c r="M20" s="805"/>
      <c r="N20" s="291"/>
    </row>
    <row r="21" spans="2:14" ht="18" customHeight="1" x14ac:dyDescent="0.2">
      <c r="B21" s="916"/>
      <c r="C21" s="933" t="s">
        <v>896</v>
      </c>
      <c r="D21" s="804"/>
      <c r="E21" s="934">
        <v>46137</v>
      </c>
      <c r="F21" s="935"/>
      <c r="G21" s="295"/>
      <c r="I21" s="916"/>
      <c r="J21" s="933" t="s">
        <v>896</v>
      </c>
      <c r="K21" s="804"/>
      <c r="L21" s="934">
        <v>46137</v>
      </c>
      <c r="M21" s="935"/>
      <c r="N21" s="295"/>
    </row>
    <row r="22" spans="2:14" ht="18" customHeight="1" thickBot="1" x14ac:dyDescent="0.25">
      <c r="B22" s="269"/>
      <c r="C22" s="402"/>
      <c r="D22" s="802"/>
      <c r="E22" s="807"/>
      <c r="F22" s="807"/>
      <c r="G22" s="297"/>
      <c r="I22" s="269"/>
      <c r="J22" s="402"/>
      <c r="K22" s="802"/>
      <c r="L22" s="807"/>
      <c r="M22" s="807"/>
      <c r="N22" s="297"/>
    </row>
    <row r="23" spans="2:14" ht="18" customHeight="1" thickBot="1" x14ac:dyDescent="0.25">
      <c r="B23" s="270"/>
      <c r="C23" s="224"/>
      <c r="D23" s="940" t="s">
        <v>45</v>
      </c>
      <c r="E23" s="941" t="s">
        <v>46</v>
      </c>
      <c r="F23" s="942" t="s">
        <v>47</v>
      </c>
      <c r="G23" s="298"/>
      <c r="I23" s="270"/>
      <c r="J23" s="224"/>
      <c r="K23" s="940" t="s">
        <v>45</v>
      </c>
      <c r="L23" s="941" t="s">
        <v>46</v>
      </c>
      <c r="M23" s="942" t="s">
        <v>47</v>
      </c>
      <c r="N23" s="298"/>
    </row>
    <row r="24" spans="2:14" ht="18" customHeight="1" x14ac:dyDescent="0.2">
      <c r="B24" s="271">
        <v>1</v>
      </c>
      <c r="C24" s="936" t="str">
        <f t="shared" ref="C24:C35" si="1">C6</f>
        <v>Brann-Fredrikstad</v>
      </c>
      <c r="D24" s="170"/>
      <c r="E24" s="387"/>
      <c r="F24" s="388"/>
      <c r="G24" s="900"/>
      <c r="I24" s="271">
        <v>1</v>
      </c>
      <c r="J24" s="936" t="str">
        <f t="shared" ref="J24:J35" si="2">C24</f>
        <v>Brann-Fredrikstad</v>
      </c>
      <c r="K24" s="170"/>
      <c r="L24" s="387"/>
      <c r="M24" s="388"/>
      <c r="N24" s="900"/>
    </row>
    <row r="25" spans="2:14" ht="18" customHeight="1" x14ac:dyDescent="0.2">
      <c r="B25" s="271">
        <v>2</v>
      </c>
      <c r="C25" s="937" t="str">
        <f t="shared" si="1"/>
        <v>Arsenal-Fulham</v>
      </c>
      <c r="D25" s="389"/>
      <c r="E25" s="390"/>
      <c r="F25" s="391"/>
      <c r="G25" s="900"/>
      <c r="I25" s="271">
        <v>2</v>
      </c>
      <c r="J25" s="937" t="str">
        <f t="shared" si="2"/>
        <v>Arsenal-Fulham</v>
      </c>
      <c r="K25" s="389"/>
      <c r="L25" s="390"/>
      <c r="M25" s="391"/>
      <c r="N25" s="900"/>
    </row>
    <row r="26" spans="2:14" ht="18" customHeight="1" thickBot="1" x14ac:dyDescent="0.25">
      <c r="B26" s="271">
        <v>3</v>
      </c>
      <c r="C26" s="938" t="str">
        <f t="shared" si="1"/>
        <v>Brentford-West Ham</v>
      </c>
      <c r="D26" s="392"/>
      <c r="E26" s="393"/>
      <c r="F26" s="394"/>
      <c r="G26" s="900"/>
      <c r="I26" s="271">
        <v>3</v>
      </c>
      <c r="J26" s="938" t="str">
        <f t="shared" si="2"/>
        <v>Brentford-West Ham</v>
      </c>
      <c r="K26" s="392"/>
      <c r="L26" s="393"/>
      <c r="M26" s="394"/>
      <c r="N26" s="900"/>
    </row>
    <row r="27" spans="2:14" ht="18" customHeight="1" x14ac:dyDescent="0.2">
      <c r="B27" s="271">
        <v>4</v>
      </c>
      <c r="C27" s="936" t="str">
        <f t="shared" si="1"/>
        <v>Newcastle-Brighton</v>
      </c>
      <c r="D27" s="170"/>
      <c r="E27" s="387"/>
      <c r="F27" s="388"/>
      <c r="G27" s="900"/>
      <c r="I27" s="271">
        <v>4</v>
      </c>
      <c r="J27" s="936" t="str">
        <f t="shared" si="2"/>
        <v>Newcastle-Brighton</v>
      </c>
      <c r="K27" s="170"/>
      <c r="L27" s="387"/>
      <c r="M27" s="388"/>
      <c r="N27" s="900"/>
    </row>
    <row r="28" spans="2:14" ht="18" customHeight="1" x14ac:dyDescent="0.2">
      <c r="B28" s="271">
        <v>5</v>
      </c>
      <c r="C28" s="937" t="str">
        <f t="shared" si="1"/>
        <v>Wolverhampton-Sunderland</v>
      </c>
      <c r="D28" s="389"/>
      <c r="E28" s="390"/>
      <c r="F28" s="391"/>
      <c r="G28" s="900"/>
      <c r="I28" s="271">
        <v>5</v>
      </c>
      <c r="J28" s="937" t="str">
        <f t="shared" si="2"/>
        <v>Wolverhampton-Sunderland</v>
      </c>
      <c r="K28" s="389"/>
      <c r="L28" s="390"/>
      <c r="M28" s="391"/>
      <c r="N28" s="900"/>
    </row>
    <row r="29" spans="2:14" ht="18" customHeight="1" thickBot="1" x14ac:dyDescent="0.25">
      <c r="B29" s="271">
        <v>6</v>
      </c>
      <c r="C29" s="938" t="str">
        <f t="shared" si="1"/>
        <v>AFC Wimbledon-Huddersfield</v>
      </c>
      <c r="D29" s="392"/>
      <c r="E29" s="393"/>
      <c r="F29" s="394"/>
      <c r="G29" s="900"/>
      <c r="I29" s="271">
        <v>6</v>
      </c>
      <c r="J29" s="938" t="str">
        <f t="shared" si="2"/>
        <v>AFC Wimbledon-Huddersfield</v>
      </c>
      <c r="K29" s="392"/>
      <c r="L29" s="393"/>
      <c r="M29" s="394"/>
      <c r="N29" s="900"/>
    </row>
    <row r="30" spans="2:14" ht="18" customHeight="1" x14ac:dyDescent="0.2">
      <c r="B30" s="271">
        <v>7</v>
      </c>
      <c r="C30" s="936" t="str">
        <f t="shared" si="1"/>
        <v>Barnsley-Stockport County</v>
      </c>
      <c r="D30" s="170"/>
      <c r="E30" s="387"/>
      <c r="F30" s="388"/>
      <c r="G30" s="900"/>
      <c r="I30" s="271">
        <v>7</v>
      </c>
      <c r="J30" s="936" t="str">
        <f t="shared" si="2"/>
        <v>Barnsley-Stockport County</v>
      </c>
      <c r="K30" s="170"/>
      <c r="L30" s="387"/>
      <c r="M30" s="388"/>
      <c r="N30" s="900"/>
    </row>
    <row r="31" spans="2:14" ht="18" customHeight="1" x14ac:dyDescent="0.2">
      <c r="B31" s="271">
        <v>8</v>
      </c>
      <c r="C31" s="937" t="str">
        <f t="shared" si="1"/>
        <v>Bolton Wanderers-Luton</v>
      </c>
      <c r="D31" s="389"/>
      <c r="E31" s="390"/>
      <c r="F31" s="391"/>
      <c r="G31" s="900"/>
      <c r="I31" s="271">
        <v>8</v>
      </c>
      <c r="J31" s="937" t="str">
        <f t="shared" si="2"/>
        <v>Bolton Wanderers-Luton</v>
      </c>
      <c r="K31" s="389"/>
      <c r="L31" s="390"/>
      <c r="M31" s="391"/>
      <c r="N31" s="900"/>
    </row>
    <row r="32" spans="2:14" ht="18" customHeight="1" thickBot="1" x14ac:dyDescent="0.25">
      <c r="B32" s="271">
        <v>9</v>
      </c>
      <c r="C32" s="938" t="str">
        <f t="shared" si="1"/>
        <v>Exeter City-Bradford City</v>
      </c>
      <c r="D32" s="392"/>
      <c r="E32" s="393"/>
      <c r="F32" s="394"/>
      <c r="G32" s="900"/>
      <c r="I32" s="271">
        <v>9</v>
      </c>
      <c r="J32" s="938" t="str">
        <f t="shared" si="2"/>
        <v>Exeter City-Bradford City</v>
      </c>
      <c r="K32" s="392"/>
      <c r="L32" s="393"/>
      <c r="M32" s="394"/>
      <c r="N32" s="900"/>
    </row>
    <row r="33" spans="2:14" ht="18" customHeight="1" x14ac:dyDescent="0.2">
      <c r="B33" s="271">
        <v>10</v>
      </c>
      <c r="C33" s="939" t="str">
        <f t="shared" si="1"/>
        <v>Leyton Orient-Burton Albion</v>
      </c>
      <c r="D33" s="170"/>
      <c r="E33" s="387"/>
      <c r="F33" s="388"/>
      <c r="G33" s="900"/>
      <c r="I33" s="271">
        <v>10</v>
      </c>
      <c r="J33" s="939" t="str">
        <f t="shared" si="2"/>
        <v>Leyton Orient-Burton Albion</v>
      </c>
      <c r="K33" s="170"/>
      <c r="L33" s="387"/>
      <c r="M33" s="388"/>
      <c r="N33" s="900"/>
    </row>
    <row r="34" spans="2:14" ht="18" customHeight="1" x14ac:dyDescent="0.2">
      <c r="B34" s="271">
        <v>11</v>
      </c>
      <c r="C34" s="937" t="str">
        <f t="shared" si="1"/>
        <v>Reading-Blackpool</v>
      </c>
      <c r="D34" s="389"/>
      <c r="E34" s="390"/>
      <c r="F34" s="391"/>
      <c r="G34" s="900"/>
      <c r="I34" s="271">
        <v>11</v>
      </c>
      <c r="J34" s="937" t="str">
        <f t="shared" si="2"/>
        <v>Reading-Blackpool</v>
      </c>
      <c r="K34" s="389"/>
      <c r="L34" s="390"/>
      <c r="M34" s="391"/>
      <c r="N34" s="900"/>
    </row>
    <row r="35" spans="2:14" ht="18" customHeight="1" thickBot="1" x14ac:dyDescent="0.25">
      <c r="B35" s="271">
        <v>12</v>
      </c>
      <c r="C35" s="938" t="str">
        <f t="shared" si="1"/>
        <v>Stevenage-Wigan</v>
      </c>
      <c r="D35" s="392"/>
      <c r="E35" s="393"/>
      <c r="F35" s="394"/>
      <c r="G35" s="900"/>
      <c r="I35" s="271">
        <v>12</v>
      </c>
      <c r="J35" s="938" t="str">
        <f t="shared" si="2"/>
        <v>Stevenage-Wigan</v>
      </c>
      <c r="K35" s="392"/>
      <c r="L35" s="393"/>
      <c r="M35" s="394"/>
      <c r="N35" s="900"/>
    </row>
    <row r="36" spans="2:14" ht="18" customHeight="1" thickBot="1" x14ac:dyDescent="0.25">
      <c r="B36" s="289"/>
      <c r="C36" s="282"/>
      <c r="D36" s="282"/>
      <c r="E36" s="282"/>
      <c r="F36" s="282"/>
      <c r="G36" s="293"/>
      <c r="I36" s="289"/>
      <c r="J36" s="282"/>
      <c r="K36" s="282"/>
      <c r="L36" s="282"/>
      <c r="M36" s="282"/>
      <c r="N36" s="293"/>
    </row>
    <row r="37" spans="2:14" ht="18" customHeight="1" thickTop="1" thickBot="1" x14ac:dyDescent="0.25"/>
    <row r="38" spans="2:14" ht="18" customHeight="1" thickTop="1" x14ac:dyDescent="0.2">
      <c r="B38" s="290"/>
      <c r="C38" s="273"/>
      <c r="D38" s="803"/>
      <c r="E38" s="805"/>
      <c r="F38" s="805"/>
      <c r="G38" s="291"/>
      <c r="I38" s="290"/>
      <c r="J38" s="273"/>
      <c r="K38" s="803"/>
      <c r="L38" s="805"/>
      <c r="M38" s="805"/>
      <c r="N38" s="291"/>
    </row>
    <row r="39" spans="2:14" ht="18" customHeight="1" x14ac:dyDescent="0.2">
      <c r="B39" s="916"/>
      <c r="C39" s="933" t="s">
        <v>896</v>
      </c>
      <c r="D39" s="804"/>
      <c r="E39" s="934">
        <v>46137</v>
      </c>
      <c r="F39" s="935"/>
      <c r="G39" s="295"/>
      <c r="I39" s="916"/>
      <c r="J39" s="933" t="s">
        <v>896</v>
      </c>
      <c r="K39" s="804"/>
      <c r="L39" s="934">
        <v>46137</v>
      </c>
      <c r="M39" s="935"/>
      <c r="N39" s="295"/>
    </row>
    <row r="40" spans="2:14" ht="18" customHeight="1" thickBot="1" x14ac:dyDescent="0.25">
      <c r="B40" s="269"/>
      <c r="C40" s="402"/>
      <c r="D40" s="802"/>
      <c r="E40" s="807"/>
      <c r="F40" s="807"/>
      <c r="G40" s="297"/>
      <c r="I40" s="269"/>
      <c r="J40" s="402"/>
      <c r="K40" s="802"/>
      <c r="L40" s="807"/>
      <c r="M40" s="807"/>
      <c r="N40" s="297"/>
    </row>
    <row r="41" spans="2:14" ht="18" customHeight="1" thickBot="1" x14ac:dyDescent="0.25">
      <c r="B41" s="270"/>
      <c r="C41" s="224"/>
      <c r="D41" s="940" t="s">
        <v>45</v>
      </c>
      <c r="E41" s="941" t="s">
        <v>46</v>
      </c>
      <c r="F41" s="942" t="s">
        <v>47</v>
      </c>
      <c r="G41" s="298"/>
      <c r="I41" s="270"/>
      <c r="J41" s="224"/>
      <c r="K41" s="940" t="s">
        <v>45</v>
      </c>
      <c r="L41" s="941" t="s">
        <v>46</v>
      </c>
      <c r="M41" s="942" t="s">
        <v>47</v>
      </c>
      <c r="N41" s="298"/>
    </row>
    <row r="42" spans="2:14" ht="18" customHeight="1" x14ac:dyDescent="0.2">
      <c r="B42" s="271">
        <v>1</v>
      </c>
      <c r="C42" s="936" t="str">
        <f t="shared" ref="C42:C53" si="3">C6</f>
        <v>Brann-Fredrikstad</v>
      </c>
      <c r="D42" s="170"/>
      <c r="E42" s="387"/>
      <c r="F42" s="388"/>
      <c r="G42" s="900"/>
      <c r="I42" s="271">
        <v>1</v>
      </c>
      <c r="J42" s="936" t="str">
        <f t="shared" ref="J42:J53" si="4">C42</f>
        <v>Brann-Fredrikstad</v>
      </c>
      <c r="K42" s="170"/>
      <c r="L42" s="387"/>
      <c r="M42" s="388"/>
      <c r="N42" s="900"/>
    </row>
    <row r="43" spans="2:14" ht="18" customHeight="1" x14ac:dyDescent="0.2">
      <c r="B43" s="271">
        <v>2</v>
      </c>
      <c r="C43" s="937" t="str">
        <f t="shared" si="3"/>
        <v>Arsenal-Fulham</v>
      </c>
      <c r="D43" s="389"/>
      <c r="E43" s="390"/>
      <c r="F43" s="391"/>
      <c r="G43" s="900"/>
      <c r="I43" s="271">
        <v>2</v>
      </c>
      <c r="J43" s="937" t="str">
        <f t="shared" si="4"/>
        <v>Arsenal-Fulham</v>
      </c>
      <c r="K43" s="389"/>
      <c r="L43" s="390"/>
      <c r="M43" s="391"/>
      <c r="N43" s="900"/>
    </row>
    <row r="44" spans="2:14" ht="18" customHeight="1" thickBot="1" x14ac:dyDescent="0.25">
      <c r="B44" s="271">
        <v>3</v>
      </c>
      <c r="C44" s="938" t="str">
        <f t="shared" si="3"/>
        <v>Brentford-West Ham</v>
      </c>
      <c r="D44" s="392"/>
      <c r="E44" s="393"/>
      <c r="F44" s="394"/>
      <c r="G44" s="900"/>
      <c r="I44" s="271">
        <v>3</v>
      </c>
      <c r="J44" s="938" t="str">
        <f t="shared" si="4"/>
        <v>Brentford-West Ham</v>
      </c>
      <c r="K44" s="392"/>
      <c r="L44" s="393"/>
      <c r="M44" s="394"/>
      <c r="N44" s="900"/>
    </row>
    <row r="45" spans="2:14" ht="18" customHeight="1" x14ac:dyDescent="0.2">
      <c r="B45" s="271">
        <v>4</v>
      </c>
      <c r="C45" s="936" t="str">
        <f t="shared" si="3"/>
        <v>Newcastle-Brighton</v>
      </c>
      <c r="D45" s="170"/>
      <c r="E45" s="387"/>
      <c r="F45" s="388"/>
      <c r="G45" s="900"/>
      <c r="I45" s="271">
        <v>4</v>
      </c>
      <c r="J45" s="936" t="str">
        <f t="shared" si="4"/>
        <v>Newcastle-Brighton</v>
      </c>
      <c r="K45" s="170"/>
      <c r="L45" s="387"/>
      <c r="M45" s="388"/>
      <c r="N45" s="900"/>
    </row>
    <row r="46" spans="2:14" ht="18" customHeight="1" x14ac:dyDescent="0.2">
      <c r="B46" s="271">
        <v>5</v>
      </c>
      <c r="C46" s="937" t="str">
        <f t="shared" si="3"/>
        <v>Wolverhampton-Sunderland</v>
      </c>
      <c r="D46" s="389"/>
      <c r="E46" s="390"/>
      <c r="F46" s="391"/>
      <c r="G46" s="900"/>
      <c r="I46" s="271">
        <v>5</v>
      </c>
      <c r="J46" s="937" t="str">
        <f t="shared" si="4"/>
        <v>Wolverhampton-Sunderland</v>
      </c>
      <c r="K46" s="389"/>
      <c r="L46" s="390"/>
      <c r="M46" s="391"/>
      <c r="N46" s="900"/>
    </row>
    <row r="47" spans="2:14" ht="18" customHeight="1" thickBot="1" x14ac:dyDescent="0.25">
      <c r="B47" s="271">
        <v>6</v>
      </c>
      <c r="C47" s="938" t="str">
        <f t="shared" si="3"/>
        <v>AFC Wimbledon-Huddersfield</v>
      </c>
      <c r="D47" s="392"/>
      <c r="E47" s="393"/>
      <c r="F47" s="394"/>
      <c r="G47" s="900"/>
      <c r="I47" s="271">
        <v>6</v>
      </c>
      <c r="J47" s="938" t="str">
        <f t="shared" si="4"/>
        <v>AFC Wimbledon-Huddersfield</v>
      </c>
      <c r="K47" s="392"/>
      <c r="L47" s="393"/>
      <c r="M47" s="394"/>
      <c r="N47" s="900"/>
    </row>
    <row r="48" spans="2:14" ht="18" customHeight="1" x14ac:dyDescent="0.2">
      <c r="B48" s="271">
        <v>7</v>
      </c>
      <c r="C48" s="936" t="str">
        <f t="shared" si="3"/>
        <v>Barnsley-Stockport County</v>
      </c>
      <c r="D48" s="170"/>
      <c r="E48" s="387"/>
      <c r="F48" s="388"/>
      <c r="G48" s="900"/>
      <c r="I48" s="271">
        <v>7</v>
      </c>
      <c r="J48" s="936" t="str">
        <f t="shared" si="4"/>
        <v>Barnsley-Stockport County</v>
      </c>
      <c r="K48" s="170"/>
      <c r="L48" s="387"/>
      <c r="M48" s="388"/>
      <c r="N48" s="900"/>
    </row>
    <row r="49" spans="2:14" ht="18" customHeight="1" x14ac:dyDescent="0.2">
      <c r="B49" s="271">
        <v>8</v>
      </c>
      <c r="C49" s="937" t="str">
        <f t="shared" si="3"/>
        <v>Bolton Wanderers-Luton</v>
      </c>
      <c r="D49" s="389"/>
      <c r="E49" s="390"/>
      <c r="F49" s="391"/>
      <c r="G49" s="900"/>
      <c r="I49" s="271">
        <v>8</v>
      </c>
      <c r="J49" s="937" t="str">
        <f t="shared" si="4"/>
        <v>Bolton Wanderers-Luton</v>
      </c>
      <c r="K49" s="389"/>
      <c r="L49" s="390"/>
      <c r="M49" s="391"/>
      <c r="N49" s="900"/>
    </row>
    <row r="50" spans="2:14" ht="18" customHeight="1" thickBot="1" x14ac:dyDescent="0.25">
      <c r="B50" s="271">
        <v>9</v>
      </c>
      <c r="C50" s="938" t="str">
        <f t="shared" si="3"/>
        <v>Exeter City-Bradford City</v>
      </c>
      <c r="D50" s="392"/>
      <c r="E50" s="393"/>
      <c r="F50" s="394"/>
      <c r="G50" s="900"/>
      <c r="I50" s="271">
        <v>9</v>
      </c>
      <c r="J50" s="938" t="str">
        <f t="shared" si="4"/>
        <v>Exeter City-Bradford City</v>
      </c>
      <c r="K50" s="392"/>
      <c r="L50" s="393"/>
      <c r="M50" s="394"/>
      <c r="N50" s="900"/>
    </row>
    <row r="51" spans="2:14" ht="18" customHeight="1" x14ac:dyDescent="0.2">
      <c r="B51" s="271">
        <v>10</v>
      </c>
      <c r="C51" s="939" t="str">
        <f t="shared" si="3"/>
        <v>Leyton Orient-Burton Albion</v>
      </c>
      <c r="D51" s="170"/>
      <c r="E51" s="387"/>
      <c r="F51" s="388"/>
      <c r="G51" s="900"/>
      <c r="I51" s="271">
        <v>10</v>
      </c>
      <c r="J51" s="939" t="str">
        <f t="shared" si="4"/>
        <v>Leyton Orient-Burton Albion</v>
      </c>
      <c r="K51" s="170"/>
      <c r="L51" s="387"/>
      <c r="M51" s="388"/>
      <c r="N51" s="900"/>
    </row>
    <row r="52" spans="2:14" ht="18" customHeight="1" x14ac:dyDescent="0.2">
      <c r="B52" s="271">
        <v>11</v>
      </c>
      <c r="C52" s="937" t="str">
        <f t="shared" si="3"/>
        <v>Reading-Blackpool</v>
      </c>
      <c r="D52" s="389"/>
      <c r="E52" s="390"/>
      <c r="F52" s="391"/>
      <c r="G52" s="900"/>
      <c r="I52" s="271">
        <v>11</v>
      </c>
      <c r="J52" s="937" t="str">
        <f t="shared" si="4"/>
        <v>Reading-Blackpool</v>
      </c>
      <c r="K52" s="389"/>
      <c r="L52" s="390"/>
      <c r="M52" s="391"/>
      <c r="N52" s="900"/>
    </row>
    <row r="53" spans="2:14" ht="18" customHeight="1" thickBot="1" x14ac:dyDescent="0.25">
      <c r="B53" s="271">
        <v>12</v>
      </c>
      <c r="C53" s="938" t="str">
        <f t="shared" si="3"/>
        <v>Stevenage-Wigan</v>
      </c>
      <c r="D53" s="392"/>
      <c r="E53" s="393"/>
      <c r="F53" s="394"/>
      <c r="G53" s="900"/>
      <c r="I53" s="271">
        <v>12</v>
      </c>
      <c r="J53" s="938" t="str">
        <f t="shared" si="4"/>
        <v>Stevenage-Wigan</v>
      </c>
      <c r="K53" s="392"/>
      <c r="L53" s="393"/>
      <c r="M53" s="394"/>
      <c r="N53" s="900"/>
    </row>
    <row r="54" spans="2:14" ht="18" customHeight="1" thickBot="1" x14ac:dyDescent="0.25">
      <c r="B54" s="289"/>
      <c r="C54" s="282"/>
      <c r="D54" s="282"/>
      <c r="E54" s="282"/>
      <c r="F54" s="282"/>
      <c r="G54" s="293"/>
      <c r="I54" s="289"/>
      <c r="J54" s="282"/>
      <c r="K54" s="282"/>
      <c r="L54" s="282"/>
      <c r="M54" s="282"/>
      <c r="N54" s="293"/>
    </row>
    <row r="55" spans="2:14" ht="18" customHeight="1" thickTop="1" x14ac:dyDescent="0.2"/>
  </sheetData>
  <pageMargins left="0.25" right="0.25" top="0.75" bottom="0.75" header="0.3" footer="0.3"/>
  <pageSetup paperSize="9" scale="75"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B17C6-A9C9-4B78-B39D-6F72C44531DE}">
  <sheetPr codeName="Ark11"/>
  <dimension ref="A1:E36"/>
  <sheetViews>
    <sheetView showGridLines="0" workbookViewId="0">
      <selection activeCell="B36" sqref="B36"/>
    </sheetView>
  </sheetViews>
  <sheetFormatPr baseColWidth="10" defaultColWidth="10.5703125" defaultRowHeight="12.75" x14ac:dyDescent="0.2"/>
  <cols>
    <col min="1" max="1" width="12.5703125" customWidth="1"/>
    <col min="2" max="2" width="12.42578125" bestFit="1" customWidth="1"/>
  </cols>
  <sheetData>
    <row r="1" spans="1:5" x14ac:dyDescent="0.2">
      <c r="A1" s="439" t="s">
        <v>721</v>
      </c>
      <c r="B1" s="440" t="str" cm="1">
        <f t="array" ref="B1">"fra "&amp;A13&amp;" til "&amp;LOOKUP(2,1/(A10:A50&lt;&gt;""),A10:A50)</f>
        <v>fra '02/03 til 25/26</v>
      </c>
      <c r="C1" s="440"/>
      <c r="D1" s="440"/>
      <c r="E1" s="4"/>
    </row>
    <row r="2" spans="1:5" x14ac:dyDescent="0.2">
      <c r="A2" s="4" t="s">
        <v>22</v>
      </c>
      <c r="B2" s="4">
        <f t="shared" ref="B2:B8" si="0">COUNTIF($B$13:$B$50,A2)</f>
        <v>9</v>
      </c>
      <c r="C2" s="4"/>
      <c r="D2" s="4"/>
      <c r="E2" s="4"/>
    </row>
    <row r="3" spans="1:5" x14ac:dyDescent="0.2">
      <c r="A3" s="4" t="s">
        <v>23</v>
      </c>
      <c r="B3" s="4">
        <f t="shared" si="0"/>
        <v>7</v>
      </c>
      <c r="C3" s="4"/>
      <c r="D3" s="4"/>
      <c r="E3" s="4"/>
    </row>
    <row r="4" spans="1:5" x14ac:dyDescent="0.2">
      <c r="A4" s="4" t="s">
        <v>19</v>
      </c>
      <c r="B4" s="4">
        <f t="shared" si="0"/>
        <v>3</v>
      </c>
      <c r="C4" s="4"/>
      <c r="D4" s="4"/>
      <c r="E4" s="4"/>
    </row>
    <row r="5" spans="1:5" x14ac:dyDescent="0.2">
      <c r="A5" s="4" t="s">
        <v>21</v>
      </c>
      <c r="B5" s="4">
        <f t="shared" si="0"/>
        <v>2</v>
      </c>
      <c r="C5" s="4"/>
      <c r="D5" s="4"/>
      <c r="E5" s="4"/>
    </row>
    <row r="6" spans="1:5" x14ac:dyDescent="0.2">
      <c r="A6" s="4" t="s">
        <v>24</v>
      </c>
      <c r="B6" s="4">
        <f t="shared" si="0"/>
        <v>1</v>
      </c>
      <c r="C6" s="4"/>
      <c r="D6" s="4"/>
      <c r="E6" s="4"/>
    </row>
    <row r="7" spans="1:5" x14ac:dyDescent="0.2">
      <c r="A7" s="4" t="s">
        <v>25</v>
      </c>
      <c r="B7" s="4">
        <f t="shared" si="0"/>
        <v>1</v>
      </c>
      <c r="C7" s="4"/>
      <c r="D7" s="4"/>
      <c r="E7" s="4"/>
    </row>
    <row r="8" spans="1:5" x14ac:dyDescent="0.2">
      <c r="A8" s="4" t="s">
        <v>20</v>
      </c>
      <c r="B8" s="4">
        <f t="shared" si="0"/>
        <v>0</v>
      </c>
      <c r="C8" s="4"/>
      <c r="D8" s="4"/>
      <c r="E8" s="4"/>
    </row>
    <row r="9" spans="1:5" x14ac:dyDescent="0.2">
      <c r="A9" s="4"/>
      <c r="B9" s="4"/>
      <c r="C9" s="4"/>
      <c r="D9" s="4"/>
      <c r="E9" s="4"/>
    </row>
    <row r="10" spans="1:5" x14ac:dyDescent="0.2">
      <c r="A10" s="4"/>
      <c r="B10" s="4"/>
      <c r="C10" s="4"/>
      <c r="D10" s="4"/>
      <c r="E10" s="4"/>
    </row>
    <row r="12" spans="1:5" x14ac:dyDescent="0.2">
      <c r="A12" t="s">
        <v>722</v>
      </c>
    </row>
    <row r="13" spans="1:5" x14ac:dyDescent="0.2">
      <c r="A13" t="s">
        <v>723</v>
      </c>
      <c r="B13" t="s">
        <v>22</v>
      </c>
      <c r="C13">
        <v>456</v>
      </c>
    </row>
    <row r="14" spans="1:5" x14ac:dyDescent="0.2">
      <c r="A14" t="s">
        <v>724</v>
      </c>
      <c r="B14" t="s">
        <v>23</v>
      </c>
      <c r="C14">
        <v>821</v>
      </c>
    </row>
    <row r="15" spans="1:5" x14ac:dyDescent="0.2">
      <c r="A15" t="s">
        <v>725</v>
      </c>
      <c r="B15" t="s">
        <v>23</v>
      </c>
      <c r="C15">
        <v>817</v>
      </c>
    </row>
    <row r="16" spans="1:5" x14ac:dyDescent="0.2">
      <c r="A16" t="s">
        <v>726</v>
      </c>
      <c r="B16" t="s">
        <v>19</v>
      </c>
      <c r="C16">
        <v>195</v>
      </c>
    </row>
    <row r="17" spans="1:3" x14ac:dyDescent="0.2">
      <c r="A17" t="s">
        <v>727</v>
      </c>
      <c r="B17" t="s">
        <v>23</v>
      </c>
      <c r="C17">
        <v>445</v>
      </c>
    </row>
    <row r="18" spans="1:3" x14ac:dyDescent="0.2">
      <c r="A18" t="s">
        <v>728</v>
      </c>
      <c r="B18" t="s">
        <v>21</v>
      </c>
      <c r="C18">
        <v>375</v>
      </c>
    </row>
    <row r="19" spans="1:3" x14ac:dyDescent="0.2">
      <c r="A19" t="s">
        <v>729</v>
      </c>
      <c r="B19" t="s">
        <v>24</v>
      </c>
      <c r="C19">
        <v>1177</v>
      </c>
    </row>
    <row r="20" spans="1:3" x14ac:dyDescent="0.2">
      <c r="A20" t="s">
        <v>730</v>
      </c>
      <c r="B20" t="s">
        <v>22</v>
      </c>
      <c r="C20">
        <v>14456</v>
      </c>
    </row>
    <row r="21" spans="1:3" x14ac:dyDescent="0.2">
      <c r="A21" t="s">
        <v>731</v>
      </c>
      <c r="B21" t="s">
        <v>22</v>
      </c>
      <c r="C21">
        <v>14228</v>
      </c>
    </row>
    <row r="22" spans="1:3" x14ac:dyDescent="0.2">
      <c r="A22" t="s">
        <v>732</v>
      </c>
      <c r="B22" t="s">
        <v>23</v>
      </c>
      <c r="C22">
        <v>14001</v>
      </c>
    </row>
    <row r="23" spans="1:3" x14ac:dyDescent="0.2">
      <c r="A23" t="s">
        <v>733</v>
      </c>
      <c r="B23" t="s">
        <v>22</v>
      </c>
      <c r="C23">
        <v>12519</v>
      </c>
    </row>
    <row r="24" spans="1:3" x14ac:dyDescent="0.2">
      <c r="A24" t="s">
        <v>734</v>
      </c>
      <c r="B24" t="s">
        <v>19</v>
      </c>
      <c r="C24">
        <v>12489</v>
      </c>
    </row>
    <row r="25" spans="1:3" x14ac:dyDescent="0.2">
      <c r="A25" t="s">
        <v>735</v>
      </c>
      <c r="B25" t="s">
        <v>19</v>
      </c>
      <c r="C25">
        <v>12489</v>
      </c>
    </row>
    <row r="26" spans="1:3" x14ac:dyDescent="0.2">
      <c r="A26" t="s">
        <v>736</v>
      </c>
      <c r="B26" t="s">
        <v>25</v>
      </c>
      <c r="C26">
        <v>12377</v>
      </c>
    </row>
    <row r="27" spans="1:3" x14ac:dyDescent="0.2">
      <c r="A27" t="s">
        <v>737</v>
      </c>
      <c r="B27" t="s">
        <v>22</v>
      </c>
      <c r="C27">
        <v>12830</v>
      </c>
    </row>
    <row r="28" spans="1:3" x14ac:dyDescent="0.2">
      <c r="A28" t="s">
        <v>738</v>
      </c>
      <c r="B28" t="s">
        <v>22</v>
      </c>
      <c r="C28">
        <v>11476</v>
      </c>
    </row>
    <row r="29" spans="1:3" x14ac:dyDescent="0.2">
      <c r="A29" t="s">
        <v>739</v>
      </c>
      <c r="B29" t="s">
        <v>22</v>
      </c>
      <c r="C29">
        <v>11352</v>
      </c>
    </row>
    <row r="30" spans="1:3" x14ac:dyDescent="0.2">
      <c r="A30" t="s">
        <v>740</v>
      </c>
      <c r="B30" t="s">
        <v>21</v>
      </c>
      <c r="C30">
        <v>7223</v>
      </c>
    </row>
    <row r="31" spans="1:3" x14ac:dyDescent="0.2">
      <c r="A31" t="s">
        <v>741</v>
      </c>
      <c r="B31" t="s">
        <v>22</v>
      </c>
      <c r="C31">
        <v>3870</v>
      </c>
    </row>
    <row r="32" spans="1:3" x14ac:dyDescent="0.2">
      <c r="A32" t="s">
        <v>742</v>
      </c>
      <c r="B32" t="s">
        <v>22</v>
      </c>
      <c r="C32">
        <v>10844</v>
      </c>
    </row>
    <row r="33" spans="1:3" x14ac:dyDescent="0.2">
      <c r="A33" s="592" t="s">
        <v>743</v>
      </c>
      <c r="B33" t="s">
        <v>23</v>
      </c>
      <c r="C33">
        <v>15320</v>
      </c>
    </row>
    <row r="34" spans="1:3" x14ac:dyDescent="0.2">
      <c r="A34" s="592" t="s">
        <v>744</v>
      </c>
      <c r="B34" t="s">
        <v>23</v>
      </c>
      <c r="C34">
        <v>11620</v>
      </c>
    </row>
    <row r="35" spans="1:3" x14ac:dyDescent="0.2">
      <c r="A35" t="s">
        <v>745</v>
      </c>
      <c r="B35" t="s">
        <v>23</v>
      </c>
      <c r="C35">
        <v>11830</v>
      </c>
    </row>
    <row r="36" spans="1:3" x14ac:dyDescent="0.2">
      <c r="A36" t="s">
        <v>746</v>
      </c>
    </row>
  </sheetData>
  <sheetProtection selectLockedCells="1" selectUnlockedCells="1"/>
  <sortState xmlns:xlrd2="http://schemas.microsoft.com/office/spreadsheetml/2017/richdata2" ref="A2:B8">
    <sortCondition descending="1" ref="B2:B8"/>
  </sortState>
  <pageMargins left="0.7" right="0.7" top="0.75" bottom="0.75" header="0.3" footer="0.3"/>
  <pageSetup paperSize="9" orientation="portrait"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Ark20"/>
  <dimension ref="A1:BA715"/>
  <sheetViews>
    <sheetView showGridLines="0" topLeftCell="E12" workbookViewId="0">
      <selection activeCell="E12" sqref="E12"/>
    </sheetView>
  </sheetViews>
  <sheetFormatPr baseColWidth="10" defaultColWidth="11.42578125" defaultRowHeight="12.75" x14ac:dyDescent="0.2"/>
  <cols>
    <col min="5" max="5" width="14.42578125" customWidth="1"/>
    <col min="6" max="6" width="27" bestFit="1" customWidth="1"/>
    <col min="7" max="7" width="11.5703125" bestFit="1" customWidth="1"/>
    <col min="8" max="14" width="4.5703125" customWidth="1"/>
    <col min="15" max="18" width="3.5703125" bestFit="1" customWidth="1"/>
    <col min="19" max="19" width="7.42578125" customWidth="1"/>
    <col min="20" max="20" width="28.5703125" customWidth="1"/>
    <col min="21" max="21" width="2.5703125" bestFit="1" customWidth="1"/>
    <col min="22" max="23" width="3.5703125" bestFit="1" customWidth="1"/>
    <col min="33" max="33" width="24.42578125" customWidth="1"/>
  </cols>
  <sheetData>
    <row r="1" spans="1:53" x14ac:dyDescent="0.2">
      <c r="A1" s="20" t="s">
        <v>747</v>
      </c>
      <c r="X1">
        <v>1200</v>
      </c>
      <c r="Y1" t="s">
        <v>748</v>
      </c>
      <c r="AA1" s="177" t="s">
        <v>749</v>
      </c>
      <c r="AD1" s="20" t="s">
        <v>750</v>
      </c>
      <c r="AE1" t="e">
        <f>COUNTIF(Hjelpeark!#REF!,"&gt;I/T")</f>
        <v>#REF!</v>
      </c>
      <c r="AG1">
        <v>80</v>
      </c>
      <c r="AL1" s="22">
        <f>Kuponger!$E$5</f>
        <v>45885</v>
      </c>
      <c r="AM1">
        <v>0</v>
      </c>
      <c r="AN1">
        <v>1</v>
      </c>
      <c r="BA1" s="18" t="s">
        <v>751</v>
      </c>
    </row>
    <row r="2" spans="1:53" x14ac:dyDescent="0.2">
      <c r="A2" s="20">
        <v>33</v>
      </c>
      <c r="AA2" s="5" t="s">
        <v>752</v>
      </c>
      <c r="AG2">
        <v>70</v>
      </c>
      <c r="AL2" s="22" cm="1">
        <f t="array" aca="1" ref="AL2" ca="1">IF(OFFSET(INDIRECT("Kuponger!$E$"&amp;27+AM2),AM2,0)&lt;=AL1,"",OFFSET(Kuponger!$E$5,AM2,0))</f>
        <v>45892</v>
      </c>
      <c r="AM2">
        <f>AM1+22</f>
        <v>22</v>
      </c>
      <c r="AN2">
        <v>2</v>
      </c>
      <c r="BA2" s="18" t="s">
        <v>751</v>
      </c>
    </row>
    <row r="3" spans="1:53" x14ac:dyDescent="0.2">
      <c r="A3" s="20">
        <v>34</v>
      </c>
      <c r="AA3" s="5">
        <v>2001</v>
      </c>
      <c r="AG3">
        <v>60</v>
      </c>
      <c r="AL3" s="22" cm="1">
        <f t="array" aca="1" ref="AL3" ca="1">IF(OFFSET(INDIRECT("Kuponger!$E$"&amp;27+AM3),AM3,0)&lt;=AL2,"",OFFSET(Kuponger!$E$5,AM3,0))</f>
        <v>45920</v>
      </c>
      <c r="AM3">
        <f t="shared" ref="AM3:AM66" si="0">AM2+22</f>
        <v>44</v>
      </c>
      <c r="AN3">
        <v>3</v>
      </c>
      <c r="BA3" s="18" t="s">
        <v>751</v>
      </c>
    </row>
    <row r="4" spans="1:53" x14ac:dyDescent="0.2">
      <c r="A4" s="20">
        <v>35</v>
      </c>
      <c r="E4" s="2" t="s">
        <v>753</v>
      </c>
      <c r="J4">
        <v>10</v>
      </c>
      <c r="T4">
        <v>20</v>
      </c>
      <c r="AA4" s="5">
        <f ca="1">YEAR(TODAY())</f>
        <v>2026</v>
      </c>
      <c r="AG4">
        <v>50</v>
      </c>
      <c r="AL4" s="22" cm="1">
        <f t="array" aca="1" ref="AL4" ca="1">IF(OFFSET(INDIRECT("Kuponger!$E$"&amp;27+AM4),AM4,0)&lt;=AL3,"",OFFSET(Kuponger!$E$5,AM4,0))</f>
        <v>45927</v>
      </c>
      <c r="AM4">
        <f t="shared" si="0"/>
        <v>66</v>
      </c>
      <c r="AN4">
        <v>4</v>
      </c>
      <c r="BA4" s="18" t="s">
        <v>751</v>
      </c>
    </row>
    <row r="5" spans="1:53" x14ac:dyDescent="0.2">
      <c r="A5" s="20">
        <v>36</v>
      </c>
      <c r="E5" s="13" t="s">
        <v>753</v>
      </c>
      <c r="F5" s="14"/>
      <c r="G5" s="14"/>
      <c r="H5" s="15"/>
      <c r="I5" s="15"/>
      <c r="J5" s="16"/>
      <c r="K5" s="15"/>
      <c r="AA5" s="5" t="s">
        <v>754</v>
      </c>
      <c r="AG5">
        <v>40</v>
      </c>
      <c r="AL5" s="22" cm="1">
        <f t="array" aca="1" ref="AL5" ca="1">IF(OFFSET(INDIRECT("Kuponger!$E$"&amp;27+AM5),AM5,0)&lt;=AL4,"",OFFSET(Kuponger!$E$5,AM5,0))</f>
        <v>45934</v>
      </c>
      <c r="AM5">
        <f t="shared" si="0"/>
        <v>88</v>
      </c>
      <c r="AN5">
        <v>5</v>
      </c>
      <c r="BA5" s="18" t="s">
        <v>751</v>
      </c>
    </row>
    <row r="6" spans="1:53" x14ac:dyDescent="0.2">
      <c r="A6" s="20">
        <v>37</v>
      </c>
      <c r="E6" s="12" t="s">
        <v>755</v>
      </c>
      <c r="F6" s="12" t="s">
        <v>756</v>
      </c>
      <c r="G6" s="12" t="s">
        <v>757</v>
      </c>
      <c r="H6" s="12" t="s">
        <v>758</v>
      </c>
      <c r="I6" s="17">
        <v>10</v>
      </c>
      <c r="J6" s="17">
        <v>11</v>
      </c>
      <c r="K6" s="17">
        <v>12</v>
      </c>
      <c r="AG6">
        <v>30</v>
      </c>
      <c r="AL6" s="22" cm="1">
        <f t="array" aca="1" ref="AL6" ca="1">IF(OFFSET(INDIRECT("Kuponger!$E$"&amp;27+AM6),AM6,0)&lt;=AL5,"",OFFSET(Kuponger!$E$5,AM6,0))</f>
        <v>45941</v>
      </c>
      <c r="AM6">
        <f t="shared" si="0"/>
        <v>110</v>
      </c>
      <c r="AN6">
        <v>6</v>
      </c>
      <c r="BA6" s="18" t="s">
        <v>751</v>
      </c>
    </row>
    <row r="7" spans="1:53" x14ac:dyDescent="0.2">
      <c r="A7" s="20">
        <v>38</v>
      </c>
      <c r="E7" s="17">
        <v>65</v>
      </c>
      <c r="F7" s="17">
        <v>74</v>
      </c>
      <c r="G7" s="17">
        <v>71</v>
      </c>
      <c r="H7" s="17">
        <v>-50</v>
      </c>
      <c r="I7" s="17">
        <v>50</v>
      </c>
      <c r="J7" s="17">
        <v>100</v>
      </c>
      <c r="K7" s="17">
        <v>300</v>
      </c>
      <c r="AG7">
        <v>20</v>
      </c>
      <c r="AL7" s="22" cm="1">
        <f t="array" aca="1" ref="AL7" ca="1">IF(OFFSET(INDIRECT("Kuponger!$E$"&amp;27+AM7),AM7,0)&lt;=AL6,"",OFFSET(Kuponger!$E$5,AM7,0))</f>
        <v>45948</v>
      </c>
      <c r="AM7">
        <f t="shared" si="0"/>
        <v>132</v>
      </c>
      <c r="AN7">
        <v>7</v>
      </c>
      <c r="BA7" s="18" t="s">
        <v>751</v>
      </c>
    </row>
    <row r="8" spans="1:53" x14ac:dyDescent="0.2">
      <c r="A8">
        <v>39</v>
      </c>
      <c r="AG8">
        <v>10</v>
      </c>
      <c r="AL8" s="22">
        <f ca="1">IF(OFFSET(Kuponger!$E$27,AM8,0)&lt;=AL7,"",OFFSET(Kuponger!$E$5,AM8,0))</f>
        <v>45955</v>
      </c>
      <c r="AM8">
        <f t="shared" si="0"/>
        <v>154</v>
      </c>
      <c r="AN8">
        <v>8</v>
      </c>
      <c r="BA8" s="18" t="s">
        <v>751</v>
      </c>
    </row>
    <row r="9" spans="1:53" x14ac:dyDescent="0.2">
      <c r="A9">
        <v>40</v>
      </c>
      <c r="AL9" s="22">
        <f ca="1">IF(OFFSET(Kuponger!$E$27,AM9,0)&lt;=AL8,"",OFFSET(Kuponger!$E$5,AM9,0))</f>
        <v>45962</v>
      </c>
      <c r="AM9">
        <f t="shared" si="0"/>
        <v>176</v>
      </c>
      <c r="AN9">
        <v>9</v>
      </c>
      <c r="BA9" s="18" t="s">
        <v>751</v>
      </c>
    </row>
    <row r="10" spans="1:53" x14ac:dyDescent="0.2">
      <c r="A10">
        <v>41</v>
      </c>
      <c r="E10" s="2" t="s">
        <v>759</v>
      </c>
      <c r="AL10" s="22">
        <f ca="1">IF(OFFSET(Kuponger!$E$27,AM10,0)&lt;=AL9,"",OFFSET(Kuponger!$E$5,AM10,0))</f>
        <v>45969</v>
      </c>
      <c r="AM10">
        <f t="shared" si="0"/>
        <v>198</v>
      </c>
      <c r="AN10">
        <v>10</v>
      </c>
      <c r="BA10" s="18" t="s">
        <v>751</v>
      </c>
    </row>
    <row r="11" spans="1:53" ht="167.85" customHeight="1" x14ac:dyDescent="0.2">
      <c r="A11">
        <v>42</v>
      </c>
      <c r="E11" t="s">
        <v>19</v>
      </c>
      <c r="F11" t="s">
        <v>760</v>
      </c>
      <c r="H11" s="18" t="s">
        <v>761</v>
      </c>
      <c r="M11" t="s">
        <v>762</v>
      </c>
      <c r="S11" t="s">
        <v>763</v>
      </c>
      <c r="AL11" s="22">
        <f ca="1">IF(OFFSET(Kuponger!$E$27,AM11,0)&lt;=AL10,"",OFFSET(Kuponger!$E$5,AM11,0))</f>
        <v>45976</v>
      </c>
      <c r="AM11">
        <f t="shared" si="0"/>
        <v>220</v>
      </c>
      <c r="AN11">
        <v>11</v>
      </c>
    </row>
    <row r="12" spans="1:53" ht="161.85" customHeight="1" x14ac:dyDescent="0.2">
      <c r="A12">
        <v>43</v>
      </c>
      <c r="E12" t="s">
        <v>20</v>
      </c>
      <c r="F12" t="s">
        <v>764</v>
      </c>
      <c r="H12" s="18" t="s">
        <v>765</v>
      </c>
      <c r="M12" t="s">
        <v>766</v>
      </c>
      <c r="S12" t="s">
        <v>767</v>
      </c>
      <c r="AL12" s="22">
        <f ca="1">IF(OFFSET(Kuponger!$E$27,AM12,0)&lt;=AL11,"",OFFSET(Kuponger!$E$5,AM12,0))</f>
        <v>45983</v>
      </c>
      <c r="AM12">
        <f t="shared" si="0"/>
        <v>242</v>
      </c>
      <c r="AN12">
        <v>41</v>
      </c>
    </row>
    <row r="13" spans="1:53" ht="145.35" customHeight="1" x14ac:dyDescent="0.2">
      <c r="A13">
        <v>44</v>
      </c>
      <c r="E13" t="s">
        <v>21</v>
      </c>
      <c r="F13" t="s">
        <v>768</v>
      </c>
      <c r="H13" s="18" t="s">
        <v>769</v>
      </c>
      <c r="M13" t="s">
        <v>770</v>
      </c>
      <c r="S13" t="s">
        <v>771</v>
      </c>
      <c r="AL13" s="22">
        <f ca="1">IF(OFFSET(Kuponger!$E$27,AM13,0)&lt;=AL12,"",OFFSET(Kuponger!$E$5,AM13,0))</f>
        <v>45990</v>
      </c>
      <c r="AM13">
        <f t="shared" si="0"/>
        <v>264</v>
      </c>
      <c r="AN13">
        <v>41</v>
      </c>
    </row>
    <row r="14" spans="1:53" ht="145.35" customHeight="1" x14ac:dyDescent="0.2">
      <c r="A14">
        <v>45</v>
      </c>
      <c r="E14" t="s">
        <v>22</v>
      </c>
      <c r="F14" t="s">
        <v>772</v>
      </c>
      <c r="H14" s="18" t="s">
        <v>773</v>
      </c>
      <c r="M14" t="s">
        <v>774</v>
      </c>
      <c r="S14" t="s">
        <v>775</v>
      </c>
      <c r="AL14" s="22">
        <f ca="1">IF(OFFSET(Kuponger!$E$27,AM14,0)&lt;=AL13,"",OFFSET(Kuponger!$E$5,AM14,0))</f>
        <v>45997</v>
      </c>
      <c r="AM14">
        <f t="shared" si="0"/>
        <v>286</v>
      </c>
      <c r="AN14">
        <v>41</v>
      </c>
    </row>
    <row r="15" spans="1:53" ht="162" customHeight="1" x14ac:dyDescent="0.2">
      <c r="A15">
        <v>46</v>
      </c>
      <c r="E15" t="s">
        <v>23</v>
      </c>
      <c r="F15" t="s">
        <v>752</v>
      </c>
      <c r="H15" s="18" t="s">
        <v>751</v>
      </c>
      <c r="M15" t="s">
        <v>776</v>
      </c>
      <c r="S15" t="s">
        <v>777</v>
      </c>
      <c r="AL15" s="22">
        <f ca="1">IF(OFFSET(Kuponger!$E$27,AM15,0)&lt;=AL14,"",OFFSET(Kuponger!$E$5,AM15,0))</f>
        <v>46004</v>
      </c>
      <c r="AM15">
        <f t="shared" si="0"/>
        <v>308</v>
      </c>
      <c r="AN15">
        <v>41</v>
      </c>
    </row>
    <row r="16" spans="1:53" ht="145.35" customHeight="1" x14ac:dyDescent="0.2">
      <c r="A16">
        <v>47</v>
      </c>
      <c r="E16" t="s">
        <v>24</v>
      </c>
      <c r="F16" t="s">
        <v>778</v>
      </c>
      <c r="H16" s="18" t="s">
        <v>779</v>
      </c>
      <c r="M16" t="s">
        <v>780</v>
      </c>
      <c r="S16" t="s">
        <v>781</v>
      </c>
      <c r="AL16" s="22">
        <f ca="1">IF(OFFSET(Kuponger!$E$27,AM16,0)&lt;=AL15,"",OFFSET(Kuponger!$E$5,AM16,0))</f>
        <v>46032</v>
      </c>
      <c r="AM16">
        <f t="shared" si="0"/>
        <v>330</v>
      </c>
      <c r="AN16">
        <v>41</v>
      </c>
    </row>
    <row r="17" spans="1:40" ht="145.35" customHeight="1" x14ac:dyDescent="0.2">
      <c r="A17">
        <v>48</v>
      </c>
      <c r="E17" t="s">
        <v>25</v>
      </c>
      <c r="F17" t="s">
        <v>782</v>
      </c>
      <c r="H17" s="18" t="s">
        <v>783</v>
      </c>
      <c r="M17" t="s">
        <v>784</v>
      </c>
      <c r="S17" t="s">
        <v>785</v>
      </c>
      <c r="AL17" s="22">
        <f ca="1">IF(OFFSET(Kuponger!$E$27,AM17,0)&lt;=AL16,"",OFFSET(Kuponger!$E$5,AM17,0))</f>
        <v>46039</v>
      </c>
      <c r="AM17">
        <f t="shared" si="0"/>
        <v>352</v>
      </c>
      <c r="AN17">
        <v>41</v>
      </c>
    </row>
    <row r="18" spans="1:40" x14ac:dyDescent="0.2">
      <c r="A18">
        <v>49</v>
      </c>
      <c r="E18" t="s">
        <v>26</v>
      </c>
      <c r="F18" t="s">
        <v>786</v>
      </c>
      <c r="M18" t="s">
        <v>787</v>
      </c>
      <c r="S18" t="s">
        <v>788</v>
      </c>
      <c r="AL18" s="22">
        <f ca="1">IF(OFFSET(Kuponger!$E$27,AM18,0)&lt;=AL17,"",OFFSET(Kuponger!$E$5,AM18,0))</f>
        <v>46046</v>
      </c>
      <c r="AM18">
        <f t="shared" si="0"/>
        <v>374</v>
      </c>
      <c r="AN18">
        <v>41</v>
      </c>
    </row>
    <row r="19" spans="1:40" x14ac:dyDescent="0.2">
      <c r="E19" t="s">
        <v>27</v>
      </c>
      <c r="F19" t="s">
        <v>789</v>
      </c>
      <c r="M19" t="s">
        <v>790</v>
      </c>
      <c r="S19" t="s">
        <v>791</v>
      </c>
      <c r="AL19" s="22">
        <f ca="1">IF(OFFSET(Kuponger!$E$27,AM19,0)&lt;=AL18,"",OFFSET(Kuponger!$E$5,AM19,0))</f>
        <v>46053</v>
      </c>
      <c r="AM19">
        <f t="shared" si="0"/>
        <v>396</v>
      </c>
      <c r="AN19">
        <v>41</v>
      </c>
    </row>
    <row r="20" spans="1:40" x14ac:dyDescent="0.2">
      <c r="AL20" s="22">
        <f ca="1">IF(OFFSET(Kuponger!$E$27,AM20,0)&lt;=AL19,"",OFFSET(Kuponger!$E$5,AM20,0))</f>
        <v>46060</v>
      </c>
      <c r="AM20">
        <f t="shared" si="0"/>
        <v>418</v>
      </c>
      <c r="AN20">
        <v>41</v>
      </c>
    </row>
    <row r="21" spans="1:40" x14ac:dyDescent="0.2">
      <c r="A21">
        <v>50</v>
      </c>
      <c r="E21" s="2" t="s">
        <v>792</v>
      </c>
      <c r="AL21" s="22">
        <f ca="1">IF(OFFSET(Kuponger!$E$27,AM21,0)&lt;=AL20,"",OFFSET(Kuponger!$E$5,AM21,0))</f>
        <v>46067</v>
      </c>
      <c r="AM21">
        <f t="shared" si="0"/>
        <v>440</v>
      </c>
      <c r="AN21">
        <v>41</v>
      </c>
    </row>
    <row r="22" spans="1:40" x14ac:dyDescent="0.2">
      <c r="A22">
        <v>51</v>
      </c>
      <c r="E22" t="s">
        <v>393</v>
      </c>
      <c r="F22">
        <v>0</v>
      </c>
      <c r="AL22" s="22">
        <f ca="1">IF(OFFSET(Kuponger!$E$27,AM22,0)&lt;=AL21,"",OFFSET(Kuponger!$E$5,AM22,0))</f>
        <v>46074</v>
      </c>
      <c r="AM22">
        <f t="shared" si="0"/>
        <v>462</v>
      </c>
      <c r="AN22">
        <v>41</v>
      </c>
    </row>
    <row r="23" spans="1:40" x14ac:dyDescent="0.2">
      <c r="A23">
        <v>52</v>
      </c>
      <c r="E23" t="s">
        <v>793</v>
      </c>
      <c r="F23">
        <v>12</v>
      </c>
      <c r="AL23" s="22">
        <f ca="1">IF(OFFSET(Kuponger!$E$27,AM23,0)&lt;=AL22,"",OFFSET(Kuponger!$E$5,AM23,0))</f>
        <v>46081</v>
      </c>
      <c r="AM23">
        <f t="shared" si="0"/>
        <v>484</v>
      </c>
      <c r="AN23">
        <v>41</v>
      </c>
    </row>
    <row r="24" spans="1:40" x14ac:dyDescent="0.2">
      <c r="A24">
        <v>1</v>
      </c>
      <c r="E24" t="s">
        <v>794</v>
      </c>
      <c r="F24">
        <v>12</v>
      </c>
      <c r="AL24" s="22">
        <f ca="1">IF(OFFSET(Kuponger!$E$27,AM24,0)&lt;=AL23,"",OFFSET(Kuponger!$E$5,AM24,0))</f>
        <v>46088</v>
      </c>
      <c r="AM24">
        <f t="shared" si="0"/>
        <v>506</v>
      </c>
      <c r="AN24">
        <v>41</v>
      </c>
    </row>
    <row r="25" spans="1:40" x14ac:dyDescent="0.2">
      <c r="A25">
        <v>2</v>
      </c>
      <c r="E25" t="s">
        <v>795</v>
      </c>
      <c r="F25">
        <v>0</v>
      </c>
      <c r="AL25" s="22">
        <f ca="1">IF(OFFSET(Kuponger!$E$27,AM25,0)&lt;=AL24,"",OFFSET(Kuponger!$E$5,AM25,0))</f>
        <v>46095</v>
      </c>
      <c r="AM25">
        <f t="shared" si="0"/>
        <v>528</v>
      </c>
      <c r="AN25">
        <v>41</v>
      </c>
    </row>
    <row r="26" spans="1:40" x14ac:dyDescent="0.2">
      <c r="A26">
        <v>3</v>
      </c>
      <c r="E26" t="s">
        <v>796</v>
      </c>
      <c r="F26">
        <v>0</v>
      </c>
      <c r="AL26" s="22">
        <f ca="1">IF(OFFSET(Kuponger!$E$27,AM26,0)&lt;=AL25,"",OFFSET(Kuponger!$E$5,AM26,0))</f>
        <v>46102</v>
      </c>
      <c r="AM26">
        <f t="shared" si="0"/>
        <v>550</v>
      </c>
      <c r="AN26">
        <v>41</v>
      </c>
    </row>
    <row r="27" spans="1:40" x14ac:dyDescent="0.2">
      <c r="A27">
        <v>4</v>
      </c>
      <c r="E27" s="4" t="s">
        <v>797</v>
      </c>
      <c r="F27">
        <v>-50</v>
      </c>
      <c r="AL27" s="22">
        <f ca="1">IF(OFFSET(Kuponger!$E$27,AM27,0)&lt;=AL26,"",OFFSET(Kuponger!$E$5,AM27,0))</f>
        <v>46109</v>
      </c>
      <c r="AM27">
        <f t="shared" si="0"/>
        <v>572</v>
      </c>
      <c r="AN27">
        <v>41</v>
      </c>
    </row>
    <row r="28" spans="1:40" x14ac:dyDescent="0.2">
      <c r="A28">
        <v>5</v>
      </c>
      <c r="E28" s="4"/>
      <c r="AL28" s="22">
        <f ca="1">IF(OFFSET(Kuponger!$E$27,AM28,0)&lt;=AL27,"",OFFSET(Kuponger!$E$5,AM28,0))</f>
        <v>46123</v>
      </c>
      <c r="AM28">
        <f t="shared" si="0"/>
        <v>594</v>
      </c>
      <c r="AN28">
        <v>41</v>
      </c>
    </row>
    <row r="29" spans="1:40" x14ac:dyDescent="0.2">
      <c r="A29">
        <v>6</v>
      </c>
      <c r="AL29" s="22">
        <f ca="1">IF(OFFSET(Kuponger!$E$27,AM29,0)&lt;=AL28,"",OFFSET(Kuponger!$E$5,AM29,0))</f>
        <v>46130</v>
      </c>
      <c r="AM29">
        <f t="shared" si="0"/>
        <v>616</v>
      </c>
      <c r="AN29">
        <v>41</v>
      </c>
    </row>
    <row r="30" spans="1:40" x14ac:dyDescent="0.2">
      <c r="A30">
        <v>7</v>
      </c>
      <c r="E30" s="2" t="s">
        <v>401</v>
      </c>
      <c r="AL30" s="22">
        <f ca="1">IF(OFFSET(Kuponger!$E$27,AM30,0)&lt;=AL29,"",OFFSET(Kuponger!$E$5,AM30,0))</f>
        <v>46137</v>
      </c>
      <c r="AM30">
        <f t="shared" si="0"/>
        <v>638</v>
      </c>
      <c r="AN30">
        <v>41</v>
      </c>
    </row>
    <row r="31" spans="1:40" x14ac:dyDescent="0.2">
      <c r="A31">
        <v>8</v>
      </c>
      <c r="E31" s="6" t="s">
        <v>798</v>
      </c>
      <c r="F31" s="587">
        <f ca="1">TODAY()</f>
        <v>46188</v>
      </c>
      <c r="AL31" s="22">
        <f ca="1">IF(OFFSET(Kuponger!$E$27,AM31,0)&lt;=AL30,"",OFFSET(Kuponger!$E$5,AM31,0))</f>
        <v>46144</v>
      </c>
      <c r="AM31">
        <f t="shared" si="0"/>
        <v>660</v>
      </c>
      <c r="AN31">
        <v>41</v>
      </c>
    </row>
    <row r="32" spans="1:40" x14ac:dyDescent="0.2">
      <c r="A32">
        <v>9</v>
      </c>
      <c r="E32" s="8" t="s">
        <v>799</v>
      </c>
      <c r="F32" s="10">
        <f ca="1">WEEKDAY(F31)</f>
        <v>2</v>
      </c>
      <c r="AL32" s="22">
        <f ca="1">IF(OFFSET(Kuponger!$E$27,AM32,0)&lt;=AL31,"",OFFSET(Kuponger!$E$5,AM32,0))</f>
        <v>46151</v>
      </c>
      <c r="AM32">
        <f t="shared" si="0"/>
        <v>682</v>
      </c>
      <c r="AN32">
        <v>41</v>
      </c>
    </row>
    <row r="33" spans="1:40" x14ac:dyDescent="0.2">
      <c r="A33">
        <v>10</v>
      </c>
      <c r="E33" s="8" t="s">
        <v>800</v>
      </c>
      <c r="F33" s="9">
        <f ca="1">TODAY()-DATE(2023,1,1)</f>
        <v>1261</v>
      </c>
      <c r="AL33" s="22" t="str">
        <f ca="1">IF(OFFSET(Kuponger!$E$27,AM33,0)&lt;=AL32,"",OFFSET(Kuponger!$E$5,AM33,0))</f>
        <v/>
      </c>
      <c r="AM33">
        <f t="shared" si="0"/>
        <v>704</v>
      </c>
      <c r="AN33">
        <v>41</v>
      </c>
    </row>
    <row r="34" spans="1:40" x14ac:dyDescent="0.2">
      <c r="A34">
        <v>11</v>
      </c>
      <c r="E34" s="8" t="s">
        <v>801</v>
      </c>
      <c r="F34" s="9" t="str">
        <f ca="1">TEXT(F31,"MMMMMMMM")</f>
        <v>juni</v>
      </c>
      <c r="AL34" s="22" t="str">
        <f ca="1">IF(OFFSET(Kuponger!$E$27,AM34,0)&lt;=AL33,"",OFFSET(Kuponger!$E$5,AM34,0))</f>
        <v/>
      </c>
      <c r="AM34">
        <f t="shared" si="0"/>
        <v>726</v>
      </c>
      <c r="AN34">
        <v>41</v>
      </c>
    </row>
    <row r="35" spans="1:40" x14ac:dyDescent="0.2">
      <c r="A35">
        <v>12</v>
      </c>
      <c r="E35" s="7" t="s">
        <v>802</v>
      </c>
      <c r="F35" s="11">
        <f ca="1">INT((F36-(DATE(YEAR(F36+(MOD(8-WEEKDAY(F36),7)-3)),1,1))-3+MOD(WEEKDAY(DATE(YEAR(F36+(MOD(8-WEEKDAY(B1),7)-3)),1,1))+1,7))/7)+1</f>
        <v>29</v>
      </c>
      <c r="AL35" s="22" t="str">
        <f ca="1">IF(OFFSET(Kuponger!$E$27,AM35,0)&lt;=AL34,"",OFFSET(Kuponger!$E$5,AM35,0))</f>
        <v/>
      </c>
      <c r="AM35">
        <f t="shared" si="0"/>
        <v>748</v>
      </c>
      <c r="AN35">
        <v>41</v>
      </c>
    </row>
    <row r="36" spans="1:40" x14ac:dyDescent="0.2">
      <c r="A36">
        <v>13</v>
      </c>
      <c r="E36" s="7" t="s">
        <v>803</v>
      </c>
      <c r="F36" s="11">
        <f ca="1">YEAR(TODAY())</f>
        <v>2026</v>
      </c>
      <c r="AL36" s="22" t="str">
        <f ca="1">IF(OFFSET(Kuponger!$E$27,AM36,0)&lt;=AL35,"",OFFSET(Kuponger!$E$5,AM36,0))</f>
        <v/>
      </c>
      <c r="AM36">
        <f t="shared" si="0"/>
        <v>770</v>
      </c>
      <c r="AN36">
        <v>41</v>
      </c>
    </row>
    <row r="37" spans="1:40" x14ac:dyDescent="0.2">
      <c r="A37">
        <v>14</v>
      </c>
      <c r="E37" s="5"/>
      <c r="AL37" s="22" t="str">
        <f ca="1">IF(OFFSET(Kuponger!$E$27,AM37,0)&lt;=AL36,"",OFFSET(Kuponger!$E$5,AM37,0))</f>
        <v/>
      </c>
      <c r="AM37">
        <f t="shared" si="0"/>
        <v>792</v>
      </c>
      <c r="AN37">
        <v>41</v>
      </c>
    </row>
    <row r="38" spans="1:40" x14ac:dyDescent="0.2">
      <c r="A38">
        <v>15</v>
      </c>
      <c r="AL38" s="22" t="str">
        <f ca="1">IF(OFFSET(Kuponger!$E$27,AM38,0)&lt;=AL37,"",OFFSET(Kuponger!$E$5,AM38,0))</f>
        <v/>
      </c>
      <c r="AM38">
        <f t="shared" si="0"/>
        <v>814</v>
      </c>
      <c r="AN38">
        <v>41</v>
      </c>
    </row>
    <row r="39" spans="1:40" x14ac:dyDescent="0.2">
      <c r="A39">
        <v>16</v>
      </c>
      <c r="H39" s="3"/>
      <c r="I39" s="3"/>
      <c r="J39" s="3"/>
      <c r="K39" s="3"/>
      <c r="L39" s="3"/>
      <c r="M39" s="3"/>
      <c r="N39" s="3"/>
      <c r="O39" s="3"/>
      <c r="P39" s="3"/>
      <c r="Q39" s="3"/>
      <c r="R39" s="3"/>
      <c r="S39" s="3"/>
      <c r="T39" s="3"/>
      <c r="U39" s="3"/>
      <c r="AL39" s="22" t="str">
        <f ca="1">IF(OFFSET(Kuponger!$E$27,AM39,0)&lt;=AL38,"",OFFSET(Kuponger!$E$5,AM39,0))</f>
        <v/>
      </c>
      <c r="AM39">
        <f t="shared" si="0"/>
        <v>836</v>
      </c>
      <c r="AN39">
        <v>41</v>
      </c>
    </row>
    <row r="40" spans="1:40" x14ac:dyDescent="0.2">
      <c r="A40">
        <v>17</v>
      </c>
      <c r="H40" s="21"/>
      <c r="I40" s="21"/>
      <c r="J40" s="21"/>
      <c r="K40" s="21"/>
      <c r="L40" s="21"/>
      <c r="M40" s="21"/>
      <c r="N40" s="21"/>
      <c r="AL40" s="22" t="str">
        <f ca="1">IF(OFFSET(Kuponger!$E$27,AM40,0)&lt;=AL39,"",OFFSET(Kuponger!$E$5,AM40,0))</f>
        <v/>
      </c>
      <c r="AM40">
        <f t="shared" si="0"/>
        <v>858</v>
      </c>
      <c r="AN40">
        <v>41</v>
      </c>
    </row>
    <row r="41" spans="1:40" x14ac:dyDescent="0.2">
      <c r="A41">
        <v>18</v>
      </c>
      <c r="H41" s="21"/>
      <c r="I41" s="21"/>
      <c r="J41" s="21"/>
      <c r="K41" s="21"/>
      <c r="L41" s="21"/>
      <c r="M41" s="21"/>
      <c r="N41" s="21"/>
      <c r="AL41" s="22" t="str">
        <f ca="1">IF(OFFSET(Kuponger!$E$27,AM41,0)&lt;=AL40,"",OFFSET(Kuponger!$E$5,AM41,0))</f>
        <v/>
      </c>
      <c r="AM41">
        <f t="shared" si="0"/>
        <v>880</v>
      </c>
      <c r="AN41">
        <v>41</v>
      </c>
    </row>
    <row r="42" spans="1:40" x14ac:dyDescent="0.2">
      <c r="A42">
        <v>19</v>
      </c>
      <c r="AL42" s="22" t="str">
        <f ca="1">IF(OFFSET(Kuponger!$E$27,AM42,0)&lt;=AL41,"",OFFSET(Kuponger!$E$5,AM42,0))</f>
        <v/>
      </c>
      <c r="AM42">
        <f t="shared" si="0"/>
        <v>902</v>
      </c>
      <c r="AN42">
        <v>42</v>
      </c>
    </row>
    <row r="43" spans="1:40" x14ac:dyDescent="0.2">
      <c r="A43">
        <v>20</v>
      </c>
      <c r="AL43" s="22" t="str">
        <f ca="1">IF(OFFSET(Kuponger!$E$27,AM43,0)&lt;=AL42,"",OFFSET(Kuponger!$E$5,AM43,0))</f>
        <v/>
      </c>
      <c r="AM43">
        <f t="shared" si="0"/>
        <v>924</v>
      </c>
      <c r="AN43">
        <v>43</v>
      </c>
    </row>
    <row r="44" spans="1:40" x14ac:dyDescent="0.2">
      <c r="A44">
        <v>21</v>
      </c>
      <c r="AL44" s="22" t="str">
        <f ca="1">IF(OFFSET(Kuponger!$E$27,AM44,0)&lt;=AL43,"",OFFSET(Kuponger!$E$5,AM44,0))</f>
        <v/>
      </c>
      <c r="AM44">
        <f t="shared" si="0"/>
        <v>946</v>
      </c>
      <c r="AN44">
        <v>44</v>
      </c>
    </row>
    <row r="45" spans="1:40" x14ac:dyDescent="0.2">
      <c r="A45">
        <v>22</v>
      </c>
      <c r="AL45" s="22" t="str">
        <f ca="1">IF(OFFSET(Kuponger!$E$27,AM45,0)&lt;=AL44,"",OFFSET(Kuponger!$E$5,AM45,0))</f>
        <v/>
      </c>
      <c r="AM45">
        <f t="shared" si="0"/>
        <v>968</v>
      </c>
      <c r="AN45">
        <v>45</v>
      </c>
    </row>
    <row r="46" spans="1:40" x14ac:dyDescent="0.2">
      <c r="A46">
        <v>23</v>
      </c>
      <c r="AL46" s="22" t="str">
        <f ca="1">IF(OFFSET(Kuponger!$E$27,AM46,0)&lt;=AL45,"",OFFSET(Kuponger!$E$5,AM46,0))</f>
        <v/>
      </c>
      <c r="AM46">
        <f t="shared" si="0"/>
        <v>990</v>
      </c>
      <c r="AN46">
        <v>46</v>
      </c>
    </row>
    <row r="47" spans="1:40" x14ac:dyDescent="0.2">
      <c r="A47">
        <v>24</v>
      </c>
      <c r="AL47" s="22" t="str">
        <f ca="1">IF(OFFSET(Kuponger!$E$27,AM47,0)&lt;=AL46,"",OFFSET(Kuponger!$E$5,AM47,0))</f>
        <v/>
      </c>
      <c r="AM47">
        <f t="shared" si="0"/>
        <v>1012</v>
      </c>
      <c r="AN47">
        <v>47</v>
      </c>
    </row>
    <row r="48" spans="1:40" x14ac:dyDescent="0.2">
      <c r="A48">
        <v>25</v>
      </c>
      <c r="AL48" s="22" t="str">
        <f ca="1">IF(OFFSET(Kuponger!$E$27,AM48,0)&lt;=AL47,"",OFFSET(Kuponger!$E$5,AM48,0))</f>
        <v/>
      </c>
      <c r="AM48">
        <f t="shared" si="0"/>
        <v>1034</v>
      </c>
      <c r="AN48">
        <v>48</v>
      </c>
    </row>
    <row r="49" spans="1:40" x14ac:dyDescent="0.2">
      <c r="A49">
        <v>26</v>
      </c>
      <c r="AL49" s="22" t="str">
        <f ca="1">IF(OFFSET(Kuponger!$E$27,AM49,0)&lt;=AL48,"",OFFSET(Kuponger!$E$5,AM49,0))</f>
        <v/>
      </c>
      <c r="AM49">
        <f t="shared" si="0"/>
        <v>1056</v>
      </c>
      <c r="AN49">
        <v>49</v>
      </c>
    </row>
    <row r="50" spans="1:40" x14ac:dyDescent="0.2">
      <c r="A50">
        <v>27</v>
      </c>
      <c r="AL50" s="22" t="str">
        <f ca="1">IF(OFFSET(Kuponger!$E$27,AM50,0)&lt;=AL49,"",OFFSET(Kuponger!$E$5,AM50,0))</f>
        <v/>
      </c>
      <c r="AM50">
        <f t="shared" si="0"/>
        <v>1078</v>
      </c>
      <c r="AN50">
        <v>50</v>
      </c>
    </row>
    <row r="51" spans="1:40" x14ac:dyDescent="0.2">
      <c r="A51">
        <v>28</v>
      </c>
      <c r="AL51" s="22" t="str">
        <f ca="1">IF(OFFSET(Kuponger!$E$27,AM51,0)&lt;=AL50,"",OFFSET(Kuponger!$E$5,AM51,0))</f>
        <v/>
      </c>
      <c r="AM51">
        <f t="shared" si="0"/>
        <v>1100</v>
      </c>
      <c r="AN51">
        <v>51</v>
      </c>
    </row>
    <row r="52" spans="1:40" x14ac:dyDescent="0.2">
      <c r="A52">
        <v>29</v>
      </c>
      <c r="AL52" s="22" t="str">
        <f ca="1">IF(OFFSET(Kuponger!$E$27,AM52,0)&lt;=AL51,"",OFFSET(Kuponger!$E$5,AM52,0))</f>
        <v/>
      </c>
      <c r="AM52">
        <f t="shared" si="0"/>
        <v>1122</v>
      </c>
      <c r="AN52">
        <v>52</v>
      </c>
    </row>
    <row r="53" spans="1:40" x14ac:dyDescent="0.2">
      <c r="A53">
        <v>30</v>
      </c>
      <c r="AL53" s="22" t="str">
        <f ca="1">IF(OFFSET(Kuponger!$E$27,AM53,0)&lt;=AL52,"",OFFSET(Kuponger!$E$5,AM53,0))</f>
        <v/>
      </c>
      <c r="AM53">
        <f t="shared" si="0"/>
        <v>1144</v>
      </c>
      <c r="AN53">
        <v>53</v>
      </c>
    </row>
    <row r="54" spans="1:40" x14ac:dyDescent="0.2">
      <c r="A54">
        <v>31</v>
      </c>
      <c r="AL54" s="22" t="str">
        <f ca="1">IF(OFFSET(Kuponger!$E$27,AM54,0)&lt;=AL53,"",OFFSET(Kuponger!$E$5,AM54,0))</f>
        <v/>
      </c>
      <c r="AM54">
        <f t="shared" si="0"/>
        <v>1166</v>
      </c>
      <c r="AN54">
        <v>54</v>
      </c>
    </row>
    <row r="55" spans="1:40" x14ac:dyDescent="0.2">
      <c r="A55">
        <v>32</v>
      </c>
      <c r="AL55" s="22" t="str">
        <f ca="1">IF(OFFSET(Kuponger!$E$27,AM55,0)&lt;=AL54,"",OFFSET(Kuponger!$E$5,AM55,0))</f>
        <v/>
      </c>
      <c r="AM55">
        <f t="shared" si="0"/>
        <v>1188</v>
      </c>
      <c r="AN55">
        <v>55</v>
      </c>
    </row>
    <row r="56" spans="1:40" x14ac:dyDescent="0.2">
      <c r="AL56" s="22" t="str">
        <f ca="1">IF(OFFSET(Kuponger!$E$27,AM56,0)&lt;=AL55,"",OFFSET(Kuponger!$E$5,AM56,0))</f>
        <v/>
      </c>
      <c r="AM56">
        <f t="shared" si="0"/>
        <v>1210</v>
      </c>
      <c r="AN56">
        <v>56</v>
      </c>
    </row>
    <row r="57" spans="1:40" x14ac:dyDescent="0.2">
      <c r="AL57" s="22" t="str">
        <f ca="1">IF(OFFSET(Kuponger!$E$27,AM57,0)&lt;=AL56,"",OFFSET(Kuponger!$E$5,AM57,0))</f>
        <v/>
      </c>
      <c r="AM57">
        <f t="shared" si="0"/>
        <v>1232</v>
      </c>
      <c r="AN57">
        <v>57</v>
      </c>
    </row>
    <row r="58" spans="1:40" x14ac:dyDescent="0.2">
      <c r="Y58" s="19"/>
      <c r="Z58" s="19"/>
      <c r="AL58" s="22" t="str">
        <f ca="1">IF(OFFSET(Kuponger!$E$27,AM58,0)&lt;=AL57,"",OFFSET(Kuponger!$E$5,AM58,0))</f>
        <v/>
      </c>
      <c r="AM58">
        <f t="shared" si="0"/>
        <v>1254</v>
      </c>
      <c r="AN58">
        <v>58</v>
      </c>
    </row>
    <row r="59" spans="1:40" x14ac:dyDescent="0.2">
      <c r="AL59" s="22" t="str">
        <f ca="1">IF(OFFSET(Kuponger!$E$27,AM59,0)&lt;=AL58,"",OFFSET(Kuponger!$E$5,AM59,0))</f>
        <v/>
      </c>
      <c r="AM59">
        <f t="shared" si="0"/>
        <v>1276</v>
      </c>
      <c r="AN59">
        <v>59</v>
      </c>
    </row>
    <row r="60" spans="1:40" x14ac:dyDescent="0.2">
      <c r="AL60" s="22" t="str">
        <f ca="1">IF(OFFSET(Kuponger!$E$27,AM60,0)&lt;=AL59,"",OFFSET(Kuponger!$E$5,AM60,0))</f>
        <v/>
      </c>
      <c r="AM60">
        <f t="shared" si="0"/>
        <v>1298</v>
      </c>
      <c r="AN60">
        <v>60</v>
      </c>
    </row>
    <row r="61" spans="1:40" x14ac:dyDescent="0.2">
      <c r="AL61" s="22" t="str">
        <f ca="1">IF(OFFSET(Kuponger!$E$27,AM61,0)&lt;=AL60,"",OFFSET(Kuponger!$E$5,AM61,0))</f>
        <v/>
      </c>
      <c r="AM61">
        <f t="shared" si="0"/>
        <v>1320</v>
      </c>
      <c r="AN61">
        <v>61</v>
      </c>
    </row>
    <row r="62" spans="1:40" x14ac:dyDescent="0.2">
      <c r="AL62" s="22" t="str">
        <f ca="1">IF(OFFSET(Kuponger!$E$27,AM62,0)&lt;=AL61,"",OFFSET(Kuponger!$E$5,AM62,0))</f>
        <v/>
      </c>
      <c r="AM62">
        <f t="shared" si="0"/>
        <v>1342</v>
      </c>
      <c r="AN62">
        <v>62</v>
      </c>
    </row>
    <row r="63" spans="1:40" x14ac:dyDescent="0.2">
      <c r="AL63" s="22" t="str">
        <f ca="1">IF(OFFSET(Kuponger!$E$27,AM63,0)&lt;=AL62,"",OFFSET(Kuponger!$E$5,AM63,0))</f>
        <v/>
      </c>
      <c r="AM63">
        <f t="shared" si="0"/>
        <v>1364</v>
      </c>
      <c r="AN63">
        <v>63</v>
      </c>
    </row>
    <row r="64" spans="1:40" x14ac:dyDescent="0.2">
      <c r="AL64" s="22" t="str">
        <f ca="1">IF(OFFSET(Kuponger!$E$27,AM64,0)&lt;=AL63,"",OFFSET(Kuponger!$E$5,AM64,0))</f>
        <v/>
      </c>
      <c r="AM64">
        <f t="shared" si="0"/>
        <v>1386</v>
      </c>
      <c r="AN64">
        <v>64</v>
      </c>
    </row>
    <row r="65" spans="38:40" x14ac:dyDescent="0.2">
      <c r="AL65" s="22" t="str">
        <f ca="1">IF(OFFSET(Kuponger!$E$27,AM65,0)&lt;=AL64,"",OFFSET(Kuponger!$E$5,AM65,0))</f>
        <v/>
      </c>
      <c r="AM65">
        <f t="shared" si="0"/>
        <v>1408</v>
      </c>
      <c r="AN65">
        <v>65</v>
      </c>
    </row>
    <row r="66" spans="38:40" x14ac:dyDescent="0.2">
      <c r="AL66" s="22" t="str">
        <f ca="1">IF(OFFSET(Kuponger!$E$27,AM66,0)&lt;=AL65,"",OFFSET(Kuponger!$E$5,AM66,0))</f>
        <v/>
      </c>
      <c r="AM66">
        <f t="shared" si="0"/>
        <v>1430</v>
      </c>
      <c r="AN66">
        <v>66</v>
      </c>
    </row>
    <row r="67" spans="38:40" x14ac:dyDescent="0.2">
      <c r="AL67" s="22" t="str">
        <f ca="1">IF(OFFSET(Kuponger!$E$27,AM67,0)&lt;=AL66,"",OFFSET(Kuponger!$E$5,AM67,0))</f>
        <v/>
      </c>
      <c r="AM67">
        <f t="shared" ref="AM67:AM130" si="1">AM66+22</f>
        <v>1452</v>
      </c>
      <c r="AN67">
        <v>67</v>
      </c>
    </row>
    <row r="68" spans="38:40" x14ac:dyDescent="0.2">
      <c r="AL68" s="22" t="str">
        <f ca="1">IF(OFFSET(Kuponger!$E$27,AM68,0)&lt;=AL67,"",OFFSET(Kuponger!$E$5,AM68,0))</f>
        <v/>
      </c>
      <c r="AM68">
        <f t="shared" si="1"/>
        <v>1474</v>
      </c>
      <c r="AN68">
        <v>68</v>
      </c>
    </row>
    <row r="69" spans="38:40" x14ac:dyDescent="0.2">
      <c r="AL69" s="22" t="str">
        <f ca="1">IF(OFFSET(Kuponger!$E$27,AM69,0)&lt;=AL68,"",OFFSET(Kuponger!$E$5,AM69,0))</f>
        <v/>
      </c>
      <c r="AM69">
        <f t="shared" si="1"/>
        <v>1496</v>
      </c>
      <c r="AN69">
        <v>69</v>
      </c>
    </row>
    <row r="70" spans="38:40" x14ac:dyDescent="0.2">
      <c r="AL70" s="22" t="str">
        <f ca="1">IF(OFFSET(Kuponger!$E$27,AM70,0)&lt;=AL69,"",OFFSET(Kuponger!$E$5,AM70,0))</f>
        <v/>
      </c>
      <c r="AM70">
        <f t="shared" si="1"/>
        <v>1518</v>
      </c>
      <c r="AN70">
        <v>70</v>
      </c>
    </row>
    <row r="71" spans="38:40" x14ac:dyDescent="0.2">
      <c r="AL71" s="22" t="str">
        <f ca="1">IF(OFFSET(Kuponger!$E$27,AM71,0)&lt;=AL70,"",OFFSET(Kuponger!$E$5,AM71,0))</f>
        <v/>
      </c>
      <c r="AM71">
        <f t="shared" si="1"/>
        <v>1540</v>
      </c>
      <c r="AN71">
        <v>71</v>
      </c>
    </row>
    <row r="72" spans="38:40" x14ac:dyDescent="0.2">
      <c r="AL72" s="22" t="str">
        <f ca="1">IF(OFFSET(Kuponger!$E$27,AM72,0)&lt;=AL71,"",OFFSET(Kuponger!$E$5,AM72,0))</f>
        <v/>
      </c>
      <c r="AM72">
        <f t="shared" si="1"/>
        <v>1562</v>
      </c>
      <c r="AN72">
        <v>72</v>
      </c>
    </row>
    <row r="73" spans="38:40" x14ac:dyDescent="0.2">
      <c r="AL73" s="22" t="str">
        <f ca="1">IF(OFFSET(Kuponger!$E$27,AM73,0)&lt;=AL72,"",OFFSET(Kuponger!$E$5,AM73,0))</f>
        <v/>
      </c>
      <c r="AM73">
        <f t="shared" si="1"/>
        <v>1584</v>
      </c>
      <c r="AN73">
        <v>73</v>
      </c>
    </row>
    <row r="74" spans="38:40" x14ac:dyDescent="0.2">
      <c r="AL74" s="22" t="str">
        <f ca="1">IF(OFFSET(Kuponger!$E$27,AM74,0)&lt;=AL73,"",OFFSET(Kuponger!$E$5,AM74,0))</f>
        <v/>
      </c>
      <c r="AM74">
        <f t="shared" si="1"/>
        <v>1606</v>
      </c>
      <c r="AN74">
        <v>74</v>
      </c>
    </row>
    <row r="75" spans="38:40" x14ac:dyDescent="0.2">
      <c r="AL75" s="22" t="str">
        <f ca="1">IF(OFFSET(Kuponger!$E$27,AM75,0)&lt;=AL74,"",OFFSET(Kuponger!$E$5,AM75,0))</f>
        <v/>
      </c>
      <c r="AM75">
        <f t="shared" si="1"/>
        <v>1628</v>
      </c>
      <c r="AN75">
        <v>75</v>
      </c>
    </row>
    <row r="76" spans="38:40" x14ac:dyDescent="0.2">
      <c r="AL76" s="22" t="str">
        <f ca="1">IF(OFFSET(Kuponger!$E$27,AM76,0)&lt;=AL75,"",OFFSET(Kuponger!$E$5,AM76,0))</f>
        <v/>
      </c>
      <c r="AM76">
        <f t="shared" si="1"/>
        <v>1650</v>
      </c>
      <c r="AN76">
        <v>76</v>
      </c>
    </row>
    <row r="77" spans="38:40" x14ac:dyDescent="0.2">
      <c r="AL77" s="22" t="str">
        <f ca="1">IF(OFFSET(Kuponger!$E$27,AM77,0)&lt;=AL76,"",OFFSET(Kuponger!$E$5,AM77,0))</f>
        <v/>
      </c>
      <c r="AM77">
        <f t="shared" si="1"/>
        <v>1672</v>
      </c>
      <c r="AN77">
        <v>77</v>
      </c>
    </row>
    <row r="78" spans="38:40" x14ac:dyDescent="0.2">
      <c r="AL78" s="22" t="str">
        <f ca="1">IF(OFFSET(Kuponger!$E$27,AM78,0)&lt;=AL77,"",OFFSET(Kuponger!$E$5,AM78,0))</f>
        <v/>
      </c>
      <c r="AM78">
        <f t="shared" si="1"/>
        <v>1694</v>
      </c>
      <c r="AN78">
        <v>78</v>
      </c>
    </row>
    <row r="79" spans="38:40" x14ac:dyDescent="0.2">
      <c r="AL79" s="22" t="str">
        <f ca="1">IF(OFFSET(Kuponger!$E$27,AM79,0)&lt;=AL78,"",OFFSET(Kuponger!$E$5,AM79,0))</f>
        <v/>
      </c>
      <c r="AM79">
        <f t="shared" si="1"/>
        <v>1716</v>
      </c>
      <c r="AN79">
        <v>79</v>
      </c>
    </row>
    <row r="80" spans="38:40" x14ac:dyDescent="0.2">
      <c r="AL80" s="22" t="str">
        <f ca="1">IF(OFFSET(Kuponger!$E$27,AM80,0)&lt;=AL79,"",OFFSET(Kuponger!$E$5,AM80,0))</f>
        <v/>
      </c>
      <c r="AM80">
        <f t="shared" si="1"/>
        <v>1738</v>
      </c>
      <c r="AN80">
        <v>80</v>
      </c>
    </row>
    <row r="81" spans="38:40" x14ac:dyDescent="0.2">
      <c r="AL81" s="22" t="str">
        <f ca="1">IF(OFFSET(Kuponger!$E$27,AM81,0)&lt;=AL80,"",OFFSET(Kuponger!$E$5,AM81,0))</f>
        <v/>
      </c>
      <c r="AM81">
        <f t="shared" si="1"/>
        <v>1760</v>
      </c>
      <c r="AN81">
        <v>81</v>
      </c>
    </row>
    <row r="82" spans="38:40" x14ac:dyDescent="0.2">
      <c r="AL82" s="22" t="str">
        <f ca="1">IF(OFFSET(Kuponger!$E$27,AM82,0)&lt;=AL81,"",OFFSET(Kuponger!$E$5,AM82,0))</f>
        <v/>
      </c>
      <c r="AM82">
        <f t="shared" si="1"/>
        <v>1782</v>
      </c>
      <c r="AN82">
        <v>82</v>
      </c>
    </row>
    <row r="83" spans="38:40" x14ac:dyDescent="0.2">
      <c r="AL83" s="22" t="str">
        <f ca="1">IF(OFFSET(Kuponger!$E$27,AM83,0)&lt;=AL82,"",OFFSET(Kuponger!$E$5,AM83,0))</f>
        <v/>
      </c>
      <c r="AM83">
        <f t="shared" si="1"/>
        <v>1804</v>
      </c>
      <c r="AN83">
        <v>83</v>
      </c>
    </row>
    <row r="84" spans="38:40" x14ac:dyDescent="0.2">
      <c r="AL84" s="22" t="str">
        <f ca="1">IF(OFFSET(Kuponger!$E$27,AM84,0)&lt;=AL83,"",OFFSET(Kuponger!$E$5,AM84,0))</f>
        <v/>
      </c>
      <c r="AM84">
        <f t="shared" si="1"/>
        <v>1826</v>
      </c>
      <c r="AN84">
        <v>84</v>
      </c>
    </row>
    <row r="85" spans="38:40" x14ac:dyDescent="0.2">
      <c r="AL85" s="22" t="str">
        <f ca="1">IF(OFFSET(Kuponger!$E$27,AM85,0)&lt;=AL84,"",OFFSET(Kuponger!$E$5,AM85,0))</f>
        <v/>
      </c>
      <c r="AM85">
        <f t="shared" si="1"/>
        <v>1848</v>
      </c>
      <c r="AN85">
        <v>85</v>
      </c>
    </row>
    <row r="86" spans="38:40" x14ac:dyDescent="0.2">
      <c r="AL86" s="22" t="str">
        <f ca="1">IF(OFFSET(Kuponger!$E$27,AM86,0)&lt;=AL85,"",OFFSET(Kuponger!$E$5,AM86,0))</f>
        <v/>
      </c>
      <c r="AM86">
        <f t="shared" si="1"/>
        <v>1870</v>
      </c>
      <c r="AN86">
        <v>86</v>
      </c>
    </row>
    <row r="87" spans="38:40" x14ac:dyDescent="0.2">
      <c r="AL87" s="22" t="str">
        <f ca="1">IF(OFFSET(Kuponger!$E$27,AM87,0)&lt;=AL86,"",OFFSET(Kuponger!$E$5,AM87,0))</f>
        <v/>
      </c>
      <c r="AM87">
        <f t="shared" si="1"/>
        <v>1892</v>
      </c>
      <c r="AN87">
        <v>87</v>
      </c>
    </row>
    <row r="88" spans="38:40" x14ac:dyDescent="0.2">
      <c r="AL88" s="22" t="str">
        <f ca="1">IF(OFFSET(Kuponger!$E$27,AM88,0)&lt;=AL87,"",OFFSET(Kuponger!$E$5,AM88,0))</f>
        <v/>
      </c>
      <c r="AM88">
        <f t="shared" si="1"/>
        <v>1914</v>
      </c>
      <c r="AN88">
        <v>88</v>
      </c>
    </row>
    <row r="89" spans="38:40" x14ac:dyDescent="0.2">
      <c r="AL89" s="22" t="str">
        <f ca="1">IF(OFFSET(Kuponger!$E$27,AM89,0)&lt;=AL88,"",OFFSET(Kuponger!$E$5,AM89,0))</f>
        <v/>
      </c>
      <c r="AM89">
        <f t="shared" si="1"/>
        <v>1936</v>
      </c>
      <c r="AN89">
        <v>89</v>
      </c>
    </row>
    <row r="90" spans="38:40" x14ac:dyDescent="0.2">
      <c r="AL90" s="22" t="str">
        <f ca="1">IF(OFFSET(Kuponger!$E$27,AM90,0)&lt;=AL89,"",OFFSET(Kuponger!$E$5,AM90,0))</f>
        <v/>
      </c>
      <c r="AM90">
        <f t="shared" si="1"/>
        <v>1958</v>
      </c>
      <c r="AN90">
        <v>90</v>
      </c>
    </row>
    <row r="91" spans="38:40" x14ac:dyDescent="0.2">
      <c r="AL91" s="22" t="str">
        <f ca="1">IF(OFFSET(Kuponger!$E$27,AM91,0)&lt;=AL90,"",OFFSET(Kuponger!$E$5,AM91,0))</f>
        <v/>
      </c>
      <c r="AM91">
        <f t="shared" si="1"/>
        <v>1980</v>
      </c>
      <c r="AN91">
        <v>91</v>
      </c>
    </row>
    <row r="92" spans="38:40" x14ac:dyDescent="0.2">
      <c r="AL92" s="22" t="str">
        <f ca="1">IF(OFFSET(Kuponger!$E$27,AM92,0)&lt;=AL91,"",OFFSET(Kuponger!$E$5,AM92,0))</f>
        <v/>
      </c>
      <c r="AM92">
        <f t="shared" si="1"/>
        <v>2002</v>
      </c>
      <c r="AN92">
        <v>92</v>
      </c>
    </row>
    <row r="93" spans="38:40" x14ac:dyDescent="0.2">
      <c r="AL93" s="22" t="str">
        <f ca="1">IF(OFFSET(Kuponger!$E$27,AM93,0)&lt;=AL92,"",OFFSET(Kuponger!$E$5,AM93,0))</f>
        <v/>
      </c>
      <c r="AM93">
        <f t="shared" si="1"/>
        <v>2024</v>
      </c>
      <c r="AN93">
        <v>93</v>
      </c>
    </row>
    <row r="94" spans="38:40" x14ac:dyDescent="0.2">
      <c r="AL94" s="22" t="str">
        <f ca="1">IF(OFFSET(Kuponger!$E$27,AM94,0)&lt;=AL93,"",OFFSET(Kuponger!$E$5,AM94,0))</f>
        <v/>
      </c>
      <c r="AM94">
        <f t="shared" si="1"/>
        <v>2046</v>
      </c>
      <c r="AN94">
        <v>94</v>
      </c>
    </row>
    <row r="95" spans="38:40" x14ac:dyDescent="0.2">
      <c r="AL95" s="22" t="str">
        <f ca="1">IF(OFFSET(Kuponger!$E$27,AM95,0)&lt;=AL94,"",OFFSET(Kuponger!$E$5,AM95,0))</f>
        <v/>
      </c>
      <c r="AM95">
        <f t="shared" si="1"/>
        <v>2068</v>
      </c>
      <c r="AN95">
        <v>95</v>
      </c>
    </row>
    <row r="96" spans="38:40" x14ac:dyDescent="0.2">
      <c r="AL96" s="22" t="str">
        <f ca="1">IF(OFFSET(Kuponger!$E$27,AM96,0)&lt;=AL95,"",OFFSET(Kuponger!$E$5,AM96,0))</f>
        <v/>
      </c>
      <c r="AM96">
        <f t="shared" si="1"/>
        <v>2090</v>
      </c>
      <c r="AN96">
        <v>96</v>
      </c>
    </row>
    <row r="97" spans="38:40" x14ac:dyDescent="0.2">
      <c r="AL97" s="22" t="str">
        <f ca="1">IF(OFFSET(Kuponger!$E$27,AM97,0)&lt;=AL96,"",OFFSET(Kuponger!$E$5,AM97,0))</f>
        <v/>
      </c>
      <c r="AM97">
        <f t="shared" si="1"/>
        <v>2112</v>
      </c>
      <c r="AN97">
        <v>97</v>
      </c>
    </row>
    <row r="98" spans="38:40" x14ac:dyDescent="0.2">
      <c r="AL98" s="22" t="str">
        <f ca="1">IF(OFFSET(Kuponger!$E$27,AM98,0)&lt;=AL97,"",OFFSET(Kuponger!$E$5,AM98,0))</f>
        <v/>
      </c>
      <c r="AM98">
        <f t="shared" si="1"/>
        <v>2134</v>
      </c>
      <c r="AN98">
        <v>98</v>
      </c>
    </row>
    <row r="99" spans="38:40" x14ac:dyDescent="0.2">
      <c r="AL99" s="22" t="str">
        <f ca="1">IF(OFFSET(Kuponger!$E$27,AM99,0)&lt;=AL98,"",OFFSET(Kuponger!$E$5,AM99,0))</f>
        <v/>
      </c>
      <c r="AM99">
        <f t="shared" si="1"/>
        <v>2156</v>
      </c>
      <c r="AN99">
        <v>99</v>
      </c>
    </row>
    <row r="100" spans="38:40" x14ac:dyDescent="0.2">
      <c r="AL100" s="22" t="str">
        <f ca="1">IF(OFFSET(Kuponger!$E$27,AM100,0)&lt;=AL99,"",OFFSET(Kuponger!$E$5,AM100,0))</f>
        <v/>
      </c>
      <c r="AM100">
        <f t="shared" si="1"/>
        <v>2178</v>
      </c>
      <c r="AN100">
        <v>100</v>
      </c>
    </row>
    <row r="101" spans="38:40" x14ac:dyDescent="0.2">
      <c r="AL101" s="22" t="str">
        <f ca="1">IF(OFFSET(Kuponger!$E$27,AM101,0)&lt;=AL100,"",OFFSET(Kuponger!$E$5,AM101,0))</f>
        <v/>
      </c>
      <c r="AM101">
        <f t="shared" si="1"/>
        <v>2200</v>
      </c>
      <c r="AN101">
        <v>101</v>
      </c>
    </row>
    <row r="102" spans="38:40" x14ac:dyDescent="0.2">
      <c r="AL102" s="22" t="str">
        <f ca="1">IF(OFFSET(Kuponger!$E$27,AM102,0)&lt;=AL101,"",OFFSET(Kuponger!$E$5,AM102,0))</f>
        <v/>
      </c>
      <c r="AM102">
        <f t="shared" si="1"/>
        <v>2222</v>
      </c>
      <c r="AN102">
        <v>102</v>
      </c>
    </row>
    <row r="103" spans="38:40" x14ac:dyDescent="0.2">
      <c r="AL103" s="22" t="str">
        <f ca="1">IF(OFFSET(Kuponger!$E$27,AM103,0)&lt;=AL102,"",OFFSET(Kuponger!$E$5,AM103,0))</f>
        <v/>
      </c>
      <c r="AM103">
        <f t="shared" si="1"/>
        <v>2244</v>
      </c>
      <c r="AN103">
        <v>103</v>
      </c>
    </row>
    <row r="104" spans="38:40" x14ac:dyDescent="0.2">
      <c r="AL104" s="22" t="str">
        <f ca="1">IF(OFFSET(Kuponger!$E$27,AM104,0)&lt;=AL103,"",OFFSET(Kuponger!$E$5,AM104,0))</f>
        <v/>
      </c>
      <c r="AM104">
        <f t="shared" si="1"/>
        <v>2266</v>
      </c>
      <c r="AN104">
        <v>104</v>
      </c>
    </row>
    <row r="105" spans="38:40" x14ac:dyDescent="0.2">
      <c r="AL105" s="22" t="str">
        <f ca="1">IF(OFFSET(Kuponger!$E$27,AM105,0)&lt;=AL104,"",OFFSET(Kuponger!$E$5,AM105,0))</f>
        <v/>
      </c>
      <c r="AM105">
        <f t="shared" si="1"/>
        <v>2288</v>
      </c>
      <c r="AN105">
        <v>105</v>
      </c>
    </row>
    <row r="106" spans="38:40" x14ac:dyDescent="0.2">
      <c r="AL106" s="22" t="str">
        <f ca="1">IF(OFFSET(Kuponger!$E$27,AM106,0)&lt;=AL105,"",OFFSET(Kuponger!$E$5,AM106,0))</f>
        <v/>
      </c>
      <c r="AM106">
        <f t="shared" si="1"/>
        <v>2310</v>
      </c>
      <c r="AN106">
        <v>106</v>
      </c>
    </row>
    <row r="107" spans="38:40" x14ac:dyDescent="0.2">
      <c r="AL107" s="22" t="str">
        <f ca="1">IF(OFFSET(Kuponger!$E$27,AM107,0)&lt;=AL106,"",OFFSET(Kuponger!$E$5,AM107,0))</f>
        <v/>
      </c>
      <c r="AM107">
        <f t="shared" si="1"/>
        <v>2332</v>
      </c>
      <c r="AN107">
        <v>107</v>
      </c>
    </row>
    <row r="108" spans="38:40" x14ac:dyDescent="0.2">
      <c r="AL108" s="22" t="str">
        <f ca="1">IF(OFFSET(Kuponger!$E$27,AM108,0)&lt;=AL107,"",OFFSET(Kuponger!$E$5,AM108,0))</f>
        <v/>
      </c>
      <c r="AM108">
        <f t="shared" si="1"/>
        <v>2354</v>
      </c>
      <c r="AN108">
        <v>108</v>
      </c>
    </row>
    <row r="109" spans="38:40" x14ac:dyDescent="0.2">
      <c r="AL109" s="22" t="str">
        <f ca="1">IF(OFFSET(Kuponger!$E$27,AM109,0)&lt;=AL108,"",OFFSET(Kuponger!$E$5,AM109,0))</f>
        <v/>
      </c>
      <c r="AM109">
        <f t="shared" si="1"/>
        <v>2376</v>
      </c>
      <c r="AN109">
        <v>109</v>
      </c>
    </row>
    <row r="110" spans="38:40" x14ac:dyDescent="0.2">
      <c r="AL110" s="22" t="str">
        <f ca="1">IF(OFFSET(Kuponger!$E$27,AM110,0)&lt;=AL109,"",OFFSET(Kuponger!$E$5,AM110,0))</f>
        <v/>
      </c>
      <c r="AM110">
        <f t="shared" si="1"/>
        <v>2398</v>
      </c>
      <c r="AN110">
        <v>110</v>
      </c>
    </row>
    <row r="111" spans="38:40" x14ac:dyDescent="0.2">
      <c r="AL111" s="22" t="str">
        <f ca="1">IF(OFFSET(Kuponger!$E$27,AM111,0)&lt;=AL110,"",OFFSET(Kuponger!$E$5,AM111,0))</f>
        <v/>
      </c>
      <c r="AM111">
        <f t="shared" si="1"/>
        <v>2420</v>
      </c>
      <c r="AN111">
        <v>111</v>
      </c>
    </row>
    <row r="112" spans="38:40" x14ac:dyDescent="0.2">
      <c r="AL112" s="22" t="str">
        <f ca="1">IF(OFFSET(Kuponger!$E$27,AM112,0)&lt;=AL111,"",OFFSET(Kuponger!$E$5,AM112,0))</f>
        <v/>
      </c>
      <c r="AM112">
        <f t="shared" si="1"/>
        <v>2442</v>
      </c>
      <c r="AN112">
        <v>112</v>
      </c>
    </row>
    <row r="113" spans="38:40" x14ac:dyDescent="0.2">
      <c r="AL113" s="22" t="str">
        <f ca="1">IF(OFFSET(Kuponger!$E$27,AM113,0)&lt;=AL112,"",OFFSET(Kuponger!$E$5,AM113,0))</f>
        <v/>
      </c>
      <c r="AM113">
        <f t="shared" si="1"/>
        <v>2464</v>
      </c>
      <c r="AN113">
        <v>113</v>
      </c>
    </row>
    <row r="114" spans="38:40" x14ac:dyDescent="0.2">
      <c r="AL114" s="22" t="str">
        <f ca="1">IF(OFFSET(Kuponger!$E$27,AM114,0)&lt;=AL113,"",OFFSET(Kuponger!$E$5,AM114,0))</f>
        <v/>
      </c>
      <c r="AM114">
        <f t="shared" si="1"/>
        <v>2486</v>
      </c>
      <c r="AN114">
        <v>114</v>
      </c>
    </row>
    <row r="115" spans="38:40" x14ac:dyDescent="0.2">
      <c r="AL115" s="22" t="str">
        <f ca="1">IF(OFFSET(Kuponger!$E$27,AM115,0)&lt;=AL114,"",OFFSET(Kuponger!$E$5,AM115,0))</f>
        <v/>
      </c>
      <c r="AM115">
        <f t="shared" si="1"/>
        <v>2508</v>
      </c>
      <c r="AN115">
        <v>115</v>
      </c>
    </row>
    <row r="116" spans="38:40" x14ac:dyDescent="0.2">
      <c r="AL116" s="22" t="str">
        <f ca="1">IF(OFFSET(Kuponger!$E$27,AM116,0)&lt;=AL115,"",OFFSET(Kuponger!$E$5,AM116,0))</f>
        <v/>
      </c>
      <c r="AM116">
        <f t="shared" si="1"/>
        <v>2530</v>
      </c>
      <c r="AN116">
        <v>116</v>
      </c>
    </row>
    <row r="117" spans="38:40" x14ac:dyDescent="0.2">
      <c r="AL117" s="22" t="str">
        <f ca="1">IF(OFFSET(Kuponger!$E$27,AM117,0)&lt;=AL116,"",OFFSET(Kuponger!$E$5,AM117,0))</f>
        <v/>
      </c>
      <c r="AM117">
        <f t="shared" si="1"/>
        <v>2552</v>
      </c>
      <c r="AN117">
        <v>117</v>
      </c>
    </row>
    <row r="118" spans="38:40" x14ac:dyDescent="0.2">
      <c r="AL118" s="22" t="str">
        <f ca="1">IF(OFFSET(Kuponger!$E$27,AM118,0)&lt;=AL117,"",OFFSET(Kuponger!$E$5,AM118,0))</f>
        <v/>
      </c>
      <c r="AM118">
        <f t="shared" si="1"/>
        <v>2574</v>
      </c>
      <c r="AN118">
        <v>118</v>
      </c>
    </row>
    <row r="119" spans="38:40" x14ac:dyDescent="0.2">
      <c r="AL119" s="22" t="str">
        <f ca="1">IF(OFFSET(Kuponger!$E$27,AM119,0)&lt;=AL118,"",OFFSET(Kuponger!$E$5,AM119,0))</f>
        <v/>
      </c>
      <c r="AM119">
        <f t="shared" si="1"/>
        <v>2596</v>
      </c>
      <c r="AN119">
        <v>119</v>
      </c>
    </row>
    <row r="120" spans="38:40" x14ac:dyDescent="0.2">
      <c r="AL120" s="22" t="str">
        <f ca="1">IF(OFFSET(Kuponger!$E$27,AM120,0)&lt;=AL119,"",OFFSET(Kuponger!$E$5,AM120,0))</f>
        <v/>
      </c>
      <c r="AM120">
        <f t="shared" si="1"/>
        <v>2618</v>
      </c>
      <c r="AN120">
        <v>120</v>
      </c>
    </row>
    <row r="121" spans="38:40" x14ac:dyDescent="0.2">
      <c r="AL121" s="22" t="str">
        <f ca="1">IF(OFFSET(Kuponger!$E$27,AM121,0)&lt;=AL120,"",OFFSET(Kuponger!$E$5,AM121,0))</f>
        <v/>
      </c>
      <c r="AM121">
        <f t="shared" si="1"/>
        <v>2640</v>
      </c>
      <c r="AN121">
        <v>121</v>
      </c>
    </row>
    <row r="122" spans="38:40" x14ac:dyDescent="0.2">
      <c r="AL122" s="22" t="str">
        <f ca="1">IF(OFFSET(Kuponger!$E$27,AM122,0)&lt;=AL121,"",OFFSET(Kuponger!$E$5,AM122,0))</f>
        <v/>
      </c>
      <c r="AM122">
        <f t="shared" si="1"/>
        <v>2662</v>
      </c>
      <c r="AN122">
        <v>122</v>
      </c>
    </row>
    <row r="123" spans="38:40" x14ac:dyDescent="0.2">
      <c r="AL123" s="22" t="str">
        <f ca="1">IF(OFFSET(Kuponger!$E$27,AM123,0)&lt;=AL122,"",OFFSET(Kuponger!$E$5,AM123,0))</f>
        <v/>
      </c>
      <c r="AM123">
        <f t="shared" si="1"/>
        <v>2684</v>
      </c>
      <c r="AN123">
        <v>123</v>
      </c>
    </row>
    <row r="124" spans="38:40" x14ac:dyDescent="0.2">
      <c r="AL124" s="22" t="str">
        <f ca="1">IF(OFFSET(Kuponger!$E$27,AM124,0)&lt;=AL123,"",OFFSET(Kuponger!$E$5,AM124,0))</f>
        <v/>
      </c>
      <c r="AM124">
        <f t="shared" si="1"/>
        <v>2706</v>
      </c>
      <c r="AN124">
        <v>124</v>
      </c>
    </row>
    <row r="125" spans="38:40" x14ac:dyDescent="0.2">
      <c r="AL125" s="22" t="str">
        <f ca="1">IF(OFFSET(Kuponger!$E$27,AM125,0)&lt;=AL124,"",OFFSET(Kuponger!$E$5,AM125,0))</f>
        <v/>
      </c>
      <c r="AM125">
        <f t="shared" si="1"/>
        <v>2728</v>
      </c>
      <c r="AN125">
        <v>125</v>
      </c>
    </row>
    <row r="126" spans="38:40" x14ac:dyDescent="0.2">
      <c r="AL126" s="22" t="str">
        <f ca="1">IF(OFFSET(Kuponger!$E$27,AM126,0)&lt;=AL125,"",OFFSET(Kuponger!$E$5,AM126,0))</f>
        <v/>
      </c>
      <c r="AM126">
        <f t="shared" si="1"/>
        <v>2750</v>
      </c>
      <c r="AN126">
        <v>126</v>
      </c>
    </row>
    <row r="127" spans="38:40" x14ac:dyDescent="0.2">
      <c r="AL127" s="22" t="str">
        <f ca="1">IF(OFFSET(Kuponger!$E$27,AM127,0)&lt;=AL126,"",OFFSET(Kuponger!$E$5,AM127,0))</f>
        <v/>
      </c>
      <c r="AM127">
        <f t="shared" si="1"/>
        <v>2772</v>
      </c>
      <c r="AN127">
        <v>127</v>
      </c>
    </row>
    <row r="128" spans="38:40" x14ac:dyDescent="0.2">
      <c r="AL128" s="22" t="str">
        <f ca="1">IF(OFFSET(Kuponger!$E$27,AM128,0)&lt;=AL127,"",OFFSET(Kuponger!$E$5,AM128,0))</f>
        <v/>
      </c>
      <c r="AM128">
        <f t="shared" si="1"/>
        <v>2794</v>
      </c>
      <c r="AN128">
        <v>128</v>
      </c>
    </row>
    <row r="129" spans="38:40" x14ac:dyDescent="0.2">
      <c r="AL129" s="22" t="str">
        <f ca="1">IF(OFFSET(Kuponger!$E$27,AM129,0)&lt;=AL128,"",OFFSET(Kuponger!$E$5,AM129,0))</f>
        <v/>
      </c>
      <c r="AM129">
        <f t="shared" si="1"/>
        <v>2816</v>
      </c>
      <c r="AN129">
        <v>129</v>
      </c>
    </row>
    <row r="130" spans="38:40" x14ac:dyDescent="0.2">
      <c r="AL130" s="22" t="str">
        <f ca="1">IF(OFFSET(Kuponger!$E$27,AM130,0)&lt;=AL129,"",OFFSET(Kuponger!$E$5,AM130,0))</f>
        <v/>
      </c>
      <c r="AM130">
        <f t="shared" si="1"/>
        <v>2838</v>
      </c>
      <c r="AN130">
        <v>130</v>
      </c>
    </row>
    <row r="131" spans="38:40" x14ac:dyDescent="0.2">
      <c r="AL131" s="22" t="str">
        <f ca="1">IF(OFFSET(Kuponger!$E$27,AM131,0)&lt;=AL130,"",OFFSET(Kuponger!$E$5,AM131,0))</f>
        <v/>
      </c>
      <c r="AM131">
        <f t="shared" ref="AM131:AM194" si="2">AM130+22</f>
        <v>2860</v>
      </c>
      <c r="AN131">
        <v>131</v>
      </c>
    </row>
    <row r="132" spans="38:40" x14ac:dyDescent="0.2">
      <c r="AL132" s="22" t="str">
        <f ca="1">IF(OFFSET(Kuponger!$E$27,AM132,0)&lt;=AL131,"",OFFSET(Kuponger!$E$5,AM132,0))</f>
        <v/>
      </c>
      <c r="AM132">
        <f t="shared" si="2"/>
        <v>2882</v>
      </c>
      <c r="AN132">
        <v>132</v>
      </c>
    </row>
    <row r="133" spans="38:40" x14ac:dyDescent="0.2">
      <c r="AL133" s="22" t="str">
        <f ca="1">IF(OFFSET(Kuponger!$E$27,AM133,0)&lt;=AL132,"",OFFSET(Kuponger!$E$5,AM133,0))</f>
        <v/>
      </c>
      <c r="AM133">
        <f t="shared" si="2"/>
        <v>2904</v>
      </c>
      <c r="AN133">
        <v>133</v>
      </c>
    </row>
    <row r="134" spans="38:40" x14ac:dyDescent="0.2">
      <c r="AL134" s="22" t="str">
        <f ca="1">IF(OFFSET(Kuponger!$E$27,AM134,0)&lt;=AL133,"",OFFSET(Kuponger!$E$5,AM134,0))</f>
        <v/>
      </c>
      <c r="AM134">
        <f t="shared" si="2"/>
        <v>2926</v>
      </c>
      <c r="AN134">
        <v>134</v>
      </c>
    </row>
    <row r="135" spans="38:40" x14ac:dyDescent="0.2">
      <c r="AL135" s="22" t="str">
        <f ca="1">IF(OFFSET(Kuponger!$E$27,AM135,0)&lt;=AL134,"",OFFSET(Kuponger!$E$5,AM135,0))</f>
        <v/>
      </c>
      <c r="AM135">
        <f t="shared" si="2"/>
        <v>2948</v>
      </c>
      <c r="AN135">
        <v>135</v>
      </c>
    </row>
    <row r="136" spans="38:40" x14ac:dyDescent="0.2">
      <c r="AL136" s="22" t="str">
        <f ca="1">IF(OFFSET(Kuponger!$E$27,AM136,0)&lt;=AL135,"",OFFSET(Kuponger!$E$5,AM136,0))</f>
        <v/>
      </c>
      <c r="AM136">
        <f t="shared" si="2"/>
        <v>2970</v>
      </c>
      <c r="AN136">
        <v>136</v>
      </c>
    </row>
    <row r="137" spans="38:40" x14ac:dyDescent="0.2">
      <c r="AL137" s="22" t="str">
        <f ca="1">IF(OFFSET(Kuponger!$E$27,AM137,0)&lt;=AL136,"",OFFSET(Kuponger!$E$5,AM137,0))</f>
        <v/>
      </c>
      <c r="AM137">
        <f t="shared" si="2"/>
        <v>2992</v>
      </c>
      <c r="AN137">
        <v>137</v>
      </c>
    </row>
    <row r="138" spans="38:40" x14ac:dyDescent="0.2">
      <c r="AL138" s="22" t="str">
        <f ca="1">IF(OFFSET(Kuponger!$E$27,AM138,0)&lt;=AL137,"",OFFSET(Kuponger!$E$5,AM138,0))</f>
        <v/>
      </c>
      <c r="AM138">
        <f t="shared" si="2"/>
        <v>3014</v>
      </c>
      <c r="AN138">
        <v>138</v>
      </c>
    </row>
    <row r="139" spans="38:40" x14ac:dyDescent="0.2">
      <c r="AL139" s="22" t="str">
        <f ca="1">IF(OFFSET(Kuponger!$E$27,AM139,0)&lt;=AL138,"",OFFSET(Kuponger!$E$5,AM139,0))</f>
        <v/>
      </c>
      <c r="AM139">
        <f t="shared" si="2"/>
        <v>3036</v>
      </c>
      <c r="AN139">
        <v>139</v>
      </c>
    </row>
    <row r="140" spans="38:40" x14ac:dyDescent="0.2">
      <c r="AL140" s="22" t="str">
        <f ca="1">IF(OFFSET(Kuponger!$E$27,AM140,0)&lt;=AL139,"",OFFSET(Kuponger!$E$5,AM140,0))</f>
        <v/>
      </c>
      <c r="AM140">
        <f t="shared" si="2"/>
        <v>3058</v>
      </c>
      <c r="AN140">
        <v>140</v>
      </c>
    </row>
    <row r="141" spans="38:40" x14ac:dyDescent="0.2">
      <c r="AL141" s="22" t="str">
        <f ca="1">IF(OFFSET(Kuponger!$E$27,AM141,0)&lt;=AL140,"",OFFSET(Kuponger!$E$5,AM141,0))</f>
        <v/>
      </c>
      <c r="AM141">
        <f t="shared" si="2"/>
        <v>3080</v>
      </c>
      <c r="AN141">
        <v>141</v>
      </c>
    </row>
    <row r="142" spans="38:40" x14ac:dyDescent="0.2">
      <c r="AL142" s="22" t="str">
        <f ca="1">IF(OFFSET(Kuponger!$E$27,AM142,0)&lt;=AL141,"",OFFSET(Kuponger!$E$5,AM142,0))</f>
        <v/>
      </c>
      <c r="AM142">
        <f t="shared" si="2"/>
        <v>3102</v>
      </c>
      <c r="AN142">
        <v>142</v>
      </c>
    </row>
    <row r="143" spans="38:40" x14ac:dyDescent="0.2">
      <c r="AL143" s="22" t="str">
        <f ca="1">IF(OFFSET(Kuponger!$E$27,AM143,0)&lt;=AL142,"",OFFSET(Kuponger!$E$5,AM143,0))</f>
        <v/>
      </c>
      <c r="AM143">
        <f t="shared" si="2"/>
        <v>3124</v>
      </c>
      <c r="AN143">
        <v>143</v>
      </c>
    </row>
    <row r="144" spans="38:40" x14ac:dyDescent="0.2">
      <c r="AL144" s="22" t="str">
        <f ca="1">IF(OFFSET(Kuponger!$E$27,AM144,0)&lt;=AL143,"",OFFSET(Kuponger!$E$5,AM144,0))</f>
        <v/>
      </c>
      <c r="AM144">
        <f t="shared" si="2"/>
        <v>3146</v>
      </c>
      <c r="AN144">
        <v>144</v>
      </c>
    </row>
    <row r="145" spans="38:40" x14ac:dyDescent="0.2">
      <c r="AL145" s="22" t="str">
        <f ca="1">IF(OFFSET(Kuponger!$E$27,AM145,0)&lt;=AL144,"",OFFSET(Kuponger!$E$5,AM145,0))</f>
        <v/>
      </c>
      <c r="AM145">
        <f t="shared" si="2"/>
        <v>3168</v>
      </c>
      <c r="AN145">
        <v>145</v>
      </c>
    </row>
    <row r="146" spans="38:40" x14ac:dyDescent="0.2">
      <c r="AL146" s="22" t="str">
        <f ca="1">IF(OFFSET(Kuponger!$E$27,AM146,0)&lt;=AL145,"",OFFSET(Kuponger!$E$5,AM146,0))</f>
        <v/>
      </c>
      <c r="AM146">
        <f t="shared" si="2"/>
        <v>3190</v>
      </c>
      <c r="AN146">
        <v>146</v>
      </c>
    </row>
    <row r="147" spans="38:40" x14ac:dyDescent="0.2">
      <c r="AL147" s="22" t="str">
        <f ca="1">IF(OFFSET(Kuponger!$E$27,AM147,0)&lt;=AL146,"",OFFSET(Kuponger!$E$5,AM147,0))</f>
        <v/>
      </c>
      <c r="AM147">
        <f t="shared" si="2"/>
        <v>3212</v>
      </c>
      <c r="AN147">
        <v>147</v>
      </c>
    </row>
    <row r="148" spans="38:40" x14ac:dyDescent="0.2">
      <c r="AL148" s="22" t="str">
        <f ca="1">IF(OFFSET(Kuponger!$E$27,AM148,0)&lt;=AL147,"",OFFSET(Kuponger!$E$5,AM148,0))</f>
        <v/>
      </c>
      <c r="AM148">
        <f t="shared" si="2"/>
        <v>3234</v>
      </c>
      <c r="AN148">
        <v>148</v>
      </c>
    </row>
    <row r="149" spans="38:40" x14ac:dyDescent="0.2">
      <c r="AL149" s="22" t="str">
        <f ca="1">IF(OFFSET(Kuponger!$E$27,AM149,0)&lt;=AL148,"",OFFSET(Kuponger!$E$5,AM149,0))</f>
        <v/>
      </c>
      <c r="AM149">
        <f t="shared" si="2"/>
        <v>3256</v>
      </c>
      <c r="AN149">
        <v>149</v>
      </c>
    </row>
    <row r="150" spans="38:40" x14ac:dyDescent="0.2">
      <c r="AL150" s="22" t="str">
        <f ca="1">IF(OFFSET(Kuponger!$E$27,AM150,0)&lt;=AL149,"",OFFSET(Kuponger!$E$5,AM150,0))</f>
        <v/>
      </c>
      <c r="AM150">
        <f t="shared" si="2"/>
        <v>3278</v>
      </c>
      <c r="AN150">
        <v>150</v>
      </c>
    </row>
    <row r="151" spans="38:40" x14ac:dyDescent="0.2">
      <c r="AL151" s="22" t="str">
        <f ca="1">IF(OFFSET(Kuponger!$E$27,AM151,0)&lt;=AL150,"",OFFSET(Kuponger!$E$5,AM151,0))</f>
        <v/>
      </c>
      <c r="AM151">
        <f t="shared" si="2"/>
        <v>3300</v>
      </c>
      <c r="AN151">
        <v>151</v>
      </c>
    </row>
    <row r="152" spans="38:40" x14ac:dyDescent="0.2">
      <c r="AL152" s="22" t="str">
        <f ca="1">IF(OFFSET(Kuponger!$E$27,AM152,0)&lt;=AL151,"",OFFSET(Kuponger!$E$5,AM152,0))</f>
        <v/>
      </c>
      <c r="AM152">
        <f t="shared" si="2"/>
        <v>3322</v>
      </c>
      <c r="AN152">
        <v>152</v>
      </c>
    </row>
    <row r="153" spans="38:40" x14ac:dyDescent="0.2">
      <c r="AL153" s="22" t="str">
        <f ca="1">IF(OFFSET(Kuponger!$E$27,AM153,0)&lt;=AL152,"",OFFSET(Kuponger!$E$5,AM153,0))</f>
        <v/>
      </c>
      <c r="AM153">
        <f t="shared" si="2"/>
        <v>3344</v>
      </c>
      <c r="AN153">
        <v>153</v>
      </c>
    </row>
    <row r="154" spans="38:40" x14ac:dyDescent="0.2">
      <c r="AL154" s="22" t="str">
        <f ca="1">IF(OFFSET(Kuponger!$E$27,AM154,0)&lt;=AL153,"",OFFSET(Kuponger!$E$5,AM154,0))</f>
        <v/>
      </c>
      <c r="AM154">
        <f t="shared" si="2"/>
        <v>3366</v>
      </c>
      <c r="AN154">
        <v>154</v>
      </c>
    </row>
    <row r="155" spans="38:40" x14ac:dyDescent="0.2">
      <c r="AL155" s="22" t="str">
        <f ca="1">IF(OFFSET(Kuponger!$E$27,AM155,0)&lt;=AL154,"",OFFSET(Kuponger!$E$5,AM155,0))</f>
        <v/>
      </c>
      <c r="AM155">
        <f t="shared" si="2"/>
        <v>3388</v>
      </c>
      <c r="AN155">
        <v>155</v>
      </c>
    </row>
    <row r="156" spans="38:40" x14ac:dyDescent="0.2">
      <c r="AL156" s="22" t="str">
        <f ca="1">IF(OFFSET(Kuponger!$E$27,AM156,0)&lt;=AL155,"",OFFSET(Kuponger!$E$5,AM156,0))</f>
        <v/>
      </c>
      <c r="AM156">
        <f t="shared" si="2"/>
        <v>3410</v>
      </c>
      <c r="AN156">
        <v>156</v>
      </c>
    </row>
    <row r="157" spans="38:40" x14ac:dyDescent="0.2">
      <c r="AL157" s="22" t="str">
        <f ca="1">IF(OFFSET(Kuponger!$E$27,AM157,0)&lt;=AL156,"",OFFSET(Kuponger!$E$5,AM157,0))</f>
        <v/>
      </c>
      <c r="AM157">
        <f t="shared" si="2"/>
        <v>3432</v>
      </c>
      <c r="AN157">
        <v>157</v>
      </c>
    </row>
    <row r="158" spans="38:40" x14ac:dyDescent="0.2">
      <c r="AL158" s="22" t="str">
        <f ca="1">IF(OFFSET(Kuponger!$E$27,AM158,0)&lt;=AL157,"",OFFSET(Kuponger!$E$5,AM158,0))</f>
        <v/>
      </c>
      <c r="AM158">
        <f t="shared" si="2"/>
        <v>3454</v>
      </c>
      <c r="AN158">
        <v>158</v>
      </c>
    </row>
    <row r="159" spans="38:40" x14ac:dyDescent="0.2">
      <c r="AL159" s="22" t="str">
        <f ca="1">IF(OFFSET(Kuponger!$E$27,AM159,0)&lt;=AL158,"",OFFSET(Kuponger!$E$5,AM159,0))</f>
        <v/>
      </c>
      <c r="AM159">
        <f t="shared" si="2"/>
        <v>3476</v>
      </c>
      <c r="AN159">
        <v>159</v>
      </c>
    </row>
    <row r="160" spans="38:40" x14ac:dyDescent="0.2">
      <c r="AL160" s="22" t="str">
        <f ca="1">IF(OFFSET(Kuponger!$E$27,AM160,0)&lt;=AL159,"",OFFSET(Kuponger!$E$5,AM160,0))</f>
        <v/>
      </c>
      <c r="AM160">
        <f t="shared" si="2"/>
        <v>3498</v>
      </c>
      <c r="AN160">
        <v>160</v>
      </c>
    </row>
    <row r="161" spans="38:40" x14ac:dyDescent="0.2">
      <c r="AL161" s="22" t="str">
        <f ca="1">IF(OFFSET(Kuponger!$E$27,AM161,0)&lt;=AL160,"",OFFSET(Kuponger!$E$5,AM161,0))</f>
        <v/>
      </c>
      <c r="AM161">
        <f t="shared" si="2"/>
        <v>3520</v>
      </c>
      <c r="AN161">
        <v>161</v>
      </c>
    </row>
    <row r="162" spans="38:40" x14ac:dyDescent="0.2">
      <c r="AL162" s="22" t="str">
        <f ca="1">IF(OFFSET(Kuponger!$E$27,AM162,0)&lt;=AL161,"",OFFSET(Kuponger!$E$5,AM162,0))</f>
        <v/>
      </c>
      <c r="AM162">
        <f t="shared" si="2"/>
        <v>3542</v>
      </c>
      <c r="AN162">
        <v>162</v>
      </c>
    </row>
    <row r="163" spans="38:40" x14ac:dyDescent="0.2">
      <c r="AL163" s="22" t="str">
        <f ca="1">IF(OFFSET(Kuponger!$E$27,AM163,0)&lt;=AL162,"",OFFSET(Kuponger!$E$5,AM163,0))</f>
        <v/>
      </c>
      <c r="AM163">
        <f t="shared" si="2"/>
        <v>3564</v>
      </c>
      <c r="AN163">
        <v>163</v>
      </c>
    </row>
    <row r="164" spans="38:40" x14ac:dyDescent="0.2">
      <c r="AL164" s="22" t="str">
        <f ca="1">IF(OFFSET(Kuponger!$E$27,AM164,0)&lt;=AL163,"",OFFSET(Kuponger!$E$5,AM164,0))</f>
        <v/>
      </c>
      <c r="AM164">
        <f t="shared" si="2"/>
        <v>3586</v>
      </c>
      <c r="AN164">
        <v>164</v>
      </c>
    </row>
    <row r="165" spans="38:40" x14ac:dyDescent="0.2">
      <c r="AL165" s="22" t="str">
        <f ca="1">IF(OFFSET(Kuponger!$E$27,AM165,0)&lt;=AL164,"",OFFSET(Kuponger!$E$5,AM165,0))</f>
        <v/>
      </c>
      <c r="AM165">
        <f t="shared" si="2"/>
        <v>3608</v>
      </c>
      <c r="AN165">
        <v>165</v>
      </c>
    </row>
    <row r="166" spans="38:40" x14ac:dyDescent="0.2">
      <c r="AL166" s="22" t="str">
        <f ca="1">IF(OFFSET(Kuponger!$E$27,AM166,0)&lt;=AL165,"",OFFSET(Kuponger!$E$5,AM166,0))</f>
        <v/>
      </c>
      <c r="AM166">
        <f t="shared" si="2"/>
        <v>3630</v>
      </c>
      <c r="AN166">
        <v>166</v>
      </c>
    </row>
    <row r="167" spans="38:40" x14ac:dyDescent="0.2">
      <c r="AL167" s="22" t="str">
        <f ca="1">IF(OFFSET(Kuponger!$E$27,AM167,0)&lt;=AL166,"",OFFSET(Kuponger!$E$5,AM167,0))</f>
        <v/>
      </c>
      <c r="AM167">
        <f t="shared" si="2"/>
        <v>3652</v>
      </c>
      <c r="AN167">
        <v>167</v>
      </c>
    </row>
    <row r="168" spans="38:40" x14ac:dyDescent="0.2">
      <c r="AL168" s="22" t="str">
        <f ca="1">IF(OFFSET(Kuponger!$E$27,AM168,0)&lt;=AL167,"",OFFSET(Kuponger!$E$5,AM168,0))</f>
        <v/>
      </c>
      <c r="AM168">
        <f t="shared" si="2"/>
        <v>3674</v>
      </c>
      <c r="AN168">
        <v>168</v>
      </c>
    </row>
    <row r="169" spans="38:40" x14ac:dyDescent="0.2">
      <c r="AL169" s="22" t="str">
        <f ca="1">IF(OFFSET(Kuponger!$E$27,AM169,0)&lt;=AL168,"",OFFSET(Kuponger!$E$5,AM169,0))</f>
        <v/>
      </c>
      <c r="AM169">
        <f t="shared" si="2"/>
        <v>3696</v>
      </c>
      <c r="AN169">
        <v>169</v>
      </c>
    </row>
    <row r="170" spans="38:40" x14ac:dyDescent="0.2">
      <c r="AL170" s="22" t="str">
        <f ca="1">IF(OFFSET(Kuponger!$E$27,AM170,0)&lt;=AL169,"",OFFSET(Kuponger!$E$5,AM170,0))</f>
        <v/>
      </c>
      <c r="AM170">
        <f t="shared" si="2"/>
        <v>3718</v>
      </c>
      <c r="AN170">
        <v>170</v>
      </c>
    </row>
    <row r="171" spans="38:40" x14ac:dyDescent="0.2">
      <c r="AL171" s="22" t="str">
        <f ca="1">IF(OFFSET(Kuponger!$E$27,AM171,0)&lt;=AL170,"",OFFSET(Kuponger!$E$5,AM171,0))</f>
        <v/>
      </c>
      <c r="AM171">
        <f t="shared" si="2"/>
        <v>3740</v>
      </c>
      <c r="AN171">
        <v>171</v>
      </c>
    </row>
    <row r="172" spans="38:40" x14ac:dyDescent="0.2">
      <c r="AL172" s="22" t="str">
        <f ca="1">IF(OFFSET(Kuponger!$E$27,AM172,0)&lt;=AL171,"",OFFSET(Kuponger!$E$5,AM172,0))</f>
        <v/>
      </c>
      <c r="AM172">
        <f t="shared" si="2"/>
        <v>3762</v>
      </c>
      <c r="AN172">
        <v>172</v>
      </c>
    </row>
    <row r="173" spans="38:40" x14ac:dyDescent="0.2">
      <c r="AL173" s="22" t="str">
        <f ca="1">IF(OFFSET(Kuponger!$E$27,AM173,0)&lt;=AL172,"",OFFSET(Kuponger!$E$5,AM173,0))</f>
        <v/>
      </c>
      <c r="AM173">
        <f t="shared" si="2"/>
        <v>3784</v>
      </c>
      <c r="AN173">
        <v>173</v>
      </c>
    </row>
    <row r="174" spans="38:40" x14ac:dyDescent="0.2">
      <c r="AL174" s="22" t="str">
        <f ca="1">IF(OFFSET(Kuponger!$E$27,AM174,0)&lt;=AL173,"",OFFSET(Kuponger!$E$5,AM174,0))</f>
        <v/>
      </c>
      <c r="AM174">
        <f t="shared" si="2"/>
        <v>3806</v>
      </c>
      <c r="AN174">
        <v>174</v>
      </c>
    </row>
    <row r="175" spans="38:40" x14ac:dyDescent="0.2">
      <c r="AL175" s="22" t="str">
        <f ca="1">IF(OFFSET(Kuponger!$E$27,AM175,0)&lt;=AL174,"",OFFSET(Kuponger!$E$5,AM175,0))</f>
        <v/>
      </c>
      <c r="AM175">
        <f t="shared" si="2"/>
        <v>3828</v>
      </c>
      <c r="AN175">
        <v>175</v>
      </c>
    </row>
    <row r="176" spans="38:40" x14ac:dyDescent="0.2">
      <c r="AL176" s="22" t="str">
        <f ca="1">IF(OFFSET(Kuponger!$E$27,AM176,0)&lt;=AL175,"",OFFSET(Kuponger!$E$5,AM176,0))</f>
        <v/>
      </c>
      <c r="AM176">
        <f t="shared" si="2"/>
        <v>3850</v>
      </c>
      <c r="AN176">
        <v>176</v>
      </c>
    </row>
    <row r="177" spans="38:40" x14ac:dyDescent="0.2">
      <c r="AL177" s="22" t="str">
        <f ca="1">IF(OFFSET(Kuponger!$E$27,AM177,0)&lt;=AL176,"",OFFSET(Kuponger!$E$5,AM177,0))</f>
        <v/>
      </c>
      <c r="AM177">
        <f t="shared" si="2"/>
        <v>3872</v>
      </c>
      <c r="AN177">
        <v>177</v>
      </c>
    </row>
    <row r="178" spans="38:40" x14ac:dyDescent="0.2">
      <c r="AL178" s="22" t="str">
        <f ca="1">IF(OFFSET(Kuponger!$E$27,AM178,0)&lt;=AL177,"",OFFSET(Kuponger!$E$5,AM178,0))</f>
        <v/>
      </c>
      <c r="AM178">
        <f t="shared" si="2"/>
        <v>3894</v>
      </c>
      <c r="AN178">
        <v>178</v>
      </c>
    </row>
    <row r="179" spans="38:40" x14ac:dyDescent="0.2">
      <c r="AL179" s="22" t="str">
        <f ca="1">IF(OFFSET(Kuponger!$E$27,AM179,0)&lt;=AL178,"",OFFSET(Kuponger!$E$5,AM179,0))</f>
        <v/>
      </c>
      <c r="AM179">
        <f t="shared" si="2"/>
        <v>3916</v>
      </c>
      <c r="AN179">
        <v>179</v>
      </c>
    </row>
    <row r="180" spans="38:40" x14ac:dyDescent="0.2">
      <c r="AL180" s="22" t="str">
        <f ca="1">IF(OFFSET(Kuponger!$E$27,AM180,0)&lt;=AL179,"",OFFSET(Kuponger!$E$5,AM180,0))</f>
        <v/>
      </c>
      <c r="AM180">
        <f t="shared" si="2"/>
        <v>3938</v>
      </c>
      <c r="AN180">
        <v>180</v>
      </c>
    </row>
    <row r="181" spans="38:40" x14ac:dyDescent="0.2">
      <c r="AL181" s="22" t="str">
        <f ca="1">IF(OFFSET(Kuponger!$E$27,AM181,0)&lt;=AL180,"",OFFSET(Kuponger!$E$5,AM181,0))</f>
        <v/>
      </c>
      <c r="AM181">
        <f t="shared" si="2"/>
        <v>3960</v>
      </c>
      <c r="AN181">
        <v>181</v>
      </c>
    </row>
    <row r="182" spans="38:40" x14ac:dyDescent="0.2">
      <c r="AL182" s="22" t="str">
        <f ca="1">IF(OFFSET(Kuponger!$E$27,AM182,0)&lt;=AL181,"",OFFSET(Kuponger!$E$5,AM182,0))</f>
        <v/>
      </c>
      <c r="AM182">
        <f t="shared" si="2"/>
        <v>3982</v>
      </c>
      <c r="AN182">
        <v>182</v>
      </c>
    </row>
    <row r="183" spans="38:40" x14ac:dyDescent="0.2">
      <c r="AL183" s="22" t="str">
        <f ca="1">IF(OFFSET(Kuponger!$E$27,AM183,0)&lt;=AL182,"",OFFSET(Kuponger!$E$5,AM183,0))</f>
        <v/>
      </c>
      <c r="AM183">
        <f t="shared" si="2"/>
        <v>4004</v>
      </c>
      <c r="AN183">
        <v>183</v>
      </c>
    </row>
    <row r="184" spans="38:40" x14ac:dyDescent="0.2">
      <c r="AL184" s="22" t="str">
        <f ca="1">IF(OFFSET(Kuponger!$E$27,AM184,0)&lt;=AL183,"",OFFSET(Kuponger!$E$5,AM184,0))</f>
        <v/>
      </c>
      <c r="AM184">
        <f t="shared" si="2"/>
        <v>4026</v>
      </c>
      <c r="AN184">
        <v>184</v>
      </c>
    </row>
    <row r="185" spans="38:40" x14ac:dyDescent="0.2">
      <c r="AL185" s="22" t="str">
        <f ca="1">IF(OFFSET(Kuponger!$E$27,AM185,0)&lt;=AL184,"",OFFSET(Kuponger!$E$5,AM185,0))</f>
        <v/>
      </c>
      <c r="AM185">
        <f t="shared" si="2"/>
        <v>4048</v>
      </c>
      <c r="AN185">
        <v>185</v>
      </c>
    </row>
    <row r="186" spans="38:40" x14ac:dyDescent="0.2">
      <c r="AL186" s="22" t="str">
        <f ca="1">IF(OFFSET(Kuponger!$E$27,AM186,0)&lt;=AL185,"",OFFSET(Kuponger!$E$5,AM186,0))</f>
        <v/>
      </c>
      <c r="AM186">
        <f t="shared" si="2"/>
        <v>4070</v>
      </c>
      <c r="AN186">
        <v>186</v>
      </c>
    </row>
    <row r="187" spans="38:40" x14ac:dyDescent="0.2">
      <c r="AL187" s="22" t="str">
        <f ca="1">IF(OFFSET(Kuponger!$E$27,AM187,0)&lt;=AL186,"",OFFSET(Kuponger!$E$5,AM187,0))</f>
        <v/>
      </c>
      <c r="AM187">
        <f t="shared" si="2"/>
        <v>4092</v>
      </c>
      <c r="AN187">
        <v>187</v>
      </c>
    </row>
    <row r="188" spans="38:40" x14ac:dyDescent="0.2">
      <c r="AL188" s="22" t="str">
        <f ca="1">IF(OFFSET(Kuponger!$E$27,AM188,0)&lt;=AL187,"",OFFSET(Kuponger!$E$5,AM188,0))</f>
        <v/>
      </c>
      <c r="AM188">
        <f t="shared" si="2"/>
        <v>4114</v>
      </c>
      <c r="AN188">
        <v>188</v>
      </c>
    </row>
    <row r="189" spans="38:40" x14ac:dyDescent="0.2">
      <c r="AL189" s="22" t="str">
        <f ca="1">IF(OFFSET(Kuponger!$E$27,AM189,0)&lt;=AL188,"",OFFSET(Kuponger!$E$5,AM189,0))</f>
        <v/>
      </c>
      <c r="AM189">
        <f t="shared" si="2"/>
        <v>4136</v>
      </c>
      <c r="AN189">
        <v>189</v>
      </c>
    </row>
    <row r="190" spans="38:40" x14ac:dyDescent="0.2">
      <c r="AL190" s="22" t="str">
        <f ca="1">IF(OFFSET(Kuponger!$E$27,AM190,0)&lt;=AL189,"",OFFSET(Kuponger!$E$5,AM190,0))</f>
        <v/>
      </c>
      <c r="AM190">
        <f t="shared" si="2"/>
        <v>4158</v>
      </c>
      <c r="AN190">
        <v>190</v>
      </c>
    </row>
    <row r="191" spans="38:40" x14ac:dyDescent="0.2">
      <c r="AL191" s="22" t="str">
        <f ca="1">IF(OFFSET(Kuponger!$E$27,AM191,0)&lt;=AL190,"",OFFSET(Kuponger!$E$5,AM191,0))</f>
        <v/>
      </c>
      <c r="AM191">
        <f t="shared" si="2"/>
        <v>4180</v>
      </c>
      <c r="AN191">
        <v>191</v>
      </c>
    </row>
    <row r="192" spans="38:40" x14ac:dyDescent="0.2">
      <c r="AL192" s="22" t="str">
        <f ca="1">IF(OFFSET(Kuponger!$E$27,AM192,0)&lt;=AL191,"",OFFSET(Kuponger!$E$5,AM192,0))</f>
        <v/>
      </c>
      <c r="AM192">
        <f t="shared" si="2"/>
        <v>4202</v>
      </c>
      <c r="AN192">
        <v>192</v>
      </c>
    </row>
    <row r="193" spans="38:40" x14ac:dyDescent="0.2">
      <c r="AL193" s="22" t="str">
        <f ca="1">IF(OFFSET(Kuponger!$E$27,AM193,0)&lt;=AL192,"",OFFSET(Kuponger!$E$5,AM193,0))</f>
        <v/>
      </c>
      <c r="AM193">
        <f t="shared" si="2"/>
        <v>4224</v>
      </c>
      <c r="AN193">
        <v>193</v>
      </c>
    </row>
    <row r="194" spans="38:40" x14ac:dyDescent="0.2">
      <c r="AL194" s="22" t="str">
        <f ca="1">IF(OFFSET(Kuponger!$E$27,AM194,0)&lt;=AL193,"",OFFSET(Kuponger!$E$5,AM194,0))</f>
        <v/>
      </c>
      <c r="AM194">
        <f t="shared" si="2"/>
        <v>4246</v>
      </c>
      <c r="AN194">
        <v>194</v>
      </c>
    </row>
    <row r="195" spans="38:40" x14ac:dyDescent="0.2">
      <c r="AL195" s="22" t="str">
        <f ca="1">IF(OFFSET(Kuponger!$E$27,AM195,0)&lt;=AL194,"",OFFSET(Kuponger!$E$5,AM195,0))</f>
        <v/>
      </c>
      <c r="AM195">
        <f t="shared" ref="AM195:AM258" si="3">AM194+22</f>
        <v>4268</v>
      </c>
      <c r="AN195">
        <v>195</v>
      </c>
    </row>
    <row r="196" spans="38:40" x14ac:dyDescent="0.2">
      <c r="AL196" s="22" t="str">
        <f ca="1">IF(OFFSET(Kuponger!$E$27,AM196,0)&lt;=AL195,"",OFFSET(Kuponger!$E$5,AM196,0))</f>
        <v/>
      </c>
      <c r="AM196">
        <f t="shared" si="3"/>
        <v>4290</v>
      </c>
      <c r="AN196">
        <v>196</v>
      </c>
    </row>
    <row r="197" spans="38:40" x14ac:dyDescent="0.2">
      <c r="AL197" s="22" t="str">
        <f ca="1">IF(OFFSET(Kuponger!$E$27,AM197,0)&lt;=AL196,"",OFFSET(Kuponger!$E$5,AM197,0))</f>
        <v/>
      </c>
      <c r="AM197">
        <f t="shared" si="3"/>
        <v>4312</v>
      </c>
      <c r="AN197">
        <v>197</v>
      </c>
    </row>
    <row r="198" spans="38:40" x14ac:dyDescent="0.2">
      <c r="AL198" s="22" t="str">
        <f ca="1">IF(OFFSET(Kuponger!$E$27,AM198,0)&lt;=AL197,"",OFFSET(Kuponger!$E$5,AM198,0))</f>
        <v/>
      </c>
      <c r="AM198">
        <f t="shared" si="3"/>
        <v>4334</v>
      </c>
      <c r="AN198">
        <v>198</v>
      </c>
    </row>
    <row r="199" spans="38:40" x14ac:dyDescent="0.2">
      <c r="AL199" s="22" t="str">
        <f ca="1">IF(OFFSET(Kuponger!$E$27,AM199,0)&lt;=AL198,"",OFFSET(Kuponger!$E$5,AM199,0))</f>
        <v/>
      </c>
      <c r="AM199">
        <f t="shared" si="3"/>
        <v>4356</v>
      </c>
      <c r="AN199">
        <v>199</v>
      </c>
    </row>
    <row r="200" spans="38:40" x14ac:dyDescent="0.2">
      <c r="AL200" s="22" t="str">
        <f ca="1">IF(OFFSET(Kuponger!$E$27,AM200,0)&lt;=AL199,"",OFFSET(Kuponger!$E$5,AM200,0))</f>
        <v/>
      </c>
      <c r="AM200">
        <f t="shared" si="3"/>
        <v>4378</v>
      </c>
      <c r="AN200">
        <v>200</v>
      </c>
    </row>
    <row r="201" spans="38:40" x14ac:dyDescent="0.2">
      <c r="AL201" s="22" t="str">
        <f ca="1">IF(OFFSET(Kuponger!$E$27,AM201,0)&lt;=AL200,"",OFFSET(Kuponger!$E$5,AM201,0))</f>
        <v/>
      </c>
      <c r="AM201">
        <f t="shared" si="3"/>
        <v>4400</v>
      </c>
      <c r="AN201">
        <v>201</v>
      </c>
    </row>
    <row r="202" spans="38:40" x14ac:dyDescent="0.2">
      <c r="AL202" s="22" t="str">
        <f ca="1">IF(OFFSET(Kuponger!$E$27,AM202,0)&lt;=AL201,"",OFFSET(Kuponger!$E$5,AM202,0))</f>
        <v/>
      </c>
      <c r="AM202">
        <f t="shared" si="3"/>
        <v>4422</v>
      </c>
      <c r="AN202">
        <v>202</v>
      </c>
    </row>
    <row r="203" spans="38:40" x14ac:dyDescent="0.2">
      <c r="AL203" s="22" t="str">
        <f ca="1">IF(OFFSET(Kuponger!$E$27,AM203,0)&lt;=AL202,"",OFFSET(Kuponger!$E$5,AM203,0))</f>
        <v/>
      </c>
      <c r="AM203">
        <f t="shared" si="3"/>
        <v>4444</v>
      </c>
      <c r="AN203">
        <v>203</v>
      </c>
    </row>
    <row r="204" spans="38:40" x14ac:dyDescent="0.2">
      <c r="AL204" s="22" t="str">
        <f ca="1">IF(OFFSET(Kuponger!$E$27,AM204,0)&lt;=AL203,"",OFFSET(Kuponger!$E$5,AM204,0))</f>
        <v/>
      </c>
      <c r="AM204">
        <f t="shared" si="3"/>
        <v>4466</v>
      </c>
      <c r="AN204">
        <v>204</v>
      </c>
    </row>
    <row r="205" spans="38:40" x14ac:dyDescent="0.2">
      <c r="AL205" s="22" t="str">
        <f ca="1">IF(OFFSET(Kuponger!$E$27,AM205,0)&lt;=AL204,"",OFFSET(Kuponger!$E$5,AM205,0))</f>
        <v/>
      </c>
      <c r="AM205">
        <f t="shared" si="3"/>
        <v>4488</v>
      </c>
      <c r="AN205">
        <v>205</v>
      </c>
    </row>
    <row r="206" spans="38:40" x14ac:dyDescent="0.2">
      <c r="AL206" s="22" t="str">
        <f ca="1">IF(OFFSET(Kuponger!$E$27,AM206,0)&lt;=AL205,"",OFFSET(Kuponger!$E$5,AM206,0))</f>
        <v/>
      </c>
      <c r="AM206">
        <f t="shared" si="3"/>
        <v>4510</v>
      </c>
      <c r="AN206">
        <v>206</v>
      </c>
    </row>
    <row r="207" spans="38:40" x14ac:dyDescent="0.2">
      <c r="AL207" s="22" t="str">
        <f ca="1">IF(OFFSET(Kuponger!$E$27,AM207,0)&lt;=AL206,"",OFFSET(Kuponger!$E$5,AM207,0))</f>
        <v/>
      </c>
      <c r="AM207">
        <f t="shared" si="3"/>
        <v>4532</v>
      </c>
      <c r="AN207">
        <v>207</v>
      </c>
    </row>
    <row r="208" spans="38:40" x14ac:dyDescent="0.2">
      <c r="AL208" s="22" t="str">
        <f ca="1">IF(OFFSET(Kuponger!$E$27,AM208,0)&lt;=AL207,"",OFFSET(Kuponger!$E$5,AM208,0))</f>
        <v/>
      </c>
      <c r="AM208">
        <f t="shared" si="3"/>
        <v>4554</v>
      </c>
      <c r="AN208">
        <v>208</v>
      </c>
    </row>
    <row r="209" spans="38:40" x14ac:dyDescent="0.2">
      <c r="AL209" s="22" t="str">
        <f ca="1">IF(OFFSET(Kuponger!$E$27,AM209,0)&lt;=AL208,"",OFFSET(Kuponger!$E$5,AM209,0))</f>
        <v/>
      </c>
      <c r="AM209">
        <f t="shared" si="3"/>
        <v>4576</v>
      </c>
      <c r="AN209">
        <v>209</v>
      </c>
    </row>
    <row r="210" spans="38:40" x14ac:dyDescent="0.2">
      <c r="AL210" s="22" t="str">
        <f ca="1">IF(OFFSET(Kuponger!$E$27,AM210,0)&lt;=AL209,"",OFFSET(Kuponger!$E$5,AM210,0))</f>
        <v/>
      </c>
      <c r="AM210">
        <f t="shared" si="3"/>
        <v>4598</v>
      </c>
      <c r="AN210">
        <v>210</v>
      </c>
    </row>
    <row r="211" spans="38:40" x14ac:dyDescent="0.2">
      <c r="AL211" s="22" t="str">
        <f ca="1">IF(OFFSET(Kuponger!$E$27,AM211,0)&lt;=AL210,"",OFFSET(Kuponger!$E$5,AM211,0))</f>
        <v/>
      </c>
      <c r="AM211">
        <f t="shared" si="3"/>
        <v>4620</v>
      </c>
      <c r="AN211">
        <v>211</v>
      </c>
    </row>
    <row r="212" spans="38:40" x14ac:dyDescent="0.2">
      <c r="AL212" s="22" t="str">
        <f ca="1">IF(OFFSET(Kuponger!$E$27,AM212,0)&lt;=AL211,"",OFFSET(Kuponger!$E$5,AM212,0))</f>
        <v/>
      </c>
      <c r="AM212">
        <f t="shared" si="3"/>
        <v>4642</v>
      </c>
      <c r="AN212">
        <v>212</v>
      </c>
    </row>
    <row r="213" spans="38:40" x14ac:dyDescent="0.2">
      <c r="AL213" s="22" t="str">
        <f ca="1">IF(OFFSET(Kuponger!$E$27,AM213,0)&lt;=AL212,"",OFFSET(Kuponger!$E$5,AM213,0))</f>
        <v/>
      </c>
      <c r="AM213">
        <f t="shared" si="3"/>
        <v>4664</v>
      </c>
      <c r="AN213">
        <v>213</v>
      </c>
    </row>
    <row r="214" spans="38:40" x14ac:dyDescent="0.2">
      <c r="AL214" s="22" t="str">
        <f ca="1">IF(OFFSET(Kuponger!$E$27,AM214,0)&lt;=AL213,"",OFFSET(Kuponger!$E$5,AM214,0))</f>
        <v/>
      </c>
      <c r="AM214">
        <f t="shared" si="3"/>
        <v>4686</v>
      </c>
      <c r="AN214">
        <v>214</v>
      </c>
    </row>
    <row r="215" spans="38:40" x14ac:dyDescent="0.2">
      <c r="AL215" s="22" t="str">
        <f ca="1">IF(OFFSET(Kuponger!$E$27,AM215,0)&lt;=AL214,"",OFFSET(Kuponger!$E$5,AM215,0))</f>
        <v/>
      </c>
      <c r="AM215">
        <f t="shared" si="3"/>
        <v>4708</v>
      </c>
      <c r="AN215">
        <v>215</v>
      </c>
    </row>
    <row r="216" spans="38:40" x14ac:dyDescent="0.2">
      <c r="AL216" s="22" t="str">
        <f ca="1">IF(OFFSET(Kuponger!$E$27,AM216,0)&lt;=AL215,"",OFFSET(Kuponger!$E$5,AM216,0))</f>
        <v/>
      </c>
      <c r="AM216">
        <f t="shared" si="3"/>
        <v>4730</v>
      </c>
      <c r="AN216">
        <v>216</v>
      </c>
    </row>
    <row r="217" spans="38:40" x14ac:dyDescent="0.2">
      <c r="AL217" s="22" t="str">
        <f ca="1">IF(OFFSET(Kuponger!$E$27,AM217,0)&lt;=AL216,"",OFFSET(Kuponger!$E$5,AM217,0))</f>
        <v/>
      </c>
      <c r="AM217">
        <f t="shared" si="3"/>
        <v>4752</v>
      </c>
      <c r="AN217">
        <v>217</v>
      </c>
    </row>
    <row r="218" spans="38:40" x14ac:dyDescent="0.2">
      <c r="AL218" s="22" t="str">
        <f ca="1">IF(OFFSET(Kuponger!$E$27,AM218,0)&lt;=AL217,"",OFFSET(Kuponger!$E$5,AM218,0))</f>
        <v/>
      </c>
      <c r="AM218">
        <f t="shared" si="3"/>
        <v>4774</v>
      </c>
      <c r="AN218">
        <v>218</v>
      </c>
    </row>
    <row r="219" spans="38:40" x14ac:dyDescent="0.2">
      <c r="AL219" s="22" t="str">
        <f ca="1">IF(OFFSET(Kuponger!$E$27,AM219,0)&lt;=AL218,"",OFFSET(Kuponger!$E$5,AM219,0))</f>
        <v/>
      </c>
      <c r="AM219">
        <f t="shared" si="3"/>
        <v>4796</v>
      </c>
      <c r="AN219">
        <v>219</v>
      </c>
    </row>
    <row r="220" spans="38:40" x14ac:dyDescent="0.2">
      <c r="AL220" s="22" t="str">
        <f ca="1">IF(OFFSET(Kuponger!$E$27,AM220,0)&lt;=AL219,"",OFFSET(Kuponger!$E$5,AM220,0))</f>
        <v/>
      </c>
      <c r="AM220">
        <f t="shared" si="3"/>
        <v>4818</v>
      </c>
      <c r="AN220">
        <v>220</v>
      </c>
    </row>
    <row r="221" spans="38:40" x14ac:dyDescent="0.2">
      <c r="AL221" s="22" t="str">
        <f ca="1">IF(OFFSET(Kuponger!$E$27,AM221,0)&lt;=AL220,"",OFFSET(Kuponger!$E$5,AM221,0))</f>
        <v/>
      </c>
      <c r="AM221">
        <f t="shared" si="3"/>
        <v>4840</v>
      </c>
      <c r="AN221">
        <v>221</v>
      </c>
    </row>
    <row r="222" spans="38:40" x14ac:dyDescent="0.2">
      <c r="AL222" s="22" t="str">
        <f ca="1">IF(OFFSET(Kuponger!$E$27,AM222,0)&lt;=AL221,"",OFFSET(Kuponger!$E$5,AM222,0))</f>
        <v/>
      </c>
      <c r="AM222">
        <f t="shared" si="3"/>
        <v>4862</v>
      </c>
      <c r="AN222">
        <v>222</v>
      </c>
    </row>
    <row r="223" spans="38:40" x14ac:dyDescent="0.2">
      <c r="AL223" s="22" t="str">
        <f ca="1">IF(OFFSET(Kuponger!$E$27,AM223,0)&lt;=AL222,"",OFFSET(Kuponger!$E$5,AM223,0))</f>
        <v/>
      </c>
      <c r="AM223">
        <f t="shared" si="3"/>
        <v>4884</v>
      </c>
      <c r="AN223">
        <v>223</v>
      </c>
    </row>
    <row r="224" spans="38:40" x14ac:dyDescent="0.2">
      <c r="AL224" s="22" t="str">
        <f ca="1">IF(OFFSET(Kuponger!$E$27,AM224,0)&lt;=AL223,"",OFFSET(Kuponger!$E$5,AM224,0))</f>
        <v/>
      </c>
      <c r="AM224">
        <f t="shared" si="3"/>
        <v>4906</v>
      </c>
      <c r="AN224">
        <v>224</v>
      </c>
    </row>
    <row r="225" spans="38:40" x14ac:dyDescent="0.2">
      <c r="AL225" s="22" t="str">
        <f ca="1">IF(OFFSET(Kuponger!$E$27,AM225,0)&lt;=AL224,"",OFFSET(Kuponger!$E$5,AM225,0))</f>
        <v/>
      </c>
      <c r="AM225">
        <f t="shared" si="3"/>
        <v>4928</v>
      </c>
      <c r="AN225">
        <v>225</v>
      </c>
    </row>
    <row r="226" spans="38:40" x14ac:dyDescent="0.2">
      <c r="AL226" s="22" t="str">
        <f ca="1">IF(OFFSET(Kuponger!$E$27,AM226,0)&lt;=AL225,"",OFFSET(Kuponger!$E$5,AM226,0))</f>
        <v/>
      </c>
      <c r="AM226">
        <f t="shared" si="3"/>
        <v>4950</v>
      </c>
      <c r="AN226">
        <v>226</v>
      </c>
    </row>
    <row r="227" spans="38:40" x14ac:dyDescent="0.2">
      <c r="AL227" s="22" t="str">
        <f ca="1">IF(OFFSET(Kuponger!$E$27,AM227,0)&lt;=AL226,"",OFFSET(Kuponger!$E$5,AM227,0))</f>
        <v/>
      </c>
      <c r="AM227">
        <f t="shared" si="3"/>
        <v>4972</v>
      </c>
      <c r="AN227">
        <v>227</v>
      </c>
    </row>
    <row r="228" spans="38:40" x14ac:dyDescent="0.2">
      <c r="AL228" s="22" t="str">
        <f ca="1">IF(OFFSET(Kuponger!$E$27,AM228,0)&lt;=AL227,"",OFFSET(Kuponger!$E$5,AM228,0))</f>
        <v/>
      </c>
      <c r="AM228">
        <f t="shared" si="3"/>
        <v>4994</v>
      </c>
      <c r="AN228">
        <v>228</v>
      </c>
    </row>
    <row r="229" spans="38:40" x14ac:dyDescent="0.2">
      <c r="AL229" s="22" t="str">
        <f ca="1">IF(OFFSET(Kuponger!$E$27,AM229,0)&lt;=AL228,"",OFFSET(Kuponger!$E$5,AM229,0))</f>
        <v/>
      </c>
      <c r="AM229">
        <f t="shared" si="3"/>
        <v>5016</v>
      </c>
      <c r="AN229">
        <v>229</v>
      </c>
    </row>
    <row r="230" spans="38:40" x14ac:dyDescent="0.2">
      <c r="AL230" s="22" t="str">
        <f ca="1">IF(OFFSET(Kuponger!$E$27,AM230,0)&lt;=AL229,"",OFFSET(Kuponger!$E$5,AM230,0))</f>
        <v/>
      </c>
      <c r="AM230">
        <f t="shared" si="3"/>
        <v>5038</v>
      </c>
      <c r="AN230">
        <v>230</v>
      </c>
    </row>
    <row r="231" spans="38:40" x14ac:dyDescent="0.2">
      <c r="AL231" s="22" t="str">
        <f ca="1">IF(OFFSET(Kuponger!$E$27,AM231,0)&lt;=AL230,"",OFFSET(Kuponger!$E$5,AM231,0))</f>
        <v/>
      </c>
      <c r="AM231">
        <f t="shared" si="3"/>
        <v>5060</v>
      </c>
      <c r="AN231">
        <v>231</v>
      </c>
    </row>
    <row r="232" spans="38:40" x14ac:dyDescent="0.2">
      <c r="AL232" s="22" t="str">
        <f ca="1">IF(OFFSET(Kuponger!$E$27,AM232,0)&lt;=AL231,"",OFFSET(Kuponger!$E$5,AM232,0))</f>
        <v/>
      </c>
      <c r="AM232">
        <f t="shared" si="3"/>
        <v>5082</v>
      </c>
      <c r="AN232">
        <v>232</v>
      </c>
    </row>
    <row r="233" spans="38:40" x14ac:dyDescent="0.2">
      <c r="AL233" s="22" t="str">
        <f ca="1">IF(OFFSET(Kuponger!$E$27,AM233,0)&lt;=AL232,"",OFFSET(Kuponger!$E$5,AM233,0))</f>
        <v/>
      </c>
      <c r="AM233">
        <f t="shared" si="3"/>
        <v>5104</v>
      </c>
      <c r="AN233">
        <v>233</v>
      </c>
    </row>
    <row r="234" spans="38:40" x14ac:dyDescent="0.2">
      <c r="AL234" s="22" t="str">
        <f ca="1">IF(OFFSET(Kuponger!$E$27,AM234,0)&lt;=AL233,"",OFFSET(Kuponger!$E$5,AM234,0))</f>
        <v/>
      </c>
      <c r="AM234">
        <f t="shared" si="3"/>
        <v>5126</v>
      </c>
      <c r="AN234">
        <v>234</v>
      </c>
    </row>
    <row r="235" spans="38:40" x14ac:dyDescent="0.2">
      <c r="AL235" s="22" t="str">
        <f ca="1">IF(OFFSET(Kuponger!$E$27,AM235,0)&lt;=AL234,"",OFFSET(Kuponger!$E$5,AM235,0))</f>
        <v/>
      </c>
      <c r="AM235">
        <f t="shared" si="3"/>
        <v>5148</v>
      </c>
      <c r="AN235">
        <v>235</v>
      </c>
    </row>
    <row r="236" spans="38:40" x14ac:dyDescent="0.2">
      <c r="AL236" s="22" t="str">
        <f ca="1">IF(OFFSET(Kuponger!$E$27,AM236,0)&lt;=AL235,"",OFFSET(Kuponger!$E$5,AM236,0))</f>
        <v/>
      </c>
      <c r="AM236">
        <f t="shared" si="3"/>
        <v>5170</v>
      </c>
      <c r="AN236">
        <v>236</v>
      </c>
    </row>
    <row r="237" spans="38:40" x14ac:dyDescent="0.2">
      <c r="AL237" s="22" t="str">
        <f ca="1">IF(OFFSET(Kuponger!$E$27,AM237,0)&lt;=AL236,"",OFFSET(Kuponger!$E$5,AM237,0))</f>
        <v/>
      </c>
      <c r="AM237">
        <f t="shared" si="3"/>
        <v>5192</v>
      </c>
      <c r="AN237">
        <v>237</v>
      </c>
    </row>
    <row r="238" spans="38:40" x14ac:dyDescent="0.2">
      <c r="AL238" s="22" t="str">
        <f ca="1">IF(OFFSET(Kuponger!$E$27,AM238,0)&lt;=AL237,"",OFFSET(Kuponger!$E$5,AM238,0))</f>
        <v/>
      </c>
      <c r="AM238">
        <f t="shared" si="3"/>
        <v>5214</v>
      </c>
      <c r="AN238">
        <v>238</v>
      </c>
    </row>
    <row r="239" spans="38:40" x14ac:dyDescent="0.2">
      <c r="AL239" s="22" t="str">
        <f ca="1">IF(OFFSET(Kuponger!$E$27,AM239,0)&lt;=AL238,"",OFFSET(Kuponger!$E$5,AM239,0))</f>
        <v/>
      </c>
      <c r="AM239">
        <f t="shared" si="3"/>
        <v>5236</v>
      </c>
      <c r="AN239">
        <v>239</v>
      </c>
    </row>
    <row r="240" spans="38:40" x14ac:dyDescent="0.2">
      <c r="AL240" s="22" t="str">
        <f ca="1">IF(OFFSET(Kuponger!$E$27,AM240,0)&lt;=AL239,"",OFFSET(Kuponger!$E$5,AM240,0))</f>
        <v/>
      </c>
      <c r="AM240">
        <f t="shared" si="3"/>
        <v>5258</v>
      </c>
      <c r="AN240">
        <v>240</v>
      </c>
    </row>
    <row r="241" spans="38:40" x14ac:dyDescent="0.2">
      <c r="AL241" s="22" t="str">
        <f ca="1">IF(OFFSET(Kuponger!$E$27,AM241,0)&lt;=AL240,"",OFFSET(Kuponger!$E$5,AM241,0))</f>
        <v/>
      </c>
      <c r="AM241">
        <f t="shared" si="3"/>
        <v>5280</v>
      </c>
      <c r="AN241">
        <v>241</v>
      </c>
    </row>
    <row r="242" spans="38:40" x14ac:dyDescent="0.2">
      <c r="AL242" s="22" t="str">
        <f ca="1">IF(OFFSET(Kuponger!$E$27,AM242,0)&lt;=AL241,"",OFFSET(Kuponger!$E$5,AM242,0))</f>
        <v/>
      </c>
      <c r="AM242">
        <f t="shared" si="3"/>
        <v>5302</v>
      </c>
      <c r="AN242">
        <v>242</v>
      </c>
    </row>
    <row r="243" spans="38:40" x14ac:dyDescent="0.2">
      <c r="AL243" s="22" t="str">
        <f ca="1">IF(OFFSET(Kuponger!$E$27,AM243,0)&lt;=AL242,"",OFFSET(Kuponger!$E$5,AM243,0))</f>
        <v/>
      </c>
      <c r="AM243">
        <f t="shared" si="3"/>
        <v>5324</v>
      </c>
      <c r="AN243">
        <v>243</v>
      </c>
    </row>
    <row r="244" spans="38:40" x14ac:dyDescent="0.2">
      <c r="AL244" s="22" t="str">
        <f ca="1">IF(OFFSET(Kuponger!$E$27,AM244,0)&lt;=AL243,"",OFFSET(Kuponger!$E$5,AM244,0))</f>
        <v/>
      </c>
      <c r="AM244">
        <f t="shared" si="3"/>
        <v>5346</v>
      </c>
      <c r="AN244">
        <v>244</v>
      </c>
    </row>
    <row r="245" spans="38:40" x14ac:dyDescent="0.2">
      <c r="AL245" s="22" t="str">
        <f ca="1">IF(OFFSET(Kuponger!$E$27,AM245,0)&lt;=AL244,"",OFFSET(Kuponger!$E$5,AM245,0))</f>
        <v/>
      </c>
      <c r="AM245">
        <f t="shared" si="3"/>
        <v>5368</v>
      </c>
      <c r="AN245">
        <v>245</v>
      </c>
    </row>
    <row r="246" spans="38:40" x14ac:dyDescent="0.2">
      <c r="AL246" s="22" t="str">
        <f ca="1">IF(OFFSET(Kuponger!$E$27,AM246,0)&lt;=AL245,"",OFFSET(Kuponger!$E$5,AM246,0))</f>
        <v/>
      </c>
      <c r="AM246">
        <f t="shared" si="3"/>
        <v>5390</v>
      </c>
      <c r="AN246">
        <v>246</v>
      </c>
    </row>
    <row r="247" spans="38:40" x14ac:dyDescent="0.2">
      <c r="AL247" s="22" t="str">
        <f ca="1">IF(OFFSET(Kuponger!$E$27,AM247,0)&lt;=AL246,"",OFFSET(Kuponger!$E$5,AM247,0))</f>
        <v/>
      </c>
      <c r="AM247">
        <f t="shared" si="3"/>
        <v>5412</v>
      </c>
      <c r="AN247">
        <v>247</v>
      </c>
    </row>
    <row r="248" spans="38:40" x14ac:dyDescent="0.2">
      <c r="AL248" s="22" t="str">
        <f ca="1">IF(OFFSET(Kuponger!$E$27,AM248,0)&lt;=AL247,"",OFFSET(Kuponger!$E$5,AM248,0))</f>
        <v/>
      </c>
      <c r="AM248">
        <f t="shared" si="3"/>
        <v>5434</v>
      </c>
      <c r="AN248">
        <v>248</v>
      </c>
    </row>
    <row r="249" spans="38:40" x14ac:dyDescent="0.2">
      <c r="AL249" s="22" t="str">
        <f ca="1">IF(OFFSET(Kuponger!$E$27,AM249,0)&lt;=AL248,"",OFFSET(Kuponger!$E$5,AM249,0))</f>
        <v/>
      </c>
      <c r="AM249">
        <f t="shared" si="3"/>
        <v>5456</v>
      </c>
      <c r="AN249">
        <v>249</v>
      </c>
    </row>
    <row r="250" spans="38:40" x14ac:dyDescent="0.2">
      <c r="AL250" s="22" t="str">
        <f ca="1">IF(OFFSET(Kuponger!$E$27,AM250,0)&lt;=AL249,"",OFFSET(Kuponger!$E$5,AM250,0))</f>
        <v/>
      </c>
      <c r="AM250">
        <f t="shared" si="3"/>
        <v>5478</v>
      </c>
      <c r="AN250">
        <v>250</v>
      </c>
    </row>
    <row r="251" spans="38:40" x14ac:dyDescent="0.2">
      <c r="AL251" s="22" t="str">
        <f ca="1">IF(OFFSET(Kuponger!$E$27,AM251,0)&lt;=AL250,"",OFFSET(Kuponger!$E$5,AM251,0))</f>
        <v/>
      </c>
      <c r="AM251">
        <f t="shared" si="3"/>
        <v>5500</v>
      </c>
      <c r="AN251">
        <v>251</v>
      </c>
    </row>
    <row r="252" spans="38:40" x14ac:dyDescent="0.2">
      <c r="AL252" s="22" t="str">
        <f ca="1">IF(OFFSET(Kuponger!$E$27,AM252,0)&lt;=AL251,"",OFFSET(Kuponger!$E$5,AM252,0))</f>
        <v/>
      </c>
      <c r="AM252">
        <f t="shared" si="3"/>
        <v>5522</v>
      </c>
      <c r="AN252">
        <v>252</v>
      </c>
    </row>
    <row r="253" spans="38:40" x14ac:dyDescent="0.2">
      <c r="AL253" s="22" t="str">
        <f ca="1">IF(OFFSET(Kuponger!$E$27,AM253,0)&lt;=AL252,"",OFFSET(Kuponger!$E$5,AM253,0))</f>
        <v/>
      </c>
      <c r="AM253">
        <f t="shared" si="3"/>
        <v>5544</v>
      </c>
      <c r="AN253">
        <v>253</v>
      </c>
    </row>
    <row r="254" spans="38:40" x14ac:dyDescent="0.2">
      <c r="AL254" s="22" t="str">
        <f ca="1">IF(OFFSET(Kuponger!$E$27,AM254,0)&lt;=AL253,"",OFFSET(Kuponger!$E$5,AM254,0))</f>
        <v/>
      </c>
      <c r="AM254">
        <f t="shared" si="3"/>
        <v>5566</v>
      </c>
      <c r="AN254">
        <v>254</v>
      </c>
    </row>
    <row r="255" spans="38:40" x14ac:dyDescent="0.2">
      <c r="AL255" s="22" t="str">
        <f ca="1">IF(OFFSET(Kuponger!$E$27,AM255,0)&lt;=AL254,"",OFFSET(Kuponger!$E$5,AM255,0))</f>
        <v/>
      </c>
      <c r="AM255">
        <f t="shared" si="3"/>
        <v>5588</v>
      </c>
      <c r="AN255">
        <v>255</v>
      </c>
    </row>
    <row r="256" spans="38:40" x14ac:dyDescent="0.2">
      <c r="AL256" s="22" t="str">
        <f ca="1">IF(OFFSET(Kuponger!$E$27,AM256,0)&lt;=AL255,"",OFFSET(Kuponger!$E$5,AM256,0))</f>
        <v/>
      </c>
      <c r="AM256">
        <f t="shared" si="3"/>
        <v>5610</v>
      </c>
      <c r="AN256">
        <v>256</v>
      </c>
    </row>
    <row r="257" spans="38:40" x14ac:dyDescent="0.2">
      <c r="AL257" s="22" t="str">
        <f ca="1">IF(OFFSET(Kuponger!$E$27,AM257,0)&lt;=AL256,"",OFFSET(Kuponger!$E$5,AM257,0))</f>
        <v/>
      </c>
      <c r="AM257">
        <f t="shared" si="3"/>
        <v>5632</v>
      </c>
      <c r="AN257">
        <v>257</v>
      </c>
    </row>
    <row r="258" spans="38:40" x14ac:dyDescent="0.2">
      <c r="AL258" s="22" t="str">
        <f ca="1">IF(OFFSET(Kuponger!$E$27,AM258,0)&lt;=AL257,"",OFFSET(Kuponger!$E$5,AM258,0))</f>
        <v/>
      </c>
      <c r="AM258">
        <f t="shared" si="3"/>
        <v>5654</v>
      </c>
      <c r="AN258">
        <v>258</v>
      </c>
    </row>
    <row r="259" spans="38:40" x14ac:dyDescent="0.2">
      <c r="AL259" s="22" t="str">
        <f ca="1">IF(OFFSET(Kuponger!$E$27,AM259,0)&lt;=AL258,"",OFFSET(Kuponger!$E$5,AM259,0))</f>
        <v/>
      </c>
      <c r="AM259">
        <f t="shared" ref="AM259:AM322" si="4">AM258+22</f>
        <v>5676</v>
      </c>
      <c r="AN259">
        <v>259</v>
      </c>
    </row>
    <row r="260" spans="38:40" x14ac:dyDescent="0.2">
      <c r="AL260" s="22" t="str">
        <f ca="1">IF(OFFSET(Kuponger!$E$27,AM260,0)&lt;=AL259,"",OFFSET(Kuponger!$E$5,AM260,0))</f>
        <v/>
      </c>
      <c r="AM260">
        <f t="shared" si="4"/>
        <v>5698</v>
      </c>
      <c r="AN260">
        <v>260</v>
      </c>
    </row>
    <row r="261" spans="38:40" x14ac:dyDescent="0.2">
      <c r="AL261" s="22" t="str">
        <f ca="1">IF(OFFSET(Kuponger!$E$27,AM261,0)&lt;=AL260,"",OFFSET(Kuponger!$E$5,AM261,0))</f>
        <v/>
      </c>
      <c r="AM261">
        <f t="shared" si="4"/>
        <v>5720</v>
      </c>
      <c r="AN261">
        <v>261</v>
      </c>
    </row>
    <row r="262" spans="38:40" x14ac:dyDescent="0.2">
      <c r="AL262" s="22" t="str">
        <f ca="1">IF(OFFSET(Kuponger!$E$27,AM262,0)&lt;=AL261,"",OFFSET(Kuponger!$E$5,AM262,0))</f>
        <v/>
      </c>
      <c r="AM262">
        <f t="shared" si="4"/>
        <v>5742</v>
      </c>
      <c r="AN262">
        <v>262</v>
      </c>
    </row>
    <row r="263" spans="38:40" x14ac:dyDescent="0.2">
      <c r="AL263" s="22" t="str">
        <f ca="1">IF(OFFSET(Kuponger!$E$27,AM263,0)&lt;=AL262,"",OFFSET(Kuponger!$E$5,AM263,0))</f>
        <v/>
      </c>
      <c r="AM263">
        <f t="shared" si="4"/>
        <v>5764</v>
      </c>
      <c r="AN263">
        <v>263</v>
      </c>
    </row>
    <row r="264" spans="38:40" x14ac:dyDescent="0.2">
      <c r="AL264" s="22" t="str">
        <f ca="1">IF(OFFSET(Kuponger!$E$27,AM264,0)&lt;=AL263,"",OFFSET(Kuponger!$E$5,AM264,0))</f>
        <v/>
      </c>
      <c r="AM264">
        <f t="shared" si="4"/>
        <v>5786</v>
      </c>
      <c r="AN264">
        <v>264</v>
      </c>
    </row>
    <row r="265" spans="38:40" x14ac:dyDescent="0.2">
      <c r="AL265" s="22" t="str">
        <f ca="1">IF(OFFSET(Kuponger!$E$27,AM265,0)&lt;=AL264,"",OFFSET(Kuponger!$E$5,AM265,0))</f>
        <v/>
      </c>
      <c r="AM265">
        <f t="shared" si="4"/>
        <v>5808</v>
      </c>
      <c r="AN265">
        <v>265</v>
      </c>
    </row>
    <row r="266" spans="38:40" x14ac:dyDescent="0.2">
      <c r="AL266" s="22" t="str">
        <f ca="1">IF(OFFSET(Kuponger!$E$27,AM266,0)&lt;=AL265,"",OFFSET(Kuponger!$E$5,AM266,0))</f>
        <v/>
      </c>
      <c r="AM266">
        <f t="shared" si="4"/>
        <v>5830</v>
      </c>
      <c r="AN266">
        <v>266</v>
      </c>
    </row>
    <row r="267" spans="38:40" x14ac:dyDescent="0.2">
      <c r="AL267" s="22" t="str">
        <f ca="1">IF(OFFSET(Kuponger!$E$27,AM267,0)&lt;=AL266,"",OFFSET(Kuponger!$E$5,AM267,0))</f>
        <v/>
      </c>
      <c r="AM267">
        <f t="shared" si="4"/>
        <v>5852</v>
      </c>
      <c r="AN267">
        <v>267</v>
      </c>
    </row>
    <row r="268" spans="38:40" x14ac:dyDescent="0.2">
      <c r="AL268" s="22" t="str">
        <f ca="1">IF(OFFSET(Kuponger!$E$27,AM268,0)&lt;=AL267,"",OFFSET(Kuponger!$E$5,AM268,0))</f>
        <v/>
      </c>
      <c r="AM268">
        <f t="shared" si="4"/>
        <v>5874</v>
      </c>
      <c r="AN268">
        <v>268</v>
      </c>
    </row>
    <row r="269" spans="38:40" x14ac:dyDescent="0.2">
      <c r="AL269" s="22" t="str">
        <f ca="1">IF(OFFSET(Kuponger!$E$27,AM269,0)&lt;=AL268,"",OFFSET(Kuponger!$E$5,AM269,0))</f>
        <v/>
      </c>
      <c r="AM269">
        <f t="shared" si="4"/>
        <v>5896</v>
      </c>
      <c r="AN269">
        <v>269</v>
      </c>
    </row>
    <row r="270" spans="38:40" x14ac:dyDescent="0.2">
      <c r="AL270" s="22" t="str">
        <f ca="1">IF(OFFSET(Kuponger!$E$27,AM270,0)&lt;=AL269,"",OFFSET(Kuponger!$E$5,AM270,0))</f>
        <v/>
      </c>
      <c r="AM270">
        <f t="shared" si="4"/>
        <v>5918</v>
      </c>
      <c r="AN270">
        <v>270</v>
      </c>
    </row>
    <row r="271" spans="38:40" x14ac:dyDescent="0.2">
      <c r="AL271" s="22" t="str">
        <f ca="1">IF(OFFSET(Kuponger!$E$27,AM271,0)&lt;=AL270,"",OFFSET(Kuponger!$E$5,AM271,0))</f>
        <v/>
      </c>
      <c r="AM271">
        <f t="shared" si="4"/>
        <v>5940</v>
      </c>
      <c r="AN271">
        <v>271</v>
      </c>
    </row>
    <row r="272" spans="38:40" x14ac:dyDescent="0.2">
      <c r="AL272" s="22" t="str">
        <f ca="1">IF(OFFSET(Kuponger!$E$27,AM272,0)&lt;=AL271,"",OFFSET(Kuponger!$E$5,AM272,0))</f>
        <v/>
      </c>
      <c r="AM272">
        <f t="shared" si="4"/>
        <v>5962</v>
      </c>
      <c r="AN272">
        <v>272</v>
      </c>
    </row>
    <row r="273" spans="38:40" x14ac:dyDescent="0.2">
      <c r="AL273" s="22" t="str">
        <f ca="1">IF(OFFSET(Kuponger!$E$27,AM273,0)&lt;=AL272,"",OFFSET(Kuponger!$E$5,AM273,0))</f>
        <v/>
      </c>
      <c r="AM273">
        <f t="shared" si="4"/>
        <v>5984</v>
      </c>
      <c r="AN273">
        <v>273</v>
      </c>
    </row>
    <row r="274" spans="38:40" x14ac:dyDescent="0.2">
      <c r="AL274" s="22" t="str">
        <f ca="1">IF(OFFSET(Kuponger!$E$27,AM274,0)&lt;=AL273,"",OFFSET(Kuponger!$E$5,AM274,0))</f>
        <v/>
      </c>
      <c r="AM274">
        <f t="shared" si="4"/>
        <v>6006</v>
      </c>
      <c r="AN274">
        <v>274</v>
      </c>
    </row>
    <row r="275" spans="38:40" x14ac:dyDescent="0.2">
      <c r="AL275" s="22" t="str">
        <f ca="1">IF(OFFSET(Kuponger!$E$27,AM275,0)&lt;=AL274,"",OFFSET(Kuponger!$E$5,AM275,0))</f>
        <v/>
      </c>
      <c r="AM275">
        <f t="shared" si="4"/>
        <v>6028</v>
      </c>
      <c r="AN275">
        <v>275</v>
      </c>
    </row>
    <row r="276" spans="38:40" x14ac:dyDescent="0.2">
      <c r="AL276" s="22" t="str">
        <f ca="1">IF(OFFSET(Kuponger!$E$27,AM276,0)&lt;=AL275,"",OFFSET(Kuponger!$E$5,AM276,0))</f>
        <v/>
      </c>
      <c r="AM276">
        <f t="shared" si="4"/>
        <v>6050</v>
      </c>
      <c r="AN276">
        <v>276</v>
      </c>
    </row>
    <row r="277" spans="38:40" x14ac:dyDescent="0.2">
      <c r="AL277" s="22" t="str">
        <f ca="1">IF(OFFSET(Kuponger!$E$27,AM277,0)&lt;=AL276,"",OFFSET(Kuponger!$E$5,AM277,0))</f>
        <v/>
      </c>
      <c r="AM277">
        <f t="shared" si="4"/>
        <v>6072</v>
      </c>
      <c r="AN277">
        <v>277</v>
      </c>
    </row>
    <row r="278" spans="38:40" x14ac:dyDescent="0.2">
      <c r="AL278" s="22" t="str">
        <f ca="1">IF(OFFSET(Kuponger!$E$27,AM278,0)&lt;=AL277,"",OFFSET(Kuponger!$E$5,AM278,0))</f>
        <v/>
      </c>
      <c r="AM278">
        <f t="shared" si="4"/>
        <v>6094</v>
      </c>
      <c r="AN278">
        <v>278</v>
      </c>
    </row>
    <row r="279" spans="38:40" x14ac:dyDescent="0.2">
      <c r="AL279" s="22" t="str">
        <f ca="1">IF(OFFSET(Kuponger!$E$27,AM279,0)&lt;=AL278,"",OFFSET(Kuponger!$E$5,AM279,0))</f>
        <v/>
      </c>
      <c r="AM279">
        <f t="shared" si="4"/>
        <v>6116</v>
      </c>
      <c r="AN279">
        <v>279</v>
      </c>
    </row>
    <row r="280" spans="38:40" x14ac:dyDescent="0.2">
      <c r="AL280" s="22" t="str">
        <f ca="1">IF(OFFSET(Kuponger!$E$27,AM280,0)&lt;=AL279,"",OFFSET(Kuponger!$E$5,AM280,0))</f>
        <v/>
      </c>
      <c r="AM280">
        <f t="shared" si="4"/>
        <v>6138</v>
      </c>
      <c r="AN280">
        <v>280</v>
      </c>
    </row>
    <row r="281" spans="38:40" x14ac:dyDescent="0.2">
      <c r="AL281" s="22" t="str">
        <f ca="1">IF(OFFSET(Kuponger!$E$27,AM281,0)&lt;=AL280,"",OFFSET(Kuponger!$E$5,AM281,0))</f>
        <v/>
      </c>
      <c r="AM281">
        <f t="shared" si="4"/>
        <v>6160</v>
      </c>
      <c r="AN281">
        <v>281</v>
      </c>
    </row>
    <row r="282" spans="38:40" x14ac:dyDescent="0.2">
      <c r="AL282" s="22" t="str">
        <f ca="1">IF(OFFSET(Kuponger!$E$27,AM282,0)&lt;=AL281,"",OFFSET(Kuponger!$E$5,AM282,0))</f>
        <v/>
      </c>
      <c r="AM282">
        <f t="shared" si="4"/>
        <v>6182</v>
      </c>
      <c r="AN282">
        <v>282</v>
      </c>
    </row>
    <row r="283" spans="38:40" x14ac:dyDescent="0.2">
      <c r="AL283" s="22" t="str">
        <f ca="1">IF(OFFSET(Kuponger!$E$27,AM283,0)&lt;=AL282,"",OFFSET(Kuponger!$E$5,AM283,0))</f>
        <v/>
      </c>
      <c r="AM283">
        <f t="shared" si="4"/>
        <v>6204</v>
      </c>
      <c r="AN283">
        <v>283</v>
      </c>
    </row>
    <row r="284" spans="38:40" x14ac:dyDescent="0.2">
      <c r="AL284" s="22" t="str">
        <f ca="1">IF(OFFSET(Kuponger!$E$27,AM284,0)&lt;=AL283,"",OFFSET(Kuponger!$E$5,AM284,0))</f>
        <v/>
      </c>
      <c r="AM284">
        <f t="shared" si="4"/>
        <v>6226</v>
      </c>
      <c r="AN284">
        <v>284</v>
      </c>
    </row>
    <row r="285" spans="38:40" x14ac:dyDescent="0.2">
      <c r="AL285" s="22" t="str">
        <f ca="1">IF(OFFSET(Kuponger!$E$27,AM285,0)&lt;=AL284,"",OFFSET(Kuponger!$E$5,AM285,0))</f>
        <v/>
      </c>
      <c r="AM285">
        <f t="shared" si="4"/>
        <v>6248</v>
      </c>
      <c r="AN285">
        <v>285</v>
      </c>
    </row>
    <row r="286" spans="38:40" x14ac:dyDescent="0.2">
      <c r="AL286" s="22" t="str">
        <f ca="1">IF(OFFSET(Kuponger!$E$27,AM286,0)&lt;=AL285,"",OFFSET(Kuponger!$E$5,AM286,0))</f>
        <v/>
      </c>
      <c r="AM286">
        <f t="shared" si="4"/>
        <v>6270</v>
      </c>
      <c r="AN286">
        <v>286</v>
      </c>
    </row>
    <row r="287" spans="38:40" x14ac:dyDescent="0.2">
      <c r="AL287" s="22" t="str">
        <f ca="1">IF(OFFSET(Kuponger!$E$27,AM287,0)&lt;=AL286,"",OFFSET(Kuponger!$E$5,AM287,0))</f>
        <v/>
      </c>
      <c r="AM287">
        <f t="shared" si="4"/>
        <v>6292</v>
      </c>
      <c r="AN287">
        <v>287</v>
      </c>
    </row>
    <row r="288" spans="38:40" x14ac:dyDescent="0.2">
      <c r="AL288" s="22" t="str">
        <f ca="1">IF(OFFSET(Kuponger!$E$27,AM288,0)&lt;=AL287,"",OFFSET(Kuponger!$E$5,AM288,0))</f>
        <v/>
      </c>
      <c r="AM288">
        <f t="shared" si="4"/>
        <v>6314</v>
      </c>
      <c r="AN288">
        <v>288</v>
      </c>
    </row>
    <row r="289" spans="38:40" x14ac:dyDescent="0.2">
      <c r="AL289" s="22" t="str">
        <f ca="1">IF(OFFSET(Kuponger!$E$27,AM289,0)&lt;=AL288,"",OFFSET(Kuponger!$E$5,AM289,0))</f>
        <v/>
      </c>
      <c r="AM289">
        <f t="shared" si="4"/>
        <v>6336</v>
      </c>
      <c r="AN289">
        <v>289</v>
      </c>
    </row>
    <row r="290" spans="38:40" x14ac:dyDescent="0.2">
      <c r="AL290" s="22" t="str">
        <f ca="1">IF(OFFSET(Kuponger!$E$27,AM290,0)&lt;=AL289,"",OFFSET(Kuponger!$E$5,AM290,0))</f>
        <v/>
      </c>
      <c r="AM290">
        <f t="shared" si="4"/>
        <v>6358</v>
      </c>
      <c r="AN290">
        <v>290</v>
      </c>
    </row>
    <row r="291" spans="38:40" x14ac:dyDescent="0.2">
      <c r="AL291" s="22" t="str">
        <f ca="1">IF(OFFSET(Kuponger!$E$27,AM291,0)&lt;=AL290,"",OFFSET(Kuponger!$E$5,AM291,0))</f>
        <v/>
      </c>
      <c r="AM291">
        <f t="shared" si="4"/>
        <v>6380</v>
      </c>
      <c r="AN291">
        <v>291</v>
      </c>
    </row>
    <row r="292" spans="38:40" x14ac:dyDescent="0.2">
      <c r="AL292" s="22" t="str">
        <f ca="1">IF(OFFSET(Kuponger!$E$27,AM292,0)&lt;=AL291,"",OFFSET(Kuponger!$E$5,AM292,0))</f>
        <v/>
      </c>
      <c r="AM292">
        <f t="shared" si="4"/>
        <v>6402</v>
      </c>
      <c r="AN292">
        <v>292</v>
      </c>
    </row>
    <row r="293" spans="38:40" x14ac:dyDescent="0.2">
      <c r="AL293" s="22" t="str">
        <f ca="1">IF(OFFSET(Kuponger!$E$27,AM293,0)&lt;=AL292,"",OFFSET(Kuponger!$E$5,AM293,0))</f>
        <v/>
      </c>
      <c r="AM293">
        <f t="shared" si="4"/>
        <v>6424</v>
      </c>
      <c r="AN293">
        <v>293</v>
      </c>
    </row>
    <row r="294" spans="38:40" x14ac:dyDescent="0.2">
      <c r="AL294" s="22" t="str">
        <f ca="1">IF(OFFSET(Kuponger!$E$27,AM294,0)&lt;=AL293,"",OFFSET(Kuponger!$E$5,AM294,0))</f>
        <v/>
      </c>
      <c r="AM294">
        <f t="shared" si="4"/>
        <v>6446</v>
      </c>
      <c r="AN294">
        <v>294</v>
      </c>
    </row>
    <row r="295" spans="38:40" x14ac:dyDescent="0.2">
      <c r="AL295" s="22" t="str">
        <f ca="1">IF(OFFSET(Kuponger!$E$27,AM295,0)&lt;=AL294,"",OFFSET(Kuponger!$E$5,AM295,0))</f>
        <v/>
      </c>
      <c r="AM295">
        <f t="shared" si="4"/>
        <v>6468</v>
      </c>
      <c r="AN295">
        <v>295</v>
      </c>
    </row>
    <row r="296" spans="38:40" x14ac:dyDescent="0.2">
      <c r="AL296" s="22" t="str">
        <f ca="1">IF(OFFSET(Kuponger!$E$27,AM296,0)&lt;=AL295,"",OFFSET(Kuponger!$E$5,AM296,0))</f>
        <v/>
      </c>
      <c r="AM296">
        <f t="shared" si="4"/>
        <v>6490</v>
      </c>
      <c r="AN296">
        <v>296</v>
      </c>
    </row>
    <row r="297" spans="38:40" x14ac:dyDescent="0.2">
      <c r="AL297" s="22" t="str">
        <f ca="1">IF(OFFSET(Kuponger!$E$27,AM297,0)&lt;=AL296,"",OFFSET(Kuponger!$E$5,AM297,0))</f>
        <v/>
      </c>
      <c r="AM297">
        <f t="shared" si="4"/>
        <v>6512</v>
      </c>
      <c r="AN297">
        <v>297</v>
      </c>
    </row>
    <row r="298" spans="38:40" x14ac:dyDescent="0.2">
      <c r="AL298" s="22" t="str">
        <f ca="1">IF(OFFSET(Kuponger!$E$27,AM298,0)&lt;=AL297,"",OFFSET(Kuponger!$E$5,AM298,0))</f>
        <v/>
      </c>
      <c r="AM298">
        <f t="shared" si="4"/>
        <v>6534</v>
      </c>
      <c r="AN298">
        <v>298</v>
      </c>
    </row>
    <row r="299" spans="38:40" x14ac:dyDescent="0.2">
      <c r="AL299" s="22" t="str">
        <f ca="1">IF(OFFSET(Kuponger!$E$27,AM299,0)&lt;=AL298,"",OFFSET(Kuponger!$E$5,AM299,0))</f>
        <v/>
      </c>
      <c r="AM299">
        <f t="shared" si="4"/>
        <v>6556</v>
      </c>
      <c r="AN299">
        <v>299</v>
      </c>
    </row>
    <row r="300" spans="38:40" x14ac:dyDescent="0.2">
      <c r="AL300" s="22" t="str">
        <f ca="1">IF(OFFSET(Kuponger!$E$27,AM300,0)&lt;=AL299,"",OFFSET(Kuponger!$E$5,AM300,0))</f>
        <v/>
      </c>
      <c r="AM300">
        <f t="shared" si="4"/>
        <v>6578</v>
      </c>
      <c r="AN300">
        <v>300</v>
      </c>
    </row>
    <row r="301" spans="38:40" x14ac:dyDescent="0.2">
      <c r="AL301" s="22" t="str">
        <f ca="1">IF(OFFSET(Kuponger!$E$27,AM301,0)&lt;=AL300,"",OFFSET(Kuponger!$E$5,AM301,0))</f>
        <v/>
      </c>
      <c r="AM301">
        <f t="shared" si="4"/>
        <v>6600</v>
      </c>
      <c r="AN301">
        <v>301</v>
      </c>
    </row>
    <row r="302" spans="38:40" x14ac:dyDescent="0.2">
      <c r="AL302" s="22" t="str">
        <f ca="1">IF(OFFSET(Kuponger!$E$27,AM302,0)&lt;=AL301,"",OFFSET(Kuponger!$E$5,AM302,0))</f>
        <v/>
      </c>
      <c r="AM302">
        <f t="shared" si="4"/>
        <v>6622</v>
      </c>
      <c r="AN302">
        <v>302</v>
      </c>
    </row>
    <row r="303" spans="38:40" x14ac:dyDescent="0.2">
      <c r="AL303" s="22" t="str">
        <f ca="1">IF(OFFSET(Kuponger!$E$27,AM303,0)&lt;=AL302,"",OFFSET(Kuponger!$E$5,AM303,0))</f>
        <v/>
      </c>
      <c r="AM303">
        <f t="shared" si="4"/>
        <v>6644</v>
      </c>
      <c r="AN303">
        <v>303</v>
      </c>
    </row>
    <row r="304" spans="38:40" x14ac:dyDescent="0.2">
      <c r="AL304" s="22" t="str">
        <f ca="1">IF(OFFSET(Kuponger!$E$27,AM304,0)&lt;=AL303,"",OFFSET(Kuponger!$E$5,AM304,0))</f>
        <v/>
      </c>
      <c r="AM304">
        <f t="shared" si="4"/>
        <v>6666</v>
      </c>
      <c r="AN304">
        <v>304</v>
      </c>
    </row>
    <row r="305" spans="38:40" x14ac:dyDescent="0.2">
      <c r="AL305" s="22" t="str">
        <f ca="1">IF(OFFSET(Kuponger!$E$27,AM305,0)&lt;=AL304,"",OFFSET(Kuponger!$E$5,AM305,0))</f>
        <v/>
      </c>
      <c r="AM305">
        <f t="shared" si="4"/>
        <v>6688</v>
      </c>
      <c r="AN305">
        <v>305</v>
      </c>
    </row>
    <row r="306" spans="38:40" x14ac:dyDescent="0.2">
      <c r="AL306" s="22" t="str">
        <f ca="1">IF(OFFSET(Kuponger!$E$27,AM306,0)&lt;=AL305,"",OFFSET(Kuponger!$E$5,AM306,0))</f>
        <v/>
      </c>
      <c r="AM306">
        <f t="shared" si="4"/>
        <v>6710</v>
      </c>
      <c r="AN306">
        <v>306</v>
      </c>
    </row>
    <row r="307" spans="38:40" x14ac:dyDescent="0.2">
      <c r="AL307" s="22" t="str">
        <f ca="1">IF(OFFSET(Kuponger!$E$27,AM307,0)&lt;=AL306,"",OFFSET(Kuponger!$E$5,AM307,0))</f>
        <v/>
      </c>
      <c r="AM307">
        <f t="shared" si="4"/>
        <v>6732</v>
      </c>
      <c r="AN307">
        <v>307</v>
      </c>
    </row>
    <row r="308" spans="38:40" x14ac:dyDescent="0.2">
      <c r="AL308" s="22" t="str">
        <f ca="1">IF(OFFSET(Kuponger!$E$27,AM308,0)&lt;=AL307,"",OFFSET(Kuponger!$E$5,AM308,0))</f>
        <v/>
      </c>
      <c r="AM308">
        <f t="shared" si="4"/>
        <v>6754</v>
      </c>
      <c r="AN308">
        <v>308</v>
      </c>
    </row>
    <row r="309" spans="38:40" x14ac:dyDescent="0.2">
      <c r="AL309" s="22" t="str">
        <f ca="1">IF(OFFSET(Kuponger!$E$27,AM309,0)&lt;=AL308,"",OFFSET(Kuponger!$E$5,AM309,0))</f>
        <v/>
      </c>
      <c r="AM309">
        <f t="shared" si="4"/>
        <v>6776</v>
      </c>
      <c r="AN309">
        <v>309</v>
      </c>
    </row>
    <row r="310" spans="38:40" x14ac:dyDescent="0.2">
      <c r="AL310" s="22" t="str">
        <f ca="1">IF(OFFSET(Kuponger!$E$27,AM310,0)&lt;=AL309,"",OFFSET(Kuponger!$E$5,AM310,0))</f>
        <v/>
      </c>
      <c r="AM310">
        <f t="shared" si="4"/>
        <v>6798</v>
      </c>
      <c r="AN310">
        <v>310</v>
      </c>
    </row>
    <row r="311" spans="38:40" x14ac:dyDescent="0.2">
      <c r="AL311" s="22" t="str">
        <f ca="1">IF(OFFSET(Kuponger!$E$27,AM311,0)&lt;=AL310,"",OFFSET(Kuponger!$E$5,AM311,0))</f>
        <v/>
      </c>
      <c r="AM311">
        <f t="shared" si="4"/>
        <v>6820</v>
      </c>
      <c r="AN311">
        <v>311</v>
      </c>
    </row>
    <row r="312" spans="38:40" x14ac:dyDescent="0.2">
      <c r="AL312" s="22" t="str">
        <f ca="1">IF(OFFSET(Kuponger!$E$27,AM312,0)&lt;=AL311,"",OFFSET(Kuponger!$E$5,AM312,0))</f>
        <v/>
      </c>
      <c r="AM312">
        <f t="shared" si="4"/>
        <v>6842</v>
      </c>
      <c r="AN312">
        <v>312</v>
      </c>
    </row>
    <row r="313" spans="38:40" x14ac:dyDescent="0.2">
      <c r="AL313" s="22" t="str">
        <f ca="1">IF(OFFSET(Kuponger!$E$27,AM313,0)&lt;=AL312,"",OFFSET(Kuponger!$E$5,AM313,0))</f>
        <v/>
      </c>
      <c r="AM313">
        <f t="shared" si="4"/>
        <v>6864</v>
      </c>
      <c r="AN313">
        <v>313</v>
      </c>
    </row>
    <row r="314" spans="38:40" x14ac:dyDescent="0.2">
      <c r="AL314" s="22" t="str">
        <f ca="1">IF(OFFSET(Kuponger!$E$27,AM314,0)&lt;=AL313,"",OFFSET(Kuponger!$E$5,AM314,0))</f>
        <v/>
      </c>
      <c r="AM314">
        <f t="shared" si="4"/>
        <v>6886</v>
      </c>
      <c r="AN314">
        <v>314</v>
      </c>
    </row>
    <row r="315" spans="38:40" x14ac:dyDescent="0.2">
      <c r="AL315" s="22" t="str">
        <f ca="1">IF(OFFSET(Kuponger!$E$27,AM315,0)&lt;=AL314,"",OFFSET(Kuponger!$E$5,AM315,0))</f>
        <v/>
      </c>
      <c r="AM315">
        <f t="shared" si="4"/>
        <v>6908</v>
      </c>
      <c r="AN315">
        <v>315</v>
      </c>
    </row>
    <row r="316" spans="38:40" x14ac:dyDescent="0.2">
      <c r="AL316" s="22" t="str">
        <f ca="1">IF(OFFSET(Kuponger!$E$27,AM316,0)&lt;=AL315,"",OFFSET(Kuponger!$E$5,AM316,0))</f>
        <v/>
      </c>
      <c r="AM316">
        <f t="shared" si="4"/>
        <v>6930</v>
      </c>
      <c r="AN316">
        <v>316</v>
      </c>
    </row>
    <row r="317" spans="38:40" x14ac:dyDescent="0.2">
      <c r="AL317" s="22" t="str">
        <f ca="1">IF(OFFSET(Kuponger!$E$27,AM317,0)&lt;=AL316,"",OFFSET(Kuponger!$E$5,AM317,0))</f>
        <v/>
      </c>
      <c r="AM317">
        <f t="shared" si="4"/>
        <v>6952</v>
      </c>
      <c r="AN317">
        <v>317</v>
      </c>
    </row>
    <row r="318" spans="38:40" x14ac:dyDescent="0.2">
      <c r="AL318" s="22" t="str">
        <f ca="1">IF(OFFSET(Kuponger!$E$27,AM318,0)&lt;=AL317,"",OFFSET(Kuponger!$E$5,AM318,0))</f>
        <v/>
      </c>
      <c r="AM318">
        <f t="shared" si="4"/>
        <v>6974</v>
      </c>
      <c r="AN318">
        <v>318</v>
      </c>
    </row>
    <row r="319" spans="38:40" x14ac:dyDescent="0.2">
      <c r="AL319" s="22" t="str">
        <f ca="1">IF(OFFSET(Kuponger!$E$27,AM319,0)&lt;=AL318,"",OFFSET(Kuponger!$E$5,AM319,0))</f>
        <v/>
      </c>
      <c r="AM319">
        <f t="shared" si="4"/>
        <v>6996</v>
      </c>
      <c r="AN319">
        <v>319</v>
      </c>
    </row>
    <row r="320" spans="38:40" x14ac:dyDescent="0.2">
      <c r="AL320" s="22" t="str">
        <f ca="1">IF(OFFSET(Kuponger!$E$27,AM320,0)&lt;=AL319,"",OFFSET(Kuponger!$E$5,AM320,0))</f>
        <v/>
      </c>
      <c r="AM320">
        <f t="shared" si="4"/>
        <v>7018</v>
      </c>
      <c r="AN320">
        <v>320</v>
      </c>
    </row>
    <row r="321" spans="38:40" x14ac:dyDescent="0.2">
      <c r="AL321" s="22" t="str">
        <f ca="1">IF(OFFSET(Kuponger!$E$27,AM321,0)&lt;=AL320,"",OFFSET(Kuponger!$E$5,AM321,0))</f>
        <v/>
      </c>
      <c r="AM321">
        <f t="shared" si="4"/>
        <v>7040</v>
      </c>
      <c r="AN321">
        <v>321</v>
      </c>
    </row>
    <row r="322" spans="38:40" x14ac:dyDescent="0.2">
      <c r="AL322" s="22" t="str">
        <f ca="1">IF(OFFSET(Kuponger!$E$27,AM322,0)&lt;=AL321,"",OFFSET(Kuponger!$E$5,AM322,0))</f>
        <v/>
      </c>
      <c r="AM322">
        <f t="shared" si="4"/>
        <v>7062</v>
      </c>
      <c r="AN322">
        <v>322</v>
      </c>
    </row>
    <row r="323" spans="38:40" x14ac:dyDescent="0.2">
      <c r="AL323" s="22" t="str">
        <f ca="1">IF(OFFSET(Kuponger!$E$27,AM323,0)&lt;=AL322,"",OFFSET(Kuponger!$E$5,AM323,0))</f>
        <v/>
      </c>
      <c r="AM323">
        <f t="shared" ref="AM323:AM380" si="5">AM322+22</f>
        <v>7084</v>
      </c>
      <c r="AN323">
        <v>323</v>
      </c>
    </row>
    <row r="324" spans="38:40" x14ac:dyDescent="0.2">
      <c r="AL324" s="22" t="str">
        <f ca="1">IF(OFFSET(Kuponger!$E$27,AM324,0)&lt;=AL323,"",OFFSET(Kuponger!$E$5,AM324,0))</f>
        <v/>
      </c>
      <c r="AM324">
        <f t="shared" si="5"/>
        <v>7106</v>
      </c>
      <c r="AN324">
        <v>324</v>
      </c>
    </row>
    <row r="325" spans="38:40" x14ac:dyDescent="0.2">
      <c r="AL325" s="22" t="str">
        <f ca="1">IF(OFFSET(Kuponger!$E$27,AM325,0)&lt;=AL324,"",OFFSET(Kuponger!$E$5,AM325,0))</f>
        <v/>
      </c>
      <c r="AM325">
        <f t="shared" si="5"/>
        <v>7128</v>
      </c>
      <c r="AN325">
        <v>325</v>
      </c>
    </row>
    <row r="326" spans="38:40" x14ac:dyDescent="0.2">
      <c r="AL326" s="22" t="str">
        <f ca="1">IF(OFFSET(Kuponger!$E$27,AM326,0)&lt;=AL325,"",OFFSET(Kuponger!$E$5,AM326,0))</f>
        <v/>
      </c>
      <c r="AM326">
        <f t="shared" si="5"/>
        <v>7150</v>
      </c>
      <c r="AN326">
        <v>326</v>
      </c>
    </row>
    <row r="327" spans="38:40" x14ac:dyDescent="0.2">
      <c r="AL327" s="22" t="str">
        <f ca="1">IF(OFFSET(Kuponger!$E$27,AM327,0)&lt;=AL326,"",OFFSET(Kuponger!$E$5,AM327,0))</f>
        <v/>
      </c>
      <c r="AM327">
        <f t="shared" si="5"/>
        <v>7172</v>
      </c>
      <c r="AN327">
        <v>327</v>
      </c>
    </row>
    <row r="328" spans="38:40" x14ac:dyDescent="0.2">
      <c r="AL328" s="22" t="str">
        <f ca="1">IF(OFFSET(Kuponger!$E$27,AM328,0)&lt;=AL327,"",OFFSET(Kuponger!$E$5,AM328,0))</f>
        <v/>
      </c>
      <c r="AM328">
        <f t="shared" si="5"/>
        <v>7194</v>
      </c>
      <c r="AN328">
        <v>328</v>
      </c>
    </row>
    <row r="329" spans="38:40" x14ac:dyDescent="0.2">
      <c r="AL329" s="22" t="str">
        <f ca="1">IF(OFFSET(Kuponger!$E$27,AM329,0)&lt;=AL328,"",OFFSET(Kuponger!$E$5,AM329,0))</f>
        <v/>
      </c>
      <c r="AM329">
        <f t="shared" si="5"/>
        <v>7216</v>
      </c>
      <c r="AN329">
        <v>329</v>
      </c>
    </row>
    <row r="330" spans="38:40" x14ac:dyDescent="0.2">
      <c r="AL330" s="22" t="str">
        <f ca="1">IF(OFFSET(Kuponger!$E$27,AM330,0)&lt;=AL329,"",OFFSET(Kuponger!$E$5,AM330,0))</f>
        <v/>
      </c>
      <c r="AM330">
        <f t="shared" si="5"/>
        <v>7238</v>
      </c>
      <c r="AN330">
        <v>330</v>
      </c>
    </row>
    <row r="331" spans="38:40" x14ac:dyDescent="0.2">
      <c r="AL331" s="22" t="str">
        <f ca="1">IF(OFFSET(Kuponger!$E$27,AM331,0)&lt;=AL330,"",OFFSET(Kuponger!$E$5,AM331,0))</f>
        <v/>
      </c>
      <c r="AM331">
        <f t="shared" si="5"/>
        <v>7260</v>
      </c>
      <c r="AN331">
        <v>331</v>
      </c>
    </row>
    <row r="332" spans="38:40" x14ac:dyDescent="0.2">
      <c r="AL332" s="22" t="str">
        <f ca="1">IF(OFFSET(Kuponger!$E$27,AM332,0)&lt;=AL331,"",OFFSET(Kuponger!$E$5,AM332,0))</f>
        <v/>
      </c>
      <c r="AM332">
        <f t="shared" si="5"/>
        <v>7282</v>
      </c>
      <c r="AN332">
        <v>332</v>
      </c>
    </row>
    <row r="333" spans="38:40" x14ac:dyDescent="0.2">
      <c r="AL333" s="22" t="str">
        <f ca="1">IF(OFFSET(Kuponger!$E$27,AM333,0)&lt;=AL332,"",OFFSET(Kuponger!$E$5,AM333,0))</f>
        <v/>
      </c>
      <c r="AM333">
        <f t="shared" si="5"/>
        <v>7304</v>
      </c>
      <c r="AN333">
        <v>333</v>
      </c>
    </row>
    <row r="334" spans="38:40" x14ac:dyDescent="0.2">
      <c r="AL334" s="22" t="str">
        <f ca="1">IF(OFFSET(Kuponger!$E$27,AM334,0)&lt;=AL333,"",OFFSET(Kuponger!$E$5,AM334,0))</f>
        <v/>
      </c>
      <c r="AM334">
        <f t="shared" si="5"/>
        <v>7326</v>
      </c>
      <c r="AN334">
        <v>334</v>
      </c>
    </row>
    <row r="335" spans="38:40" x14ac:dyDescent="0.2">
      <c r="AL335" s="22" t="str">
        <f ca="1">IF(OFFSET(Kuponger!$E$27,AM335,0)&lt;=AL334,"",OFFSET(Kuponger!$E$5,AM335,0))</f>
        <v/>
      </c>
      <c r="AM335">
        <f t="shared" si="5"/>
        <v>7348</v>
      </c>
      <c r="AN335">
        <v>335</v>
      </c>
    </row>
    <row r="336" spans="38:40" x14ac:dyDescent="0.2">
      <c r="AL336" s="22" t="str">
        <f ca="1">IF(OFFSET(Kuponger!$E$27,AM336,0)&lt;=AL335,"",OFFSET(Kuponger!$E$5,AM336,0))</f>
        <v/>
      </c>
      <c r="AM336">
        <f t="shared" si="5"/>
        <v>7370</v>
      </c>
      <c r="AN336">
        <v>336</v>
      </c>
    </row>
    <row r="337" spans="38:40" x14ac:dyDescent="0.2">
      <c r="AL337" s="22" t="str">
        <f ca="1">IF(OFFSET(Kuponger!$E$27,AM337,0)&lt;=AL336,"",OFFSET(Kuponger!$E$5,AM337,0))</f>
        <v/>
      </c>
      <c r="AM337">
        <f t="shared" si="5"/>
        <v>7392</v>
      </c>
      <c r="AN337">
        <v>337</v>
      </c>
    </row>
    <row r="338" spans="38:40" x14ac:dyDescent="0.2">
      <c r="AL338" s="22" t="str">
        <f ca="1">IF(OFFSET(Kuponger!$E$27,AM338,0)&lt;=AL337,"",OFFSET(Kuponger!$E$5,AM338,0))</f>
        <v/>
      </c>
      <c r="AM338">
        <f t="shared" si="5"/>
        <v>7414</v>
      </c>
      <c r="AN338">
        <v>338</v>
      </c>
    </row>
    <row r="339" spans="38:40" x14ac:dyDescent="0.2">
      <c r="AL339" s="22" t="str">
        <f ca="1">IF(OFFSET(Kuponger!$E$27,AM339,0)&lt;=AL338,"",OFFSET(Kuponger!$E$5,AM339,0))</f>
        <v/>
      </c>
      <c r="AM339">
        <f t="shared" si="5"/>
        <v>7436</v>
      </c>
      <c r="AN339">
        <v>339</v>
      </c>
    </row>
    <row r="340" spans="38:40" x14ac:dyDescent="0.2">
      <c r="AL340" s="22" t="str">
        <f ca="1">IF(OFFSET(Kuponger!$E$27,AM340,0)&lt;=AL339,"",OFFSET(Kuponger!$E$5,AM340,0))</f>
        <v/>
      </c>
      <c r="AM340">
        <f t="shared" si="5"/>
        <v>7458</v>
      </c>
      <c r="AN340">
        <v>340</v>
      </c>
    </row>
    <row r="341" spans="38:40" x14ac:dyDescent="0.2">
      <c r="AL341" s="22" t="str">
        <f ca="1">IF(OFFSET(Kuponger!$E$27,AM341,0)&lt;=AL340,"",OFFSET(Kuponger!$E$5,AM341,0))</f>
        <v/>
      </c>
      <c r="AM341">
        <f t="shared" si="5"/>
        <v>7480</v>
      </c>
      <c r="AN341">
        <v>341</v>
      </c>
    </row>
    <row r="342" spans="38:40" x14ac:dyDescent="0.2">
      <c r="AL342" s="22" t="str">
        <f ca="1">IF(OFFSET(Kuponger!$E$27,AM342,0)&lt;=AL341,"",OFFSET(Kuponger!$E$5,AM342,0))</f>
        <v/>
      </c>
      <c r="AM342">
        <f t="shared" si="5"/>
        <v>7502</v>
      </c>
      <c r="AN342">
        <v>342</v>
      </c>
    </row>
    <row r="343" spans="38:40" x14ac:dyDescent="0.2">
      <c r="AL343" s="22" t="str">
        <f ca="1">IF(OFFSET(Kuponger!$E$27,AM343,0)&lt;=AL342,"",OFFSET(Kuponger!$E$5,AM343,0))</f>
        <v/>
      </c>
      <c r="AM343">
        <f t="shared" si="5"/>
        <v>7524</v>
      </c>
      <c r="AN343">
        <v>343</v>
      </c>
    </row>
    <row r="344" spans="38:40" x14ac:dyDescent="0.2">
      <c r="AL344" s="22" t="str">
        <f ca="1">IF(OFFSET(Kuponger!$E$27,AM344,0)&lt;=AL343,"",OFFSET(Kuponger!$E$5,AM344,0))</f>
        <v/>
      </c>
      <c r="AM344">
        <f t="shared" si="5"/>
        <v>7546</v>
      </c>
      <c r="AN344">
        <v>344</v>
      </c>
    </row>
    <row r="345" spans="38:40" x14ac:dyDescent="0.2">
      <c r="AL345" s="22" t="str">
        <f ca="1">IF(OFFSET(Kuponger!$E$27,AM345,0)&lt;=AL344,"",OFFSET(Kuponger!$E$5,AM345,0))</f>
        <v/>
      </c>
      <c r="AM345">
        <f t="shared" si="5"/>
        <v>7568</v>
      </c>
      <c r="AN345">
        <v>345</v>
      </c>
    </row>
    <row r="346" spans="38:40" x14ac:dyDescent="0.2">
      <c r="AL346" s="22" t="str">
        <f ca="1">IF(OFFSET(Kuponger!$E$27,AM346,0)&lt;=AL345,"",OFFSET(Kuponger!$E$5,AM346,0))</f>
        <v/>
      </c>
      <c r="AM346">
        <f t="shared" si="5"/>
        <v>7590</v>
      </c>
      <c r="AN346">
        <v>346</v>
      </c>
    </row>
    <row r="347" spans="38:40" x14ac:dyDescent="0.2">
      <c r="AL347" s="22" t="str">
        <f ca="1">IF(OFFSET(Kuponger!$E$27,AM347,0)&lt;=AL346,"",OFFSET(Kuponger!$E$5,AM347,0))</f>
        <v/>
      </c>
      <c r="AM347">
        <f t="shared" si="5"/>
        <v>7612</v>
      </c>
      <c r="AN347">
        <v>347</v>
      </c>
    </row>
    <row r="348" spans="38:40" x14ac:dyDescent="0.2">
      <c r="AL348" s="22" t="str">
        <f ca="1">IF(OFFSET(Kuponger!$E$27,AM348,0)&lt;=AL347,"",OFFSET(Kuponger!$E$5,AM348,0))</f>
        <v/>
      </c>
      <c r="AM348">
        <f t="shared" si="5"/>
        <v>7634</v>
      </c>
      <c r="AN348">
        <v>348</v>
      </c>
    </row>
    <row r="349" spans="38:40" x14ac:dyDescent="0.2">
      <c r="AL349" s="22" t="str">
        <f ca="1">IF(OFFSET(Kuponger!$E$27,AM349,0)&lt;=AL348,"",OFFSET(Kuponger!$E$5,AM349,0))</f>
        <v/>
      </c>
      <c r="AM349">
        <f t="shared" si="5"/>
        <v>7656</v>
      </c>
      <c r="AN349">
        <v>349</v>
      </c>
    </row>
    <row r="350" spans="38:40" x14ac:dyDescent="0.2">
      <c r="AL350" s="22" t="str">
        <f ca="1">IF(OFFSET(Kuponger!$E$27,AM350,0)&lt;=AL349,"",OFFSET(Kuponger!$E$5,AM350,0))</f>
        <v/>
      </c>
      <c r="AM350">
        <f t="shared" si="5"/>
        <v>7678</v>
      </c>
      <c r="AN350">
        <v>350</v>
      </c>
    </row>
    <row r="351" spans="38:40" x14ac:dyDescent="0.2">
      <c r="AL351" s="22" t="str">
        <f ca="1">IF(OFFSET(Kuponger!$E$27,AM351,0)&lt;=AL350,"",OFFSET(Kuponger!$E$5,AM351,0))</f>
        <v/>
      </c>
      <c r="AM351">
        <f t="shared" si="5"/>
        <v>7700</v>
      </c>
      <c r="AN351">
        <v>351</v>
      </c>
    </row>
    <row r="352" spans="38:40" x14ac:dyDescent="0.2">
      <c r="AL352" s="22" t="str">
        <f ca="1">IF(OFFSET(Kuponger!$E$27,AM352,0)&lt;=AL351,"",OFFSET(Kuponger!$E$5,AM352,0))</f>
        <v/>
      </c>
      <c r="AM352">
        <f t="shared" si="5"/>
        <v>7722</v>
      </c>
      <c r="AN352">
        <v>352</v>
      </c>
    </row>
    <row r="353" spans="38:40" x14ac:dyDescent="0.2">
      <c r="AL353" s="22" t="str">
        <f ca="1">IF(OFFSET(Kuponger!$E$27,AM353,0)&lt;=AL352,"",OFFSET(Kuponger!$E$5,AM353,0))</f>
        <v/>
      </c>
      <c r="AM353">
        <f t="shared" si="5"/>
        <v>7744</v>
      </c>
      <c r="AN353">
        <v>353</v>
      </c>
    </row>
    <row r="354" spans="38:40" x14ac:dyDescent="0.2">
      <c r="AL354" s="22" t="str">
        <f ca="1">IF(OFFSET(Kuponger!$E$27,AM354,0)&lt;=AL353,"",OFFSET(Kuponger!$E$5,AM354,0))</f>
        <v/>
      </c>
      <c r="AM354">
        <f t="shared" si="5"/>
        <v>7766</v>
      </c>
      <c r="AN354">
        <v>354</v>
      </c>
    </row>
    <row r="355" spans="38:40" x14ac:dyDescent="0.2">
      <c r="AL355" s="22" t="str">
        <f ca="1">IF(OFFSET(Kuponger!$E$27,AM355,0)&lt;=AL354,"",OFFSET(Kuponger!$E$5,AM355,0))</f>
        <v/>
      </c>
      <c r="AM355">
        <f t="shared" si="5"/>
        <v>7788</v>
      </c>
      <c r="AN355">
        <v>355</v>
      </c>
    </row>
    <row r="356" spans="38:40" x14ac:dyDescent="0.2">
      <c r="AL356" s="22" t="str">
        <f ca="1">IF(OFFSET(Kuponger!$E$27,AM356,0)&lt;=AL355,"",OFFSET(Kuponger!$E$5,AM356,0))</f>
        <v/>
      </c>
      <c r="AM356">
        <f t="shared" si="5"/>
        <v>7810</v>
      </c>
      <c r="AN356">
        <v>356</v>
      </c>
    </row>
    <row r="357" spans="38:40" x14ac:dyDescent="0.2">
      <c r="AL357" s="22" t="str">
        <f ca="1">IF(OFFSET(Kuponger!$E$27,AM357,0)&lt;=AL356,"",OFFSET(Kuponger!$E$5,AM357,0))</f>
        <v/>
      </c>
      <c r="AM357">
        <f t="shared" si="5"/>
        <v>7832</v>
      </c>
      <c r="AN357">
        <v>357</v>
      </c>
    </row>
    <row r="358" spans="38:40" x14ac:dyDescent="0.2">
      <c r="AL358" s="22" t="str">
        <f ca="1">IF(OFFSET(Kuponger!$E$27,AM358,0)&lt;=AL357,"",OFFSET(Kuponger!$E$5,AM358,0))</f>
        <v/>
      </c>
      <c r="AM358">
        <f t="shared" si="5"/>
        <v>7854</v>
      </c>
      <c r="AN358">
        <v>358</v>
      </c>
    </row>
    <row r="359" spans="38:40" x14ac:dyDescent="0.2">
      <c r="AL359" s="22" t="str">
        <f ca="1">IF(OFFSET(Kuponger!$E$27,AM359,0)&lt;=AL358,"",OFFSET(Kuponger!$E$5,AM359,0))</f>
        <v/>
      </c>
      <c r="AM359">
        <f t="shared" si="5"/>
        <v>7876</v>
      </c>
      <c r="AN359">
        <v>359</v>
      </c>
    </row>
    <row r="360" spans="38:40" x14ac:dyDescent="0.2">
      <c r="AL360" s="22" t="str">
        <f ca="1">IF(OFFSET(Kuponger!$E$27,AM360,0)&lt;=AL359,"",OFFSET(Kuponger!$E$5,AM360,0))</f>
        <v/>
      </c>
      <c r="AM360">
        <f t="shared" si="5"/>
        <v>7898</v>
      </c>
      <c r="AN360">
        <v>360</v>
      </c>
    </row>
    <row r="361" spans="38:40" x14ac:dyDescent="0.2">
      <c r="AL361" s="22" t="str">
        <f ca="1">IF(OFFSET(Kuponger!$E$27,AM361,0)&lt;=AL360,"",OFFSET(Kuponger!$E$5,AM361,0))</f>
        <v/>
      </c>
      <c r="AM361">
        <f t="shared" si="5"/>
        <v>7920</v>
      </c>
      <c r="AN361">
        <v>361</v>
      </c>
    </row>
    <row r="362" spans="38:40" x14ac:dyDescent="0.2">
      <c r="AL362" s="22" t="str">
        <f ca="1">IF(OFFSET(Kuponger!$E$27,AM362,0)&lt;=AL361,"",OFFSET(Kuponger!$E$5,AM362,0))</f>
        <v/>
      </c>
      <c r="AM362">
        <f t="shared" si="5"/>
        <v>7942</v>
      </c>
      <c r="AN362">
        <v>362</v>
      </c>
    </row>
    <row r="363" spans="38:40" x14ac:dyDescent="0.2">
      <c r="AL363" s="22" t="str">
        <f ca="1">IF(OFFSET(Kuponger!$E$27,AM363,0)&lt;=AL362,"",OFFSET(Kuponger!$E$5,AM363,0))</f>
        <v/>
      </c>
      <c r="AM363">
        <f t="shared" si="5"/>
        <v>7964</v>
      </c>
      <c r="AN363">
        <v>363</v>
      </c>
    </row>
    <row r="364" spans="38:40" x14ac:dyDescent="0.2">
      <c r="AL364" s="22" t="str">
        <f ca="1">IF(OFFSET(Kuponger!$E$27,AM364,0)&lt;=AL363,"",OFFSET(Kuponger!$E$5,AM364,0))</f>
        <v/>
      </c>
      <c r="AM364">
        <f t="shared" si="5"/>
        <v>7986</v>
      </c>
      <c r="AN364">
        <v>364</v>
      </c>
    </row>
    <row r="365" spans="38:40" x14ac:dyDescent="0.2">
      <c r="AL365" s="22" t="str">
        <f ca="1">IF(OFFSET(Kuponger!$E$27,AM365,0)&lt;=AL364,"",OFFSET(Kuponger!$E$5,AM365,0))</f>
        <v/>
      </c>
      <c r="AM365">
        <f t="shared" si="5"/>
        <v>8008</v>
      </c>
      <c r="AN365">
        <v>365</v>
      </c>
    </row>
    <row r="366" spans="38:40" x14ac:dyDescent="0.2">
      <c r="AL366" s="22" t="str">
        <f ca="1">IF(OFFSET(Kuponger!$E$27,AM366,0)&lt;=AL365,"",OFFSET(Kuponger!$E$5,AM366,0))</f>
        <v/>
      </c>
      <c r="AM366">
        <f t="shared" si="5"/>
        <v>8030</v>
      </c>
      <c r="AN366">
        <v>366</v>
      </c>
    </row>
    <row r="367" spans="38:40" x14ac:dyDescent="0.2">
      <c r="AL367" s="22" t="str">
        <f ca="1">IF(OFFSET(Kuponger!$E$27,AM367,0)&lt;=AL366,"",OFFSET(Kuponger!$E$5,AM367,0))</f>
        <v/>
      </c>
      <c r="AM367">
        <f t="shared" si="5"/>
        <v>8052</v>
      </c>
      <c r="AN367">
        <v>367</v>
      </c>
    </row>
    <row r="368" spans="38:40" x14ac:dyDescent="0.2">
      <c r="AL368" s="22" t="str">
        <f ca="1">IF(OFFSET(Kuponger!$E$27,AM368,0)&lt;=AL367,"",OFFSET(Kuponger!$E$5,AM368,0))</f>
        <v/>
      </c>
      <c r="AM368">
        <f t="shared" si="5"/>
        <v>8074</v>
      </c>
      <c r="AN368">
        <v>368</v>
      </c>
    </row>
    <row r="369" spans="38:40" x14ac:dyDescent="0.2">
      <c r="AL369" s="22" t="str">
        <f ca="1">IF(OFFSET(Kuponger!$E$27,AM369,0)&lt;=AL368,"",OFFSET(Kuponger!$E$5,AM369,0))</f>
        <v/>
      </c>
      <c r="AM369">
        <f t="shared" si="5"/>
        <v>8096</v>
      </c>
      <c r="AN369">
        <v>369</v>
      </c>
    </row>
    <row r="370" spans="38:40" x14ac:dyDescent="0.2">
      <c r="AL370" s="22" t="str">
        <f ca="1">IF(OFFSET(Kuponger!$E$27,AM370,0)&lt;=AL369,"",OFFSET(Kuponger!$E$5,AM370,0))</f>
        <v/>
      </c>
      <c r="AM370">
        <f t="shared" si="5"/>
        <v>8118</v>
      </c>
      <c r="AN370">
        <v>370</v>
      </c>
    </row>
    <row r="371" spans="38:40" x14ac:dyDescent="0.2">
      <c r="AL371" s="22" t="str">
        <f ca="1">IF(OFFSET(Kuponger!$E$27,AM371,0)&lt;=AL370,"",OFFSET(Kuponger!$E$5,AM371,0))</f>
        <v/>
      </c>
      <c r="AM371">
        <f t="shared" si="5"/>
        <v>8140</v>
      </c>
      <c r="AN371">
        <v>371</v>
      </c>
    </row>
    <row r="372" spans="38:40" x14ac:dyDescent="0.2">
      <c r="AL372" s="22" t="str">
        <f ca="1">IF(OFFSET(Kuponger!$E$27,AM372,0)&lt;=AL371,"",OFFSET(Kuponger!$E$5,AM372,0))</f>
        <v/>
      </c>
      <c r="AM372">
        <f t="shared" si="5"/>
        <v>8162</v>
      </c>
      <c r="AN372">
        <v>372</v>
      </c>
    </row>
    <row r="373" spans="38:40" x14ac:dyDescent="0.2">
      <c r="AL373" s="22" t="str">
        <f ca="1">IF(OFFSET(Kuponger!$E$27,AM373,0)&lt;=AL372,"",OFFSET(Kuponger!$E$5,AM373,0))</f>
        <v/>
      </c>
      <c r="AM373">
        <f t="shared" si="5"/>
        <v>8184</v>
      </c>
      <c r="AN373">
        <v>373</v>
      </c>
    </row>
    <row r="374" spans="38:40" x14ac:dyDescent="0.2">
      <c r="AL374" s="22" t="str">
        <f ca="1">IF(OFFSET(Kuponger!$E$27,AM374,0)&lt;=AL373,"",OFFSET(Kuponger!$E$5,AM374,0))</f>
        <v/>
      </c>
      <c r="AM374">
        <f t="shared" si="5"/>
        <v>8206</v>
      </c>
      <c r="AN374">
        <v>374</v>
      </c>
    </row>
    <row r="375" spans="38:40" x14ac:dyDescent="0.2">
      <c r="AL375" s="22" t="str">
        <f ca="1">IF(OFFSET(Kuponger!$E$27,AM375,0)&lt;=AL374,"",OFFSET(Kuponger!$E$5,AM375,0))</f>
        <v/>
      </c>
      <c r="AM375">
        <f t="shared" si="5"/>
        <v>8228</v>
      </c>
      <c r="AN375">
        <v>375</v>
      </c>
    </row>
    <row r="376" spans="38:40" x14ac:dyDescent="0.2">
      <c r="AL376" s="22" t="str">
        <f ca="1">IF(OFFSET(Kuponger!$E$27,AM376,0)&lt;=AL375,"",OFFSET(Kuponger!$E$5,AM376,0))</f>
        <v/>
      </c>
      <c r="AM376">
        <f t="shared" si="5"/>
        <v>8250</v>
      </c>
      <c r="AN376">
        <v>376</v>
      </c>
    </row>
    <row r="377" spans="38:40" x14ac:dyDescent="0.2">
      <c r="AL377" s="22" t="str">
        <f ca="1">IF(OFFSET(Kuponger!$E$27,AM377,0)&lt;=AL376,"",OFFSET(Kuponger!$E$5,AM377,0))</f>
        <v/>
      </c>
      <c r="AM377">
        <f t="shared" si="5"/>
        <v>8272</v>
      </c>
      <c r="AN377">
        <v>377</v>
      </c>
    </row>
    <row r="378" spans="38:40" x14ac:dyDescent="0.2">
      <c r="AL378" s="22" t="str">
        <f ca="1">IF(OFFSET(Kuponger!$E$27,AM378,0)&lt;=AL377,"",OFFSET(Kuponger!$E$5,AM378,0))</f>
        <v/>
      </c>
      <c r="AM378">
        <f t="shared" si="5"/>
        <v>8294</v>
      </c>
      <c r="AN378">
        <v>378</v>
      </c>
    </row>
    <row r="379" spans="38:40" x14ac:dyDescent="0.2">
      <c r="AL379" s="22" t="str">
        <f ca="1">IF(OFFSET(Kuponger!$E$27,AM379,0)&lt;=AL378,"",OFFSET(Kuponger!$E$5,AM379,0))</f>
        <v/>
      </c>
      <c r="AM379">
        <f t="shared" si="5"/>
        <v>8316</v>
      </c>
      <c r="AN379">
        <v>379</v>
      </c>
    </row>
    <row r="380" spans="38:40" x14ac:dyDescent="0.2">
      <c r="AL380" s="22" t="str">
        <f ca="1">IF(OFFSET(Kuponger!$E$27,AM380,0)&lt;=AL379,"",OFFSET(Kuponger!$E$5,AM380,0))</f>
        <v/>
      </c>
      <c r="AM380">
        <f t="shared" si="5"/>
        <v>8338</v>
      </c>
      <c r="AN380">
        <v>380</v>
      </c>
    </row>
    <row r="715" spans="7:7" x14ac:dyDescent="0.2">
      <c r="G715">
        <v>31</v>
      </c>
    </row>
  </sheetData>
  <sheetProtection selectLockedCells="1"/>
  <hyperlinks>
    <hyperlink ref="H11" r:id="rId1" xr:uid="{00D75975-36C4-4FAE-BE3E-D4DAE1FD8481}"/>
    <hyperlink ref="H12" r:id="rId2" xr:uid="{4126E552-400E-4A38-810C-881716B6B1A6}"/>
    <hyperlink ref="H13" r:id="rId3" xr:uid="{D8E44D80-BA57-4283-BB4F-5C3051E7CEE3}"/>
    <hyperlink ref="H14" r:id="rId4" xr:uid="{727C310E-D474-4983-A9B4-3090A9FE9F22}"/>
    <hyperlink ref="H15" r:id="rId5" xr:uid="{96D0EDE0-081B-4377-9613-F4612B861FB9}"/>
    <hyperlink ref="H16" r:id="rId6" xr:uid="{C120CAD3-CA35-4D59-8EB6-3B4D21CCE0CA}"/>
    <hyperlink ref="H17" r:id="rId7" xr:uid="{673F8338-75D0-4B74-8B6C-E6143F7BD97A}"/>
    <hyperlink ref="BA1" r:id="rId8" xr:uid="{8BFFB2EE-6153-410A-B6CC-67D84BBFB81D}"/>
    <hyperlink ref="BA2:BA10" r:id="rId9" display="granberg@tresfjording.no" xr:uid="{2B6FF249-539D-4FAB-92D5-2FEFD18D9204}"/>
  </hyperlinks>
  <pageMargins left="0.7" right="0.7" top="0.78740157499999996" bottom="0.78740157499999996" header="0.3" footer="0.3"/>
  <pageSetup paperSize="9" orientation="portrait" r:id="rId10"/>
  <drawing r:id="rId1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2E06E-D9F6-4266-9577-8E500FFEAE44}">
  <sheetPr codeName="Ark1"/>
  <dimension ref="A1:AU157"/>
  <sheetViews>
    <sheetView showGridLines="0" topLeftCell="AA1" zoomScaleNormal="100" workbookViewId="0">
      <pane ySplit="1" topLeftCell="A2" activePane="bottomLeft" state="frozen"/>
      <selection activeCell="AO1" sqref="AO1"/>
      <selection pane="bottomLeft" activeCell="AO1" sqref="AO1"/>
    </sheetView>
  </sheetViews>
  <sheetFormatPr baseColWidth="10" defaultColWidth="11.42578125" defaultRowHeight="12.75" x14ac:dyDescent="0.2"/>
  <cols>
    <col min="3" max="3" width="4.42578125" bestFit="1" customWidth="1"/>
    <col min="4" max="11" width="4" bestFit="1" customWidth="1"/>
    <col min="12" max="12" width="5.5703125" customWidth="1"/>
    <col min="13" max="15" width="7.42578125" customWidth="1"/>
    <col min="16" max="16" width="10.28515625" bestFit="1" customWidth="1"/>
    <col min="17" max="17" width="7.42578125" customWidth="1"/>
    <col min="38" max="40" width="11.42578125" style="20"/>
    <col min="43" max="43" width="11.42578125" style="591"/>
  </cols>
  <sheetData>
    <row r="1" spans="1:47" ht="13.5" thickBot="1" x14ac:dyDescent="0.25">
      <c r="B1" t="s">
        <v>401</v>
      </c>
      <c r="C1" t="s">
        <v>804</v>
      </c>
      <c r="D1" t="s">
        <v>805</v>
      </c>
      <c r="E1" t="s">
        <v>806</v>
      </c>
      <c r="F1" t="s">
        <v>807</v>
      </c>
      <c r="G1" t="s">
        <v>808</v>
      </c>
      <c r="H1" t="s">
        <v>809</v>
      </c>
      <c r="I1" t="s">
        <v>810</v>
      </c>
      <c r="J1" t="s">
        <v>811</v>
      </c>
      <c r="K1" s="590" t="s">
        <v>416</v>
      </c>
      <c r="L1" s="423"/>
      <c r="M1" s="423"/>
      <c r="N1" s="423"/>
      <c r="O1" s="405" t="s">
        <v>19</v>
      </c>
      <c r="P1" s="434" t="s">
        <v>401</v>
      </c>
      <c r="Q1" s="435" t="s">
        <v>804</v>
      </c>
      <c r="R1" s="435" t="s">
        <v>805</v>
      </c>
      <c r="S1" s="435" t="s">
        <v>806</v>
      </c>
      <c r="T1" s="435" t="s">
        <v>807</v>
      </c>
      <c r="U1" s="435" t="s">
        <v>808</v>
      </c>
      <c r="V1" s="435" t="s">
        <v>809</v>
      </c>
      <c r="W1" s="435" t="s">
        <v>810</v>
      </c>
      <c r="X1" s="435" t="s">
        <v>811</v>
      </c>
      <c r="Y1" s="426" t="s">
        <v>416</v>
      </c>
      <c r="AA1" s="434"/>
      <c r="AB1" s="435" t="s">
        <v>812</v>
      </c>
      <c r="AC1" s="435"/>
      <c r="AD1" s="435"/>
      <c r="AE1" s="435"/>
      <c r="AF1" s="435"/>
      <c r="AG1" s="435"/>
      <c r="AH1" s="435"/>
      <c r="AI1" s="435"/>
      <c r="AJ1" s="426"/>
      <c r="AK1" s="672"/>
      <c r="AL1" s="434"/>
      <c r="AM1" s="435" t="s">
        <v>42</v>
      </c>
      <c r="AN1" s="435"/>
      <c r="AO1" s="435"/>
      <c r="AP1" s="435"/>
      <c r="AQ1" s="435"/>
      <c r="AR1" s="435"/>
      <c r="AS1" s="435"/>
      <c r="AT1" s="435"/>
      <c r="AU1" s="426"/>
    </row>
    <row r="2" spans="1:47" ht="14.25" thickTop="1" thickBot="1" x14ac:dyDescent="0.25">
      <c r="A2">
        <v>1</v>
      </c>
      <c r="B2" s="22">
        <f>Data!AL1</f>
        <v>45885</v>
      </c>
      <c r="C2">
        <f ca="1">_xlfn.XLOOKUP(t_rang[[#This Row],[Dato]],t_ahh[Dato],t_ahh[Rank])</f>
        <v>9</v>
      </c>
      <c r="D2">
        <f ca="1">_xlfn.XLOOKUP(t_rang[[#This Row],[Dato]],t_rb[Dato],t_rb[Rank])</f>
        <v>1</v>
      </c>
      <c r="E2">
        <f ca="1">_xlfn.XLOOKUP(t_rang[[#This Row],[Dato]],t_eb[Dato],t_eb[Rank])</f>
        <v>3</v>
      </c>
      <c r="F2">
        <f ca="1">_xlfn.XLOOKUP(t_rang[[#This Row],[Dato]],t_kaf[Dato],t_kaf[Rank])</f>
        <v>6</v>
      </c>
      <c r="G2">
        <f ca="1">_xlfn.XLOOKUP(t_rang[[#This Row],[Dato]],t_øg[Dato],t_øg[Rank])</f>
        <v>4</v>
      </c>
      <c r="H2">
        <f ca="1">_xlfn.XLOOKUP(t_rang[[#This Row],[Dato]],t_jh[Dato],t_jh[Rank])</f>
        <v>8</v>
      </c>
      <c r="I2">
        <f ca="1">_xlfn.XLOOKUP(t_rang[[#This Row],[Dato]],t_toh[Dato],t_toh[Rank])</f>
        <v>6</v>
      </c>
      <c r="J2">
        <f ca="1">_xlfn.XLOOKUP(t_rang[[#This Row],[Dato]],t_utg[Dato],t_utg[Rank])</f>
        <v>2</v>
      </c>
      <c r="K2" s="424">
        <f ca="1">_xlfn.XLOOKUP(t_rang[[#This Row],[Dato]],t_lev[Dato],t_lev[Rank])</f>
        <v>5</v>
      </c>
      <c r="L2" s="424"/>
      <c r="M2" s="424"/>
      <c r="N2" s="424"/>
      <c r="O2" s="403"/>
      <c r="P2" s="427">
        <f>Data!AL1</f>
        <v>45885</v>
      </c>
      <c r="Q2" s="403">
        <f ca="1">t_ahh[[#This Row],[tp]]</f>
        <v>330</v>
      </c>
      <c r="R2" s="403">
        <f ca="1">t_rb[[#This Row],[tp]]</f>
        <v>530</v>
      </c>
      <c r="S2" s="403">
        <f ca="1">t_eb[[#This Row],[tp]]</f>
        <v>500</v>
      </c>
      <c r="T2" s="403">
        <f ca="1">t_kaf[[#This Row],[tp]]</f>
        <v>470</v>
      </c>
      <c r="U2" s="403">
        <f ca="1">t_øg[[#This Row],[tp]]</f>
        <v>490</v>
      </c>
      <c r="V2" s="403">
        <f ca="1">t_jh[[#This Row],[tp]]</f>
        <v>440</v>
      </c>
      <c r="W2" s="403">
        <f ca="1">t_toh[[#This Row],[tp]]</f>
        <v>470</v>
      </c>
      <c r="X2" s="403">
        <f ca="1">t_utg[[#This Row],[tp]]</f>
        <v>510</v>
      </c>
      <c r="Y2" s="403">
        <f ca="1">t_lev[[#This Row],[tp]]</f>
        <v>480</v>
      </c>
      <c r="AA2" s="673">
        <f>t_tp[[#This Row],[Dato]]</f>
        <v>45885</v>
      </c>
      <c r="AB2" s="674" t="str" cm="1">
        <f t="array" aca="1" ref="AB2" ca="1">IFERROR(_xlfn._xlws.FILTER($Q$1:$Y$1,t_tp[[#This Row],[ahh]:[lev]]=LARGE(t_tp[[#This Row],[ahh]:[lev]],1)),"")</f>
        <v>rb</v>
      </c>
      <c r="AC2" s="674"/>
      <c r="AD2" s="674"/>
      <c r="AE2" s="674"/>
      <c r="AF2" s="674"/>
      <c r="AG2" s="674"/>
      <c r="AH2" s="674"/>
      <c r="AI2" s="674"/>
      <c r="AJ2" s="675"/>
      <c r="AK2" s="20"/>
      <c r="AL2" s="673">
        <f>AA2</f>
        <v>45885</v>
      </c>
      <c r="AM2" s="674" t="str" cm="1">
        <f t="array" aca="1" ref="AM2" ca="1">IFERROR(_xlfn._xlws.FILTER($Q$1:$Y$1,t_tp[[#This Row],[ahh]:[lev]]=SMALL(t_tp[[#This Row],[ahh]:[lev]],1)),"")</f>
        <v>ahh</v>
      </c>
      <c r="AN2" s="674"/>
      <c r="AO2" s="674"/>
      <c r="AP2" s="674"/>
      <c r="AQ2" s="674"/>
      <c r="AR2" s="674"/>
      <c r="AS2" s="674"/>
      <c r="AT2" s="674"/>
      <c r="AU2" s="675"/>
    </row>
    <row r="3" spans="1:47" ht="14.25" thickTop="1" thickBot="1" x14ac:dyDescent="0.25">
      <c r="A3">
        <v>2</v>
      </c>
      <c r="B3" s="22">
        <f ca="1">Data!AL2</f>
        <v>45892</v>
      </c>
      <c r="C3">
        <f ca="1">_xlfn.XLOOKUP(t_rang[[#This Row],[Dato]],t_ahh[Dato],t_ahh[Rank])</f>
        <v>6</v>
      </c>
      <c r="D3">
        <f ca="1">_xlfn.XLOOKUP(t_rang[[#This Row],[Dato]],t_rb[Dato],t_rb[Rank])</f>
        <v>2</v>
      </c>
      <c r="E3">
        <f ca="1">_xlfn.XLOOKUP(t_rang[[#This Row],[Dato]],t_eb[Dato],t_eb[Rank])</f>
        <v>8</v>
      </c>
      <c r="F3">
        <f ca="1">_xlfn.XLOOKUP(t_rang[[#This Row],[Dato]],t_kaf[Dato],t_kaf[Rank])</f>
        <v>5</v>
      </c>
      <c r="G3">
        <f ca="1">_xlfn.XLOOKUP(t_rang[[#This Row],[Dato]],t_øg[Dato],t_øg[Rank])</f>
        <v>1</v>
      </c>
      <c r="H3">
        <f ca="1">_xlfn.XLOOKUP(t_rang[[#This Row],[Dato]],t_jh[Dato],t_jh[Rank])</f>
        <v>6</v>
      </c>
      <c r="I3">
        <f ca="1">_xlfn.XLOOKUP(t_rang[[#This Row],[Dato]],t_toh[Dato],t_toh[Rank])</f>
        <v>9</v>
      </c>
      <c r="J3">
        <f ca="1">_xlfn.XLOOKUP(t_rang[[#This Row],[Dato]],t_utg[Dato],t_utg[Rank])</f>
        <v>3</v>
      </c>
      <c r="K3" s="425">
        <f ca="1">_xlfn.XLOOKUP(t_rang[[#This Row],[Dato]],t_lev[Dato],t_lev[Rank])</f>
        <v>3</v>
      </c>
      <c r="L3" s="425"/>
      <c r="M3" s="425"/>
      <c r="N3" s="425"/>
      <c r="O3" s="404"/>
      <c r="P3" s="427">
        <f ca="1">Data!AL2</f>
        <v>45892</v>
      </c>
      <c r="Q3" s="403">
        <f ca="1">t_ahh[[#This Row],[tp]]</f>
        <v>530</v>
      </c>
      <c r="R3" s="403">
        <f ca="1">t_rb[[#This Row],[tp]]</f>
        <v>610</v>
      </c>
      <c r="S3" s="403">
        <f ca="1">t_eb[[#This Row],[tp]]</f>
        <v>510</v>
      </c>
      <c r="T3" s="403">
        <f ca="1">t_kaf[[#This Row],[tp]]</f>
        <v>570</v>
      </c>
      <c r="U3" s="403">
        <f ca="1">t_øg[[#This Row],[tp]]</f>
        <v>680</v>
      </c>
      <c r="V3" s="403">
        <f ca="1">t_jh[[#This Row],[tp]]</f>
        <v>530</v>
      </c>
      <c r="W3" s="403">
        <f ca="1">t_toh[[#This Row],[tp]]</f>
        <v>480</v>
      </c>
      <c r="X3" s="403">
        <f ca="1">t_utg[[#This Row],[tp]]</f>
        <v>580</v>
      </c>
      <c r="Y3" s="403">
        <f ca="1">t_lev[[#This Row],[tp]]</f>
        <v>580</v>
      </c>
      <c r="AA3" s="676">
        <f ca="1">t_tp[[#This Row],[Dato]]</f>
        <v>45892</v>
      </c>
      <c r="AB3" s="677" t="str" cm="1">
        <f t="array" aca="1" ref="AB3" ca="1">IFERROR(_xlfn._xlws.FILTER($Q$1:$Y$1,t_tp[[#This Row],[ahh]:[lev]]=LARGE(t_tp[[#This Row],[ahh]:[lev]],1)),"")</f>
        <v>øg</v>
      </c>
      <c r="AC3" s="677"/>
      <c r="AD3" s="677"/>
      <c r="AE3" s="677"/>
      <c r="AF3" s="677"/>
      <c r="AG3" s="677"/>
      <c r="AH3" s="677"/>
      <c r="AI3" s="677"/>
      <c r="AJ3" s="678"/>
      <c r="AK3" s="20"/>
      <c r="AL3" s="676">
        <f t="shared" ref="AL3:AL42" ca="1" si="0">AA3</f>
        <v>45892</v>
      </c>
      <c r="AM3" s="677" t="str" cm="1">
        <f t="array" aca="1" ref="AM3" ca="1">IFERROR(_xlfn._xlws.FILTER($Q$1:$Y$1,t_tp[[#This Row],[ahh]:[lev]]=SMALL(t_tp[[#This Row],[ahh]:[lev]],1)),"")</f>
        <v>toh</v>
      </c>
      <c r="AN3" s="677"/>
      <c r="AO3" s="677"/>
      <c r="AP3" s="677"/>
      <c r="AQ3" s="677"/>
      <c r="AR3" s="677"/>
      <c r="AS3" s="677"/>
      <c r="AT3" s="677"/>
      <c r="AU3" s="678"/>
    </row>
    <row r="4" spans="1:47" ht="14.25" thickTop="1" thickBot="1" x14ac:dyDescent="0.25">
      <c r="A4">
        <v>3</v>
      </c>
      <c r="B4" s="22">
        <f ca="1">Data!AL3</f>
        <v>45920</v>
      </c>
      <c r="C4">
        <f ca="1">_xlfn.XLOOKUP(t_rang[[#This Row],[Dato]],t_ahh[Dato],t_ahh[Rank])</f>
        <v>4</v>
      </c>
      <c r="D4">
        <f ca="1">_xlfn.XLOOKUP(t_rang[[#This Row],[Dato]],t_rb[Dato],t_rb[Rank])</f>
        <v>8</v>
      </c>
      <c r="E4">
        <f ca="1">_xlfn.XLOOKUP(t_rang[[#This Row],[Dato]],t_eb[Dato],t_eb[Rank])</f>
        <v>6</v>
      </c>
      <c r="F4">
        <f ca="1">_xlfn.XLOOKUP(t_rang[[#This Row],[Dato]],t_kaf[Dato],t_kaf[Rank])</f>
        <v>3</v>
      </c>
      <c r="G4">
        <f ca="1">_xlfn.XLOOKUP(t_rang[[#This Row],[Dato]],t_øg[Dato],t_øg[Rank])</f>
        <v>8</v>
      </c>
      <c r="H4">
        <f ca="1">_xlfn.XLOOKUP(t_rang[[#This Row],[Dato]],t_jh[Dato],t_jh[Rank])</f>
        <v>1</v>
      </c>
      <c r="I4">
        <f ca="1">_xlfn.XLOOKUP(t_rang[[#This Row],[Dato]],t_toh[Dato],t_toh[Rank])</f>
        <v>7</v>
      </c>
      <c r="J4">
        <f ca="1">_xlfn.XLOOKUP(t_rang[[#This Row],[Dato]],t_utg[Dato],t_utg[Rank])</f>
        <v>5</v>
      </c>
      <c r="K4" s="425">
        <f ca="1">_xlfn.XLOOKUP(t_rang[[#This Row],[Dato]],t_lev[Dato],t_lev[Rank])</f>
        <v>2</v>
      </c>
      <c r="L4" s="425"/>
      <c r="M4" s="425"/>
      <c r="N4" s="425"/>
      <c r="O4" s="404"/>
      <c r="P4" s="427">
        <f ca="1">Data!AL3</f>
        <v>45920</v>
      </c>
      <c r="Q4" s="403">
        <f ca="1">t_ahh[[#This Row],[tp]]</f>
        <v>480</v>
      </c>
      <c r="R4" s="403">
        <f ca="1">t_rb[[#This Row],[tp]]</f>
        <v>400</v>
      </c>
      <c r="S4" s="403">
        <f ca="1">t_eb[[#This Row],[tp]]</f>
        <v>450</v>
      </c>
      <c r="T4" s="403">
        <f ca="1">t_kaf[[#This Row],[tp]]</f>
        <v>510</v>
      </c>
      <c r="U4" s="403">
        <f ca="1">t_øg[[#This Row],[tp]]</f>
        <v>400</v>
      </c>
      <c r="V4" s="403">
        <f ca="1">t_jh[[#This Row],[tp]]</f>
        <v>590</v>
      </c>
      <c r="W4" s="403">
        <f ca="1">t_toh[[#This Row],[tp]]</f>
        <v>440</v>
      </c>
      <c r="X4" s="403">
        <f ca="1">t_utg[[#This Row],[tp]]</f>
        <v>460</v>
      </c>
      <c r="Y4" s="403">
        <f ca="1">t_lev[[#This Row],[tp]]</f>
        <v>570</v>
      </c>
      <c r="AA4" s="673">
        <f ca="1">t_tp[[#This Row],[Dato]]</f>
        <v>45920</v>
      </c>
      <c r="AB4" s="674" t="str" cm="1">
        <f t="array" aca="1" ref="AB4" ca="1">IFERROR(_xlfn._xlws.FILTER($Q$1:$Y$1,t_tp[[#This Row],[ahh]:[lev]]=LARGE(t_tp[[#This Row],[ahh]:[lev]],1)),"")</f>
        <v>jh</v>
      </c>
      <c r="AC4" s="674"/>
      <c r="AD4" s="674"/>
      <c r="AE4" s="674"/>
      <c r="AF4" s="674"/>
      <c r="AG4" s="674"/>
      <c r="AH4" s="674"/>
      <c r="AI4" s="674"/>
      <c r="AJ4" s="675"/>
      <c r="AK4" s="20"/>
      <c r="AL4" s="673">
        <f t="shared" ca="1" si="0"/>
        <v>45920</v>
      </c>
      <c r="AM4" s="674" t="str" cm="1">
        <f t="array" aca="1" ref="AM4:AN4" ca="1">IFERROR(_xlfn._xlws.FILTER($Q$1:$Y$1,t_tp[[#This Row],[ahh]:[lev]]=SMALL(t_tp[[#This Row],[ahh]:[lev]],1)),"")</f>
        <v>rb</v>
      </c>
      <c r="AN4" s="674" t="str">
        <f ca="1"/>
        <v>øg</v>
      </c>
      <c r="AO4" s="674"/>
      <c r="AP4" s="674"/>
      <c r="AQ4" s="674"/>
      <c r="AR4" s="674"/>
      <c r="AS4" s="674"/>
      <c r="AT4" s="674"/>
      <c r="AU4" s="675"/>
    </row>
    <row r="5" spans="1:47" ht="14.25" thickTop="1" thickBot="1" x14ac:dyDescent="0.25">
      <c r="A5">
        <v>4</v>
      </c>
      <c r="B5" s="22">
        <f ca="1">Data!AL4</f>
        <v>45927</v>
      </c>
      <c r="C5">
        <f ca="1">_xlfn.XLOOKUP(t_rang[[#This Row],[Dato]],t_ahh[Dato],t_ahh[Rank])</f>
        <v>1</v>
      </c>
      <c r="D5">
        <f ca="1">_xlfn.XLOOKUP(t_rang[[#This Row],[Dato]],t_rb[Dato],t_rb[Rank])</f>
        <v>5</v>
      </c>
      <c r="E5">
        <f ca="1">_xlfn.XLOOKUP(t_rang[[#This Row],[Dato]],t_eb[Dato],t_eb[Rank])</f>
        <v>9</v>
      </c>
      <c r="F5">
        <f ca="1">_xlfn.XLOOKUP(t_rang[[#This Row],[Dato]],t_kaf[Dato],t_kaf[Rank])</f>
        <v>2</v>
      </c>
      <c r="G5">
        <f ca="1">_xlfn.XLOOKUP(t_rang[[#This Row],[Dato]],t_øg[Dato],t_øg[Rank])</f>
        <v>7</v>
      </c>
      <c r="H5">
        <f ca="1">_xlfn.XLOOKUP(t_rang[[#This Row],[Dato]],t_jh[Dato],t_jh[Rank])</f>
        <v>6</v>
      </c>
      <c r="I5">
        <f ca="1">_xlfn.XLOOKUP(t_rang[[#This Row],[Dato]],t_toh[Dato],t_toh[Rank])</f>
        <v>4</v>
      </c>
      <c r="J5">
        <f ca="1">_xlfn.XLOOKUP(t_rang[[#This Row],[Dato]],t_utg[Dato],t_utg[Rank])</f>
        <v>7</v>
      </c>
      <c r="K5" s="425">
        <f ca="1">_xlfn.XLOOKUP(t_rang[[#This Row],[Dato]],t_lev[Dato],t_lev[Rank])</f>
        <v>3</v>
      </c>
      <c r="L5" s="425"/>
      <c r="M5" s="425"/>
      <c r="N5" s="425"/>
      <c r="O5" s="404"/>
      <c r="P5" s="427">
        <f ca="1">Data!AL4</f>
        <v>45927</v>
      </c>
      <c r="Q5" s="403">
        <f ca="1">t_ahh[[#This Row],[tp]]</f>
        <v>390</v>
      </c>
      <c r="R5" s="403">
        <f ca="1">t_rb[[#This Row],[tp]]</f>
        <v>330</v>
      </c>
      <c r="S5" s="403">
        <f ca="1">t_eb[[#This Row],[tp]]</f>
        <v>290</v>
      </c>
      <c r="T5" s="403">
        <f ca="1">t_kaf[[#This Row],[tp]]</f>
        <v>380</v>
      </c>
      <c r="U5" s="403">
        <f ca="1">t_øg[[#This Row],[tp]]</f>
        <v>310</v>
      </c>
      <c r="V5" s="403">
        <f ca="1">t_jh[[#This Row],[tp]]</f>
        <v>320</v>
      </c>
      <c r="W5" s="403">
        <f ca="1">t_toh[[#This Row],[tp]]</f>
        <v>340</v>
      </c>
      <c r="X5" s="403">
        <f ca="1">t_utg[[#This Row],[tp]]</f>
        <v>310</v>
      </c>
      <c r="Y5" s="403">
        <f ca="1">t_lev[[#This Row],[tp]]</f>
        <v>370</v>
      </c>
      <c r="AA5" s="676">
        <f ca="1">t_tp[[#This Row],[Dato]]</f>
        <v>45927</v>
      </c>
      <c r="AB5" s="677" t="str" cm="1">
        <f t="array" aca="1" ref="AB5" ca="1">IFERROR(_xlfn._xlws.FILTER($Q$1:$Y$1,t_tp[[#This Row],[ahh]:[lev]]=LARGE(t_tp[[#This Row],[ahh]:[lev]],1)),"")</f>
        <v>ahh</v>
      </c>
      <c r="AC5" s="677"/>
      <c r="AD5" s="677"/>
      <c r="AE5" s="677"/>
      <c r="AF5" s="677"/>
      <c r="AG5" s="677"/>
      <c r="AH5" s="677"/>
      <c r="AI5" s="677"/>
      <c r="AJ5" s="678"/>
      <c r="AK5" s="20"/>
      <c r="AL5" s="676">
        <f t="shared" ca="1" si="0"/>
        <v>45927</v>
      </c>
      <c r="AM5" s="677" t="str" cm="1">
        <f t="array" aca="1" ref="AM5" ca="1">IFERROR(_xlfn._xlws.FILTER($Q$1:$Y$1,t_tp[[#This Row],[ahh]:[lev]]=SMALL(t_tp[[#This Row],[ahh]:[lev]],1)),"")</f>
        <v>eb</v>
      </c>
      <c r="AN5" s="677"/>
      <c r="AO5" s="677"/>
      <c r="AP5" s="677"/>
      <c r="AQ5" s="677"/>
      <c r="AR5" s="677"/>
      <c r="AS5" s="677"/>
      <c r="AT5" s="677"/>
      <c r="AU5" s="678"/>
    </row>
    <row r="6" spans="1:47" ht="14.25" thickTop="1" thickBot="1" x14ac:dyDescent="0.25">
      <c r="A6">
        <v>5</v>
      </c>
      <c r="B6" s="22">
        <f ca="1">Data!AL5</f>
        <v>45934</v>
      </c>
      <c r="C6">
        <f ca="1">_xlfn.XLOOKUP(t_rang[[#This Row],[Dato]],t_ahh[Dato],t_ahh[Rank])</f>
        <v>6</v>
      </c>
      <c r="D6">
        <f ca="1">_xlfn.XLOOKUP(t_rang[[#This Row],[Dato]],t_rb[Dato],t_rb[Rank])</f>
        <v>2</v>
      </c>
      <c r="E6">
        <f ca="1">_xlfn.XLOOKUP(t_rang[[#This Row],[Dato]],t_eb[Dato],t_eb[Rank])</f>
        <v>2</v>
      </c>
      <c r="F6">
        <f ca="1">_xlfn.XLOOKUP(t_rang[[#This Row],[Dato]],t_kaf[Dato],t_kaf[Rank])</f>
        <v>9</v>
      </c>
      <c r="G6">
        <f ca="1">_xlfn.XLOOKUP(t_rang[[#This Row],[Dato]],t_øg[Dato],t_øg[Rank])</f>
        <v>5</v>
      </c>
      <c r="H6">
        <f ca="1">_xlfn.XLOOKUP(t_rang[[#This Row],[Dato]],t_jh[Dato],t_jh[Rank])</f>
        <v>7</v>
      </c>
      <c r="I6">
        <f ca="1">_xlfn.XLOOKUP(t_rang[[#This Row],[Dato]],t_toh[Dato],t_toh[Rank])</f>
        <v>8</v>
      </c>
      <c r="J6">
        <f ca="1">_xlfn.XLOOKUP(t_rang[[#This Row],[Dato]],t_utg[Dato],t_utg[Rank])</f>
        <v>4</v>
      </c>
      <c r="K6" s="425">
        <f ca="1">_xlfn.XLOOKUP(t_rang[[#This Row],[Dato]],t_lev[Dato],t_lev[Rank])</f>
        <v>1</v>
      </c>
      <c r="L6" s="425"/>
      <c r="M6" s="425"/>
      <c r="N6" s="425"/>
      <c r="O6" s="404"/>
      <c r="P6" s="427">
        <f ca="1">Data!AL5</f>
        <v>45934</v>
      </c>
      <c r="Q6" s="403">
        <f ca="1">t_ahh[[#This Row],[tp]]</f>
        <v>640</v>
      </c>
      <c r="R6" s="403">
        <f ca="1">t_rb[[#This Row],[tp]]</f>
        <v>680</v>
      </c>
      <c r="S6" s="403">
        <f ca="1">t_eb[[#This Row],[tp]]</f>
        <v>680</v>
      </c>
      <c r="T6" s="403">
        <f ca="1">t_kaf[[#This Row],[tp]]</f>
        <v>580</v>
      </c>
      <c r="U6" s="403">
        <f ca="1">t_øg[[#This Row],[tp]]</f>
        <v>650</v>
      </c>
      <c r="V6" s="403">
        <f ca="1">t_jh[[#This Row],[tp]]</f>
        <v>630</v>
      </c>
      <c r="W6" s="403">
        <f ca="1">t_toh[[#This Row],[tp]]</f>
        <v>590</v>
      </c>
      <c r="X6" s="403">
        <f ca="1">t_utg[[#This Row],[tp]]</f>
        <v>670</v>
      </c>
      <c r="Y6" s="403">
        <f ca="1">t_lev[[#This Row],[tp]]</f>
        <v>710</v>
      </c>
      <c r="AA6" s="673">
        <f ca="1">t_tp[[#This Row],[Dato]]</f>
        <v>45934</v>
      </c>
      <c r="AB6" s="674" t="str" cm="1">
        <f t="array" aca="1" ref="AB6" ca="1">IFERROR(_xlfn._xlws.FILTER($Q$1:$Y$1,t_tp[[#This Row],[ahh]:[lev]]=LARGE(t_tp[[#This Row],[ahh]:[lev]],1)),"")</f>
        <v>lev</v>
      </c>
      <c r="AC6" s="674"/>
      <c r="AD6" s="674"/>
      <c r="AE6" s="674"/>
      <c r="AF6" s="674"/>
      <c r="AG6" s="674"/>
      <c r="AH6" s="674"/>
      <c r="AI6" s="674"/>
      <c r="AJ6" s="675"/>
      <c r="AK6" s="20"/>
      <c r="AL6" s="673">
        <f t="shared" ca="1" si="0"/>
        <v>45934</v>
      </c>
      <c r="AM6" s="674" t="str" cm="1">
        <f t="array" aca="1" ref="AM6" ca="1">IFERROR(_xlfn._xlws.FILTER($Q$1:$Y$1,t_tp[[#This Row],[ahh]:[lev]]=SMALL(t_tp[[#This Row],[ahh]:[lev]],1)),"")</f>
        <v>kaf</v>
      </c>
      <c r="AN6" s="674"/>
      <c r="AO6" s="674"/>
      <c r="AP6" s="674"/>
      <c r="AQ6" s="674"/>
      <c r="AR6" s="674"/>
      <c r="AS6" s="674"/>
      <c r="AT6" s="674"/>
      <c r="AU6" s="675"/>
    </row>
    <row r="7" spans="1:47" ht="14.25" thickTop="1" thickBot="1" x14ac:dyDescent="0.25">
      <c r="A7">
        <v>6</v>
      </c>
      <c r="B7" s="22">
        <f ca="1">Data!AL6</f>
        <v>45941</v>
      </c>
      <c r="C7">
        <f ca="1">_xlfn.XLOOKUP(t_rang[[#This Row],[Dato]],t_ahh[Dato],t_ahh[Rank])</f>
        <v>7</v>
      </c>
      <c r="D7">
        <f ca="1">_xlfn.XLOOKUP(t_rang[[#This Row],[Dato]],t_rb[Dato],t_rb[Rank])</f>
        <v>7</v>
      </c>
      <c r="E7">
        <f ca="1">_xlfn.XLOOKUP(t_rang[[#This Row],[Dato]],t_eb[Dato],t_eb[Rank])</f>
        <v>4</v>
      </c>
      <c r="F7">
        <f ca="1">_xlfn.XLOOKUP(t_rang[[#This Row],[Dato]],t_kaf[Dato],t_kaf[Rank])</f>
        <v>2</v>
      </c>
      <c r="G7">
        <f ca="1">_xlfn.XLOOKUP(t_rang[[#This Row],[Dato]],t_øg[Dato],t_øg[Rank])</f>
        <v>1</v>
      </c>
      <c r="H7">
        <f ca="1">_xlfn.XLOOKUP(t_rang[[#This Row],[Dato]],t_jh[Dato],t_jh[Rank])</f>
        <v>9</v>
      </c>
      <c r="I7">
        <f ca="1">_xlfn.XLOOKUP(t_rang[[#This Row],[Dato]],t_toh[Dato],t_toh[Rank])</f>
        <v>4</v>
      </c>
      <c r="J7">
        <f ca="1">_xlfn.XLOOKUP(t_rang[[#This Row],[Dato]],t_utg[Dato],t_utg[Rank])</f>
        <v>2</v>
      </c>
      <c r="K7" s="425">
        <f ca="1">_xlfn.XLOOKUP(t_rang[[#This Row],[Dato]],t_lev[Dato],t_lev[Rank])</f>
        <v>4</v>
      </c>
      <c r="L7" s="425"/>
      <c r="M7" s="425"/>
      <c r="N7" s="425"/>
      <c r="O7" s="404"/>
      <c r="P7" s="427">
        <f ca="1">Data!AL6</f>
        <v>45941</v>
      </c>
      <c r="Q7" s="403">
        <f ca="1">t_ahh[[#This Row],[tp]]</f>
        <v>610</v>
      </c>
      <c r="R7" s="403">
        <f ca="1">t_rb[[#This Row],[tp]]</f>
        <v>610</v>
      </c>
      <c r="S7" s="403">
        <f ca="1">t_eb[[#This Row],[tp]]</f>
        <v>620</v>
      </c>
      <c r="T7" s="403">
        <f ca="1">t_kaf[[#This Row],[tp]]</f>
        <v>630</v>
      </c>
      <c r="U7" s="403">
        <f ca="1">t_øg[[#This Row],[tp]]</f>
        <v>680</v>
      </c>
      <c r="V7" s="403">
        <f ca="1">t_jh[[#This Row],[tp]]</f>
        <v>580</v>
      </c>
      <c r="W7" s="403">
        <f ca="1">t_toh[[#This Row],[tp]]</f>
        <v>620</v>
      </c>
      <c r="X7" s="403">
        <f ca="1">t_utg[[#This Row],[tp]]</f>
        <v>630</v>
      </c>
      <c r="Y7" s="403">
        <f ca="1">t_lev[[#This Row],[tp]]</f>
        <v>620</v>
      </c>
      <c r="AA7" s="676">
        <f ca="1">t_tp[[#This Row],[Dato]]</f>
        <v>45941</v>
      </c>
      <c r="AB7" s="677" t="str" cm="1">
        <f t="array" aca="1" ref="AB7" ca="1">IFERROR(_xlfn._xlws.FILTER($Q$1:$Y$1,t_tp[[#This Row],[ahh]:[lev]]=LARGE(t_tp[[#This Row],[ahh]:[lev]],1)),"")</f>
        <v>øg</v>
      </c>
      <c r="AC7" s="677"/>
      <c r="AD7" s="677"/>
      <c r="AE7" s="677"/>
      <c r="AF7" s="677"/>
      <c r="AG7" s="677"/>
      <c r="AH7" s="677"/>
      <c r="AI7" s="677"/>
      <c r="AJ7" s="678"/>
      <c r="AK7" s="20"/>
      <c r="AL7" s="676">
        <f t="shared" ca="1" si="0"/>
        <v>45941</v>
      </c>
      <c r="AM7" s="677" t="str" cm="1">
        <f t="array" aca="1" ref="AM7" ca="1">IFERROR(_xlfn._xlws.FILTER($Q$1:$Y$1,t_tp[[#This Row],[ahh]:[lev]]=SMALL(t_tp[[#This Row],[ahh]:[lev]],1)),"")</f>
        <v>jh</v>
      </c>
      <c r="AN7" s="677"/>
      <c r="AO7" s="677"/>
      <c r="AP7" s="677"/>
      <c r="AQ7" s="677"/>
      <c r="AR7" s="677"/>
      <c r="AS7" s="677"/>
      <c r="AT7" s="677"/>
      <c r="AU7" s="678"/>
    </row>
    <row r="8" spans="1:47" ht="14.25" thickTop="1" thickBot="1" x14ac:dyDescent="0.25">
      <c r="A8">
        <v>7</v>
      </c>
      <c r="B8" s="22">
        <f ca="1">Data!AL7</f>
        <v>45948</v>
      </c>
      <c r="C8">
        <f ca="1">_xlfn.XLOOKUP(t_rang[[#This Row],[Dato]],t_ahh[Dato],t_ahh[Rank])</f>
        <v>7</v>
      </c>
      <c r="D8">
        <f ca="1">_xlfn.XLOOKUP(t_rang[[#This Row],[Dato]],t_rb[Dato],t_rb[Rank])</f>
        <v>1</v>
      </c>
      <c r="E8">
        <f ca="1">_xlfn.XLOOKUP(t_rang[[#This Row],[Dato]],t_eb[Dato],t_eb[Rank])</f>
        <v>8</v>
      </c>
      <c r="F8">
        <f ca="1">_xlfn.XLOOKUP(t_rang[[#This Row],[Dato]],t_kaf[Dato],t_kaf[Rank])</f>
        <v>3</v>
      </c>
      <c r="G8">
        <f ca="1">_xlfn.XLOOKUP(t_rang[[#This Row],[Dato]],t_øg[Dato],t_øg[Rank])</f>
        <v>5</v>
      </c>
      <c r="H8">
        <f ca="1">_xlfn.XLOOKUP(t_rang[[#This Row],[Dato]],t_jh[Dato],t_jh[Rank])</f>
        <v>2</v>
      </c>
      <c r="I8">
        <f ca="1">_xlfn.XLOOKUP(t_rang[[#This Row],[Dato]],t_toh[Dato],t_toh[Rank])</f>
        <v>8</v>
      </c>
      <c r="J8">
        <f ca="1">_xlfn.XLOOKUP(t_rang[[#This Row],[Dato]],t_utg[Dato],t_utg[Rank])</f>
        <v>5</v>
      </c>
      <c r="K8" s="425">
        <f ca="1">_xlfn.XLOOKUP(t_rang[[#This Row],[Dato]],t_lev[Dato],t_lev[Rank])</f>
        <v>3</v>
      </c>
      <c r="L8" s="425"/>
      <c r="M8" s="425"/>
      <c r="N8" s="425"/>
      <c r="O8" s="404"/>
      <c r="P8" s="427">
        <f ca="1">Data!AL7</f>
        <v>45948</v>
      </c>
      <c r="Q8" s="403">
        <f ca="1">t_ahh[[#This Row],[tp]]</f>
        <v>600</v>
      </c>
      <c r="R8" s="403">
        <f ca="1">t_rb[[#This Row],[tp]]</f>
        <v>680</v>
      </c>
      <c r="S8" s="403">
        <f ca="1">t_eb[[#This Row],[tp]]</f>
        <v>580</v>
      </c>
      <c r="T8" s="403">
        <f ca="1">t_kaf[[#This Row],[tp]]</f>
        <v>640</v>
      </c>
      <c r="U8" s="403">
        <f ca="1">t_øg[[#This Row],[tp]]</f>
        <v>610</v>
      </c>
      <c r="V8" s="403">
        <f ca="1">t_jh[[#This Row],[tp]]</f>
        <v>660</v>
      </c>
      <c r="W8" s="403">
        <f ca="1">t_toh[[#This Row],[tp]]</f>
        <v>580</v>
      </c>
      <c r="X8" s="403">
        <f ca="1">t_utg[[#This Row],[tp]]</f>
        <v>610</v>
      </c>
      <c r="Y8" s="403">
        <f ca="1">t_lev[[#This Row],[tp]]</f>
        <v>640</v>
      </c>
      <c r="AA8" s="673">
        <f ca="1">t_tp[[#This Row],[Dato]]</f>
        <v>45948</v>
      </c>
      <c r="AB8" s="674" t="str" cm="1">
        <f t="array" aca="1" ref="AB8" ca="1">IFERROR(_xlfn._xlws.FILTER($Q$1:$Y$1,t_tp[[#This Row],[ahh]:[lev]]=LARGE(t_tp[[#This Row],[ahh]:[lev]],1)),"")</f>
        <v>rb</v>
      </c>
      <c r="AC8" s="674"/>
      <c r="AD8" s="674"/>
      <c r="AE8" s="674"/>
      <c r="AF8" s="674"/>
      <c r="AG8" s="674"/>
      <c r="AH8" s="674"/>
      <c r="AI8" s="674"/>
      <c r="AJ8" s="675"/>
      <c r="AK8" s="20"/>
      <c r="AL8" s="673">
        <f t="shared" ca="1" si="0"/>
        <v>45948</v>
      </c>
      <c r="AM8" s="674" t="str" cm="1">
        <f t="array" aca="1" ref="AM8:AN8" ca="1">IFERROR(_xlfn._xlws.FILTER($Q$1:$Y$1,t_tp[[#This Row],[ahh]:[lev]]=SMALL(t_tp[[#This Row],[ahh]:[lev]],1)),"")</f>
        <v>eb</v>
      </c>
      <c r="AN8" s="674" t="str">
        <f ca="1"/>
        <v>toh</v>
      </c>
      <c r="AO8" s="674"/>
      <c r="AP8" s="674"/>
      <c r="AQ8" s="674"/>
      <c r="AR8" s="674"/>
      <c r="AS8" s="674"/>
      <c r="AT8" s="674"/>
      <c r="AU8" s="675"/>
    </row>
    <row r="9" spans="1:47" ht="14.25" thickTop="1" thickBot="1" x14ac:dyDescent="0.25">
      <c r="A9">
        <v>8</v>
      </c>
      <c r="B9" s="22">
        <f ca="1">Data!AL8</f>
        <v>45955</v>
      </c>
      <c r="C9">
        <f ca="1">_xlfn.XLOOKUP(t_rang[[#This Row],[Dato]],t_ahh[Dato],t_ahh[Rank])</f>
        <v>9</v>
      </c>
      <c r="D9">
        <f ca="1">_xlfn.XLOOKUP(t_rang[[#This Row],[Dato]],t_rb[Dato],t_rb[Rank])</f>
        <v>8</v>
      </c>
      <c r="E9">
        <f ca="1">_xlfn.XLOOKUP(t_rang[[#This Row],[Dato]],t_eb[Dato],t_eb[Rank])</f>
        <v>1</v>
      </c>
      <c r="F9">
        <f ca="1">_xlfn.XLOOKUP(t_rang[[#This Row],[Dato]],t_kaf[Dato],t_kaf[Rank])</f>
        <v>3</v>
      </c>
      <c r="G9">
        <f ca="1">_xlfn.XLOOKUP(t_rang[[#This Row],[Dato]],t_øg[Dato],t_øg[Rank])</f>
        <v>4</v>
      </c>
      <c r="H9">
        <f ca="1">_xlfn.XLOOKUP(t_rang[[#This Row],[Dato]],t_jh[Dato],t_jh[Rank])</f>
        <v>2</v>
      </c>
      <c r="I9">
        <f ca="1">_xlfn.XLOOKUP(t_rang[[#This Row],[Dato]],t_toh[Dato],t_toh[Rank])</f>
        <v>7</v>
      </c>
      <c r="J9">
        <f ca="1">_xlfn.XLOOKUP(t_rang[[#This Row],[Dato]],t_utg[Dato],t_utg[Rank])</f>
        <v>4</v>
      </c>
      <c r="K9" s="425">
        <f ca="1">_xlfn.XLOOKUP(t_rang[[#This Row],[Dato]],t_lev[Dato],t_lev[Rank])</f>
        <v>6</v>
      </c>
      <c r="L9" s="425"/>
      <c r="M9" s="425"/>
      <c r="N9" s="425"/>
      <c r="O9" s="404"/>
      <c r="P9" s="427">
        <f ca="1">Data!AL8</f>
        <v>45955</v>
      </c>
      <c r="Q9" s="403">
        <f ca="1">t_ahh[[#This Row],[tp]]</f>
        <v>440</v>
      </c>
      <c r="R9" s="403">
        <f ca="1">t_rb[[#This Row],[tp]]</f>
        <v>470</v>
      </c>
      <c r="S9" s="403">
        <f ca="1">t_eb[[#This Row],[tp]]</f>
        <v>570</v>
      </c>
      <c r="T9" s="403">
        <f ca="1">t_kaf[[#This Row],[tp]]</f>
        <v>550</v>
      </c>
      <c r="U9" s="403">
        <f ca="1">t_øg[[#This Row],[tp]]</f>
        <v>520</v>
      </c>
      <c r="V9" s="403">
        <f ca="1">t_jh[[#This Row],[tp]]</f>
        <v>560</v>
      </c>
      <c r="W9" s="403">
        <f ca="1">t_toh[[#This Row],[tp]]</f>
        <v>480</v>
      </c>
      <c r="X9" s="403">
        <f ca="1">t_utg[[#This Row],[tp]]</f>
        <v>520</v>
      </c>
      <c r="Y9" s="403">
        <f ca="1">t_lev[[#This Row],[tp]]</f>
        <v>500</v>
      </c>
      <c r="AA9" s="676">
        <f ca="1">t_tp[[#This Row],[Dato]]</f>
        <v>45955</v>
      </c>
      <c r="AB9" s="677" t="str" cm="1">
        <f t="array" aca="1" ref="AB9" ca="1">IFERROR(_xlfn._xlws.FILTER($Q$1:$Y$1,t_tp[[#This Row],[ahh]:[lev]]=LARGE(t_tp[[#This Row],[ahh]:[lev]],1)),"")</f>
        <v>eb</v>
      </c>
      <c r="AC9" s="677"/>
      <c r="AD9" s="677"/>
      <c r="AE9" s="677"/>
      <c r="AF9" s="677"/>
      <c r="AG9" s="677"/>
      <c r="AH9" s="677"/>
      <c r="AI9" s="677"/>
      <c r="AJ9" s="678"/>
      <c r="AK9" s="20"/>
      <c r="AL9" s="676">
        <f t="shared" ca="1" si="0"/>
        <v>45955</v>
      </c>
      <c r="AM9" s="677" t="str" cm="1">
        <f t="array" aca="1" ref="AM9" ca="1">IFERROR(_xlfn._xlws.FILTER($Q$1:$Y$1,t_tp[[#This Row],[ahh]:[lev]]=SMALL(t_tp[[#This Row],[ahh]:[lev]],1)),"")</f>
        <v>ahh</v>
      </c>
      <c r="AN9" s="677"/>
      <c r="AO9" s="677"/>
      <c r="AP9" s="677"/>
      <c r="AQ9" s="677"/>
      <c r="AR9" s="677"/>
      <c r="AS9" s="677"/>
      <c r="AT9" s="677"/>
      <c r="AU9" s="678"/>
    </row>
    <row r="10" spans="1:47" ht="14.25" thickTop="1" thickBot="1" x14ac:dyDescent="0.25">
      <c r="A10">
        <v>9</v>
      </c>
      <c r="B10" s="22">
        <f ca="1">Data!AL9</f>
        <v>45962</v>
      </c>
      <c r="C10">
        <f ca="1">_xlfn.XLOOKUP(t_rang[[#This Row],[Dato]],t_ahh[Dato],t_ahh[Rank])</f>
        <v>8</v>
      </c>
      <c r="D10">
        <f ca="1">_xlfn.XLOOKUP(t_rang[[#This Row],[Dato]],t_rb[Dato],t_rb[Rank])</f>
        <v>2</v>
      </c>
      <c r="E10">
        <f ca="1">_xlfn.XLOOKUP(t_rang[[#This Row],[Dato]],t_eb[Dato],t_eb[Rank])</f>
        <v>4</v>
      </c>
      <c r="F10">
        <f ca="1">_xlfn.XLOOKUP(t_rang[[#This Row],[Dato]],t_kaf[Dato],t_kaf[Rank])</f>
        <v>5</v>
      </c>
      <c r="G10">
        <f ca="1">_xlfn.XLOOKUP(t_rang[[#This Row],[Dato]],t_øg[Dato],t_øg[Rank])</f>
        <v>1</v>
      </c>
      <c r="H10">
        <f ca="1">_xlfn.XLOOKUP(t_rang[[#This Row],[Dato]],t_jh[Dato],t_jh[Rank])</f>
        <v>6</v>
      </c>
      <c r="I10">
        <f ca="1">_xlfn.XLOOKUP(t_rang[[#This Row],[Dato]],t_toh[Dato],t_toh[Rank])</f>
        <v>9</v>
      </c>
      <c r="J10">
        <f ca="1">_xlfn.XLOOKUP(t_rang[[#This Row],[Dato]],t_utg[Dato],t_utg[Rank])</f>
        <v>3</v>
      </c>
      <c r="K10" s="425">
        <f ca="1">_xlfn.XLOOKUP(t_rang[[#This Row],[Dato]],t_lev[Dato],t_lev[Rank])</f>
        <v>7</v>
      </c>
      <c r="L10" s="425"/>
      <c r="M10" s="425"/>
      <c r="N10" s="425"/>
      <c r="O10" s="404"/>
      <c r="P10" s="427">
        <f ca="1">Data!AL9</f>
        <v>45962</v>
      </c>
      <c r="Q10" s="403">
        <f ca="1">t_ahh[[#This Row],[tp]]</f>
        <v>570</v>
      </c>
      <c r="R10" s="403">
        <f ca="1">t_rb[[#This Row],[tp]]</f>
        <v>750</v>
      </c>
      <c r="S10" s="403">
        <f ca="1">t_eb[[#This Row],[tp]]</f>
        <v>660</v>
      </c>
      <c r="T10" s="403">
        <f ca="1">t_kaf[[#This Row],[tp]]</f>
        <v>640</v>
      </c>
      <c r="U10" s="403">
        <f ca="1">t_øg[[#This Row],[tp]]</f>
        <v>760</v>
      </c>
      <c r="V10" s="403">
        <f ca="1">t_jh[[#This Row],[tp]]</f>
        <v>610</v>
      </c>
      <c r="W10" s="403">
        <f ca="1">t_toh[[#This Row],[tp]]</f>
        <v>490</v>
      </c>
      <c r="X10" s="403">
        <f ca="1">t_utg[[#This Row],[tp]]</f>
        <v>680</v>
      </c>
      <c r="Y10" s="403">
        <f ca="1">t_lev[[#This Row],[tp]]</f>
        <v>580</v>
      </c>
      <c r="AA10" s="673">
        <f ca="1">t_tp[[#This Row],[Dato]]</f>
        <v>45962</v>
      </c>
      <c r="AB10" s="674" t="str" cm="1">
        <f t="array" aca="1" ref="AB10" ca="1">IFERROR(_xlfn._xlws.FILTER($Q$1:$Y$1,t_tp[[#This Row],[ahh]:[lev]]=LARGE(t_tp[[#This Row],[ahh]:[lev]],1)),"")</f>
        <v>øg</v>
      </c>
      <c r="AC10" s="674"/>
      <c r="AD10" s="674"/>
      <c r="AE10" s="674"/>
      <c r="AF10" s="674"/>
      <c r="AG10" s="674"/>
      <c r="AH10" s="674"/>
      <c r="AI10" s="674"/>
      <c r="AJ10" s="675"/>
      <c r="AK10" s="20"/>
      <c r="AL10" s="673">
        <f t="shared" ca="1" si="0"/>
        <v>45962</v>
      </c>
      <c r="AM10" s="674" t="str" cm="1">
        <f t="array" aca="1" ref="AM10" ca="1">IFERROR(_xlfn._xlws.FILTER($Q$1:$Y$1,t_tp[[#This Row],[ahh]:[lev]]=SMALL(t_tp[[#This Row],[ahh]:[lev]],1)),"")</f>
        <v>toh</v>
      </c>
      <c r="AN10" s="674"/>
      <c r="AO10" s="674"/>
      <c r="AP10" s="674"/>
      <c r="AQ10" s="674"/>
      <c r="AR10" s="674"/>
      <c r="AS10" s="674"/>
      <c r="AT10" s="674"/>
      <c r="AU10" s="675"/>
    </row>
    <row r="11" spans="1:47" ht="14.25" thickTop="1" thickBot="1" x14ac:dyDescent="0.25">
      <c r="A11">
        <v>10</v>
      </c>
      <c r="B11" s="22">
        <f ca="1">Data!AL10</f>
        <v>45969</v>
      </c>
      <c r="C11">
        <f ca="1">_xlfn.XLOOKUP(t_rang[[#This Row],[Dato]],t_ahh[Dato],t_ahh[Rank])</f>
        <v>7</v>
      </c>
      <c r="D11">
        <f ca="1">_xlfn.XLOOKUP(t_rang[[#This Row],[Dato]],t_rb[Dato],t_rb[Rank])</f>
        <v>2</v>
      </c>
      <c r="E11">
        <f ca="1">_xlfn.XLOOKUP(t_rang[[#This Row],[Dato]],t_eb[Dato],t_eb[Rank])</f>
        <v>7</v>
      </c>
      <c r="F11">
        <f ca="1">_xlfn.XLOOKUP(t_rang[[#This Row],[Dato]],t_kaf[Dato],t_kaf[Rank])</f>
        <v>2</v>
      </c>
      <c r="G11">
        <f ca="1">_xlfn.XLOOKUP(t_rang[[#This Row],[Dato]],t_øg[Dato],t_øg[Rank])</f>
        <v>2</v>
      </c>
      <c r="H11">
        <f ca="1">_xlfn.XLOOKUP(t_rang[[#This Row],[Dato]],t_jh[Dato],t_jh[Rank])</f>
        <v>1</v>
      </c>
      <c r="I11">
        <f ca="1">_xlfn.XLOOKUP(t_rang[[#This Row],[Dato]],t_toh[Dato],t_toh[Rank])</f>
        <v>9</v>
      </c>
      <c r="J11">
        <f ca="1">_xlfn.XLOOKUP(t_rang[[#This Row],[Dato]],t_utg[Dato],t_utg[Rank])</f>
        <v>5</v>
      </c>
      <c r="K11" s="425">
        <f ca="1">_xlfn.XLOOKUP(t_rang[[#This Row],[Dato]],t_lev[Dato],t_lev[Rank])</f>
        <v>5</v>
      </c>
      <c r="L11" s="425"/>
      <c r="M11" s="425"/>
      <c r="N11" s="425"/>
      <c r="O11" s="404"/>
      <c r="P11" s="427">
        <f ca="1">Data!AL10</f>
        <v>45969</v>
      </c>
      <c r="Q11" s="403">
        <f ca="1">t_ahh[[#This Row],[tp]]</f>
        <v>550</v>
      </c>
      <c r="R11" s="403">
        <f ca="1">t_rb[[#This Row],[tp]]</f>
        <v>610</v>
      </c>
      <c r="S11" s="403">
        <f ca="1">t_eb[[#This Row],[tp]]</f>
        <v>550</v>
      </c>
      <c r="T11" s="403">
        <f ca="1">t_kaf[[#This Row],[tp]]</f>
        <v>610</v>
      </c>
      <c r="U11" s="403">
        <f ca="1">t_øg[[#This Row],[tp]]</f>
        <v>610</v>
      </c>
      <c r="V11" s="403">
        <f ca="1">t_jh[[#This Row],[tp]]</f>
        <v>700</v>
      </c>
      <c r="W11" s="403">
        <f ca="1">t_toh[[#This Row],[tp]]</f>
        <v>540</v>
      </c>
      <c r="X11" s="403">
        <f ca="1">t_utg[[#This Row],[tp]]</f>
        <v>590</v>
      </c>
      <c r="Y11" s="403">
        <f ca="1">t_lev[[#This Row],[tp]]</f>
        <v>590</v>
      </c>
      <c r="AA11" s="676">
        <f ca="1">t_tp[[#This Row],[Dato]]</f>
        <v>45969</v>
      </c>
      <c r="AB11" s="677" t="str" cm="1">
        <f t="array" aca="1" ref="AB11" ca="1">IFERROR(_xlfn._xlws.FILTER($Q$1:$Y$1,t_tp[[#This Row],[ahh]:[lev]]=LARGE(t_tp[[#This Row],[ahh]:[lev]],1)),"")</f>
        <v>jh</v>
      </c>
      <c r="AC11" s="677"/>
      <c r="AD11" s="677"/>
      <c r="AE11" s="677"/>
      <c r="AF11" s="677"/>
      <c r="AG11" s="677"/>
      <c r="AH11" s="677"/>
      <c r="AI11" s="677"/>
      <c r="AJ11" s="678"/>
      <c r="AK11" s="20"/>
      <c r="AL11" s="676">
        <f t="shared" ca="1" si="0"/>
        <v>45969</v>
      </c>
      <c r="AM11" s="677" t="str" cm="1">
        <f t="array" aca="1" ref="AM11" ca="1">IFERROR(_xlfn._xlws.FILTER($Q$1:$Y$1,t_tp[[#This Row],[ahh]:[lev]]=SMALL(t_tp[[#This Row],[ahh]:[lev]],1)),"")</f>
        <v>toh</v>
      </c>
      <c r="AN11" s="677"/>
      <c r="AO11" s="677"/>
      <c r="AP11" s="677"/>
      <c r="AQ11" s="677"/>
      <c r="AR11" s="677"/>
      <c r="AS11" s="677"/>
      <c r="AT11" s="677"/>
      <c r="AU11" s="678"/>
    </row>
    <row r="12" spans="1:47" ht="14.25" thickTop="1" thickBot="1" x14ac:dyDescent="0.25">
      <c r="A12">
        <v>11</v>
      </c>
      <c r="B12" s="22">
        <f ca="1">Data!AL11</f>
        <v>45976</v>
      </c>
      <c r="C12">
        <f ca="1">_xlfn.XLOOKUP(t_rang[[#This Row],[Dato]],t_ahh[Dato],t_ahh[Rank])</f>
        <v>5</v>
      </c>
      <c r="D12">
        <f ca="1">_xlfn.XLOOKUP(t_rang[[#This Row],[Dato]],t_rb[Dato],t_rb[Rank])</f>
        <v>6</v>
      </c>
      <c r="E12">
        <f ca="1">_xlfn.XLOOKUP(t_rang[[#This Row],[Dato]],t_eb[Dato],t_eb[Rank])</f>
        <v>8</v>
      </c>
      <c r="F12">
        <f ca="1">_xlfn.XLOOKUP(t_rang[[#This Row],[Dato]],t_kaf[Dato],t_kaf[Rank])</f>
        <v>3</v>
      </c>
      <c r="G12">
        <f ca="1">_xlfn.XLOOKUP(t_rang[[#This Row],[Dato]],t_øg[Dato],t_øg[Rank])</f>
        <v>1</v>
      </c>
      <c r="H12">
        <f ca="1">_xlfn.XLOOKUP(t_rang[[#This Row],[Dato]],t_jh[Dato],t_jh[Rank])</f>
        <v>7</v>
      </c>
      <c r="I12">
        <f ca="1">_xlfn.XLOOKUP(t_rang[[#This Row],[Dato]],t_toh[Dato],t_toh[Rank])</f>
        <v>8</v>
      </c>
      <c r="J12">
        <f ca="1">_xlfn.XLOOKUP(t_rang[[#This Row],[Dato]],t_utg[Dato],t_utg[Rank])</f>
        <v>4</v>
      </c>
      <c r="K12" s="425">
        <f ca="1">_xlfn.XLOOKUP(t_rang[[#This Row],[Dato]],t_lev[Dato],t_lev[Rank])</f>
        <v>1</v>
      </c>
      <c r="L12" s="425"/>
      <c r="M12" s="425"/>
      <c r="N12" s="425"/>
      <c r="O12" s="404"/>
      <c r="P12" s="427">
        <f ca="1">Data!AL11</f>
        <v>45976</v>
      </c>
      <c r="Q12" s="403">
        <f ca="1">t_ahh[[#This Row],[tp]]</f>
        <v>550</v>
      </c>
      <c r="R12" s="403">
        <f ca="1">t_rb[[#This Row],[tp]]</f>
        <v>540</v>
      </c>
      <c r="S12" s="403">
        <f ca="1">t_eb[[#This Row],[tp]]</f>
        <v>510</v>
      </c>
      <c r="T12" s="403">
        <f ca="1">t_kaf[[#This Row],[tp]]</f>
        <v>580</v>
      </c>
      <c r="U12" s="403">
        <f ca="1">t_øg[[#This Row],[tp]]</f>
        <v>610</v>
      </c>
      <c r="V12" s="403">
        <f ca="1">t_jh[[#This Row],[tp]]</f>
        <v>520</v>
      </c>
      <c r="W12" s="403">
        <f ca="1">t_toh[[#This Row],[tp]]</f>
        <v>510</v>
      </c>
      <c r="X12" s="403">
        <f ca="1">t_utg[[#This Row],[tp]]</f>
        <v>570</v>
      </c>
      <c r="Y12" s="403">
        <f ca="1">t_lev[[#This Row],[tp]]</f>
        <v>610</v>
      </c>
      <c r="AA12" s="673">
        <f ca="1">t_tp[[#This Row],[Dato]]</f>
        <v>45976</v>
      </c>
      <c r="AB12" s="674" t="str" cm="1">
        <f t="array" aca="1" ref="AB12:AC12" ca="1">IFERROR(_xlfn._xlws.FILTER($Q$1:$Y$1,t_tp[[#This Row],[ahh]:[lev]]=LARGE(t_tp[[#This Row],[ahh]:[lev]],1)),"")</f>
        <v>øg</v>
      </c>
      <c r="AC12" s="674" t="str">
        <f ca="1"/>
        <v>lev</v>
      </c>
      <c r="AD12" s="674"/>
      <c r="AE12" s="674"/>
      <c r="AF12" s="674"/>
      <c r="AG12" s="674"/>
      <c r="AH12" s="674"/>
      <c r="AI12" s="674"/>
      <c r="AJ12" s="675"/>
      <c r="AK12" s="20"/>
      <c r="AL12" s="673">
        <f t="shared" ca="1" si="0"/>
        <v>45976</v>
      </c>
      <c r="AM12" s="674" t="str" cm="1">
        <f t="array" aca="1" ref="AM12:AN12" ca="1">IFERROR(_xlfn._xlws.FILTER($Q$1:$Y$1,t_tp[[#This Row],[ahh]:[lev]]=SMALL(t_tp[[#This Row],[ahh]:[lev]],1)),"")</f>
        <v>eb</v>
      </c>
      <c r="AN12" s="674" t="str">
        <f ca="1"/>
        <v>toh</v>
      </c>
      <c r="AO12" s="674"/>
      <c r="AP12" s="674"/>
      <c r="AQ12" s="674"/>
      <c r="AR12" s="674"/>
      <c r="AS12" s="674"/>
      <c r="AT12" s="674"/>
      <c r="AU12" s="675"/>
    </row>
    <row r="13" spans="1:47" ht="14.25" thickTop="1" thickBot="1" x14ac:dyDescent="0.25">
      <c r="A13">
        <v>12</v>
      </c>
      <c r="B13" s="22">
        <f ca="1">Data!AL12</f>
        <v>45983</v>
      </c>
      <c r="C13">
        <f ca="1">_xlfn.XLOOKUP(t_rang[[#This Row],[Dato]],t_ahh[Dato],t_ahh[Rank])</f>
        <v>7</v>
      </c>
      <c r="D13">
        <f ca="1">_xlfn.XLOOKUP(t_rang[[#This Row],[Dato]],t_rb[Dato],t_rb[Rank])</f>
        <v>1</v>
      </c>
      <c r="E13">
        <f ca="1">_xlfn.XLOOKUP(t_rang[[#This Row],[Dato]],t_eb[Dato],t_eb[Rank])</f>
        <v>8</v>
      </c>
      <c r="F13">
        <f ca="1">_xlfn.XLOOKUP(t_rang[[#This Row],[Dato]],t_kaf[Dato],t_kaf[Rank])</f>
        <v>8</v>
      </c>
      <c r="G13">
        <f ca="1">_xlfn.XLOOKUP(t_rang[[#This Row],[Dato]],t_øg[Dato],t_øg[Rank])</f>
        <v>2</v>
      </c>
      <c r="H13">
        <f ca="1">_xlfn.XLOOKUP(t_rang[[#This Row],[Dato]],t_jh[Dato],t_jh[Rank])</f>
        <v>2</v>
      </c>
      <c r="I13">
        <f ca="1">_xlfn.XLOOKUP(t_rang[[#This Row],[Dato]],t_toh[Dato],t_toh[Rank])</f>
        <v>5</v>
      </c>
      <c r="J13">
        <f ca="1">_xlfn.XLOOKUP(t_rang[[#This Row],[Dato]],t_utg[Dato],t_utg[Rank])</f>
        <v>4</v>
      </c>
      <c r="K13" s="425">
        <f ca="1">_xlfn.XLOOKUP(t_rang[[#This Row],[Dato]],t_lev[Dato],t_lev[Rank])</f>
        <v>6</v>
      </c>
      <c r="L13" s="425"/>
      <c r="M13" s="425"/>
      <c r="N13" s="425"/>
      <c r="O13" s="404"/>
      <c r="P13" s="427">
        <f ca="1">Data!AL12</f>
        <v>45983</v>
      </c>
      <c r="Q13" s="403">
        <f ca="1">t_ahh[[#This Row],[tp]]</f>
        <v>410</v>
      </c>
      <c r="R13" s="403">
        <f ca="1">t_rb[[#This Row],[tp]]</f>
        <v>540</v>
      </c>
      <c r="S13" s="403">
        <f ca="1">t_eb[[#This Row],[tp]]</f>
        <v>360</v>
      </c>
      <c r="T13" s="403">
        <f ca="1">t_kaf[[#This Row],[tp]]</f>
        <v>360</v>
      </c>
      <c r="U13" s="403">
        <f ca="1">t_øg[[#This Row],[tp]]</f>
        <v>470</v>
      </c>
      <c r="V13" s="403">
        <f ca="1">t_jh[[#This Row],[tp]]</f>
        <v>470</v>
      </c>
      <c r="W13" s="403">
        <f ca="1">t_toh[[#This Row],[tp]]</f>
        <v>450</v>
      </c>
      <c r="X13" s="403">
        <f ca="1">t_utg[[#This Row],[tp]]</f>
        <v>460</v>
      </c>
      <c r="Y13" s="403">
        <f ca="1">t_lev[[#This Row],[tp]]</f>
        <v>420</v>
      </c>
      <c r="AA13" s="676">
        <f ca="1">t_tp[[#This Row],[Dato]]</f>
        <v>45983</v>
      </c>
      <c r="AB13" s="677" t="str" cm="1">
        <f t="array" aca="1" ref="AB13" ca="1">IFERROR(_xlfn._xlws.FILTER($Q$1:$Y$1,t_tp[[#This Row],[ahh]:[lev]]=LARGE(t_tp[[#This Row],[ahh]:[lev]],1)),"")</f>
        <v>rb</v>
      </c>
      <c r="AC13" s="677"/>
      <c r="AD13" s="677"/>
      <c r="AE13" s="677"/>
      <c r="AF13" s="677"/>
      <c r="AG13" s="677"/>
      <c r="AH13" s="677"/>
      <c r="AI13" s="677"/>
      <c r="AJ13" s="678"/>
      <c r="AK13" s="20"/>
      <c r="AL13" s="676">
        <f t="shared" ca="1" si="0"/>
        <v>45983</v>
      </c>
      <c r="AM13" s="677" t="str" cm="1">
        <f t="array" aca="1" ref="AM13:AN13" ca="1">IFERROR(_xlfn._xlws.FILTER($Q$1:$Y$1,t_tp[[#This Row],[ahh]:[lev]]=SMALL(t_tp[[#This Row],[ahh]:[lev]],1)),"")</f>
        <v>eb</v>
      </c>
      <c r="AN13" s="677" t="str">
        <f ca="1"/>
        <v>kaf</v>
      </c>
      <c r="AO13" s="677"/>
      <c r="AP13" s="677"/>
      <c r="AQ13" s="677"/>
      <c r="AR13" s="677"/>
      <c r="AS13" s="677"/>
      <c r="AT13" s="677"/>
      <c r="AU13" s="678"/>
    </row>
    <row r="14" spans="1:47" ht="14.25" thickTop="1" thickBot="1" x14ac:dyDescent="0.25">
      <c r="A14">
        <v>13</v>
      </c>
      <c r="B14" s="22">
        <f ca="1">Data!AL13</f>
        <v>45990</v>
      </c>
      <c r="C14">
        <f ca="1">_xlfn.XLOOKUP(t_rang[[#This Row],[Dato]],t_ahh[Dato],t_ahh[Rank])</f>
        <v>7</v>
      </c>
      <c r="D14">
        <f ca="1">_xlfn.XLOOKUP(t_rang[[#This Row],[Dato]],t_rb[Dato],t_rb[Rank])</f>
        <v>2</v>
      </c>
      <c r="E14">
        <f ca="1">_xlfn.XLOOKUP(t_rang[[#This Row],[Dato]],t_eb[Dato],t_eb[Rank])</f>
        <v>4</v>
      </c>
      <c r="F14">
        <f ca="1">_xlfn.XLOOKUP(t_rang[[#This Row],[Dato]],t_kaf[Dato],t_kaf[Rank])</f>
        <v>5</v>
      </c>
      <c r="G14">
        <f ca="1">_xlfn.XLOOKUP(t_rang[[#This Row],[Dato]],t_øg[Dato],t_øg[Rank])</f>
        <v>2</v>
      </c>
      <c r="H14">
        <f ca="1">_xlfn.XLOOKUP(t_rang[[#This Row],[Dato]],t_jh[Dato],t_jh[Rank])</f>
        <v>9</v>
      </c>
      <c r="I14">
        <f ca="1">_xlfn.XLOOKUP(t_rang[[#This Row],[Dato]],t_toh[Dato],t_toh[Rank])</f>
        <v>8</v>
      </c>
      <c r="J14">
        <f ca="1">_xlfn.XLOOKUP(t_rang[[#This Row],[Dato]],t_utg[Dato],t_utg[Rank])</f>
        <v>5</v>
      </c>
      <c r="K14" s="425">
        <f ca="1">_xlfn.XLOOKUP(t_rang[[#This Row],[Dato]],t_lev[Dato],t_lev[Rank])</f>
        <v>1</v>
      </c>
      <c r="L14" s="425"/>
      <c r="M14" s="425"/>
      <c r="N14" s="425"/>
      <c r="O14" s="404"/>
      <c r="P14" s="427">
        <f ca="1">Data!AL13</f>
        <v>45990</v>
      </c>
      <c r="Q14" s="403">
        <f ca="1">t_ahh[[#This Row],[tp]]</f>
        <v>540</v>
      </c>
      <c r="R14" s="403">
        <f ca="1">t_rb[[#This Row],[tp]]</f>
        <v>640</v>
      </c>
      <c r="S14" s="403">
        <f ca="1">t_eb[[#This Row],[tp]]</f>
        <v>590</v>
      </c>
      <c r="T14" s="403">
        <f ca="1">t_kaf[[#This Row],[tp]]</f>
        <v>580</v>
      </c>
      <c r="U14" s="403">
        <f ca="1">t_øg[[#This Row],[tp]]</f>
        <v>640</v>
      </c>
      <c r="V14" s="403">
        <f ca="1">t_jh[[#This Row],[tp]]</f>
        <v>470</v>
      </c>
      <c r="W14" s="403">
        <f ca="1">t_toh[[#This Row],[tp]]</f>
        <v>490</v>
      </c>
      <c r="X14" s="403">
        <f ca="1">t_utg[[#This Row],[tp]]</f>
        <v>580</v>
      </c>
      <c r="Y14" s="403">
        <f ca="1">t_lev[[#This Row],[tp]]</f>
        <v>650</v>
      </c>
      <c r="AA14" s="673">
        <f ca="1">t_tp[[#This Row],[Dato]]</f>
        <v>45990</v>
      </c>
      <c r="AB14" s="674" t="str" cm="1">
        <f t="array" aca="1" ref="AB14" ca="1">IFERROR(_xlfn._xlws.FILTER($Q$1:$Y$1,t_tp[[#This Row],[ahh]:[lev]]=LARGE(t_tp[[#This Row],[ahh]:[lev]],1)),"")</f>
        <v>lev</v>
      </c>
      <c r="AC14" s="674"/>
      <c r="AD14" s="674"/>
      <c r="AE14" s="674"/>
      <c r="AF14" s="674"/>
      <c r="AG14" s="674"/>
      <c r="AH14" s="674"/>
      <c r="AI14" s="674"/>
      <c r="AJ14" s="675"/>
      <c r="AK14" s="20"/>
      <c r="AL14" s="673">
        <f t="shared" ca="1" si="0"/>
        <v>45990</v>
      </c>
      <c r="AM14" s="674" t="str" cm="1">
        <f t="array" aca="1" ref="AM14" ca="1">IFERROR(_xlfn._xlws.FILTER($Q$1:$Y$1,t_tp[[#This Row],[ahh]:[lev]]=SMALL(t_tp[[#This Row],[ahh]:[lev]],1)),"")</f>
        <v>jh</v>
      </c>
      <c r="AN14" s="674"/>
      <c r="AO14" s="674"/>
      <c r="AP14" s="674"/>
      <c r="AQ14" s="674"/>
      <c r="AR14" s="674"/>
      <c r="AS14" s="674"/>
      <c r="AT14" s="674"/>
      <c r="AU14" s="675"/>
    </row>
    <row r="15" spans="1:47" ht="14.25" thickTop="1" thickBot="1" x14ac:dyDescent="0.25">
      <c r="A15">
        <v>14</v>
      </c>
      <c r="B15" s="22">
        <f ca="1">Data!AL14</f>
        <v>45997</v>
      </c>
      <c r="C15">
        <f ca="1">_xlfn.XLOOKUP(t_rang[[#This Row],[Dato]],t_ahh[Dato],t_ahh[Rank])</f>
        <v>1</v>
      </c>
      <c r="D15">
        <f ca="1">_xlfn.XLOOKUP(t_rang[[#This Row],[Dato]],t_rb[Dato],t_rb[Rank])</f>
        <v>1</v>
      </c>
      <c r="E15">
        <f ca="1">_xlfn.XLOOKUP(t_rang[[#This Row],[Dato]],t_eb[Dato],t_eb[Rank])</f>
        <v>7</v>
      </c>
      <c r="F15">
        <f ca="1">_xlfn.XLOOKUP(t_rang[[#This Row],[Dato]],t_kaf[Dato],t_kaf[Rank])</f>
        <v>6</v>
      </c>
      <c r="G15">
        <f ca="1">_xlfn.XLOOKUP(t_rang[[#This Row],[Dato]],t_øg[Dato],t_øg[Rank])</f>
        <v>3</v>
      </c>
      <c r="H15">
        <f ca="1">_xlfn.XLOOKUP(t_rang[[#This Row],[Dato]],t_jh[Dato],t_jh[Rank])</f>
        <v>8</v>
      </c>
      <c r="I15">
        <f ca="1">_xlfn.XLOOKUP(t_rang[[#This Row],[Dato]],t_toh[Dato],t_toh[Rank])</f>
        <v>3</v>
      </c>
      <c r="J15">
        <f ca="1">_xlfn.XLOOKUP(t_rang[[#This Row],[Dato]],t_utg[Dato],t_utg[Rank])</f>
        <v>5</v>
      </c>
      <c r="K15" s="425">
        <f ca="1">_xlfn.XLOOKUP(t_rang[[#This Row],[Dato]],t_lev[Dato],t_lev[Rank])</f>
        <v>9</v>
      </c>
      <c r="L15" s="425"/>
      <c r="M15" s="425"/>
      <c r="N15" s="425"/>
      <c r="O15" s="404"/>
      <c r="P15" s="427">
        <f ca="1">Data!AL14</f>
        <v>45997</v>
      </c>
      <c r="Q15" s="403">
        <f ca="1">t_ahh[[#This Row],[tp]]</f>
        <v>610</v>
      </c>
      <c r="R15" s="403">
        <f ca="1">t_rb[[#This Row],[tp]]</f>
        <v>610</v>
      </c>
      <c r="S15" s="403">
        <f ca="1">t_eb[[#This Row],[tp]]</f>
        <v>500</v>
      </c>
      <c r="T15" s="403">
        <f ca="1">t_kaf[[#This Row],[tp]]</f>
        <v>550</v>
      </c>
      <c r="U15" s="403">
        <f ca="1">t_øg[[#This Row],[tp]]</f>
        <v>580</v>
      </c>
      <c r="V15" s="403">
        <f ca="1">t_jh[[#This Row],[tp]]</f>
        <v>490</v>
      </c>
      <c r="W15" s="403">
        <f ca="1">t_toh[[#This Row],[tp]]</f>
        <v>580</v>
      </c>
      <c r="X15" s="403">
        <f ca="1">t_utg[[#This Row],[tp]]</f>
        <v>570</v>
      </c>
      <c r="Y15" s="403">
        <f ca="1">t_lev[[#This Row],[tp]]</f>
        <v>450</v>
      </c>
      <c r="AA15" s="676">
        <f ca="1">t_tp[[#This Row],[Dato]]</f>
        <v>45997</v>
      </c>
      <c r="AB15" s="677" t="str" cm="1">
        <f t="array" aca="1" ref="AB15:AC15" ca="1">IFERROR(_xlfn._xlws.FILTER($Q$1:$Y$1,t_tp[[#This Row],[ahh]:[lev]]=LARGE(t_tp[[#This Row],[ahh]:[lev]],1)),"")</f>
        <v>ahh</v>
      </c>
      <c r="AC15" s="677" t="str">
        <f ca="1"/>
        <v>rb</v>
      </c>
      <c r="AD15" s="677"/>
      <c r="AE15" s="677"/>
      <c r="AF15" s="677"/>
      <c r="AG15" s="677"/>
      <c r="AH15" s="677"/>
      <c r="AI15" s="677"/>
      <c r="AJ15" s="678"/>
      <c r="AK15" s="20"/>
      <c r="AL15" s="676">
        <f t="shared" ca="1" si="0"/>
        <v>45997</v>
      </c>
      <c r="AM15" s="677" t="str" cm="1">
        <f t="array" aca="1" ref="AM15" ca="1">IFERROR(_xlfn._xlws.FILTER($Q$1:$Y$1,t_tp[[#This Row],[ahh]:[lev]]=SMALL(t_tp[[#This Row],[ahh]:[lev]],1)),"")</f>
        <v>lev</v>
      </c>
      <c r="AN15" s="677"/>
      <c r="AO15" s="677"/>
      <c r="AP15" s="677"/>
      <c r="AQ15" s="677"/>
      <c r="AR15" s="677"/>
      <c r="AS15" s="677"/>
      <c r="AT15" s="677"/>
      <c r="AU15" s="678"/>
    </row>
    <row r="16" spans="1:47" ht="14.25" thickTop="1" thickBot="1" x14ac:dyDescent="0.25">
      <c r="A16">
        <v>15</v>
      </c>
      <c r="B16" s="22">
        <f ca="1">Data!AL15</f>
        <v>46004</v>
      </c>
      <c r="C16">
        <f ca="1">_xlfn.XLOOKUP(t_rang[[#This Row],[Dato]],t_ahh[Dato],t_ahh[Rank])</f>
        <v>9</v>
      </c>
      <c r="D16">
        <f ca="1">_xlfn.XLOOKUP(t_rang[[#This Row],[Dato]],t_rb[Dato],t_rb[Rank])</f>
        <v>1</v>
      </c>
      <c r="E16">
        <f ca="1">_xlfn.XLOOKUP(t_rang[[#This Row],[Dato]],t_eb[Dato],t_eb[Rank])</f>
        <v>7</v>
      </c>
      <c r="F16">
        <f ca="1">_xlfn.XLOOKUP(t_rang[[#This Row],[Dato]],t_kaf[Dato],t_kaf[Rank])</f>
        <v>2</v>
      </c>
      <c r="G16">
        <f ca="1">_xlfn.XLOOKUP(t_rang[[#This Row],[Dato]],t_øg[Dato],t_øg[Rank])</f>
        <v>7</v>
      </c>
      <c r="H16">
        <f ca="1">_xlfn.XLOOKUP(t_rang[[#This Row],[Dato]],t_jh[Dato],t_jh[Rank])</f>
        <v>2</v>
      </c>
      <c r="I16">
        <f ca="1">_xlfn.XLOOKUP(t_rang[[#This Row],[Dato]],t_toh[Dato],t_toh[Rank])</f>
        <v>5</v>
      </c>
      <c r="J16">
        <f ca="1">_xlfn.XLOOKUP(t_rang[[#This Row],[Dato]],t_utg[Dato],t_utg[Rank])</f>
        <v>2</v>
      </c>
      <c r="K16" s="425">
        <f ca="1">_xlfn.XLOOKUP(t_rang[[#This Row],[Dato]],t_lev[Dato],t_lev[Rank])</f>
        <v>6</v>
      </c>
      <c r="L16" s="425"/>
      <c r="M16" s="425"/>
      <c r="N16" s="425"/>
      <c r="O16" s="404"/>
      <c r="P16" s="427">
        <f ca="1">Data!AL15</f>
        <v>46004</v>
      </c>
      <c r="Q16" s="403">
        <f ca="1">t_ahh[[#This Row],[tp]]</f>
        <v>520</v>
      </c>
      <c r="R16" s="403">
        <f ca="1">t_rb[[#This Row],[tp]]</f>
        <v>680</v>
      </c>
      <c r="S16" s="403">
        <f ca="1">t_eb[[#This Row],[tp]]</f>
        <v>540</v>
      </c>
      <c r="T16" s="403">
        <f ca="1">t_kaf[[#This Row],[tp]]</f>
        <v>630</v>
      </c>
      <c r="U16" s="403">
        <f ca="1">t_øg[[#This Row],[tp]]</f>
        <v>540</v>
      </c>
      <c r="V16" s="403">
        <f ca="1">t_jh[[#This Row],[tp]]</f>
        <v>630</v>
      </c>
      <c r="W16" s="403">
        <f ca="1">t_toh[[#This Row],[tp]]</f>
        <v>620</v>
      </c>
      <c r="X16" s="403">
        <f ca="1">t_utg[[#This Row],[tp]]</f>
        <v>630</v>
      </c>
      <c r="Y16" s="403">
        <f ca="1">t_lev[[#This Row],[tp]]</f>
        <v>590</v>
      </c>
      <c r="AA16" s="673">
        <f ca="1">t_tp[[#This Row],[Dato]]</f>
        <v>46004</v>
      </c>
      <c r="AB16" s="674" t="str" cm="1">
        <f t="array" aca="1" ref="AB16" ca="1">IFERROR(_xlfn._xlws.FILTER($Q$1:$Y$1,t_tp[[#This Row],[ahh]:[lev]]=LARGE(t_tp[[#This Row],[ahh]:[lev]],1)),"")</f>
        <v>rb</v>
      </c>
      <c r="AC16" s="674"/>
      <c r="AD16" s="674"/>
      <c r="AE16" s="674"/>
      <c r="AF16" s="674"/>
      <c r="AG16" s="674"/>
      <c r="AH16" s="674"/>
      <c r="AI16" s="674"/>
      <c r="AJ16" s="675"/>
      <c r="AK16" s="20"/>
      <c r="AL16" s="673">
        <f t="shared" ca="1" si="0"/>
        <v>46004</v>
      </c>
      <c r="AM16" s="674" t="str" cm="1">
        <f t="array" aca="1" ref="AM16" ca="1">IFERROR(_xlfn._xlws.FILTER($Q$1:$Y$1,t_tp[[#This Row],[ahh]:[lev]]=SMALL(t_tp[[#This Row],[ahh]:[lev]],1)),"")</f>
        <v>ahh</v>
      </c>
      <c r="AN16" s="674"/>
      <c r="AO16" s="674"/>
      <c r="AP16" s="674"/>
      <c r="AQ16" s="674"/>
      <c r="AR16" s="674"/>
      <c r="AS16" s="674"/>
      <c r="AT16" s="674"/>
      <c r="AU16" s="675"/>
    </row>
    <row r="17" spans="1:47" ht="14.25" thickTop="1" thickBot="1" x14ac:dyDescent="0.25">
      <c r="A17">
        <v>16</v>
      </c>
      <c r="B17" s="22">
        <f ca="1">Data!AL16</f>
        <v>46032</v>
      </c>
      <c r="C17">
        <f ca="1">_xlfn.XLOOKUP(t_rang[[#This Row],[Dato]],t_ahh[Dato],t_ahh[Rank])</f>
        <v>7</v>
      </c>
      <c r="D17">
        <f ca="1">_xlfn.XLOOKUP(t_rang[[#This Row],[Dato]],t_rb[Dato],t_rb[Rank])</f>
        <v>2</v>
      </c>
      <c r="E17">
        <f ca="1">_xlfn.XLOOKUP(t_rang[[#This Row],[Dato]],t_eb[Dato],t_eb[Rank])</f>
        <v>3</v>
      </c>
      <c r="F17">
        <f ca="1">_xlfn.XLOOKUP(t_rang[[#This Row],[Dato]],t_kaf[Dato],t_kaf[Rank])</f>
        <v>3</v>
      </c>
      <c r="G17">
        <f ca="1">_xlfn.XLOOKUP(t_rang[[#This Row],[Dato]],t_øg[Dato],t_øg[Rank])</f>
        <v>1</v>
      </c>
      <c r="H17">
        <f ca="1">_xlfn.XLOOKUP(t_rang[[#This Row],[Dato]],t_jh[Dato],t_jh[Rank])</f>
        <v>8</v>
      </c>
      <c r="I17">
        <f ca="1">_xlfn.XLOOKUP(t_rang[[#This Row],[Dato]],t_toh[Dato],t_toh[Rank])</f>
        <v>9</v>
      </c>
      <c r="J17">
        <f ca="1">_xlfn.XLOOKUP(t_rang[[#This Row],[Dato]],t_utg[Dato],t_utg[Rank])</f>
        <v>6</v>
      </c>
      <c r="K17" s="425">
        <f ca="1">_xlfn.XLOOKUP(t_rang[[#This Row],[Dato]],t_lev[Dato],t_lev[Rank])</f>
        <v>5</v>
      </c>
      <c r="L17" s="425"/>
      <c r="M17" s="425"/>
      <c r="N17" s="425"/>
      <c r="O17" s="404"/>
      <c r="P17" s="427">
        <f ca="1">Data!AL16</f>
        <v>46032</v>
      </c>
      <c r="Q17" s="403">
        <f ca="1">t_ahh[[#This Row],[tp]]</f>
        <v>570</v>
      </c>
      <c r="R17" s="403">
        <f ca="1">t_rb[[#This Row],[tp]]</f>
        <v>650</v>
      </c>
      <c r="S17" s="403">
        <f ca="1">t_eb[[#This Row],[tp]]</f>
        <v>640</v>
      </c>
      <c r="T17" s="403">
        <f ca="1">t_kaf[[#This Row],[tp]]</f>
        <v>640</v>
      </c>
      <c r="U17" s="403">
        <f ca="1">t_øg[[#This Row],[tp]]</f>
        <v>680</v>
      </c>
      <c r="V17" s="403">
        <f ca="1">t_jh[[#This Row],[tp]]</f>
        <v>480</v>
      </c>
      <c r="W17" s="403">
        <f ca="1">t_toh[[#This Row],[tp]]</f>
        <v>450</v>
      </c>
      <c r="X17" s="403">
        <f ca="1">t_utg[[#This Row],[tp]]</f>
        <v>600</v>
      </c>
      <c r="Y17" s="403">
        <f ca="1">t_lev[[#This Row],[tp]]</f>
        <v>620</v>
      </c>
      <c r="AA17" s="676">
        <f ca="1">t_tp[[#This Row],[Dato]]</f>
        <v>46032</v>
      </c>
      <c r="AB17" s="677" t="str" cm="1">
        <f t="array" aca="1" ref="AB17" ca="1">IFERROR(_xlfn._xlws.FILTER($Q$1:$Y$1,t_tp[[#This Row],[ahh]:[lev]]=LARGE(t_tp[[#This Row],[ahh]:[lev]],1)),"")</f>
        <v>øg</v>
      </c>
      <c r="AC17" s="677"/>
      <c r="AD17" s="677"/>
      <c r="AE17" s="677"/>
      <c r="AF17" s="677"/>
      <c r="AG17" s="677"/>
      <c r="AH17" s="677"/>
      <c r="AI17" s="677"/>
      <c r="AJ17" s="678"/>
      <c r="AK17" s="20"/>
      <c r="AL17" s="676">
        <f t="shared" ca="1" si="0"/>
        <v>46032</v>
      </c>
      <c r="AM17" s="677" t="str" cm="1">
        <f t="array" aca="1" ref="AM17" ca="1">IFERROR(_xlfn._xlws.FILTER($Q$1:$Y$1,t_tp[[#This Row],[ahh]:[lev]]=SMALL(t_tp[[#This Row],[ahh]:[lev]],1)),"")</f>
        <v>toh</v>
      </c>
      <c r="AN17" s="677"/>
      <c r="AO17" s="677"/>
      <c r="AP17" s="677"/>
      <c r="AQ17" s="677"/>
      <c r="AR17" s="677"/>
      <c r="AS17" s="677"/>
      <c r="AT17" s="677"/>
      <c r="AU17" s="678"/>
    </row>
    <row r="18" spans="1:47" ht="14.25" thickTop="1" thickBot="1" x14ac:dyDescent="0.25">
      <c r="A18">
        <v>17</v>
      </c>
      <c r="B18" s="22">
        <f ca="1">Data!AL17</f>
        <v>46039</v>
      </c>
      <c r="C18">
        <f ca="1">_xlfn.XLOOKUP(t_rang[[#This Row],[Dato]],t_ahh[Dato],t_ahh[Rank])</f>
        <v>2</v>
      </c>
      <c r="D18">
        <f ca="1">_xlfn.XLOOKUP(t_rang[[#This Row],[Dato]],t_rb[Dato],t_rb[Rank])</f>
        <v>8</v>
      </c>
      <c r="E18">
        <f ca="1">_xlfn.XLOOKUP(t_rang[[#This Row],[Dato]],t_eb[Dato],t_eb[Rank])</f>
        <v>4</v>
      </c>
      <c r="F18">
        <f ca="1">_xlfn.XLOOKUP(t_rang[[#This Row],[Dato]],t_kaf[Dato],t_kaf[Rank])</f>
        <v>9</v>
      </c>
      <c r="G18">
        <f ca="1">_xlfn.XLOOKUP(t_rang[[#This Row],[Dato]],t_øg[Dato],t_øg[Rank])</f>
        <v>1</v>
      </c>
      <c r="H18">
        <f ca="1">_xlfn.XLOOKUP(t_rang[[#This Row],[Dato]],t_jh[Dato],t_jh[Rank])</f>
        <v>6</v>
      </c>
      <c r="I18">
        <f ca="1">_xlfn.XLOOKUP(t_rang[[#This Row],[Dato]],t_toh[Dato],t_toh[Rank])</f>
        <v>7</v>
      </c>
      <c r="J18">
        <f ca="1">_xlfn.XLOOKUP(t_rang[[#This Row],[Dato]],t_utg[Dato],t_utg[Rank])</f>
        <v>5</v>
      </c>
      <c r="K18" s="425">
        <f ca="1">_xlfn.XLOOKUP(t_rang[[#This Row],[Dato]],t_lev[Dato],t_lev[Rank])</f>
        <v>2</v>
      </c>
      <c r="L18" s="425"/>
      <c r="M18" s="425"/>
      <c r="N18" s="425"/>
      <c r="O18" s="404"/>
      <c r="P18" s="427">
        <f ca="1">Data!AL17</f>
        <v>46039</v>
      </c>
      <c r="Q18" s="403">
        <f ca="1">t_ahh[[#This Row],[tp]]</f>
        <v>430</v>
      </c>
      <c r="R18" s="403">
        <f ca="1">t_rb[[#This Row],[tp]]</f>
        <v>260</v>
      </c>
      <c r="S18" s="403">
        <f ca="1">t_eb[[#This Row],[tp]]</f>
        <v>410</v>
      </c>
      <c r="T18" s="403">
        <f ca="1">t_kaf[[#This Row],[tp]]</f>
        <v>210</v>
      </c>
      <c r="U18" s="403">
        <f ca="1">t_øg[[#This Row],[tp]]</f>
        <v>500</v>
      </c>
      <c r="V18" s="403">
        <f ca="1">t_jh[[#This Row],[tp]]</f>
        <v>320</v>
      </c>
      <c r="W18" s="403">
        <f ca="1">t_toh[[#This Row],[tp]]</f>
        <v>300</v>
      </c>
      <c r="X18" s="403">
        <f ca="1">t_utg[[#This Row],[tp]]</f>
        <v>340</v>
      </c>
      <c r="Y18" s="403">
        <f ca="1">t_lev[[#This Row],[tp]]</f>
        <v>430</v>
      </c>
      <c r="AA18" s="673">
        <f ca="1">t_tp[[#This Row],[Dato]]</f>
        <v>46039</v>
      </c>
      <c r="AB18" s="674" t="str" cm="1">
        <f t="array" aca="1" ref="AB18" ca="1">IFERROR(_xlfn._xlws.FILTER($Q$1:$Y$1,t_tp[[#This Row],[ahh]:[lev]]=LARGE(t_tp[[#This Row],[ahh]:[lev]],1)),"")</f>
        <v>øg</v>
      </c>
      <c r="AC18" s="674"/>
      <c r="AD18" s="674"/>
      <c r="AE18" s="674"/>
      <c r="AF18" s="674"/>
      <c r="AG18" s="674"/>
      <c r="AH18" s="674"/>
      <c r="AI18" s="674"/>
      <c r="AJ18" s="675"/>
      <c r="AK18" s="20"/>
      <c r="AL18" s="673">
        <f t="shared" ca="1" si="0"/>
        <v>46039</v>
      </c>
      <c r="AM18" s="674" t="str" cm="1">
        <f t="array" aca="1" ref="AM18" ca="1">IFERROR(_xlfn._xlws.FILTER($Q$1:$Y$1,t_tp[[#This Row],[ahh]:[lev]]=SMALL(t_tp[[#This Row],[ahh]:[lev]],1)),"")</f>
        <v>kaf</v>
      </c>
      <c r="AN18" s="674"/>
      <c r="AO18" s="674"/>
      <c r="AP18" s="674"/>
      <c r="AQ18" s="674"/>
      <c r="AR18" s="674"/>
      <c r="AS18" s="674"/>
      <c r="AT18" s="674"/>
      <c r="AU18" s="675"/>
    </row>
    <row r="19" spans="1:47" ht="14.25" thickTop="1" thickBot="1" x14ac:dyDescent="0.25">
      <c r="A19">
        <v>18</v>
      </c>
      <c r="B19" s="22">
        <f ca="1">Data!AL18</f>
        <v>46046</v>
      </c>
      <c r="C19">
        <f ca="1">_xlfn.XLOOKUP(t_rang[[#This Row],[Dato]],t_ahh[Dato],t_ahh[Rank])</f>
        <v>5</v>
      </c>
      <c r="D19">
        <f ca="1">_xlfn.XLOOKUP(t_rang[[#This Row],[Dato]],t_rb[Dato],t_rb[Rank])</f>
        <v>1</v>
      </c>
      <c r="E19">
        <f ca="1">_xlfn.XLOOKUP(t_rang[[#This Row],[Dato]],t_eb[Dato],t_eb[Rank])</f>
        <v>2</v>
      </c>
      <c r="F19">
        <f ca="1">_xlfn.XLOOKUP(t_rang[[#This Row],[Dato]],t_kaf[Dato],t_kaf[Rank])</f>
        <v>6</v>
      </c>
      <c r="G19">
        <f ca="1">_xlfn.XLOOKUP(t_rang[[#This Row],[Dato]],t_øg[Dato],t_øg[Rank])</f>
        <v>8</v>
      </c>
      <c r="H19">
        <f ca="1">_xlfn.XLOOKUP(t_rang[[#This Row],[Dato]],t_jh[Dato],t_jh[Rank])</f>
        <v>9</v>
      </c>
      <c r="I19">
        <f ca="1">_xlfn.XLOOKUP(t_rang[[#This Row],[Dato]],t_toh[Dato],t_toh[Rank])</f>
        <v>3</v>
      </c>
      <c r="J19">
        <f ca="1">_xlfn.XLOOKUP(t_rang[[#This Row],[Dato]],t_utg[Dato],t_utg[Rank])</f>
        <v>3</v>
      </c>
      <c r="K19" s="425">
        <f ca="1">_xlfn.XLOOKUP(t_rang[[#This Row],[Dato]],t_lev[Dato],t_lev[Rank])</f>
        <v>6</v>
      </c>
      <c r="L19" s="425"/>
      <c r="M19" s="425"/>
      <c r="N19" s="425"/>
      <c r="O19" s="404"/>
      <c r="P19" s="427">
        <f ca="1">Data!AL18</f>
        <v>46046</v>
      </c>
      <c r="Q19" s="403">
        <f ca="1">t_ahh[[#This Row],[tp]]</f>
        <v>450</v>
      </c>
      <c r="R19" s="403">
        <f ca="1">t_rb[[#This Row],[tp]]</f>
        <v>540</v>
      </c>
      <c r="S19" s="403">
        <f ca="1">t_eb[[#This Row],[tp]]</f>
        <v>500</v>
      </c>
      <c r="T19" s="403">
        <f ca="1">t_kaf[[#This Row],[tp]]</f>
        <v>410</v>
      </c>
      <c r="U19" s="403">
        <f ca="1">t_øg[[#This Row],[tp]]</f>
        <v>400</v>
      </c>
      <c r="V19" s="403">
        <f ca="1">t_jh[[#This Row],[tp]]</f>
        <v>370</v>
      </c>
      <c r="W19" s="403">
        <f ca="1">t_toh[[#This Row],[tp]]</f>
        <v>460</v>
      </c>
      <c r="X19" s="403">
        <f ca="1">t_utg[[#This Row],[tp]]</f>
        <v>460</v>
      </c>
      <c r="Y19" s="403">
        <f ca="1">t_lev[[#This Row],[tp]]</f>
        <v>410</v>
      </c>
      <c r="AA19" s="676">
        <f ca="1">t_tp[[#This Row],[Dato]]</f>
        <v>46046</v>
      </c>
      <c r="AB19" s="677" t="str" cm="1">
        <f t="array" aca="1" ref="AB19" ca="1">IFERROR(_xlfn._xlws.FILTER($Q$1:$Y$1,t_tp[[#This Row],[ahh]:[lev]]=LARGE(t_tp[[#This Row],[ahh]:[lev]],1)),"")</f>
        <v>rb</v>
      </c>
      <c r="AC19" s="677"/>
      <c r="AD19" s="677"/>
      <c r="AE19" s="677"/>
      <c r="AF19" s="677"/>
      <c r="AG19" s="677"/>
      <c r="AH19" s="677"/>
      <c r="AI19" s="677"/>
      <c r="AJ19" s="678"/>
      <c r="AK19" s="20"/>
      <c r="AL19" s="676">
        <f t="shared" ca="1" si="0"/>
        <v>46046</v>
      </c>
      <c r="AM19" s="677" t="str" cm="1">
        <f t="array" aca="1" ref="AM19" ca="1">IFERROR(_xlfn._xlws.FILTER($Q$1:$Y$1,t_tp[[#This Row],[ahh]:[lev]]=SMALL(t_tp[[#This Row],[ahh]:[lev]],1)),"")</f>
        <v>jh</v>
      </c>
      <c r="AN19" s="677"/>
      <c r="AO19" s="677"/>
      <c r="AP19" s="677"/>
      <c r="AQ19" s="677"/>
      <c r="AR19" s="677"/>
      <c r="AS19" s="677"/>
      <c r="AT19" s="677"/>
      <c r="AU19" s="678"/>
    </row>
    <row r="20" spans="1:47" ht="14.25" thickTop="1" thickBot="1" x14ac:dyDescent="0.25">
      <c r="A20">
        <v>19</v>
      </c>
      <c r="B20" s="22">
        <f ca="1">Data!AL19</f>
        <v>46053</v>
      </c>
      <c r="C20">
        <f ca="1">_xlfn.XLOOKUP(t_rang[[#This Row],[Dato]],t_ahh[Dato],t_ahh[Rank])</f>
        <v>4</v>
      </c>
      <c r="D20">
        <f ca="1">_xlfn.XLOOKUP(t_rang[[#This Row],[Dato]],t_rb[Dato],t_rb[Rank])</f>
        <v>7</v>
      </c>
      <c r="E20">
        <f ca="1">_xlfn.XLOOKUP(t_rang[[#This Row],[Dato]],t_eb[Dato],t_eb[Rank])</f>
        <v>6</v>
      </c>
      <c r="F20">
        <f ca="1">_xlfn.XLOOKUP(t_rang[[#This Row],[Dato]],t_kaf[Dato],t_kaf[Rank])</f>
        <v>9</v>
      </c>
      <c r="G20">
        <f ca="1">_xlfn.XLOOKUP(t_rang[[#This Row],[Dato]],t_øg[Dato],t_øg[Rank])</f>
        <v>1</v>
      </c>
      <c r="H20">
        <f ca="1">_xlfn.XLOOKUP(t_rang[[#This Row],[Dato]],t_jh[Dato],t_jh[Rank])</f>
        <v>2</v>
      </c>
      <c r="I20">
        <f ca="1">_xlfn.XLOOKUP(t_rang[[#This Row],[Dato]],t_toh[Dato],t_toh[Rank])</f>
        <v>4</v>
      </c>
      <c r="J20">
        <f ca="1">_xlfn.XLOOKUP(t_rang[[#This Row],[Dato]],t_utg[Dato],t_utg[Rank])</f>
        <v>3</v>
      </c>
      <c r="K20" s="425">
        <f ca="1">_xlfn.XLOOKUP(t_rang[[#This Row],[Dato]],t_lev[Dato],t_lev[Rank])</f>
        <v>8</v>
      </c>
      <c r="L20" s="425"/>
      <c r="M20" s="425"/>
      <c r="N20" s="425"/>
      <c r="O20" s="404"/>
      <c r="P20" s="427">
        <f ca="1">Data!AL19</f>
        <v>46053</v>
      </c>
      <c r="Q20" s="403">
        <f ca="1">t_ahh[[#This Row],[tp]]</f>
        <v>500</v>
      </c>
      <c r="R20" s="403">
        <f ca="1">t_rb[[#This Row],[tp]]</f>
        <v>470</v>
      </c>
      <c r="S20" s="403">
        <f ca="1">t_eb[[#This Row],[tp]]</f>
        <v>480</v>
      </c>
      <c r="T20" s="403">
        <f ca="1">t_kaf[[#This Row],[tp]]</f>
        <v>410</v>
      </c>
      <c r="U20" s="403">
        <f ca="1">t_øg[[#This Row],[tp]]</f>
        <v>610</v>
      </c>
      <c r="V20" s="403">
        <f ca="1">t_jh[[#This Row],[tp]]</f>
        <v>570</v>
      </c>
      <c r="W20" s="403">
        <f ca="1">t_toh[[#This Row],[tp]]</f>
        <v>500</v>
      </c>
      <c r="X20" s="403">
        <f ca="1">t_utg[[#This Row],[tp]]</f>
        <v>510</v>
      </c>
      <c r="Y20" s="403">
        <f ca="1">t_lev[[#This Row],[tp]]</f>
        <v>450</v>
      </c>
      <c r="AA20" s="673">
        <f ca="1">t_tp[[#This Row],[Dato]]</f>
        <v>46053</v>
      </c>
      <c r="AB20" s="674" t="str" cm="1">
        <f t="array" aca="1" ref="AB20" ca="1">IFERROR(_xlfn._xlws.FILTER($Q$1:$Y$1,t_tp[[#This Row],[ahh]:[lev]]=LARGE(t_tp[[#This Row],[ahh]:[lev]],1)),"")</f>
        <v>øg</v>
      </c>
      <c r="AC20" s="674"/>
      <c r="AD20" s="674"/>
      <c r="AE20" s="674"/>
      <c r="AF20" s="674"/>
      <c r="AG20" s="674"/>
      <c r="AH20" s="674"/>
      <c r="AI20" s="674"/>
      <c r="AJ20" s="675"/>
      <c r="AK20" s="20"/>
      <c r="AL20" s="673">
        <f t="shared" ca="1" si="0"/>
        <v>46053</v>
      </c>
      <c r="AM20" s="674" t="str" cm="1">
        <f t="array" aca="1" ref="AM20" ca="1">IFERROR(_xlfn._xlws.FILTER($Q$1:$Y$1,t_tp[[#This Row],[ahh]:[lev]]=SMALL(t_tp[[#This Row],[ahh]:[lev]],1)),"")</f>
        <v>kaf</v>
      </c>
      <c r="AN20" s="674"/>
      <c r="AO20" s="674"/>
      <c r="AP20" s="674"/>
      <c r="AQ20" s="674"/>
      <c r="AR20" s="674"/>
      <c r="AS20" s="674"/>
      <c r="AT20" s="674"/>
      <c r="AU20" s="675"/>
    </row>
    <row r="21" spans="1:47" ht="14.25" thickTop="1" thickBot="1" x14ac:dyDescent="0.25">
      <c r="A21">
        <v>20</v>
      </c>
      <c r="B21" s="22">
        <f ca="1">Data!AL20</f>
        <v>46060</v>
      </c>
      <c r="C21">
        <f ca="1">_xlfn.XLOOKUP(t_rang[[#This Row],[Dato]],t_ahh[Dato],t_ahh[Rank])</f>
        <v>3</v>
      </c>
      <c r="D21">
        <f ca="1">_xlfn.XLOOKUP(t_rang[[#This Row],[Dato]],t_rb[Dato],t_rb[Rank])</f>
        <v>5</v>
      </c>
      <c r="E21">
        <f ca="1">_xlfn.XLOOKUP(t_rang[[#This Row],[Dato]],t_eb[Dato],t_eb[Rank])</f>
        <v>1</v>
      </c>
      <c r="F21">
        <f ca="1">_xlfn.XLOOKUP(t_rang[[#This Row],[Dato]],t_kaf[Dato],t_kaf[Rank])</f>
        <v>8</v>
      </c>
      <c r="G21">
        <f ca="1">_xlfn.XLOOKUP(t_rang[[#This Row],[Dato]],t_øg[Dato],t_øg[Rank])</f>
        <v>5</v>
      </c>
      <c r="H21">
        <f ca="1">_xlfn.XLOOKUP(t_rang[[#This Row],[Dato]],t_jh[Dato],t_jh[Rank])</f>
        <v>2</v>
      </c>
      <c r="I21">
        <f ca="1">_xlfn.XLOOKUP(t_rang[[#This Row],[Dato]],t_toh[Dato],t_toh[Rank])</f>
        <v>9</v>
      </c>
      <c r="J21">
        <f ca="1">_xlfn.XLOOKUP(t_rang[[#This Row],[Dato]],t_utg[Dato],t_utg[Rank])</f>
        <v>3</v>
      </c>
      <c r="K21" s="425">
        <f ca="1">_xlfn.XLOOKUP(t_rang[[#This Row],[Dato]],t_lev[Dato],t_lev[Rank])</f>
        <v>7</v>
      </c>
      <c r="L21" s="425"/>
      <c r="M21" s="425"/>
      <c r="N21" s="425"/>
      <c r="O21" s="404"/>
      <c r="P21" s="427">
        <f ca="1">Data!AL20</f>
        <v>46060</v>
      </c>
      <c r="Q21" s="403">
        <f ca="1">t_ahh[[#This Row],[tp]]</f>
        <v>490</v>
      </c>
      <c r="R21" s="403">
        <f ca="1">t_rb[[#This Row],[tp]]</f>
        <v>470</v>
      </c>
      <c r="S21" s="403">
        <f ca="1">t_eb[[#This Row],[tp]]</f>
        <v>550</v>
      </c>
      <c r="T21" s="403">
        <f ca="1">t_kaf[[#This Row],[tp]]</f>
        <v>430</v>
      </c>
      <c r="U21" s="403">
        <f ca="1">t_øg[[#This Row],[tp]]</f>
        <v>470</v>
      </c>
      <c r="V21" s="403">
        <f ca="1">t_jh[[#This Row],[tp]]</f>
        <v>540</v>
      </c>
      <c r="W21" s="403">
        <f ca="1">t_toh[[#This Row],[tp]]</f>
        <v>370</v>
      </c>
      <c r="X21" s="403">
        <f ca="1">t_utg[[#This Row],[tp]]</f>
        <v>490</v>
      </c>
      <c r="Y21" s="403">
        <f ca="1">t_lev[[#This Row],[tp]]</f>
        <v>460</v>
      </c>
      <c r="AA21" s="676">
        <f ca="1">t_tp[[#This Row],[Dato]]</f>
        <v>46060</v>
      </c>
      <c r="AB21" s="677" t="str" cm="1">
        <f t="array" aca="1" ref="AB21" ca="1">IFERROR(_xlfn._xlws.FILTER($Q$1:$Y$1,t_tp[[#This Row],[ahh]:[lev]]=LARGE(t_tp[[#This Row],[ahh]:[lev]],1)),"")</f>
        <v>eb</v>
      </c>
      <c r="AC21" s="677"/>
      <c r="AD21" s="677"/>
      <c r="AE21" s="677"/>
      <c r="AF21" s="677"/>
      <c r="AG21" s="677"/>
      <c r="AH21" s="677"/>
      <c r="AI21" s="677"/>
      <c r="AJ21" s="678"/>
      <c r="AK21" s="20"/>
      <c r="AL21" s="676">
        <f t="shared" ca="1" si="0"/>
        <v>46060</v>
      </c>
      <c r="AM21" s="677" t="str" cm="1">
        <f t="array" aca="1" ref="AM21" ca="1">IFERROR(_xlfn._xlws.FILTER($Q$1:$Y$1,t_tp[[#This Row],[ahh]:[lev]]=SMALL(t_tp[[#This Row],[ahh]:[lev]],1)),"")</f>
        <v>toh</v>
      </c>
      <c r="AN21" s="677"/>
      <c r="AO21" s="677"/>
      <c r="AP21" s="677"/>
      <c r="AQ21" s="677"/>
      <c r="AR21" s="677"/>
      <c r="AS21" s="677"/>
      <c r="AT21" s="677"/>
      <c r="AU21" s="678"/>
    </row>
    <row r="22" spans="1:47" ht="14.25" thickTop="1" thickBot="1" x14ac:dyDescent="0.25">
      <c r="A22">
        <v>21</v>
      </c>
      <c r="B22" s="22">
        <f ca="1">Data!AL21</f>
        <v>46067</v>
      </c>
      <c r="C22">
        <f ca="1">_xlfn.XLOOKUP(t_rang[[#This Row],[Dato]],t_ahh[Dato],t_ahh[Rank])</f>
        <v>6</v>
      </c>
      <c r="D22">
        <f ca="1">_xlfn.XLOOKUP(t_rang[[#This Row],[Dato]],t_rb[Dato],t_rb[Rank])</f>
        <v>9</v>
      </c>
      <c r="E22">
        <f ca="1">_xlfn.XLOOKUP(t_rang[[#This Row],[Dato]],t_eb[Dato],t_eb[Rank])</f>
        <v>3</v>
      </c>
      <c r="F22">
        <f ca="1">_xlfn.XLOOKUP(t_rang[[#This Row],[Dato]],t_kaf[Dato],t_kaf[Rank])</f>
        <v>8</v>
      </c>
      <c r="G22">
        <f ca="1">_xlfn.XLOOKUP(t_rang[[#This Row],[Dato]],t_øg[Dato],t_øg[Rank])</f>
        <v>1</v>
      </c>
      <c r="H22">
        <f ca="1">_xlfn.XLOOKUP(t_rang[[#This Row],[Dato]],t_jh[Dato],t_jh[Rank])</f>
        <v>3</v>
      </c>
      <c r="I22">
        <f ca="1">_xlfn.XLOOKUP(t_rang[[#This Row],[Dato]],t_toh[Dato],t_toh[Rank])</f>
        <v>2</v>
      </c>
      <c r="J22">
        <f ca="1">_xlfn.XLOOKUP(t_rang[[#This Row],[Dato]],t_utg[Dato],t_utg[Rank])</f>
        <v>3</v>
      </c>
      <c r="K22" s="425">
        <f ca="1">_xlfn.XLOOKUP(t_rang[[#This Row],[Dato]],t_lev[Dato],t_lev[Rank])</f>
        <v>6</v>
      </c>
      <c r="L22" s="425"/>
      <c r="M22" s="425"/>
      <c r="N22" s="425"/>
      <c r="O22" s="404"/>
      <c r="P22" s="427">
        <f ca="1">Data!AL21</f>
        <v>46067</v>
      </c>
      <c r="Q22" s="403">
        <f ca="1">t_ahh[[#This Row],[tp]]</f>
        <v>460</v>
      </c>
      <c r="R22" s="403">
        <f ca="1">t_rb[[#This Row],[tp]]</f>
        <v>420</v>
      </c>
      <c r="S22" s="403">
        <f ca="1">t_eb[[#This Row],[tp]]</f>
        <v>470</v>
      </c>
      <c r="T22" s="403">
        <f ca="1">t_kaf[[#This Row],[tp]]</f>
        <v>430</v>
      </c>
      <c r="U22" s="403">
        <f ca="1">t_øg[[#This Row],[tp]]</f>
        <v>530</v>
      </c>
      <c r="V22" s="403">
        <f ca="1">t_jh[[#This Row],[tp]]</f>
        <v>470</v>
      </c>
      <c r="W22" s="403">
        <f ca="1">t_toh[[#This Row],[tp]]</f>
        <v>500</v>
      </c>
      <c r="X22" s="403">
        <f ca="1">t_utg[[#This Row],[tp]]</f>
        <v>470</v>
      </c>
      <c r="Y22" s="403">
        <f ca="1">t_lev[[#This Row],[tp]]</f>
        <v>460</v>
      </c>
      <c r="AA22" s="673">
        <f ca="1">t_tp[[#This Row],[Dato]]</f>
        <v>46067</v>
      </c>
      <c r="AB22" s="674" t="str" cm="1">
        <f t="array" aca="1" ref="AB22" ca="1">IFERROR(_xlfn._xlws.FILTER($Q$1:$Y$1,t_tp[[#This Row],[ahh]:[lev]]=LARGE(t_tp[[#This Row],[ahh]:[lev]],1)),"")</f>
        <v>øg</v>
      </c>
      <c r="AC22" s="674"/>
      <c r="AD22" s="674"/>
      <c r="AE22" s="674"/>
      <c r="AF22" s="674"/>
      <c r="AG22" s="674"/>
      <c r="AH22" s="674"/>
      <c r="AI22" s="674"/>
      <c r="AJ22" s="675"/>
      <c r="AK22" s="20"/>
      <c r="AL22" s="673">
        <f t="shared" ca="1" si="0"/>
        <v>46067</v>
      </c>
      <c r="AM22" s="674" t="str" cm="1">
        <f t="array" aca="1" ref="AM22" ca="1">IFERROR(_xlfn._xlws.FILTER($Q$1:$Y$1,t_tp[[#This Row],[ahh]:[lev]]=SMALL(t_tp[[#This Row],[ahh]:[lev]],1)),"")</f>
        <v>rb</v>
      </c>
      <c r="AN22" s="674"/>
      <c r="AO22" s="674"/>
      <c r="AP22" s="674"/>
      <c r="AQ22" s="674"/>
      <c r="AR22" s="674"/>
      <c r="AS22" s="674"/>
      <c r="AT22" s="674"/>
      <c r="AU22" s="675"/>
    </row>
    <row r="23" spans="1:47" ht="14.25" thickTop="1" thickBot="1" x14ac:dyDescent="0.25">
      <c r="A23">
        <v>22</v>
      </c>
      <c r="B23" s="22">
        <f ca="1">Data!AL22</f>
        <v>46074</v>
      </c>
      <c r="C23">
        <f ca="1">_xlfn.XLOOKUP(t_rang[[#This Row],[Dato]],t_ahh[Dato],t_ahh[Rank])</f>
        <v>2</v>
      </c>
      <c r="D23">
        <f ca="1">_xlfn.XLOOKUP(t_rang[[#This Row],[Dato]],t_rb[Dato],t_rb[Rank])</f>
        <v>1</v>
      </c>
      <c r="E23">
        <f ca="1">_xlfn.XLOOKUP(t_rang[[#This Row],[Dato]],t_eb[Dato],t_eb[Rank])</f>
        <v>7</v>
      </c>
      <c r="F23">
        <f ca="1">_xlfn.XLOOKUP(t_rang[[#This Row],[Dato]],t_kaf[Dato],t_kaf[Rank])</f>
        <v>4</v>
      </c>
      <c r="G23">
        <f ca="1">_xlfn.XLOOKUP(t_rang[[#This Row],[Dato]],t_øg[Dato],t_øg[Rank])</f>
        <v>4</v>
      </c>
      <c r="H23">
        <f ca="1">_xlfn.XLOOKUP(t_rang[[#This Row],[Dato]],t_jh[Dato],t_jh[Rank])</f>
        <v>8</v>
      </c>
      <c r="I23">
        <f ca="1">_xlfn.XLOOKUP(t_rang[[#This Row],[Dato]],t_toh[Dato],t_toh[Rank])</f>
        <v>9</v>
      </c>
      <c r="J23">
        <f ca="1">_xlfn.XLOOKUP(t_rang[[#This Row],[Dato]],t_utg[Dato],t_utg[Rank])</f>
        <v>6</v>
      </c>
      <c r="K23" s="425">
        <f ca="1">_xlfn.XLOOKUP(t_rang[[#This Row],[Dato]],t_lev[Dato],t_lev[Rank])</f>
        <v>3</v>
      </c>
      <c r="L23" s="425"/>
      <c r="M23" s="425"/>
      <c r="N23" s="425"/>
      <c r="O23" s="404"/>
      <c r="P23" s="427">
        <f ca="1">Data!AL22</f>
        <v>46074</v>
      </c>
      <c r="Q23" s="403">
        <f ca="1">t_ahh[[#This Row],[tp]]</f>
        <v>360</v>
      </c>
      <c r="R23" s="403">
        <f ca="1">t_rb[[#This Row],[tp]]</f>
        <v>400</v>
      </c>
      <c r="S23" s="403">
        <f ca="1">t_eb[[#This Row],[tp]]</f>
        <v>310</v>
      </c>
      <c r="T23" s="403">
        <f ca="1">t_kaf[[#This Row],[tp]]</f>
        <v>330</v>
      </c>
      <c r="U23" s="403">
        <f ca="1">t_øg[[#This Row],[tp]]</f>
        <v>330</v>
      </c>
      <c r="V23" s="403">
        <f ca="1">t_jh[[#This Row],[tp]]</f>
        <v>280</v>
      </c>
      <c r="W23" s="403">
        <f ca="1">t_toh[[#This Row],[tp]]</f>
        <v>260</v>
      </c>
      <c r="X23" s="403">
        <f ca="1">t_utg[[#This Row],[tp]]</f>
        <v>320</v>
      </c>
      <c r="Y23" s="403">
        <f ca="1">t_lev[[#This Row],[tp]]</f>
        <v>340</v>
      </c>
      <c r="AA23" s="676">
        <f ca="1">t_tp[[#This Row],[Dato]]</f>
        <v>46074</v>
      </c>
      <c r="AB23" s="677" t="str" cm="1">
        <f t="array" aca="1" ref="AB23" ca="1">IFERROR(_xlfn._xlws.FILTER($Q$1:$Y$1,t_tp[[#This Row],[ahh]:[lev]]=LARGE(t_tp[[#This Row],[ahh]:[lev]],1)),"")</f>
        <v>rb</v>
      </c>
      <c r="AC23" s="677"/>
      <c r="AD23" s="677"/>
      <c r="AE23" s="677"/>
      <c r="AF23" s="677"/>
      <c r="AG23" s="677"/>
      <c r="AH23" s="677"/>
      <c r="AI23" s="677"/>
      <c r="AJ23" s="678"/>
      <c r="AK23" s="20"/>
      <c r="AL23" s="676">
        <f t="shared" ca="1" si="0"/>
        <v>46074</v>
      </c>
      <c r="AM23" s="677" t="str" cm="1">
        <f t="array" aca="1" ref="AM23" ca="1">IFERROR(_xlfn._xlws.FILTER($Q$1:$Y$1,t_tp[[#This Row],[ahh]:[lev]]=SMALL(t_tp[[#This Row],[ahh]:[lev]],1)),"")</f>
        <v>toh</v>
      </c>
      <c r="AN23" s="677"/>
      <c r="AO23" s="677"/>
      <c r="AP23" s="677"/>
      <c r="AQ23" s="677"/>
      <c r="AR23" s="677"/>
      <c r="AS23" s="677"/>
      <c r="AT23" s="677"/>
      <c r="AU23" s="678"/>
    </row>
    <row r="24" spans="1:47" ht="14.25" thickTop="1" thickBot="1" x14ac:dyDescent="0.25">
      <c r="A24">
        <v>23</v>
      </c>
      <c r="B24" s="22">
        <f ca="1">Data!AL23</f>
        <v>46081</v>
      </c>
      <c r="C24">
        <f ca="1">_xlfn.XLOOKUP(t_rang[[#This Row],[Dato]],t_ahh[Dato],t_ahh[Rank])</f>
        <v>9</v>
      </c>
      <c r="D24">
        <f ca="1">_xlfn.XLOOKUP(t_rang[[#This Row],[Dato]],t_rb[Dato],t_rb[Rank])</f>
        <v>4</v>
      </c>
      <c r="E24">
        <f ca="1">_xlfn.XLOOKUP(t_rang[[#This Row],[Dato]],t_eb[Dato],t_eb[Rank])</f>
        <v>5</v>
      </c>
      <c r="F24">
        <f ca="1">_xlfn.XLOOKUP(t_rang[[#This Row],[Dato]],t_kaf[Dato],t_kaf[Rank])</f>
        <v>6</v>
      </c>
      <c r="G24">
        <f ca="1">_xlfn.XLOOKUP(t_rang[[#This Row],[Dato]],t_øg[Dato],t_øg[Rank])</f>
        <v>1</v>
      </c>
      <c r="H24">
        <f ca="1">_xlfn.XLOOKUP(t_rang[[#This Row],[Dato]],t_jh[Dato],t_jh[Rank])</f>
        <v>2</v>
      </c>
      <c r="I24">
        <f ca="1">_xlfn.XLOOKUP(t_rang[[#This Row],[Dato]],t_toh[Dato],t_toh[Rank])</f>
        <v>7</v>
      </c>
      <c r="J24">
        <f ca="1">_xlfn.XLOOKUP(t_rang[[#This Row],[Dato]],t_utg[Dato],t_utg[Rank])</f>
        <v>3</v>
      </c>
      <c r="K24" s="425">
        <f ca="1">_xlfn.XLOOKUP(t_rang[[#This Row],[Dato]],t_lev[Dato],t_lev[Rank])</f>
        <v>8</v>
      </c>
      <c r="L24" s="425"/>
      <c r="M24" s="425"/>
      <c r="N24" s="425"/>
      <c r="O24" s="404"/>
      <c r="P24" s="427">
        <f ca="1">Data!AL23</f>
        <v>46081</v>
      </c>
      <c r="Q24" s="403">
        <f ca="1">t_ahh[[#This Row],[tp]]</f>
        <v>510</v>
      </c>
      <c r="R24" s="403">
        <f ca="1">t_rb[[#This Row],[tp]]</f>
        <v>610</v>
      </c>
      <c r="S24" s="403">
        <f ca="1">t_eb[[#This Row],[tp]]</f>
        <v>600</v>
      </c>
      <c r="T24" s="403">
        <f ca="1">t_kaf[[#This Row],[tp]]</f>
        <v>580</v>
      </c>
      <c r="U24" s="403">
        <f ca="1">t_øg[[#This Row],[tp]]</f>
        <v>820</v>
      </c>
      <c r="V24" s="403">
        <f ca="1">t_jh[[#This Row],[tp]]</f>
        <v>730</v>
      </c>
      <c r="W24" s="403">
        <f ca="1">t_toh[[#This Row],[tp]]</f>
        <v>570</v>
      </c>
      <c r="X24" s="403">
        <f ca="1">t_utg[[#This Row],[tp]]</f>
        <v>660</v>
      </c>
      <c r="Y24" s="403">
        <f ca="1">t_lev[[#This Row],[tp]]</f>
        <v>530</v>
      </c>
      <c r="AA24" s="673">
        <f ca="1">t_tp[[#This Row],[Dato]]</f>
        <v>46081</v>
      </c>
      <c r="AB24" s="674" t="str" cm="1">
        <f t="array" aca="1" ref="AB24" ca="1">IFERROR(_xlfn._xlws.FILTER($Q$1:$Y$1,t_tp[[#This Row],[ahh]:[lev]]=LARGE(t_tp[[#This Row],[ahh]:[lev]],1)),"")</f>
        <v>øg</v>
      </c>
      <c r="AC24" s="674"/>
      <c r="AD24" s="674"/>
      <c r="AE24" s="674"/>
      <c r="AF24" s="674"/>
      <c r="AG24" s="674"/>
      <c r="AH24" s="674"/>
      <c r="AI24" s="674"/>
      <c r="AJ24" s="675"/>
      <c r="AK24" s="20"/>
      <c r="AL24" s="673">
        <f t="shared" ca="1" si="0"/>
        <v>46081</v>
      </c>
      <c r="AM24" s="674" t="str" cm="1">
        <f t="array" aca="1" ref="AM24" ca="1">IFERROR(_xlfn._xlws.FILTER($Q$1:$Y$1,t_tp[[#This Row],[ahh]:[lev]]=SMALL(t_tp[[#This Row],[ahh]:[lev]],1)),"")</f>
        <v>ahh</v>
      </c>
      <c r="AN24" s="674"/>
      <c r="AO24" s="674"/>
      <c r="AP24" s="674"/>
      <c r="AQ24" s="674"/>
      <c r="AR24" s="674"/>
      <c r="AS24" s="674"/>
      <c r="AT24" s="674"/>
      <c r="AU24" s="675"/>
    </row>
    <row r="25" spans="1:47" ht="14.25" thickTop="1" thickBot="1" x14ac:dyDescent="0.25">
      <c r="A25">
        <v>24</v>
      </c>
      <c r="B25" s="22">
        <f ca="1">Data!AL24</f>
        <v>46088</v>
      </c>
      <c r="C25">
        <f ca="1">_xlfn.XLOOKUP(t_rang[[#This Row],[Dato]],t_ahh[Dato],t_ahh[Rank])</f>
        <v>3</v>
      </c>
      <c r="D25">
        <f ca="1">_xlfn.XLOOKUP(t_rang[[#This Row],[Dato]],t_rb[Dato],t_rb[Rank])</f>
        <v>1</v>
      </c>
      <c r="E25">
        <f ca="1">_xlfn.XLOOKUP(t_rang[[#This Row],[Dato]],t_eb[Dato],t_eb[Rank])</f>
        <v>9</v>
      </c>
      <c r="F25">
        <f ca="1">_xlfn.XLOOKUP(t_rang[[#This Row],[Dato]],t_kaf[Dato],t_kaf[Rank])</f>
        <v>5</v>
      </c>
      <c r="G25">
        <f ca="1">_xlfn.XLOOKUP(t_rang[[#This Row],[Dato]],t_øg[Dato],t_øg[Rank])</f>
        <v>5</v>
      </c>
      <c r="H25">
        <f ca="1">_xlfn.XLOOKUP(t_rang[[#This Row],[Dato]],t_jh[Dato],t_jh[Rank])</f>
        <v>8</v>
      </c>
      <c r="I25">
        <f ca="1">_xlfn.XLOOKUP(t_rang[[#This Row],[Dato]],t_toh[Dato],t_toh[Rank])</f>
        <v>2</v>
      </c>
      <c r="J25">
        <f ca="1">_xlfn.XLOOKUP(t_rang[[#This Row],[Dato]],t_utg[Dato],t_utg[Rank])</f>
        <v>4</v>
      </c>
      <c r="K25" s="425">
        <f ca="1">_xlfn.XLOOKUP(t_rang[[#This Row],[Dato]],t_lev[Dato],t_lev[Rank])</f>
        <v>7</v>
      </c>
      <c r="L25" s="425"/>
      <c r="M25" s="425"/>
      <c r="N25" s="425"/>
      <c r="O25" s="404"/>
      <c r="P25" s="427">
        <f ca="1">Data!AL24</f>
        <v>46088</v>
      </c>
      <c r="Q25" s="403">
        <f ca="1">t_ahh[[#This Row],[tp]]</f>
        <v>490</v>
      </c>
      <c r="R25" s="403">
        <f ca="1">t_rb[[#This Row],[tp]]</f>
        <v>610</v>
      </c>
      <c r="S25" s="403">
        <f ca="1">t_eb[[#This Row],[tp]]</f>
        <v>420</v>
      </c>
      <c r="T25" s="403">
        <f ca="1">t_kaf[[#This Row],[tp]]</f>
        <v>470</v>
      </c>
      <c r="U25" s="403">
        <f ca="1">t_øg[[#This Row],[tp]]</f>
        <v>470</v>
      </c>
      <c r="V25" s="403">
        <f ca="1">t_jh[[#This Row],[tp]]</f>
        <v>440</v>
      </c>
      <c r="W25" s="403">
        <f ca="1">t_toh[[#This Row],[tp]]</f>
        <v>520</v>
      </c>
      <c r="X25" s="403">
        <f ca="1">t_utg[[#This Row],[tp]]</f>
        <v>480</v>
      </c>
      <c r="Y25" s="403">
        <f ca="1">t_lev[[#This Row],[tp]]</f>
        <v>460</v>
      </c>
      <c r="AA25" s="676">
        <f ca="1">t_tp[[#This Row],[Dato]]</f>
        <v>46088</v>
      </c>
      <c r="AB25" s="677" t="str" cm="1">
        <f t="array" aca="1" ref="AB25" ca="1">IFERROR(_xlfn._xlws.FILTER($Q$1:$Y$1,t_tp[[#This Row],[ahh]:[lev]]=LARGE(t_tp[[#This Row],[ahh]:[lev]],1)),"")</f>
        <v>rb</v>
      </c>
      <c r="AC25" s="677"/>
      <c r="AD25" s="677"/>
      <c r="AE25" s="677"/>
      <c r="AF25" s="677"/>
      <c r="AG25" s="677"/>
      <c r="AH25" s="677"/>
      <c r="AI25" s="677"/>
      <c r="AJ25" s="678"/>
      <c r="AK25" s="20"/>
      <c r="AL25" s="676">
        <f t="shared" ca="1" si="0"/>
        <v>46088</v>
      </c>
      <c r="AM25" s="677" t="str" cm="1">
        <f t="array" aca="1" ref="AM25" ca="1">IFERROR(_xlfn._xlws.FILTER($Q$1:$Y$1,t_tp[[#This Row],[ahh]:[lev]]=SMALL(t_tp[[#This Row],[ahh]:[lev]],1)),"")</f>
        <v>eb</v>
      </c>
      <c r="AN25" s="677"/>
      <c r="AO25" s="677"/>
      <c r="AP25" s="677"/>
      <c r="AQ25" s="677"/>
      <c r="AR25" s="677"/>
      <c r="AS25" s="677"/>
      <c r="AT25" s="677"/>
      <c r="AU25" s="678"/>
    </row>
    <row r="26" spans="1:47" ht="14.25" thickTop="1" thickBot="1" x14ac:dyDescent="0.25">
      <c r="A26">
        <v>25</v>
      </c>
      <c r="B26" s="22">
        <f ca="1">Data!AL25</f>
        <v>46095</v>
      </c>
      <c r="C26">
        <f ca="1">_xlfn.XLOOKUP(t_rang[[#This Row],[Dato]],t_ahh[Dato],t_ahh[Rank])</f>
        <v>1</v>
      </c>
      <c r="D26">
        <f ca="1">_xlfn.XLOOKUP(t_rang[[#This Row],[Dato]],t_rb[Dato],t_rb[Rank])</f>
        <v>2</v>
      </c>
      <c r="E26">
        <f ca="1">_xlfn.XLOOKUP(t_rang[[#This Row],[Dato]],t_eb[Dato],t_eb[Rank])</f>
        <v>6</v>
      </c>
      <c r="F26">
        <f ca="1">_xlfn.XLOOKUP(t_rang[[#This Row],[Dato]],t_kaf[Dato],t_kaf[Rank])</f>
        <v>8</v>
      </c>
      <c r="G26">
        <f ca="1">_xlfn.XLOOKUP(t_rang[[#This Row],[Dato]],t_øg[Dato],t_øg[Rank])</f>
        <v>9</v>
      </c>
      <c r="H26">
        <f ca="1">_xlfn.XLOOKUP(t_rang[[#This Row],[Dato]],t_jh[Dato],t_jh[Rank])</f>
        <v>6</v>
      </c>
      <c r="I26">
        <f ca="1">_xlfn.XLOOKUP(t_rang[[#This Row],[Dato]],t_toh[Dato],t_toh[Rank])</f>
        <v>2</v>
      </c>
      <c r="J26">
        <f ca="1">_xlfn.XLOOKUP(t_rang[[#This Row],[Dato]],t_utg[Dato],t_utg[Rank])</f>
        <v>5</v>
      </c>
      <c r="K26" s="425">
        <f ca="1">_xlfn.XLOOKUP(t_rang[[#This Row],[Dato]],t_lev[Dato],t_lev[Rank])</f>
        <v>4</v>
      </c>
      <c r="L26" s="425"/>
      <c r="M26" s="425"/>
      <c r="N26" s="425"/>
      <c r="O26" s="404"/>
      <c r="P26" s="427">
        <f ca="1">Data!AL25</f>
        <v>46095</v>
      </c>
      <c r="Q26" s="403">
        <f ca="1">t_ahh[[#This Row],[tp]]</f>
        <v>480</v>
      </c>
      <c r="R26" s="403">
        <f ca="1">t_rb[[#This Row],[tp]]</f>
        <v>470</v>
      </c>
      <c r="S26" s="403">
        <f ca="1">t_eb[[#This Row],[tp]]</f>
        <v>370</v>
      </c>
      <c r="T26" s="403">
        <f ca="1">t_kaf[[#This Row],[tp]]</f>
        <v>340</v>
      </c>
      <c r="U26" s="403">
        <f ca="1">t_øg[[#This Row],[tp]]</f>
        <v>270</v>
      </c>
      <c r="V26" s="403">
        <f ca="1">t_jh[[#This Row],[tp]]</f>
        <v>370</v>
      </c>
      <c r="W26" s="403">
        <f ca="1">t_toh[[#This Row],[tp]]</f>
        <v>470</v>
      </c>
      <c r="X26" s="403">
        <f ca="1">t_utg[[#This Row],[tp]]</f>
        <v>380</v>
      </c>
      <c r="Y26" s="403">
        <f ca="1">t_lev[[#This Row],[tp]]</f>
        <v>400</v>
      </c>
      <c r="AA26" s="673">
        <f ca="1">t_tp[[#This Row],[Dato]]</f>
        <v>46095</v>
      </c>
      <c r="AB26" s="674" t="str" cm="1">
        <f t="array" aca="1" ref="AB26" ca="1">IFERROR(_xlfn._xlws.FILTER($Q$1:$Y$1,t_tp[[#This Row],[ahh]:[lev]]=LARGE(t_tp[[#This Row],[ahh]:[lev]],1)),"")</f>
        <v>ahh</v>
      </c>
      <c r="AC26" s="674"/>
      <c r="AD26" s="674"/>
      <c r="AE26" s="674"/>
      <c r="AF26" s="674"/>
      <c r="AG26" s="674"/>
      <c r="AH26" s="674"/>
      <c r="AI26" s="674"/>
      <c r="AJ26" s="675"/>
      <c r="AK26" s="20"/>
      <c r="AL26" s="673">
        <f t="shared" ca="1" si="0"/>
        <v>46095</v>
      </c>
      <c r="AM26" s="674" t="str" cm="1">
        <f t="array" aca="1" ref="AM26" ca="1">IFERROR(_xlfn._xlws.FILTER($Q$1:$Y$1,t_tp[[#This Row],[ahh]:[lev]]=SMALL(t_tp[[#This Row],[ahh]:[lev]],1)),"")</f>
        <v>øg</v>
      </c>
      <c r="AN26" s="674"/>
      <c r="AO26" s="674"/>
      <c r="AP26" s="674"/>
      <c r="AQ26" s="674"/>
      <c r="AR26" s="674"/>
      <c r="AS26" s="674"/>
      <c r="AT26" s="674"/>
      <c r="AU26" s="675"/>
    </row>
    <row r="27" spans="1:47" ht="14.25" thickTop="1" thickBot="1" x14ac:dyDescent="0.25">
      <c r="A27">
        <v>26</v>
      </c>
      <c r="B27" s="22">
        <f ca="1">Data!AL26</f>
        <v>46102</v>
      </c>
      <c r="C27">
        <f ca="1">_xlfn.XLOOKUP(t_rang[[#This Row],[Dato]],t_ahh[Dato],t_ahh[Rank])</f>
        <v>7</v>
      </c>
      <c r="D27">
        <f ca="1">_xlfn.XLOOKUP(t_rang[[#This Row],[Dato]],t_rb[Dato],t_rb[Rank])</f>
        <v>5</v>
      </c>
      <c r="E27">
        <f ca="1">_xlfn.XLOOKUP(t_rang[[#This Row],[Dato]],t_eb[Dato],t_eb[Rank])</f>
        <v>8</v>
      </c>
      <c r="F27">
        <f ca="1">_xlfn.XLOOKUP(t_rang[[#This Row],[Dato]],t_kaf[Dato],t_kaf[Rank])</f>
        <v>2</v>
      </c>
      <c r="G27">
        <f ca="1">_xlfn.XLOOKUP(t_rang[[#This Row],[Dato]],t_øg[Dato],t_øg[Rank])</f>
        <v>5</v>
      </c>
      <c r="H27">
        <f ca="1">_xlfn.XLOOKUP(t_rang[[#This Row],[Dato]],t_jh[Dato],t_jh[Rank])</f>
        <v>1</v>
      </c>
      <c r="I27">
        <f ca="1">_xlfn.XLOOKUP(t_rang[[#This Row],[Dato]],t_toh[Dato],t_toh[Rank])</f>
        <v>3</v>
      </c>
      <c r="J27">
        <f ca="1">_xlfn.XLOOKUP(t_rang[[#This Row],[Dato]],t_utg[Dato],t_utg[Rank])</f>
        <v>4</v>
      </c>
      <c r="K27" s="425">
        <f ca="1">_xlfn.XLOOKUP(t_rang[[#This Row],[Dato]],t_lev[Dato],t_lev[Rank])</f>
        <v>9</v>
      </c>
      <c r="L27" s="425"/>
      <c r="M27" s="425"/>
      <c r="N27" s="425"/>
      <c r="O27" s="404"/>
      <c r="P27" s="427">
        <f ca="1">Data!AL26</f>
        <v>46102</v>
      </c>
      <c r="Q27" s="403">
        <f ca="1">t_ahh[[#This Row],[tp]]</f>
        <v>450</v>
      </c>
      <c r="R27" s="403">
        <f ca="1">t_rb[[#This Row],[tp]]</f>
        <v>470</v>
      </c>
      <c r="S27" s="403">
        <f ca="1">t_eb[[#This Row],[tp]]</f>
        <v>380</v>
      </c>
      <c r="T27" s="403">
        <f ca="1">t_kaf[[#This Row],[tp]]</f>
        <v>510</v>
      </c>
      <c r="U27" s="403">
        <f ca="1">t_øg[[#This Row],[tp]]</f>
        <v>470</v>
      </c>
      <c r="V27" s="403">
        <f ca="1">t_jh[[#This Row],[tp]]</f>
        <v>530</v>
      </c>
      <c r="W27" s="403">
        <f ca="1">t_toh[[#This Row],[tp]]</f>
        <v>500</v>
      </c>
      <c r="X27" s="403">
        <f ca="1">t_utg[[#This Row],[tp]]</f>
        <v>480</v>
      </c>
      <c r="Y27" s="403">
        <f ca="1">t_lev[[#This Row],[tp]]</f>
        <v>360</v>
      </c>
      <c r="AA27" s="676">
        <f ca="1">t_tp[[#This Row],[Dato]]</f>
        <v>46102</v>
      </c>
      <c r="AB27" s="677" t="str" cm="1">
        <f t="array" aca="1" ref="AB27" ca="1">IFERROR(_xlfn._xlws.FILTER($Q$1:$Y$1,t_tp[[#This Row],[ahh]:[lev]]=LARGE(t_tp[[#This Row],[ahh]:[lev]],1)),"")</f>
        <v>jh</v>
      </c>
      <c r="AC27" s="677"/>
      <c r="AD27" s="677"/>
      <c r="AE27" s="677"/>
      <c r="AF27" s="677"/>
      <c r="AG27" s="677"/>
      <c r="AH27" s="677"/>
      <c r="AI27" s="677"/>
      <c r="AJ27" s="678"/>
      <c r="AK27" s="20"/>
      <c r="AL27" s="676">
        <f t="shared" ca="1" si="0"/>
        <v>46102</v>
      </c>
      <c r="AM27" s="677" t="str" cm="1">
        <f t="array" aca="1" ref="AM27" ca="1">IFERROR(_xlfn._xlws.FILTER($Q$1:$Y$1,t_tp[[#This Row],[ahh]:[lev]]=SMALL(t_tp[[#This Row],[ahh]:[lev]],1)),"")</f>
        <v>lev</v>
      </c>
      <c r="AN27" s="677"/>
      <c r="AO27" s="677"/>
      <c r="AP27" s="677"/>
      <c r="AQ27" s="677"/>
      <c r="AR27" s="677"/>
      <c r="AS27" s="677"/>
      <c r="AT27" s="677"/>
      <c r="AU27" s="678"/>
    </row>
    <row r="28" spans="1:47" ht="14.25" thickTop="1" thickBot="1" x14ac:dyDescent="0.25">
      <c r="A28">
        <v>27</v>
      </c>
      <c r="B28" s="22">
        <f ca="1">Data!AL27</f>
        <v>46109</v>
      </c>
      <c r="C28">
        <f ca="1">_xlfn.XLOOKUP(t_rang[[#This Row],[Dato]],t_ahh[Dato],t_ahh[Rank])</f>
        <v>3</v>
      </c>
      <c r="D28">
        <f ca="1">_xlfn.XLOOKUP(t_rang[[#This Row],[Dato]],t_rb[Dato],t_rb[Rank])</f>
        <v>2</v>
      </c>
      <c r="E28">
        <f ca="1">_xlfn.XLOOKUP(t_rang[[#This Row],[Dato]],t_eb[Dato],t_eb[Rank])</f>
        <v>5</v>
      </c>
      <c r="F28">
        <f ca="1">_xlfn.XLOOKUP(t_rang[[#This Row],[Dato]],t_kaf[Dato],t_kaf[Rank])</f>
        <v>8</v>
      </c>
      <c r="G28">
        <f ca="1">_xlfn.XLOOKUP(t_rang[[#This Row],[Dato]],t_øg[Dato],t_øg[Rank])</f>
        <v>7</v>
      </c>
      <c r="H28">
        <f ca="1">_xlfn.XLOOKUP(t_rang[[#This Row],[Dato]],t_jh[Dato],t_jh[Rank])</f>
        <v>9</v>
      </c>
      <c r="I28">
        <f ca="1">_xlfn.XLOOKUP(t_rang[[#This Row],[Dato]],t_toh[Dato],t_toh[Rank])</f>
        <v>1</v>
      </c>
      <c r="J28">
        <f ca="1">_xlfn.XLOOKUP(t_rang[[#This Row],[Dato]],t_utg[Dato],t_utg[Rank])</f>
        <v>5</v>
      </c>
      <c r="K28" s="425">
        <f ca="1">_xlfn.XLOOKUP(t_rang[[#This Row],[Dato]],t_lev[Dato],t_lev[Rank])</f>
        <v>4</v>
      </c>
      <c r="L28" s="425"/>
      <c r="M28" s="425"/>
      <c r="N28" s="425"/>
      <c r="O28" s="404"/>
      <c r="P28" s="427">
        <f ca="1">Data!AL27</f>
        <v>46109</v>
      </c>
      <c r="Q28" s="403">
        <f ca="1">t_ahh[[#This Row],[tp]]</f>
        <v>500</v>
      </c>
      <c r="R28" s="403">
        <f ca="1">t_rb[[#This Row],[tp]]</f>
        <v>510</v>
      </c>
      <c r="S28" s="403">
        <f ca="1">t_eb[[#This Row],[tp]]</f>
        <v>480</v>
      </c>
      <c r="T28" s="403">
        <f ca="1">t_kaf[[#This Row],[tp]]</f>
        <v>440</v>
      </c>
      <c r="U28" s="403">
        <f ca="1">t_øg[[#This Row],[tp]]</f>
        <v>470</v>
      </c>
      <c r="V28" s="403">
        <f ca="1">t_jh[[#This Row],[tp]]</f>
        <v>320</v>
      </c>
      <c r="W28" s="403">
        <f ca="1">t_toh[[#This Row],[tp]]</f>
        <v>520</v>
      </c>
      <c r="X28" s="403">
        <f ca="1">t_utg[[#This Row],[tp]]</f>
        <v>480</v>
      </c>
      <c r="Y28" s="403">
        <f ca="1">t_lev[[#This Row],[tp]]</f>
        <v>490</v>
      </c>
      <c r="AA28" s="673">
        <f ca="1">t_tp[[#This Row],[Dato]]</f>
        <v>46109</v>
      </c>
      <c r="AB28" s="674" t="str" cm="1">
        <f t="array" aca="1" ref="AB28" ca="1">IFERROR(_xlfn._xlws.FILTER($Q$1:$Y$1,t_tp[[#This Row],[ahh]:[lev]]=LARGE(t_tp[[#This Row],[ahh]:[lev]],1)),"")</f>
        <v>toh</v>
      </c>
      <c r="AC28" s="674"/>
      <c r="AD28" s="674"/>
      <c r="AE28" s="674"/>
      <c r="AF28" s="674"/>
      <c r="AG28" s="674"/>
      <c r="AH28" s="674"/>
      <c r="AI28" s="674"/>
      <c r="AJ28" s="675"/>
      <c r="AK28" s="20"/>
      <c r="AL28" s="673">
        <f t="shared" ca="1" si="0"/>
        <v>46109</v>
      </c>
      <c r="AM28" s="674" t="str" cm="1">
        <f t="array" aca="1" ref="AM28" ca="1">IFERROR(_xlfn._xlws.FILTER($Q$1:$Y$1,t_tp[[#This Row],[ahh]:[lev]]=SMALL(t_tp[[#This Row],[ahh]:[lev]],1)),"")</f>
        <v>jh</v>
      </c>
      <c r="AN28" s="674"/>
      <c r="AO28" s="674"/>
      <c r="AP28" s="674"/>
      <c r="AQ28" s="674"/>
      <c r="AR28" s="674"/>
      <c r="AS28" s="674"/>
      <c r="AT28" s="674"/>
      <c r="AU28" s="675"/>
    </row>
    <row r="29" spans="1:47" ht="14.25" thickTop="1" thickBot="1" x14ac:dyDescent="0.25">
      <c r="A29">
        <v>28</v>
      </c>
      <c r="B29" s="22">
        <f ca="1">Data!AL28</f>
        <v>46123</v>
      </c>
      <c r="C29">
        <f ca="1">_xlfn.XLOOKUP(t_rang[[#This Row],[Dato]],t_ahh[Dato],t_ahh[Rank])</f>
        <v>8</v>
      </c>
      <c r="D29">
        <f ca="1">_xlfn.XLOOKUP(t_rang[[#This Row],[Dato]],t_rb[Dato],t_rb[Rank])</f>
        <v>1</v>
      </c>
      <c r="E29">
        <f ca="1">_xlfn.XLOOKUP(t_rang[[#This Row],[Dato]],t_eb[Dato],t_eb[Rank])</f>
        <v>8</v>
      </c>
      <c r="F29">
        <f ca="1">_xlfn.XLOOKUP(t_rang[[#This Row],[Dato]],t_kaf[Dato],t_kaf[Rank])</f>
        <v>5</v>
      </c>
      <c r="G29">
        <f ca="1">_xlfn.XLOOKUP(t_rang[[#This Row],[Dato]],t_øg[Dato],t_øg[Rank])</f>
        <v>1</v>
      </c>
      <c r="H29">
        <f ca="1">_xlfn.XLOOKUP(t_rang[[#This Row],[Dato]],t_jh[Dato],t_jh[Rank])</f>
        <v>6</v>
      </c>
      <c r="I29">
        <f ca="1">_xlfn.XLOOKUP(t_rang[[#This Row],[Dato]],t_toh[Dato],t_toh[Rank])</f>
        <v>3</v>
      </c>
      <c r="J29">
        <f ca="1">_xlfn.XLOOKUP(t_rang[[#This Row],[Dato]],t_utg[Dato],t_utg[Rank])</f>
        <v>3</v>
      </c>
      <c r="K29" s="425">
        <f ca="1">_xlfn.XLOOKUP(t_rang[[#This Row],[Dato]],t_lev[Dato],t_lev[Rank])</f>
        <v>6</v>
      </c>
      <c r="L29" s="425"/>
      <c r="M29" s="425"/>
      <c r="N29" s="425"/>
      <c r="O29" s="404"/>
      <c r="P29" s="427">
        <f ca="1">Data!AL28</f>
        <v>46123</v>
      </c>
      <c r="Q29" s="403">
        <f ca="1">t_ahh[[#This Row],[tp]]</f>
        <v>450</v>
      </c>
      <c r="R29" s="403">
        <f ca="1">t_rb[[#This Row],[tp]]</f>
        <v>580</v>
      </c>
      <c r="S29" s="403">
        <f ca="1">t_eb[[#This Row],[tp]]</f>
        <v>450</v>
      </c>
      <c r="T29" s="403">
        <f ca="1">t_kaf[[#This Row],[tp]]</f>
        <v>490</v>
      </c>
      <c r="U29" s="403">
        <f ca="1">t_øg[[#This Row],[tp]]</f>
        <v>580</v>
      </c>
      <c r="V29" s="403">
        <f ca="1">t_jh[[#This Row],[tp]]</f>
        <v>460</v>
      </c>
      <c r="W29" s="403">
        <f ca="1">t_toh[[#This Row],[tp]]</f>
        <v>530</v>
      </c>
      <c r="X29" s="403">
        <f ca="1">t_utg[[#This Row],[tp]]</f>
        <v>530</v>
      </c>
      <c r="Y29" s="403">
        <f ca="1">t_lev[[#This Row],[tp]]</f>
        <v>460</v>
      </c>
      <c r="AA29" s="676">
        <f ca="1">t_tp[[#This Row],[Dato]]</f>
        <v>46123</v>
      </c>
      <c r="AB29" s="677" t="str" cm="1">
        <f t="array" aca="1" ref="AB29:AC29" ca="1">IFERROR(_xlfn._xlws.FILTER($Q$1:$Y$1,t_tp[[#This Row],[ahh]:[lev]]=LARGE(t_tp[[#This Row],[ahh]:[lev]],1)),"")</f>
        <v>rb</v>
      </c>
      <c r="AC29" s="677" t="str">
        <f ca="1"/>
        <v>øg</v>
      </c>
      <c r="AD29" s="677"/>
      <c r="AE29" s="677"/>
      <c r="AF29" s="677"/>
      <c r="AG29" s="677"/>
      <c r="AH29" s="677"/>
      <c r="AI29" s="677"/>
      <c r="AJ29" s="678"/>
      <c r="AK29" s="20"/>
      <c r="AL29" s="676">
        <f t="shared" ca="1" si="0"/>
        <v>46123</v>
      </c>
      <c r="AM29" s="677" t="str" cm="1">
        <f t="array" aca="1" ref="AM29:AN29" ca="1">IFERROR(_xlfn._xlws.FILTER($Q$1:$Y$1,t_tp[[#This Row],[ahh]:[lev]]=SMALL(t_tp[[#This Row],[ahh]:[lev]],1)),"")</f>
        <v>ahh</v>
      </c>
      <c r="AN29" s="677" t="str">
        <f ca="1"/>
        <v>eb</v>
      </c>
      <c r="AO29" s="677"/>
      <c r="AP29" s="677"/>
      <c r="AQ29" s="677"/>
      <c r="AR29" s="677"/>
      <c r="AS29" s="677"/>
      <c r="AT29" s="677"/>
      <c r="AU29" s="678"/>
    </row>
    <row r="30" spans="1:47" ht="14.25" thickTop="1" thickBot="1" x14ac:dyDescent="0.25">
      <c r="A30">
        <v>29</v>
      </c>
      <c r="B30" s="22">
        <f ca="1">Data!AL29</f>
        <v>46130</v>
      </c>
      <c r="C30">
        <f ca="1">_xlfn.XLOOKUP(t_rang[[#This Row],[Dato]],t_ahh[Dato],t_ahh[Rank])</f>
        <v>9</v>
      </c>
      <c r="D30">
        <f ca="1">_xlfn.XLOOKUP(t_rang[[#This Row],[Dato]],t_rb[Dato],t_rb[Rank])</f>
        <v>7</v>
      </c>
      <c r="E30">
        <f ca="1">_xlfn.XLOOKUP(t_rang[[#This Row],[Dato]],t_eb[Dato],t_eb[Rank])</f>
        <v>4</v>
      </c>
      <c r="F30">
        <f ca="1">_xlfn.XLOOKUP(t_rang[[#This Row],[Dato]],t_kaf[Dato],t_kaf[Rank])</f>
        <v>1</v>
      </c>
      <c r="G30">
        <f ca="1">_xlfn.XLOOKUP(t_rang[[#This Row],[Dato]],t_øg[Dato],t_øg[Rank])</f>
        <v>7</v>
      </c>
      <c r="H30">
        <f ca="1">_xlfn.XLOOKUP(t_rang[[#This Row],[Dato]],t_jh[Dato],t_jh[Rank])</f>
        <v>2</v>
      </c>
      <c r="I30">
        <f ca="1">_xlfn.XLOOKUP(t_rang[[#This Row],[Dato]],t_toh[Dato],t_toh[Rank])</f>
        <v>3</v>
      </c>
      <c r="J30">
        <f ca="1">_xlfn.XLOOKUP(t_rang[[#This Row],[Dato]],t_utg[Dato],t_utg[Rank])</f>
        <v>4</v>
      </c>
      <c r="K30" s="425">
        <f ca="1">_xlfn.XLOOKUP(t_rang[[#This Row],[Dato]],t_lev[Dato],t_lev[Rank])</f>
        <v>6</v>
      </c>
      <c r="L30" s="425"/>
      <c r="M30" s="425"/>
      <c r="N30" s="425"/>
      <c r="O30" s="404"/>
      <c r="P30" s="427">
        <f ca="1">Data!AL29</f>
        <v>46130</v>
      </c>
      <c r="Q30" s="403">
        <f ca="1">t_ahh[[#This Row],[tp]]</f>
        <v>340</v>
      </c>
      <c r="R30" s="403">
        <f ca="1">t_rb[[#This Row],[tp]]</f>
        <v>400</v>
      </c>
      <c r="S30" s="403">
        <f ca="1">t_eb[[#This Row],[tp]]</f>
        <v>420</v>
      </c>
      <c r="T30" s="403">
        <f ca="1">t_kaf[[#This Row],[tp]]</f>
        <v>550</v>
      </c>
      <c r="U30" s="403">
        <f ca="1">t_øg[[#This Row],[tp]]</f>
        <v>400</v>
      </c>
      <c r="V30" s="403">
        <f ca="1">t_jh[[#This Row],[tp]]</f>
        <v>490</v>
      </c>
      <c r="W30" s="403">
        <f ca="1">t_toh[[#This Row],[tp]]</f>
        <v>450</v>
      </c>
      <c r="X30" s="403">
        <f ca="1">t_utg[[#This Row],[tp]]</f>
        <v>420</v>
      </c>
      <c r="Y30" s="403">
        <f ca="1">t_lev[[#This Row],[tp]]</f>
        <v>410</v>
      </c>
      <c r="AA30" s="673">
        <f ca="1">t_tp[[#This Row],[Dato]]</f>
        <v>46130</v>
      </c>
      <c r="AB30" s="674" t="str" cm="1">
        <f t="array" aca="1" ref="AB30" ca="1">IFERROR(_xlfn._xlws.FILTER($Q$1:$Y$1,t_tp[[#This Row],[ahh]:[lev]]=LARGE(t_tp[[#This Row],[ahh]:[lev]],1)),"")</f>
        <v>kaf</v>
      </c>
      <c r="AC30" s="674"/>
      <c r="AD30" s="674"/>
      <c r="AE30" s="674"/>
      <c r="AF30" s="674"/>
      <c r="AG30" s="674"/>
      <c r="AH30" s="674"/>
      <c r="AI30" s="674"/>
      <c r="AJ30" s="675"/>
      <c r="AK30" s="20"/>
      <c r="AL30" s="673">
        <f t="shared" ca="1" si="0"/>
        <v>46130</v>
      </c>
      <c r="AM30" s="674" t="str" cm="1">
        <f t="array" aca="1" ref="AM30" ca="1">IFERROR(_xlfn._xlws.FILTER($Q$1:$Y$1,t_tp[[#This Row],[ahh]:[lev]]=SMALL(t_tp[[#This Row],[ahh]:[lev]],1)),"")</f>
        <v>ahh</v>
      </c>
      <c r="AN30" s="674"/>
      <c r="AO30" s="674"/>
      <c r="AP30" s="674"/>
      <c r="AQ30" s="674"/>
      <c r="AR30" s="674"/>
      <c r="AS30" s="674"/>
      <c r="AT30" s="674"/>
      <c r="AU30" s="675"/>
    </row>
    <row r="31" spans="1:47" ht="14.25" thickTop="1" thickBot="1" x14ac:dyDescent="0.25">
      <c r="A31">
        <v>30</v>
      </c>
      <c r="B31" s="22">
        <f ca="1">Data!AL30</f>
        <v>46137</v>
      </c>
      <c r="C31">
        <f ca="1">_xlfn.XLOOKUP(t_rang[[#This Row],[Dato]],t_ahh[Dato],t_ahh[Rank])</f>
        <v>7</v>
      </c>
      <c r="D31">
        <f ca="1">_xlfn.XLOOKUP(t_rang[[#This Row],[Dato]],t_rb[Dato],t_rb[Rank])</f>
        <v>6</v>
      </c>
      <c r="E31">
        <f ca="1">_xlfn.XLOOKUP(t_rang[[#This Row],[Dato]],t_eb[Dato],t_eb[Rank])</f>
        <v>7</v>
      </c>
      <c r="F31">
        <f ca="1">_xlfn.XLOOKUP(t_rang[[#This Row],[Dato]],t_kaf[Dato],t_kaf[Rank])</f>
        <v>3</v>
      </c>
      <c r="G31">
        <f ca="1">_xlfn.XLOOKUP(t_rang[[#This Row],[Dato]],t_øg[Dato],t_øg[Rank])</f>
        <v>1</v>
      </c>
      <c r="H31">
        <f ca="1">_xlfn.XLOOKUP(t_rang[[#This Row],[Dato]],t_jh[Dato],t_jh[Rank])</f>
        <v>1</v>
      </c>
      <c r="I31">
        <f ca="1">_xlfn.XLOOKUP(t_rang[[#This Row],[Dato]],t_toh[Dato],t_toh[Rank])</f>
        <v>9</v>
      </c>
      <c r="J31">
        <f ca="1">_xlfn.XLOOKUP(t_rang[[#This Row],[Dato]],t_utg[Dato],t_utg[Rank])</f>
        <v>5</v>
      </c>
      <c r="K31" s="425">
        <f ca="1">_xlfn.XLOOKUP(t_rang[[#This Row],[Dato]],t_lev[Dato],t_lev[Rank])</f>
        <v>3</v>
      </c>
      <c r="L31" s="425"/>
      <c r="M31" s="425"/>
      <c r="N31" s="425"/>
      <c r="O31" s="404"/>
      <c r="P31" s="427">
        <f ca="1">Data!AL30</f>
        <v>46137</v>
      </c>
      <c r="Q31" s="403">
        <f ca="1">t_ahh[[#This Row],[tp]]</f>
        <v>540</v>
      </c>
      <c r="R31" s="403">
        <f ca="1">t_rb[[#This Row],[tp]]</f>
        <v>570</v>
      </c>
      <c r="S31" s="403">
        <f ca="1">t_eb[[#This Row],[tp]]</f>
        <v>540</v>
      </c>
      <c r="T31" s="403">
        <f ca="1">t_kaf[[#This Row],[tp]]</f>
        <v>600</v>
      </c>
      <c r="U31" s="403">
        <f ca="1">t_øg[[#This Row],[tp]]</f>
        <v>610</v>
      </c>
      <c r="V31" s="403">
        <f ca="1">t_jh[[#This Row],[tp]]</f>
        <v>610</v>
      </c>
      <c r="W31" s="403">
        <f ca="1">t_toh[[#This Row],[tp]]</f>
        <v>-50</v>
      </c>
      <c r="X31" s="403">
        <f ca="1">t_utg[[#This Row],[tp]]</f>
        <v>580</v>
      </c>
      <c r="Y31" s="403">
        <f ca="1">t_lev[[#This Row],[tp]]</f>
        <v>600</v>
      </c>
      <c r="AA31" s="676">
        <f ca="1">t_tp[[#This Row],[Dato]]</f>
        <v>46137</v>
      </c>
      <c r="AB31" s="677" t="str" cm="1">
        <f t="array" aca="1" ref="AB31:AC31" ca="1">IFERROR(_xlfn._xlws.FILTER($Q$1:$Y$1,t_tp[[#This Row],[ahh]:[lev]]=LARGE(t_tp[[#This Row],[ahh]:[lev]],1)),"")</f>
        <v>øg</v>
      </c>
      <c r="AC31" s="677" t="str">
        <f ca="1"/>
        <v>jh</v>
      </c>
      <c r="AD31" s="677"/>
      <c r="AE31" s="677"/>
      <c r="AF31" s="677"/>
      <c r="AG31" s="677"/>
      <c r="AH31" s="677"/>
      <c r="AI31" s="677"/>
      <c r="AJ31" s="678"/>
      <c r="AK31" s="20"/>
      <c r="AL31" s="676">
        <f t="shared" ca="1" si="0"/>
        <v>46137</v>
      </c>
      <c r="AM31" s="677" t="str" cm="1">
        <f t="array" aca="1" ref="AM31" ca="1">IFERROR(_xlfn._xlws.FILTER($Q$1:$Y$1,t_tp[[#This Row],[ahh]:[lev]]=SMALL(t_tp[[#This Row],[ahh]:[lev]],1)),"")</f>
        <v>toh</v>
      </c>
      <c r="AN31" s="677"/>
      <c r="AO31" s="677"/>
      <c r="AP31" s="677"/>
      <c r="AQ31" s="677"/>
      <c r="AR31" s="677"/>
      <c r="AS31" s="677"/>
      <c r="AT31" s="677"/>
      <c r="AU31" s="678"/>
    </row>
    <row r="32" spans="1:47" ht="14.25" thickTop="1" thickBot="1" x14ac:dyDescent="0.25">
      <c r="A32">
        <v>31</v>
      </c>
      <c r="B32" s="22">
        <f ca="1">Data!AL31</f>
        <v>46144</v>
      </c>
      <c r="C32">
        <f ca="1">_xlfn.XLOOKUP(t_rang[[#This Row],[Dato]],t_ahh[Dato],t_ahh[Rank])</f>
        <v>6</v>
      </c>
      <c r="D32">
        <f ca="1">_xlfn.XLOOKUP(t_rang[[#This Row],[Dato]],t_rb[Dato],t_rb[Rank])</f>
        <v>1</v>
      </c>
      <c r="E32">
        <f ca="1">_xlfn.XLOOKUP(t_rang[[#This Row],[Dato]],t_eb[Dato],t_eb[Rank])</f>
        <v>7</v>
      </c>
      <c r="F32">
        <f ca="1">_xlfn.XLOOKUP(t_rang[[#This Row],[Dato]],t_kaf[Dato],t_kaf[Rank])</f>
        <v>2</v>
      </c>
      <c r="G32">
        <f ca="1">_xlfn.XLOOKUP(t_rang[[#This Row],[Dato]],t_øg[Dato],t_øg[Rank])</f>
        <v>8</v>
      </c>
      <c r="H32">
        <f ca="1">_xlfn.XLOOKUP(t_rang[[#This Row],[Dato]],t_jh[Dato],t_jh[Rank])</f>
        <v>3</v>
      </c>
      <c r="I32">
        <f ca="1">_xlfn.XLOOKUP(t_rang[[#This Row],[Dato]],t_toh[Dato],t_toh[Rank])</f>
        <v>9</v>
      </c>
      <c r="J32">
        <f ca="1">_xlfn.XLOOKUP(t_rang[[#This Row],[Dato]],t_utg[Dato],t_utg[Rank])</f>
        <v>4</v>
      </c>
      <c r="K32" s="425">
        <f ca="1">_xlfn.XLOOKUP(t_rang[[#This Row],[Dato]],t_lev[Dato],t_lev[Rank])</f>
        <v>5</v>
      </c>
      <c r="L32" s="425"/>
      <c r="M32" s="425"/>
      <c r="N32" s="425"/>
      <c r="O32" s="404"/>
      <c r="P32" s="427">
        <f ca="1">Data!AL31</f>
        <v>46144</v>
      </c>
      <c r="Q32" s="403">
        <f ca="1">t_ahh[[#This Row],[tp]]</f>
        <v>460</v>
      </c>
      <c r="R32" s="403">
        <f ca="1">t_rb[[#This Row],[tp]]</f>
        <v>610</v>
      </c>
      <c r="S32" s="403">
        <f ca="1">t_eb[[#This Row],[tp]]</f>
        <v>430</v>
      </c>
      <c r="T32" s="403">
        <f ca="1">t_kaf[[#This Row],[tp]]</f>
        <v>550</v>
      </c>
      <c r="U32" s="403">
        <f ca="1">t_øg[[#This Row],[tp]]</f>
        <v>420</v>
      </c>
      <c r="V32" s="403">
        <f ca="1">t_jh[[#This Row],[tp]]</f>
        <v>510</v>
      </c>
      <c r="W32" s="403">
        <f ca="1">t_toh[[#This Row],[tp]]</f>
        <v>330</v>
      </c>
      <c r="X32" s="403">
        <f ca="1">t_utg[[#This Row],[tp]]</f>
        <v>490</v>
      </c>
      <c r="Y32" s="403">
        <f ca="1">t_lev[[#This Row],[tp]]</f>
        <v>480</v>
      </c>
      <c r="AA32" s="673">
        <f ca="1">t_tp[[#This Row],[Dato]]</f>
        <v>46144</v>
      </c>
      <c r="AB32" s="674" t="str" cm="1">
        <f t="array" aca="1" ref="AB32" ca="1">IFERROR(_xlfn._xlws.FILTER($Q$1:$Y$1,t_tp[[#This Row],[ahh]:[lev]]=LARGE(t_tp[[#This Row],[ahh]:[lev]],1)),"")</f>
        <v>rb</v>
      </c>
      <c r="AC32" s="674"/>
      <c r="AD32" s="674"/>
      <c r="AE32" s="674"/>
      <c r="AF32" s="674"/>
      <c r="AG32" s="674"/>
      <c r="AH32" s="674"/>
      <c r="AI32" s="674"/>
      <c r="AJ32" s="675"/>
      <c r="AK32" s="20"/>
      <c r="AL32" s="673">
        <f t="shared" ca="1" si="0"/>
        <v>46144</v>
      </c>
      <c r="AM32" s="674" t="str" cm="1">
        <f t="array" aca="1" ref="AM32" ca="1">IFERROR(_xlfn._xlws.FILTER($Q$1:$Y$1,t_tp[[#This Row],[ahh]:[lev]]=SMALL(t_tp[[#This Row],[ahh]:[lev]],1)),"")</f>
        <v>toh</v>
      </c>
      <c r="AN32" s="674"/>
      <c r="AO32" s="674"/>
      <c r="AP32" s="674"/>
      <c r="AQ32" s="674"/>
      <c r="AR32" s="674"/>
      <c r="AS32" s="674"/>
      <c r="AT32" s="674"/>
      <c r="AU32" s="675"/>
    </row>
    <row r="33" spans="1:47" ht="14.25" thickTop="1" thickBot="1" x14ac:dyDescent="0.25">
      <c r="A33">
        <v>32</v>
      </c>
      <c r="B33" s="22">
        <f ca="1">Data!AL32</f>
        <v>46151</v>
      </c>
      <c r="C33">
        <f ca="1">_xlfn.XLOOKUP(t_rang[[#This Row],[Dato]],t_ahh[Dato],t_ahh[Rank])</f>
        <v>3</v>
      </c>
      <c r="D33">
        <f ca="1">_xlfn.XLOOKUP(t_rang[[#This Row],[Dato]],t_rb[Dato],t_rb[Rank])</f>
        <v>2</v>
      </c>
      <c r="E33">
        <f ca="1">_xlfn.XLOOKUP(t_rang[[#This Row],[Dato]],t_eb[Dato],t_eb[Rank])</f>
        <v>5</v>
      </c>
      <c r="F33">
        <f ca="1">_xlfn.XLOOKUP(t_rang[[#This Row],[Dato]],t_kaf[Dato],t_kaf[Rank])</f>
        <v>5</v>
      </c>
      <c r="G33">
        <f ca="1">_xlfn.XLOOKUP(t_rang[[#This Row],[Dato]],t_øg[Dato],t_øg[Rank])</f>
        <v>9</v>
      </c>
      <c r="H33">
        <f ca="1">_xlfn.XLOOKUP(t_rang[[#This Row],[Dato]],t_jh[Dato],t_jh[Rank])</f>
        <v>1</v>
      </c>
      <c r="I33">
        <f ca="1">_xlfn.XLOOKUP(t_rang[[#This Row],[Dato]],t_toh[Dato],t_toh[Rank])</f>
        <v>3</v>
      </c>
      <c r="J33">
        <f ca="1">_xlfn.XLOOKUP(t_rang[[#This Row],[Dato]],t_utg[Dato],t_utg[Rank])</f>
        <v>5</v>
      </c>
      <c r="K33" s="425">
        <f ca="1">_xlfn.XLOOKUP(t_rang[[#This Row],[Dato]],t_lev[Dato],t_lev[Rank])</f>
        <v>8</v>
      </c>
      <c r="L33" s="425"/>
      <c r="M33" s="425"/>
      <c r="N33" s="425"/>
      <c r="O33" s="404"/>
      <c r="P33" s="427">
        <f ca="1">Data!AL32</f>
        <v>46151</v>
      </c>
      <c r="Q33" s="403">
        <f ca="1">t_ahh[[#This Row],[tp]]</f>
        <v>570</v>
      </c>
      <c r="R33" s="403">
        <f ca="1">t_rb[[#This Row],[tp]]</f>
        <v>600</v>
      </c>
      <c r="S33" s="403">
        <f ca="1">t_eb[[#This Row],[tp]]</f>
        <v>560</v>
      </c>
      <c r="T33" s="403">
        <f ca="1">t_kaf[[#This Row],[tp]]</f>
        <v>560</v>
      </c>
      <c r="U33" s="403">
        <f ca="1">t_øg[[#This Row],[tp]]</f>
        <v>470</v>
      </c>
      <c r="V33" s="403">
        <f ca="1">t_jh[[#This Row],[tp]]</f>
        <v>640</v>
      </c>
      <c r="W33" s="403">
        <f ca="1">t_toh[[#This Row],[tp]]</f>
        <v>570</v>
      </c>
      <c r="X33" s="403">
        <f ca="1">t_utg[[#This Row],[tp]]</f>
        <v>560</v>
      </c>
      <c r="Y33" s="403">
        <f ca="1">t_lev[[#This Row],[tp]]</f>
        <v>530</v>
      </c>
      <c r="AA33" s="676">
        <f ca="1">t_tp[[#This Row],[Dato]]</f>
        <v>46151</v>
      </c>
      <c r="AB33" s="677" t="str" cm="1">
        <f t="array" aca="1" ref="AB33" ca="1">IFERROR(_xlfn._xlws.FILTER($Q$1:$Y$1,t_tp[[#This Row],[ahh]:[lev]]=LARGE(t_tp[[#This Row],[ahh]:[lev]],1)),"")</f>
        <v>jh</v>
      </c>
      <c r="AC33" s="677"/>
      <c r="AD33" s="677"/>
      <c r="AE33" s="677"/>
      <c r="AF33" s="677"/>
      <c r="AG33" s="677"/>
      <c r="AH33" s="677"/>
      <c r="AI33" s="677"/>
      <c r="AJ33" s="678"/>
      <c r="AK33" s="20"/>
      <c r="AL33" s="676">
        <f t="shared" ca="1" si="0"/>
        <v>46151</v>
      </c>
      <c r="AM33" s="677" t="str" cm="1">
        <f t="array" aca="1" ref="AM33" ca="1">IFERROR(_xlfn._xlws.FILTER($Q$1:$Y$1,t_tp[[#This Row],[ahh]:[lev]]=SMALL(t_tp[[#This Row],[ahh]:[lev]],1)),"")</f>
        <v>øg</v>
      </c>
      <c r="AN33" s="677"/>
      <c r="AO33" s="677"/>
      <c r="AP33" s="677"/>
      <c r="AQ33" s="677"/>
      <c r="AR33" s="677"/>
      <c r="AS33" s="677"/>
      <c r="AT33" s="677"/>
      <c r="AU33" s="678"/>
    </row>
    <row r="34" spans="1:47" ht="14.25" thickTop="1" thickBot="1" x14ac:dyDescent="0.25">
      <c r="A34">
        <v>33</v>
      </c>
      <c r="B34" s="22" t="str">
        <f ca="1">Data!AL33</f>
        <v/>
      </c>
      <c r="C34" t="str">
        <f ca="1">_xlfn.XLOOKUP(t_rang[[#This Row],[Dato]],t_ahh[Dato],t_ahh[Rank])</f>
        <v/>
      </c>
      <c r="D34" t="str">
        <f ca="1">_xlfn.XLOOKUP(t_rang[[#This Row],[Dato]],t_rb[Dato],t_rb[Rank])</f>
        <v/>
      </c>
      <c r="E34" t="str">
        <f ca="1">_xlfn.XLOOKUP(t_rang[[#This Row],[Dato]],t_eb[Dato],t_eb[Rank])</f>
        <v/>
      </c>
      <c r="F34" t="str">
        <f ca="1">_xlfn.XLOOKUP(t_rang[[#This Row],[Dato]],t_kaf[Dato],t_kaf[Rank])</f>
        <v/>
      </c>
      <c r="G34" t="str">
        <f ca="1">_xlfn.XLOOKUP(t_rang[[#This Row],[Dato]],t_øg[Dato],t_øg[Rank])</f>
        <v/>
      </c>
      <c r="H34" t="str">
        <f ca="1">_xlfn.XLOOKUP(t_rang[[#This Row],[Dato]],t_jh[Dato],t_jh[Rank])</f>
        <v/>
      </c>
      <c r="I34" t="str">
        <f ca="1">_xlfn.XLOOKUP(t_rang[[#This Row],[Dato]],t_toh[Dato],t_toh[Rank])</f>
        <v/>
      </c>
      <c r="J34" t="str">
        <f ca="1">_xlfn.XLOOKUP(t_rang[[#This Row],[Dato]],t_utg[Dato],t_utg[Rank])</f>
        <v/>
      </c>
      <c r="K34" s="425" t="str">
        <f ca="1">_xlfn.XLOOKUP(t_rang[[#This Row],[Dato]],t_lev[Dato],t_lev[Rank])</f>
        <v/>
      </c>
      <c r="L34" s="425"/>
      <c r="M34" s="425"/>
      <c r="N34" s="425"/>
      <c r="O34" s="404"/>
      <c r="P34" s="427" t="str">
        <f ca="1">Data!AL33</f>
        <v/>
      </c>
      <c r="Q34" s="403" t="str">
        <f ca="1">t_ahh[[#This Row],[tp]]</f>
        <v/>
      </c>
      <c r="R34" s="403" t="str">
        <f ca="1">t_rb[[#This Row],[tp]]</f>
        <v/>
      </c>
      <c r="S34" s="403" t="str">
        <f ca="1">t_eb[[#This Row],[tp]]</f>
        <v/>
      </c>
      <c r="T34" s="403" t="str">
        <f ca="1">t_kaf[[#This Row],[tp]]</f>
        <v/>
      </c>
      <c r="U34" s="403" t="str">
        <f ca="1">t_øg[[#This Row],[tp]]</f>
        <v/>
      </c>
      <c r="V34" s="403" t="str">
        <f ca="1">t_jh[[#This Row],[tp]]</f>
        <v/>
      </c>
      <c r="W34" s="403" t="str">
        <f ca="1">t_toh[[#This Row],[tp]]</f>
        <v/>
      </c>
      <c r="X34" s="403" t="str">
        <f ca="1">t_utg[[#This Row],[tp]]</f>
        <v/>
      </c>
      <c r="Y34" s="403" t="str">
        <f ca="1">t_lev[[#This Row],[tp]]</f>
        <v/>
      </c>
      <c r="AA34" s="673" t="str">
        <f ca="1">t_tp[[#This Row],[Dato]]</f>
        <v/>
      </c>
      <c r="AB34" s="674" t="str" cm="1">
        <f t="array" aca="1" ref="AB34" ca="1">IFERROR(_xlfn._xlws.FILTER($Q$1:$Y$1,t_tp[[#This Row],[ahh]:[lev]]=LARGE(t_tp[[#This Row],[ahh]:[lev]],1)),"")</f>
        <v/>
      </c>
      <c r="AC34" s="674"/>
      <c r="AD34" s="674"/>
      <c r="AE34" s="674"/>
      <c r="AF34" s="674"/>
      <c r="AG34" s="674"/>
      <c r="AH34" s="674"/>
      <c r="AI34" s="674"/>
      <c r="AJ34" s="675"/>
      <c r="AK34" s="20"/>
      <c r="AL34" s="673" t="str">
        <f t="shared" ca="1" si="0"/>
        <v/>
      </c>
      <c r="AM34" s="674" t="str" cm="1">
        <f t="array" aca="1" ref="AM34" ca="1">IFERROR(_xlfn._xlws.FILTER($Q$1:$Y$1,t_tp[[#This Row],[ahh]:[lev]]=SMALL(t_tp[[#This Row],[ahh]:[lev]],1)),"")</f>
        <v/>
      </c>
      <c r="AN34" s="674"/>
      <c r="AO34" s="674"/>
      <c r="AP34" s="674"/>
      <c r="AQ34" s="674"/>
      <c r="AR34" s="674"/>
      <c r="AS34" s="674"/>
      <c r="AT34" s="674"/>
      <c r="AU34" s="675"/>
    </row>
    <row r="35" spans="1:47" ht="14.25" thickTop="1" thickBot="1" x14ac:dyDescent="0.25">
      <c r="A35">
        <v>34</v>
      </c>
      <c r="B35" s="22" t="str">
        <f ca="1">Data!AL34</f>
        <v/>
      </c>
      <c r="C35" t="str">
        <f ca="1">_xlfn.XLOOKUP(t_rang[[#This Row],[Dato]],t_ahh[Dato],t_ahh[Rank])</f>
        <v/>
      </c>
      <c r="D35" t="str">
        <f ca="1">_xlfn.XLOOKUP(t_rang[[#This Row],[Dato]],t_rb[Dato],t_rb[Rank])</f>
        <v/>
      </c>
      <c r="E35" t="str">
        <f ca="1">_xlfn.XLOOKUP(t_rang[[#This Row],[Dato]],t_eb[Dato],t_eb[Rank])</f>
        <v/>
      </c>
      <c r="F35" t="str">
        <f ca="1">_xlfn.XLOOKUP(t_rang[[#This Row],[Dato]],t_kaf[Dato],t_kaf[Rank])</f>
        <v/>
      </c>
      <c r="G35" t="str">
        <f ca="1">_xlfn.XLOOKUP(t_rang[[#This Row],[Dato]],t_øg[Dato],t_øg[Rank])</f>
        <v/>
      </c>
      <c r="H35" t="str">
        <f ca="1">_xlfn.XLOOKUP(t_rang[[#This Row],[Dato]],t_jh[Dato],t_jh[Rank])</f>
        <v/>
      </c>
      <c r="I35" t="str">
        <f ca="1">_xlfn.XLOOKUP(t_rang[[#This Row],[Dato]],t_toh[Dato],t_toh[Rank])</f>
        <v/>
      </c>
      <c r="J35" t="str">
        <f ca="1">_xlfn.XLOOKUP(t_rang[[#This Row],[Dato]],t_utg[Dato],t_utg[Rank])</f>
        <v/>
      </c>
      <c r="K35" s="425" t="str">
        <f ca="1">_xlfn.XLOOKUP(t_rang[[#This Row],[Dato]],t_lev[Dato],t_lev[Rank])</f>
        <v/>
      </c>
      <c r="L35" s="425"/>
      <c r="M35" s="425"/>
      <c r="N35" s="425"/>
      <c r="O35" s="404"/>
      <c r="P35" s="427" t="str">
        <f ca="1">Data!AL34</f>
        <v/>
      </c>
      <c r="Q35" s="403" t="str">
        <f ca="1">t_ahh[[#This Row],[tp]]</f>
        <v/>
      </c>
      <c r="R35" s="403" t="str">
        <f ca="1">t_rb[[#This Row],[tp]]</f>
        <v/>
      </c>
      <c r="S35" s="403" t="str">
        <f ca="1">t_eb[[#This Row],[tp]]</f>
        <v/>
      </c>
      <c r="T35" s="403" t="str">
        <f ca="1">t_kaf[[#This Row],[tp]]</f>
        <v/>
      </c>
      <c r="U35" s="403" t="str">
        <f ca="1">t_øg[[#This Row],[tp]]</f>
        <v/>
      </c>
      <c r="V35" s="403" t="str">
        <f ca="1">t_jh[[#This Row],[tp]]</f>
        <v/>
      </c>
      <c r="W35" s="403" t="str">
        <f ca="1">t_toh[[#This Row],[tp]]</f>
        <v/>
      </c>
      <c r="X35" s="403" t="str">
        <f ca="1">t_utg[[#This Row],[tp]]</f>
        <v/>
      </c>
      <c r="Y35" s="403" t="str">
        <f ca="1">t_lev[[#This Row],[tp]]</f>
        <v/>
      </c>
      <c r="AA35" s="676" t="str">
        <f ca="1">t_tp[[#This Row],[Dato]]</f>
        <v/>
      </c>
      <c r="AB35" s="677" t="str" cm="1">
        <f t="array" aca="1" ref="AB35" ca="1">IFERROR(_xlfn._xlws.FILTER($Q$1:$Y$1,t_tp[[#This Row],[ahh]:[lev]]=LARGE(t_tp[[#This Row],[ahh]:[lev]],1)),"")</f>
        <v/>
      </c>
      <c r="AC35" s="677"/>
      <c r="AD35" s="677"/>
      <c r="AE35" s="677"/>
      <c r="AF35" s="677"/>
      <c r="AG35" s="677"/>
      <c r="AH35" s="677"/>
      <c r="AI35" s="677"/>
      <c r="AJ35" s="678"/>
      <c r="AK35" s="20"/>
      <c r="AL35" s="676" t="str">
        <f t="shared" ca="1" si="0"/>
        <v/>
      </c>
      <c r="AM35" s="677" t="str" cm="1">
        <f t="array" aca="1" ref="AM35" ca="1">IFERROR(_xlfn._xlws.FILTER($Q$1:$Y$1,t_tp[[#This Row],[ahh]:[lev]]=SMALL(t_tp[[#This Row],[ahh]:[lev]],1)),"")</f>
        <v/>
      </c>
      <c r="AN35" s="677"/>
      <c r="AO35" s="677"/>
      <c r="AP35" s="677"/>
      <c r="AQ35" s="677"/>
      <c r="AR35" s="677"/>
      <c r="AS35" s="677"/>
      <c r="AT35" s="677"/>
      <c r="AU35" s="678"/>
    </row>
    <row r="36" spans="1:47" ht="14.25" thickTop="1" thickBot="1" x14ac:dyDescent="0.25">
      <c r="A36">
        <v>35</v>
      </c>
      <c r="B36" s="22" t="str">
        <f ca="1">Data!AL35</f>
        <v/>
      </c>
      <c r="C36" t="str">
        <f ca="1">_xlfn.XLOOKUP(t_rang[[#This Row],[Dato]],t_ahh[Dato],t_ahh[Rank])</f>
        <v/>
      </c>
      <c r="D36" t="str">
        <f ca="1">_xlfn.XLOOKUP(t_rang[[#This Row],[Dato]],t_rb[Dato],t_rb[Rank])</f>
        <v/>
      </c>
      <c r="E36" t="str">
        <f ca="1">_xlfn.XLOOKUP(t_rang[[#This Row],[Dato]],t_eb[Dato],t_eb[Rank])</f>
        <v/>
      </c>
      <c r="F36" t="str">
        <f ca="1">_xlfn.XLOOKUP(t_rang[[#This Row],[Dato]],t_kaf[Dato],t_kaf[Rank])</f>
        <v/>
      </c>
      <c r="G36" t="str">
        <f ca="1">_xlfn.XLOOKUP(t_rang[[#This Row],[Dato]],t_øg[Dato],t_øg[Rank])</f>
        <v/>
      </c>
      <c r="H36" t="str">
        <f ca="1">_xlfn.XLOOKUP(t_rang[[#This Row],[Dato]],t_jh[Dato],t_jh[Rank])</f>
        <v/>
      </c>
      <c r="I36" t="str">
        <f ca="1">_xlfn.XLOOKUP(t_rang[[#This Row],[Dato]],t_toh[Dato],t_toh[Rank])</f>
        <v/>
      </c>
      <c r="J36" t="str">
        <f ca="1">_xlfn.XLOOKUP(t_rang[[#This Row],[Dato]],t_utg[Dato],t_utg[Rank])</f>
        <v/>
      </c>
      <c r="K36" s="425" t="str">
        <f ca="1">_xlfn.XLOOKUP(t_rang[[#This Row],[Dato]],t_lev[Dato],t_lev[Rank])</f>
        <v/>
      </c>
      <c r="L36" s="425"/>
      <c r="M36" s="425"/>
      <c r="N36" s="425"/>
      <c r="O36" s="404"/>
      <c r="P36" s="427" t="str">
        <f ca="1">Data!AL35</f>
        <v/>
      </c>
      <c r="Q36" s="403" t="str">
        <f ca="1">t_ahh[[#This Row],[tp]]</f>
        <v/>
      </c>
      <c r="R36" s="403" t="str">
        <f ca="1">t_rb[[#This Row],[tp]]</f>
        <v/>
      </c>
      <c r="S36" s="403" t="str">
        <f ca="1">t_eb[[#This Row],[tp]]</f>
        <v/>
      </c>
      <c r="T36" s="403" t="str">
        <f ca="1">t_kaf[[#This Row],[tp]]</f>
        <v/>
      </c>
      <c r="U36" s="403" t="str">
        <f ca="1">t_øg[[#This Row],[tp]]</f>
        <v/>
      </c>
      <c r="V36" s="403" t="str">
        <f ca="1">t_jh[[#This Row],[tp]]</f>
        <v/>
      </c>
      <c r="W36" s="403" t="str">
        <f ca="1">t_toh[[#This Row],[tp]]</f>
        <v/>
      </c>
      <c r="X36" s="403" t="str">
        <f ca="1">t_utg[[#This Row],[tp]]</f>
        <v/>
      </c>
      <c r="Y36" s="403" t="str">
        <f ca="1">t_lev[[#This Row],[tp]]</f>
        <v/>
      </c>
      <c r="AA36" s="673" t="str">
        <f ca="1">t_tp[[#This Row],[Dato]]</f>
        <v/>
      </c>
      <c r="AB36" s="674" t="str" cm="1">
        <f t="array" aca="1" ref="AB36" ca="1">IFERROR(_xlfn._xlws.FILTER($Q$1:$Y$1,t_tp[[#This Row],[ahh]:[lev]]=LARGE(t_tp[[#This Row],[ahh]:[lev]],1)),"")</f>
        <v/>
      </c>
      <c r="AC36" s="674"/>
      <c r="AD36" s="674"/>
      <c r="AE36" s="674"/>
      <c r="AF36" s="674"/>
      <c r="AG36" s="674"/>
      <c r="AH36" s="674"/>
      <c r="AI36" s="674"/>
      <c r="AJ36" s="675"/>
      <c r="AK36" s="20"/>
      <c r="AL36" s="673" t="str">
        <f t="shared" ca="1" si="0"/>
        <v/>
      </c>
      <c r="AM36" s="674" t="str" cm="1">
        <f t="array" aca="1" ref="AM36" ca="1">IFERROR(_xlfn._xlws.FILTER($Q$1:$Y$1,t_tp[[#This Row],[ahh]:[lev]]=SMALL(t_tp[[#This Row],[ahh]:[lev]],1)),"")</f>
        <v/>
      </c>
      <c r="AN36" s="674"/>
      <c r="AO36" s="674"/>
      <c r="AP36" s="674"/>
      <c r="AQ36" s="674"/>
      <c r="AR36" s="674"/>
      <c r="AS36" s="674"/>
      <c r="AT36" s="674"/>
      <c r="AU36" s="675"/>
    </row>
    <row r="37" spans="1:47" ht="14.25" thickTop="1" thickBot="1" x14ac:dyDescent="0.25">
      <c r="A37">
        <v>36</v>
      </c>
      <c r="B37" s="22" t="str">
        <f ca="1">Data!AL36</f>
        <v/>
      </c>
      <c r="C37" t="str">
        <f ca="1">_xlfn.XLOOKUP(t_rang[[#This Row],[Dato]],t_ahh[Dato],t_ahh[Rank])</f>
        <v/>
      </c>
      <c r="D37" t="str">
        <f ca="1">_xlfn.XLOOKUP(t_rang[[#This Row],[Dato]],t_rb[Dato],t_rb[Rank])</f>
        <v/>
      </c>
      <c r="E37" t="str">
        <f ca="1">_xlfn.XLOOKUP(t_rang[[#This Row],[Dato]],t_eb[Dato],t_eb[Rank])</f>
        <v/>
      </c>
      <c r="F37" t="str">
        <f ca="1">_xlfn.XLOOKUP(t_rang[[#This Row],[Dato]],t_kaf[Dato],t_kaf[Rank])</f>
        <v/>
      </c>
      <c r="G37" t="str">
        <f ca="1">_xlfn.XLOOKUP(t_rang[[#This Row],[Dato]],t_øg[Dato],t_øg[Rank])</f>
        <v/>
      </c>
      <c r="H37" t="str">
        <f ca="1">_xlfn.XLOOKUP(t_rang[[#This Row],[Dato]],t_jh[Dato],t_jh[Rank])</f>
        <v/>
      </c>
      <c r="I37" t="str">
        <f ca="1">_xlfn.XLOOKUP(t_rang[[#This Row],[Dato]],t_toh[Dato],t_toh[Rank])</f>
        <v/>
      </c>
      <c r="J37" t="str">
        <f ca="1">_xlfn.XLOOKUP(t_rang[[#This Row],[Dato]],t_utg[Dato],t_utg[Rank])</f>
        <v/>
      </c>
      <c r="K37" s="425" t="str">
        <f ca="1">_xlfn.XLOOKUP(t_rang[[#This Row],[Dato]],t_lev[Dato],t_lev[Rank])</f>
        <v/>
      </c>
      <c r="L37" s="425"/>
      <c r="M37" s="425"/>
      <c r="N37" s="425"/>
      <c r="O37" s="404"/>
      <c r="P37" s="427" t="str">
        <f ca="1">Data!AL36</f>
        <v/>
      </c>
      <c r="Q37" s="403" t="str">
        <f ca="1">t_ahh[[#This Row],[tp]]</f>
        <v/>
      </c>
      <c r="R37" s="403" t="str">
        <f ca="1">t_rb[[#This Row],[tp]]</f>
        <v/>
      </c>
      <c r="S37" s="403" t="str">
        <f ca="1">t_eb[[#This Row],[tp]]</f>
        <v/>
      </c>
      <c r="T37" s="403" t="str">
        <f ca="1">t_kaf[[#This Row],[tp]]</f>
        <v/>
      </c>
      <c r="U37" s="403" t="str">
        <f ca="1">t_øg[[#This Row],[tp]]</f>
        <v/>
      </c>
      <c r="V37" s="403" t="str">
        <f ca="1">t_jh[[#This Row],[tp]]</f>
        <v/>
      </c>
      <c r="W37" s="403" t="str">
        <f ca="1">t_toh[[#This Row],[tp]]</f>
        <v/>
      </c>
      <c r="X37" s="403" t="str">
        <f ca="1">t_utg[[#This Row],[tp]]</f>
        <v/>
      </c>
      <c r="Y37" s="403" t="str">
        <f ca="1">t_lev[[#This Row],[tp]]</f>
        <v/>
      </c>
      <c r="AA37" s="676" t="str">
        <f ca="1">t_tp[[#This Row],[Dato]]</f>
        <v/>
      </c>
      <c r="AB37" s="677" t="str" cm="1">
        <f t="array" aca="1" ref="AB37" ca="1">IFERROR(_xlfn._xlws.FILTER($Q$1:$Y$1,t_tp[[#This Row],[ahh]:[lev]]=LARGE(t_tp[[#This Row],[ahh]:[lev]],1)),"")</f>
        <v/>
      </c>
      <c r="AC37" s="677"/>
      <c r="AD37" s="677"/>
      <c r="AE37" s="677"/>
      <c r="AF37" s="677"/>
      <c r="AG37" s="677"/>
      <c r="AH37" s="677"/>
      <c r="AI37" s="677"/>
      <c r="AJ37" s="678"/>
      <c r="AK37" s="20"/>
      <c r="AL37" s="676" t="str">
        <f t="shared" ca="1" si="0"/>
        <v/>
      </c>
      <c r="AM37" s="677" t="str" cm="1">
        <f t="array" aca="1" ref="AM37" ca="1">IFERROR(_xlfn._xlws.FILTER($Q$1:$Y$1,t_tp[[#This Row],[ahh]:[lev]]=SMALL(t_tp[[#This Row],[ahh]:[lev]],1)),"")</f>
        <v/>
      </c>
      <c r="AN37" s="677"/>
      <c r="AO37" s="677"/>
      <c r="AP37" s="677"/>
      <c r="AQ37" s="677"/>
      <c r="AR37" s="677"/>
      <c r="AS37" s="677"/>
      <c r="AT37" s="677"/>
      <c r="AU37" s="678"/>
    </row>
    <row r="38" spans="1:47" ht="14.25" thickTop="1" thickBot="1" x14ac:dyDescent="0.25">
      <c r="A38">
        <v>37</v>
      </c>
      <c r="B38" s="22" t="str">
        <f ca="1">Data!AL37</f>
        <v/>
      </c>
      <c r="C38" t="str">
        <f ca="1">_xlfn.XLOOKUP(t_rang[[#This Row],[Dato]],t_ahh[Dato],t_ahh[Rank])</f>
        <v/>
      </c>
      <c r="D38" t="str">
        <f ca="1">_xlfn.XLOOKUP(t_rang[[#This Row],[Dato]],t_rb[Dato],t_rb[Rank])</f>
        <v/>
      </c>
      <c r="E38" t="str">
        <f ca="1">_xlfn.XLOOKUP(t_rang[[#This Row],[Dato]],t_eb[Dato],t_eb[Rank])</f>
        <v/>
      </c>
      <c r="F38" t="str">
        <f ca="1">_xlfn.XLOOKUP(t_rang[[#This Row],[Dato]],t_kaf[Dato],t_kaf[Rank])</f>
        <v/>
      </c>
      <c r="G38" t="str">
        <f ca="1">_xlfn.XLOOKUP(t_rang[[#This Row],[Dato]],t_øg[Dato],t_øg[Rank])</f>
        <v/>
      </c>
      <c r="H38" t="str">
        <f ca="1">_xlfn.XLOOKUP(t_rang[[#This Row],[Dato]],t_jh[Dato],t_jh[Rank])</f>
        <v/>
      </c>
      <c r="I38" t="str">
        <f ca="1">_xlfn.XLOOKUP(t_rang[[#This Row],[Dato]],t_toh[Dato],t_toh[Rank])</f>
        <v/>
      </c>
      <c r="J38" t="str">
        <f ca="1">_xlfn.XLOOKUP(t_rang[[#This Row],[Dato]],t_utg[Dato],t_utg[Rank])</f>
        <v/>
      </c>
      <c r="K38" s="425" t="str">
        <f ca="1">_xlfn.XLOOKUP(t_rang[[#This Row],[Dato]],t_lev[Dato],t_lev[Rank])</f>
        <v/>
      </c>
      <c r="L38" s="425"/>
      <c r="M38" s="425"/>
      <c r="N38" s="425"/>
      <c r="O38" s="404"/>
      <c r="P38" s="427" t="str">
        <f ca="1">Data!AL37</f>
        <v/>
      </c>
      <c r="Q38" s="403" t="str">
        <f ca="1">t_ahh[[#This Row],[tp]]</f>
        <v/>
      </c>
      <c r="R38" s="403" t="str">
        <f ca="1">t_rb[[#This Row],[tp]]</f>
        <v/>
      </c>
      <c r="S38" s="403" t="str">
        <f ca="1">t_eb[[#This Row],[tp]]</f>
        <v/>
      </c>
      <c r="T38" s="403" t="str">
        <f ca="1">t_kaf[[#This Row],[tp]]</f>
        <v/>
      </c>
      <c r="U38" s="403" t="str">
        <f ca="1">t_øg[[#This Row],[tp]]</f>
        <v/>
      </c>
      <c r="V38" s="403" t="str">
        <f ca="1">t_jh[[#This Row],[tp]]</f>
        <v/>
      </c>
      <c r="W38" s="403" t="str">
        <f ca="1">t_toh[[#This Row],[tp]]</f>
        <v/>
      </c>
      <c r="X38" s="403" t="str">
        <f ca="1">t_utg[[#This Row],[tp]]</f>
        <v/>
      </c>
      <c r="Y38" s="403" t="str">
        <f ca="1">t_lev[[#This Row],[tp]]</f>
        <v/>
      </c>
      <c r="AA38" s="673" t="str">
        <f ca="1">t_tp[[#This Row],[Dato]]</f>
        <v/>
      </c>
      <c r="AB38" s="674" t="str" cm="1">
        <f t="array" aca="1" ref="AB38" ca="1">IFERROR(_xlfn._xlws.FILTER($Q$1:$Y$1,t_tp[[#This Row],[ahh]:[lev]]=LARGE(t_tp[[#This Row],[ahh]:[lev]],1)),"")</f>
        <v/>
      </c>
      <c r="AC38" s="674"/>
      <c r="AD38" s="674"/>
      <c r="AE38" s="674"/>
      <c r="AF38" s="674"/>
      <c r="AG38" s="674"/>
      <c r="AH38" s="674"/>
      <c r="AI38" s="674"/>
      <c r="AJ38" s="675"/>
      <c r="AK38" s="20"/>
      <c r="AL38" s="673" t="str">
        <f t="shared" ca="1" si="0"/>
        <v/>
      </c>
      <c r="AM38" s="674" t="str" cm="1">
        <f t="array" aca="1" ref="AM38" ca="1">IFERROR(_xlfn._xlws.FILTER($Q$1:$Y$1,t_tp[[#This Row],[ahh]:[lev]]=SMALL(t_tp[[#This Row],[ahh]:[lev]],1)),"")</f>
        <v/>
      </c>
      <c r="AN38" s="674"/>
      <c r="AO38" s="674"/>
      <c r="AP38" s="674"/>
      <c r="AQ38" s="674"/>
      <c r="AR38" s="674"/>
      <c r="AS38" s="674"/>
      <c r="AT38" s="674"/>
      <c r="AU38" s="675"/>
    </row>
    <row r="39" spans="1:47" ht="14.25" thickTop="1" thickBot="1" x14ac:dyDescent="0.25">
      <c r="A39">
        <v>38</v>
      </c>
      <c r="B39" s="22" t="str">
        <f ca="1">Data!AL38</f>
        <v/>
      </c>
      <c r="C39" t="str">
        <f ca="1">_xlfn.XLOOKUP(t_rang[[#This Row],[Dato]],t_ahh[Dato],t_ahh[Rank])</f>
        <v/>
      </c>
      <c r="D39" t="str">
        <f ca="1">_xlfn.XLOOKUP(t_rang[[#This Row],[Dato]],t_rb[Dato],t_rb[Rank])</f>
        <v/>
      </c>
      <c r="E39" t="str">
        <f ca="1">_xlfn.XLOOKUP(t_rang[[#This Row],[Dato]],t_eb[Dato],t_eb[Rank])</f>
        <v/>
      </c>
      <c r="F39" t="str">
        <f ca="1">_xlfn.XLOOKUP(t_rang[[#This Row],[Dato]],t_kaf[Dato],t_kaf[Rank])</f>
        <v/>
      </c>
      <c r="G39" t="str">
        <f ca="1">_xlfn.XLOOKUP(t_rang[[#This Row],[Dato]],t_øg[Dato],t_øg[Rank])</f>
        <v/>
      </c>
      <c r="H39" t="str">
        <f ca="1">_xlfn.XLOOKUP(t_rang[[#This Row],[Dato]],t_jh[Dato],t_jh[Rank])</f>
        <v/>
      </c>
      <c r="I39" t="str">
        <f ca="1">_xlfn.XLOOKUP(t_rang[[#This Row],[Dato]],t_toh[Dato],t_toh[Rank])</f>
        <v/>
      </c>
      <c r="J39" t="str">
        <f ca="1">_xlfn.XLOOKUP(t_rang[[#This Row],[Dato]],t_utg[Dato],t_utg[Rank])</f>
        <v/>
      </c>
      <c r="K39" s="425" t="str">
        <f ca="1">_xlfn.XLOOKUP(t_rang[[#This Row],[Dato]],t_lev[Dato],t_lev[Rank])</f>
        <v/>
      </c>
      <c r="L39" s="425"/>
      <c r="M39" s="425"/>
      <c r="N39" s="425"/>
      <c r="O39" s="404"/>
      <c r="P39" s="427" t="str">
        <f ca="1">Data!AL38</f>
        <v/>
      </c>
      <c r="Q39" s="403" t="str">
        <f ca="1">t_ahh[[#This Row],[tp]]</f>
        <v/>
      </c>
      <c r="R39" s="403" t="str">
        <f ca="1">t_rb[[#This Row],[tp]]</f>
        <v/>
      </c>
      <c r="S39" s="403" t="str">
        <f ca="1">t_eb[[#This Row],[tp]]</f>
        <v/>
      </c>
      <c r="T39" s="403" t="str">
        <f ca="1">t_kaf[[#This Row],[tp]]</f>
        <v/>
      </c>
      <c r="U39" s="403" t="str">
        <f ca="1">t_øg[[#This Row],[tp]]</f>
        <v/>
      </c>
      <c r="V39" s="403" t="str">
        <f ca="1">t_jh[[#This Row],[tp]]</f>
        <v/>
      </c>
      <c r="W39" s="403" t="str">
        <f ca="1">t_toh[[#This Row],[tp]]</f>
        <v/>
      </c>
      <c r="X39" s="403" t="str">
        <f ca="1">t_utg[[#This Row],[tp]]</f>
        <v/>
      </c>
      <c r="Y39" s="403" t="str">
        <f ca="1">t_lev[[#This Row],[tp]]</f>
        <v/>
      </c>
      <c r="AA39" s="676" t="str">
        <f ca="1">t_tp[[#This Row],[Dato]]</f>
        <v/>
      </c>
      <c r="AB39" s="677" t="str" cm="1">
        <f t="array" aca="1" ref="AB39" ca="1">IFERROR(_xlfn._xlws.FILTER($Q$1:$Y$1,t_tp[[#This Row],[ahh]:[lev]]=LARGE(t_tp[[#This Row],[ahh]:[lev]],1)),"")</f>
        <v/>
      </c>
      <c r="AC39" s="677"/>
      <c r="AD39" s="677"/>
      <c r="AE39" s="677"/>
      <c r="AF39" s="677"/>
      <c r="AG39" s="677"/>
      <c r="AH39" s="677"/>
      <c r="AI39" s="677"/>
      <c r="AJ39" s="678"/>
      <c r="AK39" s="20"/>
      <c r="AL39" s="676" t="str">
        <f t="shared" ca="1" si="0"/>
        <v/>
      </c>
      <c r="AM39" s="677" t="str" cm="1">
        <f t="array" aca="1" ref="AM39" ca="1">IFERROR(_xlfn._xlws.FILTER($Q$1:$Y$1,t_tp[[#This Row],[ahh]:[lev]]=SMALL(t_tp[[#This Row],[ahh]:[lev]],1)),"")</f>
        <v/>
      </c>
      <c r="AN39" s="677"/>
      <c r="AO39" s="677"/>
      <c r="AP39" s="677"/>
      <c r="AQ39" s="677"/>
      <c r="AR39" s="677"/>
      <c r="AS39" s="677"/>
      <c r="AT39" s="677"/>
      <c r="AU39" s="678"/>
    </row>
    <row r="40" spans="1:47" ht="14.25" thickTop="1" thickBot="1" x14ac:dyDescent="0.25">
      <c r="A40">
        <v>39</v>
      </c>
      <c r="B40" s="22" t="str">
        <f ca="1">Data!AL39</f>
        <v/>
      </c>
      <c r="C40" t="str">
        <f ca="1">_xlfn.XLOOKUP(t_rang[[#This Row],[Dato]],t_ahh[Dato],t_ahh[Rank])</f>
        <v/>
      </c>
      <c r="D40" t="str">
        <f ca="1">_xlfn.XLOOKUP(t_rang[[#This Row],[Dato]],t_rb[Dato],t_rb[Rank])</f>
        <v/>
      </c>
      <c r="E40" t="str">
        <f ca="1">_xlfn.XLOOKUP(t_rang[[#This Row],[Dato]],t_eb[Dato],t_eb[Rank])</f>
        <v/>
      </c>
      <c r="F40" t="str">
        <f ca="1">_xlfn.XLOOKUP(t_rang[[#This Row],[Dato]],t_kaf[Dato],t_kaf[Rank])</f>
        <v/>
      </c>
      <c r="G40" t="str">
        <f ca="1">_xlfn.XLOOKUP(t_rang[[#This Row],[Dato]],t_øg[Dato],t_øg[Rank])</f>
        <v/>
      </c>
      <c r="H40" t="str">
        <f ca="1">_xlfn.XLOOKUP(t_rang[[#This Row],[Dato]],t_jh[Dato],t_jh[Rank])</f>
        <v/>
      </c>
      <c r="I40" t="str">
        <f ca="1">_xlfn.XLOOKUP(t_rang[[#This Row],[Dato]],t_toh[Dato],t_toh[Rank])</f>
        <v/>
      </c>
      <c r="J40" t="str">
        <f ca="1">_xlfn.XLOOKUP(t_rang[[#This Row],[Dato]],t_utg[Dato],t_utg[Rank])</f>
        <v/>
      </c>
      <c r="K40" s="425" t="str">
        <f ca="1">_xlfn.XLOOKUP(t_rang[[#This Row],[Dato]],t_lev[Dato],t_lev[Rank])</f>
        <v/>
      </c>
      <c r="L40" s="425"/>
      <c r="M40" s="425"/>
      <c r="N40" s="425"/>
      <c r="O40" s="404"/>
      <c r="P40" s="427" t="str">
        <f ca="1">Data!AL39</f>
        <v/>
      </c>
      <c r="Q40" s="403" t="str">
        <f ca="1">t_ahh[[#This Row],[tp]]</f>
        <v/>
      </c>
      <c r="R40" s="403" t="str">
        <f ca="1">t_rb[[#This Row],[tp]]</f>
        <v/>
      </c>
      <c r="S40" s="403" t="str">
        <f ca="1">t_eb[[#This Row],[tp]]</f>
        <v/>
      </c>
      <c r="T40" s="403" t="str">
        <f ca="1">t_kaf[[#This Row],[tp]]</f>
        <v/>
      </c>
      <c r="U40" s="403" t="str">
        <f ca="1">t_øg[[#This Row],[tp]]</f>
        <v/>
      </c>
      <c r="V40" s="403" t="str">
        <f ca="1">t_jh[[#This Row],[tp]]</f>
        <v/>
      </c>
      <c r="W40" s="403" t="str">
        <f ca="1">t_toh[[#This Row],[tp]]</f>
        <v/>
      </c>
      <c r="X40" s="403" t="str">
        <f ca="1">t_utg[[#This Row],[tp]]</f>
        <v/>
      </c>
      <c r="Y40" s="403" t="str">
        <f ca="1">t_lev[[#This Row],[tp]]</f>
        <v/>
      </c>
      <c r="AA40" s="673" t="str">
        <f ca="1">t_tp[[#This Row],[Dato]]</f>
        <v/>
      </c>
      <c r="AB40" s="674" t="str" cm="1">
        <f t="array" aca="1" ref="AB40" ca="1">IFERROR(_xlfn._xlws.FILTER($Q$1:$Y$1,t_tp[[#This Row],[ahh]:[lev]]=LARGE(t_tp[[#This Row],[ahh]:[lev]],1)),"")</f>
        <v/>
      </c>
      <c r="AC40" s="674"/>
      <c r="AD40" s="674"/>
      <c r="AE40" s="674"/>
      <c r="AF40" s="674"/>
      <c r="AG40" s="674"/>
      <c r="AH40" s="674"/>
      <c r="AI40" s="674"/>
      <c r="AJ40" s="675"/>
      <c r="AK40" s="20"/>
      <c r="AL40" s="673" t="str">
        <f t="shared" ca="1" si="0"/>
        <v/>
      </c>
      <c r="AM40" s="674" t="str" cm="1">
        <f t="array" aca="1" ref="AM40" ca="1">IFERROR(_xlfn._xlws.FILTER($Q$1:$Y$1,t_tp[[#This Row],[ahh]:[lev]]=SMALL(t_tp[[#This Row],[ahh]:[lev]],1)),"")</f>
        <v/>
      </c>
      <c r="AN40" s="674"/>
      <c r="AO40" s="674"/>
      <c r="AP40" s="674"/>
      <c r="AQ40" s="674"/>
      <c r="AR40" s="674"/>
      <c r="AS40" s="674"/>
      <c r="AT40" s="674"/>
      <c r="AU40" s="675"/>
    </row>
    <row r="41" spans="1:47" ht="14.25" thickTop="1" thickBot="1" x14ac:dyDescent="0.25">
      <c r="A41">
        <v>40</v>
      </c>
      <c r="B41" s="22" t="str">
        <f ca="1">Data!AL40</f>
        <v/>
      </c>
      <c r="C41" t="str">
        <f ca="1">_xlfn.XLOOKUP(t_rang[[#This Row],[Dato]],t_ahh[Dato],t_ahh[Rank])</f>
        <v/>
      </c>
      <c r="D41" t="str">
        <f ca="1">_xlfn.XLOOKUP(t_rang[[#This Row],[Dato]],t_rb[Dato],t_rb[Rank])</f>
        <v/>
      </c>
      <c r="E41" t="str">
        <f ca="1">_xlfn.XLOOKUP(t_rang[[#This Row],[Dato]],t_eb[Dato],t_eb[Rank])</f>
        <v/>
      </c>
      <c r="F41" t="str">
        <f ca="1">_xlfn.XLOOKUP(t_rang[[#This Row],[Dato]],t_kaf[Dato],t_kaf[Rank])</f>
        <v/>
      </c>
      <c r="G41" t="str">
        <f ca="1">_xlfn.XLOOKUP(t_rang[[#This Row],[Dato]],t_øg[Dato],t_øg[Rank])</f>
        <v/>
      </c>
      <c r="H41" t="str">
        <f ca="1">_xlfn.XLOOKUP(t_rang[[#This Row],[Dato]],t_jh[Dato],t_jh[Rank])</f>
        <v/>
      </c>
      <c r="I41" t="str">
        <f ca="1">_xlfn.XLOOKUP(t_rang[[#This Row],[Dato]],t_toh[Dato],t_toh[Rank])</f>
        <v/>
      </c>
      <c r="J41" t="str">
        <f ca="1">_xlfn.XLOOKUP(t_rang[[#This Row],[Dato]],t_utg[Dato],t_utg[Rank])</f>
        <v/>
      </c>
      <c r="K41" s="425" t="str">
        <f ca="1">_xlfn.XLOOKUP(t_rang[[#This Row],[Dato]],t_lev[Dato],t_lev[Rank])</f>
        <v/>
      </c>
      <c r="L41" s="425"/>
      <c r="M41" s="425"/>
      <c r="N41" s="425"/>
      <c r="O41" s="404"/>
      <c r="P41" s="427" t="str">
        <f ca="1">Data!AL40</f>
        <v/>
      </c>
      <c r="Q41" s="403" t="str">
        <f ca="1">t_ahh[[#This Row],[tp]]</f>
        <v/>
      </c>
      <c r="R41" s="403" t="str">
        <f ca="1">t_rb[[#This Row],[tp]]</f>
        <v/>
      </c>
      <c r="S41" s="403" t="str">
        <f ca="1">t_eb[[#This Row],[tp]]</f>
        <v/>
      </c>
      <c r="T41" s="403" t="str">
        <f ca="1">t_kaf[[#This Row],[tp]]</f>
        <v/>
      </c>
      <c r="U41" s="403" t="str">
        <f ca="1">t_øg[[#This Row],[tp]]</f>
        <v/>
      </c>
      <c r="V41" s="403" t="str">
        <f ca="1">t_jh[[#This Row],[tp]]</f>
        <v/>
      </c>
      <c r="W41" s="403" t="str">
        <f ca="1">t_toh[[#This Row],[tp]]</f>
        <v/>
      </c>
      <c r="X41" s="403" t="str">
        <f ca="1">t_utg[[#This Row],[tp]]</f>
        <v/>
      </c>
      <c r="Y41" s="403" t="str">
        <f ca="1">t_lev[[#This Row],[tp]]</f>
        <v/>
      </c>
      <c r="AA41" s="676" t="str">
        <f ca="1">t_tp[[#This Row],[Dato]]</f>
        <v/>
      </c>
      <c r="AB41" s="677" t="str" cm="1">
        <f t="array" aca="1" ref="AB41" ca="1">IFERROR(_xlfn._xlws.FILTER($Q$1:$Y$1,t_tp[[#This Row],[ahh]:[lev]]=LARGE(t_tp[[#This Row],[ahh]:[lev]],1)),"")</f>
        <v/>
      </c>
      <c r="AC41" s="677"/>
      <c r="AD41" s="677"/>
      <c r="AE41" s="677"/>
      <c r="AF41" s="677"/>
      <c r="AG41" s="677"/>
      <c r="AH41" s="677"/>
      <c r="AI41" s="677"/>
      <c r="AJ41" s="678"/>
      <c r="AK41" s="20"/>
      <c r="AL41" s="676" t="str">
        <f t="shared" ca="1" si="0"/>
        <v/>
      </c>
      <c r="AM41" s="677" t="str" cm="1">
        <f t="array" aca="1" ref="AM41" ca="1">IFERROR(_xlfn._xlws.FILTER($Q$1:$Y$1,t_tp[[#This Row],[ahh]:[lev]]=SMALL(t_tp[[#This Row],[ahh]:[lev]],1)),"")</f>
        <v/>
      </c>
      <c r="AN41" s="677"/>
      <c r="AO41" s="677"/>
      <c r="AP41" s="677"/>
      <c r="AQ41" s="677"/>
      <c r="AR41" s="677"/>
      <c r="AS41" s="677"/>
      <c r="AT41" s="677"/>
      <c r="AU41" s="678"/>
    </row>
    <row r="42" spans="1:47" ht="13.5" thickTop="1" x14ac:dyDescent="0.2">
      <c r="A42">
        <v>41</v>
      </c>
      <c r="B42" s="22" t="str">
        <f ca="1">Data!AL41</f>
        <v/>
      </c>
      <c r="C42" t="str">
        <f ca="1">_xlfn.XLOOKUP(t_rang[[#This Row],[Dato]],t_ahh[Dato],t_ahh[Rank])</f>
        <v/>
      </c>
      <c r="D42" t="str">
        <f ca="1">_xlfn.XLOOKUP(t_rang[[#This Row],[Dato]],t_rb[Dato],t_rb[Rank])</f>
        <v/>
      </c>
      <c r="E42" t="str">
        <f ca="1">_xlfn.XLOOKUP(t_rang[[#This Row],[Dato]],t_eb[Dato],t_eb[Rank])</f>
        <v/>
      </c>
      <c r="F42" t="str">
        <f ca="1">_xlfn.XLOOKUP(t_rang[[#This Row],[Dato]],t_kaf[Dato],t_kaf[Rank])</f>
        <v/>
      </c>
      <c r="G42" t="str">
        <f ca="1">_xlfn.XLOOKUP(t_rang[[#This Row],[Dato]],t_øg[Dato],t_øg[Rank])</f>
        <v/>
      </c>
      <c r="H42" t="str">
        <f ca="1">_xlfn.XLOOKUP(t_rang[[#This Row],[Dato]],t_jh[Dato],t_jh[Rank])</f>
        <v/>
      </c>
      <c r="I42" t="str">
        <f ca="1">_xlfn.XLOOKUP(t_rang[[#This Row],[Dato]],t_toh[Dato],t_toh[Rank])</f>
        <v/>
      </c>
      <c r="J42" t="str">
        <f ca="1">_xlfn.XLOOKUP(t_rang[[#This Row],[Dato]],t_utg[Dato],t_utg[Rank])</f>
        <v/>
      </c>
      <c r="K42" s="425" t="str">
        <f ca="1">_xlfn.XLOOKUP(t_rang[[#This Row],[Dato]],t_lev[Dato],t_lev[Rank])</f>
        <v/>
      </c>
      <c r="L42" s="425"/>
      <c r="M42" s="425"/>
      <c r="N42" s="425"/>
      <c r="O42" s="404"/>
      <c r="P42" s="427" t="str">
        <f ca="1">Data!AL41</f>
        <v/>
      </c>
      <c r="Q42" s="403" t="str">
        <f ca="1">t_ahh[[#This Row],[tp]]</f>
        <v/>
      </c>
      <c r="R42" s="403" t="str">
        <f ca="1">t_rb[[#This Row],[tp]]</f>
        <v/>
      </c>
      <c r="S42" s="403" t="str">
        <f ca="1">t_eb[[#This Row],[tp]]</f>
        <v/>
      </c>
      <c r="T42" s="403" t="str">
        <f ca="1">t_kaf[[#This Row],[tp]]</f>
        <v/>
      </c>
      <c r="U42" s="403" t="str">
        <f ca="1">t_øg[[#This Row],[tp]]</f>
        <v/>
      </c>
      <c r="V42" s="403" t="str">
        <f ca="1">t_jh[[#This Row],[tp]]</f>
        <v/>
      </c>
      <c r="W42" s="403" t="str">
        <f ca="1">t_toh[[#This Row],[tp]]</f>
        <v/>
      </c>
      <c r="X42" s="403" t="str">
        <f ca="1">t_utg[[#This Row],[tp]]</f>
        <v/>
      </c>
      <c r="Y42" s="403" t="str">
        <f ca="1">t_lev[[#This Row],[tp]]</f>
        <v/>
      </c>
      <c r="AA42" s="679" t="str">
        <f ca="1">t_tp[[#This Row],[Dato]]</f>
        <v/>
      </c>
      <c r="AB42" s="680" t="str" cm="1">
        <f t="array" aca="1" ref="AB42" ca="1">IFERROR(_xlfn._xlws.FILTER($Q$1:$Y$1,t_tp[[#This Row],[ahh]:[lev]]=LARGE(t_tp[[#This Row],[ahh]:[lev]],1)),"")</f>
        <v/>
      </c>
      <c r="AC42" s="680"/>
      <c r="AD42" s="680"/>
      <c r="AE42" s="680"/>
      <c r="AF42" s="680"/>
      <c r="AG42" s="680"/>
      <c r="AH42" s="680"/>
      <c r="AI42" s="680"/>
      <c r="AJ42" s="681"/>
      <c r="AK42" s="20"/>
      <c r="AL42" s="679" t="str">
        <f t="shared" ca="1" si="0"/>
        <v/>
      </c>
      <c r="AM42" s="680" t="str" cm="1">
        <f t="array" aca="1" ref="AM42" ca="1">IFERROR(_xlfn._xlws.FILTER($Q$1:$Y$1,t_tp[[#This Row],[ahh]:[lev]]=SMALL(t_tp[[#This Row],[ahh]:[lev]],1)),"")</f>
        <v/>
      </c>
      <c r="AN42" s="680"/>
      <c r="AO42" s="680"/>
      <c r="AP42" s="680"/>
      <c r="AQ42" s="680"/>
      <c r="AR42" s="680"/>
      <c r="AS42" s="680"/>
      <c r="AT42" s="680"/>
      <c r="AU42" s="681"/>
    </row>
    <row r="43" spans="1:47" x14ac:dyDescent="0.2">
      <c r="A43">
        <v>42</v>
      </c>
      <c r="R43" s="404"/>
    </row>
    <row r="44" spans="1:47" x14ac:dyDescent="0.2">
      <c r="A44">
        <v>43</v>
      </c>
      <c r="R44" s="404"/>
    </row>
    <row r="45" spans="1:47" x14ac:dyDescent="0.2">
      <c r="A45">
        <v>44</v>
      </c>
      <c r="R45" s="404"/>
    </row>
    <row r="46" spans="1:47" x14ac:dyDescent="0.2">
      <c r="A46">
        <v>45</v>
      </c>
      <c r="R46" s="404"/>
    </row>
    <row r="47" spans="1:47" x14ac:dyDescent="0.2">
      <c r="A47">
        <v>46</v>
      </c>
      <c r="R47" s="404"/>
    </row>
    <row r="48" spans="1:47" x14ac:dyDescent="0.2">
      <c r="A48">
        <v>47</v>
      </c>
      <c r="R48" s="404"/>
    </row>
    <row r="49" spans="1:18" x14ac:dyDescent="0.2">
      <c r="A49">
        <v>48</v>
      </c>
      <c r="R49" s="404"/>
    </row>
    <row r="50" spans="1:18" x14ac:dyDescent="0.2">
      <c r="A50">
        <v>49</v>
      </c>
      <c r="R50" s="404"/>
    </row>
    <row r="51" spans="1:18" x14ac:dyDescent="0.2">
      <c r="A51">
        <v>50</v>
      </c>
      <c r="R51" s="404"/>
    </row>
    <row r="52" spans="1:18" x14ac:dyDescent="0.2">
      <c r="A52">
        <v>51</v>
      </c>
      <c r="R52" s="404"/>
    </row>
    <row r="53" spans="1:18" x14ac:dyDescent="0.2">
      <c r="A53">
        <v>52</v>
      </c>
      <c r="R53" s="404"/>
    </row>
    <row r="54" spans="1:18" x14ac:dyDescent="0.2">
      <c r="A54">
        <v>53</v>
      </c>
      <c r="R54" s="22"/>
    </row>
    <row r="55" spans="1:18" x14ac:dyDescent="0.2">
      <c r="A55">
        <v>54</v>
      </c>
      <c r="R55" s="22"/>
    </row>
    <row r="56" spans="1:18" x14ac:dyDescent="0.2">
      <c r="A56">
        <v>55</v>
      </c>
    </row>
    <row r="57" spans="1:18" x14ac:dyDescent="0.2">
      <c r="A57">
        <v>56</v>
      </c>
    </row>
    <row r="58" spans="1:18" x14ac:dyDescent="0.2">
      <c r="A58">
        <v>57</v>
      </c>
    </row>
    <row r="59" spans="1:18" x14ac:dyDescent="0.2">
      <c r="A59">
        <v>58</v>
      </c>
    </row>
    <row r="60" spans="1:18" x14ac:dyDescent="0.2">
      <c r="A60">
        <v>59</v>
      </c>
    </row>
    <row r="61" spans="1:18" x14ac:dyDescent="0.2">
      <c r="A61">
        <v>60</v>
      </c>
    </row>
    <row r="62" spans="1:18" x14ac:dyDescent="0.2">
      <c r="A62">
        <v>61</v>
      </c>
    </row>
    <row r="63" spans="1:18" x14ac:dyDescent="0.2">
      <c r="A63">
        <v>62</v>
      </c>
    </row>
    <row r="64" spans="1:18" x14ac:dyDescent="0.2">
      <c r="A64">
        <v>63</v>
      </c>
    </row>
    <row r="65" spans="1:1" x14ac:dyDescent="0.2">
      <c r="A65">
        <v>64</v>
      </c>
    </row>
    <row r="66" spans="1:1" x14ac:dyDescent="0.2">
      <c r="A66">
        <v>65</v>
      </c>
    </row>
    <row r="67" spans="1:1" x14ac:dyDescent="0.2">
      <c r="A67">
        <v>66</v>
      </c>
    </row>
    <row r="68" spans="1:1" x14ac:dyDescent="0.2">
      <c r="A68">
        <v>67</v>
      </c>
    </row>
    <row r="69" spans="1:1" x14ac:dyDescent="0.2">
      <c r="A69">
        <v>68</v>
      </c>
    </row>
    <row r="70" spans="1:1" x14ac:dyDescent="0.2">
      <c r="A70">
        <v>69</v>
      </c>
    </row>
    <row r="71" spans="1:1" x14ac:dyDescent="0.2">
      <c r="A71">
        <v>70</v>
      </c>
    </row>
    <row r="72" spans="1:1" x14ac:dyDescent="0.2">
      <c r="A72">
        <v>71</v>
      </c>
    </row>
    <row r="73" spans="1:1" x14ac:dyDescent="0.2">
      <c r="A73">
        <v>72</v>
      </c>
    </row>
    <row r="74" spans="1:1" x14ac:dyDescent="0.2">
      <c r="A74">
        <v>73</v>
      </c>
    </row>
    <row r="75" spans="1:1" x14ac:dyDescent="0.2">
      <c r="A75">
        <v>74</v>
      </c>
    </row>
    <row r="76" spans="1:1" x14ac:dyDescent="0.2">
      <c r="A76">
        <v>75</v>
      </c>
    </row>
    <row r="77" spans="1:1" x14ac:dyDescent="0.2">
      <c r="A77">
        <v>76</v>
      </c>
    </row>
    <row r="78" spans="1:1" x14ac:dyDescent="0.2">
      <c r="A78">
        <v>77</v>
      </c>
    </row>
    <row r="79" spans="1:1" x14ac:dyDescent="0.2">
      <c r="A79">
        <v>78</v>
      </c>
    </row>
    <row r="80" spans="1:1" x14ac:dyDescent="0.2">
      <c r="A80">
        <v>79</v>
      </c>
    </row>
    <row r="81" spans="1:1" x14ac:dyDescent="0.2">
      <c r="A81">
        <v>80</v>
      </c>
    </row>
    <row r="82" spans="1:1" x14ac:dyDescent="0.2">
      <c r="A82">
        <v>81</v>
      </c>
    </row>
    <row r="83" spans="1:1" x14ac:dyDescent="0.2">
      <c r="A83">
        <v>82</v>
      </c>
    </row>
    <row r="84" spans="1:1" x14ac:dyDescent="0.2">
      <c r="A84">
        <v>83</v>
      </c>
    </row>
    <row r="85" spans="1:1" x14ac:dyDescent="0.2">
      <c r="A85">
        <v>84</v>
      </c>
    </row>
    <row r="86" spans="1:1" x14ac:dyDescent="0.2">
      <c r="A86">
        <v>85</v>
      </c>
    </row>
    <row r="87" spans="1:1" x14ac:dyDescent="0.2">
      <c r="A87">
        <v>86</v>
      </c>
    </row>
    <row r="88" spans="1:1" x14ac:dyDescent="0.2">
      <c r="A88">
        <v>87</v>
      </c>
    </row>
    <row r="89" spans="1:1" x14ac:dyDescent="0.2">
      <c r="A89">
        <v>88</v>
      </c>
    </row>
    <row r="90" spans="1:1" x14ac:dyDescent="0.2">
      <c r="A90">
        <v>89</v>
      </c>
    </row>
    <row r="91" spans="1:1" x14ac:dyDescent="0.2">
      <c r="A91">
        <v>90</v>
      </c>
    </row>
    <row r="92" spans="1:1" x14ac:dyDescent="0.2">
      <c r="A92">
        <v>91</v>
      </c>
    </row>
    <row r="93" spans="1:1" x14ac:dyDescent="0.2">
      <c r="A93">
        <v>92</v>
      </c>
    </row>
    <row r="94" spans="1:1" x14ac:dyDescent="0.2">
      <c r="A94">
        <v>93</v>
      </c>
    </row>
    <row r="95" spans="1:1" x14ac:dyDescent="0.2">
      <c r="A95">
        <v>94</v>
      </c>
    </row>
    <row r="96" spans="1:1" x14ac:dyDescent="0.2">
      <c r="A96">
        <v>95</v>
      </c>
    </row>
    <row r="97" spans="1:1" x14ac:dyDescent="0.2">
      <c r="A97">
        <v>96</v>
      </c>
    </row>
    <row r="98" spans="1:1" x14ac:dyDescent="0.2">
      <c r="A98">
        <v>97</v>
      </c>
    </row>
    <row r="99" spans="1:1" x14ac:dyDescent="0.2">
      <c r="A99">
        <v>98</v>
      </c>
    </row>
    <row r="100" spans="1:1" x14ac:dyDescent="0.2">
      <c r="A100">
        <v>99</v>
      </c>
    </row>
    <row r="101" spans="1:1" x14ac:dyDescent="0.2">
      <c r="A101">
        <v>100</v>
      </c>
    </row>
    <row r="102" spans="1:1" x14ac:dyDescent="0.2">
      <c r="A102">
        <v>101</v>
      </c>
    </row>
    <row r="103" spans="1:1" x14ac:dyDescent="0.2">
      <c r="A103">
        <v>102</v>
      </c>
    </row>
    <row r="104" spans="1:1" x14ac:dyDescent="0.2">
      <c r="A104">
        <v>103</v>
      </c>
    </row>
    <row r="105" spans="1:1" x14ac:dyDescent="0.2">
      <c r="A105">
        <v>104</v>
      </c>
    </row>
    <row r="106" spans="1:1" x14ac:dyDescent="0.2">
      <c r="A106">
        <v>105</v>
      </c>
    </row>
    <row r="107" spans="1:1" x14ac:dyDescent="0.2">
      <c r="A107">
        <v>106</v>
      </c>
    </row>
    <row r="108" spans="1:1" x14ac:dyDescent="0.2">
      <c r="A108">
        <v>107</v>
      </c>
    </row>
    <row r="109" spans="1:1" x14ac:dyDescent="0.2">
      <c r="A109">
        <v>108</v>
      </c>
    </row>
    <row r="110" spans="1:1" x14ac:dyDescent="0.2">
      <c r="A110">
        <v>109</v>
      </c>
    </row>
    <row r="111" spans="1:1" x14ac:dyDescent="0.2">
      <c r="A111">
        <v>110</v>
      </c>
    </row>
    <row r="112" spans="1:1" x14ac:dyDescent="0.2">
      <c r="A112">
        <v>111</v>
      </c>
    </row>
    <row r="113" spans="1:1" x14ac:dyDescent="0.2">
      <c r="A113">
        <v>112</v>
      </c>
    </row>
    <row r="114" spans="1:1" x14ac:dyDescent="0.2">
      <c r="A114">
        <v>113</v>
      </c>
    </row>
    <row r="115" spans="1:1" x14ac:dyDescent="0.2">
      <c r="A115">
        <v>114</v>
      </c>
    </row>
    <row r="116" spans="1:1" x14ac:dyDescent="0.2">
      <c r="A116">
        <v>115</v>
      </c>
    </row>
    <row r="117" spans="1:1" x14ac:dyDescent="0.2">
      <c r="A117">
        <v>116</v>
      </c>
    </row>
    <row r="118" spans="1:1" x14ac:dyDescent="0.2">
      <c r="A118">
        <v>117</v>
      </c>
    </row>
    <row r="119" spans="1:1" x14ac:dyDescent="0.2">
      <c r="A119">
        <v>118</v>
      </c>
    </row>
    <row r="120" spans="1:1" x14ac:dyDescent="0.2">
      <c r="A120">
        <v>119</v>
      </c>
    </row>
    <row r="121" spans="1:1" x14ac:dyDescent="0.2">
      <c r="A121">
        <v>120</v>
      </c>
    </row>
    <row r="122" spans="1:1" x14ac:dyDescent="0.2">
      <c r="A122">
        <v>121</v>
      </c>
    </row>
    <row r="123" spans="1:1" x14ac:dyDescent="0.2">
      <c r="A123">
        <v>122</v>
      </c>
    </row>
    <row r="124" spans="1:1" x14ac:dyDescent="0.2">
      <c r="A124">
        <v>123</v>
      </c>
    </row>
    <row r="125" spans="1:1" x14ac:dyDescent="0.2">
      <c r="A125">
        <v>124</v>
      </c>
    </row>
    <row r="126" spans="1:1" x14ac:dyDescent="0.2">
      <c r="A126">
        <v>125</v>
      </c>
    </row>
    <row r="127" spans="1:1" x14ac:dyDescent="0.2">
      <c r="A127">
        <v>126</v>
      </c>
    </row>
    <row r="128" spans="1:1" x14ac:dyDescent="0.2">
      <c r="A128">
        <v>127</v>
      </c>
    </row>
    <row r="129" spans="1:1" x14ac:dyDescent="0.2">
      <c r="A129">
        <v>128</v>
      </c>
    </row>
    <row r="130" spans="1:1" x14ac:dyDescent="0.2">
      <c r="A130">
        <v>129</v>
      </c>
    </row>
    <row r="131" spans="1:1" x14ac:dyDescent="0.2">
      <c r="A131">
        <v>130</v>
      </c>
    </row>
    <row r="132" spans="1:1" x14ac:dyDescent="0.2">
      <c r="A132">
        <v>131</v>
      </c>
    </row>
    <row r="133" spans="1:1" x14ac:dyDescent="0.2">
      <c r="A133">
        <v>132</v>
      </c>
    </row>
    <row r="134" spans="1:1" x14ac:dyDescent="0.2">
      <c r="A134">
        <v>133</v>
      </c>
    </row>
    <row r="135" spans="1:1" x14ac:dyDescent="0.2">
      <c r="A135">
        <v>134</v>
      </c>
    </row>
    <row r="136" spans="1:1" x14ac:dyDescent="0.2">
      <c r="A136">
        <v>135</v>
      </c>
    </row>
    <row r="137" spans="1:1" x14ac:dyDescent="0.2">
      <c r="A137">
        <v>136</v>
      </c>
    </row>
    <row r="138" spans="1:1" x14ac:dyDescent="0.2">
      <c r="A138">
        <v>137</v>
      </c>
    </row>
    <row r="139" spans="1:1" x14ac:dyDescent="0.2">
      <c r="A139">
        <v>138</v>
      </c>
    </row>
    <row r="140" spans="1:1" x14ac:dyDescent="0.2">
      <c r="A140">
        <v>139</v>
      </c>
    </row>
    <row r="141" spans="1:1" x14ac:dyDescent="0.2">
      <c r="A141">
        <v>140</v>
      </c>
    </row>
    <row r="142" spans="1:1" x14ac:dyDescent="0.2">
      <c r="A142">
        <v>141</v>
      </c>
    </row>
    <row r="143" spans="1:1" x14ac:dyDescent="0.2">
      <c r="A143">
        <v>142</v>
      </c>
    </row>
    <row r="144" spans="1:1" x14ac:dyDescent="0.2">
      <c r="A144">
        <v>143</v>
      </c>
    </row>
    <row r="145" spans="1:1" x14ac:dyDescent="0.2">
      <c r="A145">
        <v>144</v>
      </c>
    </row>
    <row r="146" spans="1:1" x14ac:dyDescent="0.2">
      <c r="A146">
        <v>145</v>
      </c>
    </row>
    <row r="147" spans="1:1" x14ac:dyDescent="0.2">
      <c r="A147">
        <v>146</v>
      </c>
    </row>
    <row r="148" spans="1:1" x14ac:dyDescent="0.2">
      <c r="A148">
        <v>147</v>
      </c>
    </row>
    <row r="149" spans="1:1" x14ac:dyDescent="0.2">
      <c r="A149">
        <v>148</v>
      </c>
    </row>
    <row r="150" spans="1:1" x14ac:dyDescent="0.2">
      <c r="A150">
        <v>149</v>
      </c>
    </row>
    <row r="151" spans="1:1" x14ac:dyDescent="0.2">
      <c r="A151">
        <v>150</v>
      </c>
    </row>
    <row r="152" spans="1:1" x14ac:dyDescent="0.2">
      <c r="A152">
        <v>151</v>
      </c>
    </row>
    <row r="153" spans="1:1" x14ac:dyDescent="0.2">
      <c r="A153">
        <v>152</v>
      </c>
    </row>
    <row r="154" spans="1:1" x14ac:dyDescent="0.2">
      <c r="A154">
        <v>153</v>
      </c>
    </row>
    <row r="155" spans="1:1" x14ac:dyDescent="0.2">
      <c r="A155">
        <v>154</v>
      </c>
    </row>
    <row r="156" spans="1:1" x14ac:dyDescent="0.2">
      <c r="A156">
        <v>155</v>
      </c>
    </row>
    <row r="157" spans="1:1" x14ac:dyDescent="0.2">
      <c r="A157">
        <v>156</v>
      </c>
    </row>
  </sheetData>
  <sheetProtection selectLockedCells="1" selectUnlockedCells="1"/>
  <pageMargins left="0.7" right="0.7" top="0.75" bottom="0.75" header="0.3" footer="0.3"/>
  <pageSetup paperSize="9" orientation="portrait" r:id="rId1"/>
  <tableParts count="2">
    <tablePart r:id="rId2"/>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11E6F-8554-407A-84E2-2479A6491A50}">
  <sheetPr codeName="Ark14"/>
  <dimension ref="A1:P157"/>
  <sheetViews>
    <sheetView showGridLines="0" showZeros="0" zoomScaleNormal="100" workbookViewId="0">
      <pane ySplit="1" topLeftCell="A2" activePane="bottomLeft" state="frozen"/>
      <selection activeCell="AO1" sqref="AO1"/>
      <selection pane="bottomLeft"/>
    </sheetView>
  </sheetViews>
  <sheetFormatPr baseColWidth="10" defaultColWidth="11.42578125" defaultRowHeight="12.75" x14ac:dyDescent="0.2"/>
  <cols>
    <col min="1" max="1" width="11.5703125" customWidth="1"/>
    <col min="4" max="5" width="11.5703125" style="1"/>
    <col min="9" max="10" width="17.42578125" customWidth="1"/>
    <col min="11" max="11" width="11.42578125" style="306"/>
  </cols>
  <sheetData>
    <row r="1" spans="1:16" x14ac:dyDescent="0.2">
      <c r="A1" s="422" t="str">
        <f>Dashboard!$B$12</f>
        <v>Rune Bjermeland</v>
      </c>
      <c r="B1" s="154"/>
      <c r="I1" t="s">
        <v>813</v>
      </c>
      <c r="K1" s="306" t="s">
        <v>814</v>
      </c>
      <c r="M1">
        <v>22</v>
      </c>
      <c r="O1" t="s">
        <v>815</v>
      </c>
      <c r="P1" t="s">
        <v>816</v>
      </c>
    </row>
    <row r="2" spans="1:16" x14ac:dyDescent="0.2">
      <c r="A2" s="22">
        <f>Data!AL1</f>
        <v>45885</v>
      </c>
      <c r="D2" s="147"/>
      <c r="H2" s="22">
        <f ca="1">IFERROR(IF(I2="","",Data!AL1),"")</f>
        <v>45885</v>
      </c>
      <c r="I2" cm="1">
        <f t="array" aca="1" ref="I2:I42" ca="1">IF(Dashboard!B12="Karl-Arne Frantzen",t_kaf[tp],IF(Dashboard!B12="Øyvind Granberg",t_øg[tp],IF(Dashboard!B12="Rune Bjermeland",t_rb[tp],IF(Dashboard!B12="Endre Brekkhus",t_eb[tp],IF(Dashboard!B12="Jim Holm",t_jh[tp],IF(Dashboard!B12="Tor Olav Håker",t_toh[tp],IF(Dashboard!B12="UTG",t_utg[tp],IF(Dashboard!B12="Alf Henrik Håker",t_ahh[tp],IF(Dashboard!B12="Levert Rekke",t_lev[tp])))))))))</f>
        <v>530</v>
      </c>
      <c r="J2" s="22">
        <f ca="1">H2</f>
        <v>45885</v>
      </c>
      <c r="K2" s="917" cm="1">
        <f t="array" aca="1" ref="K2:K42" ca="1">IF(Dashboard!B12="Karl-Arne Frantzen",t_kaf[Rank],IF(Dashboard!B12="Øyvind Granberg",t_øg[Rank],IF(Dashboard!B12="Rune Bjermeland",t_rb[Rank],IF(Dashboard!B12="Endre Brekkhus",t_eb[Rank],IF(Dashboard!B12="Jim Holm",t_jh[Rank],IF(Dashboard!B12="Tor Olav Håker",t_toh[Rank],IF(Dashboard!B12="Alf Henrik Håker",t_ahh[Rank],IF(Dashboard!B12="Levert rekke",t_lev[Rank],))))))))</f>
        <v>1</v>
      </c>
      <c r="L2">
        <f>Kuponger!D5</f>
        <v>33</v>
      </c>
      <c r="O2">
        <f ca="1">IFERROR(IF(I2="",#N/A,K2),#N/A)</f>
        <v>1</v>
      </c>
      <c r="P2">
        <f ca="1">IFERROR(IF(I2="",#N/A,I2),#N/A)</f>
        <v>530</v>
      </c>
    </row>
    <row r="3" spans="1:16" x14ac:dyDescent="0.2">
      <c r="A3" s="22">
        <f ca="1">Data!AL2</f>
        <v>45892</v>
      </c>
      <c r="B3" s="145" t="s">
        <v>817</v>
      </c>
      <c r="D3" s="147"/>
      <c r="H3" s="22">
        <f ca="1">IFERROR(IF(I3="","",Data!AL2),"")</f>
        <v>45892</v>
      </c>
      <c r="I3">
        <f ca="1"/>
        <v>610</v>
      </c>
      <c r="J3" s="22">
        <f t="shared" ref="J3:J66" ca="1" si="0">H3</f>
        <v>45892</v>
      </c>
      <c r="K3" s="306">
        <f ca="1"/>
        <v>2</v>
      </c>
      <c r="L3">
        <f>L2+$M$1</f>
        <v>55</v>
      </c>
      <c r="O3">
        <f t="shared" ref="O3:O42" ca="1" si="1">IFERROR(IF(I3="",#N/A,K3),#N/A)</f>
        <v>2</v>
      </c>
      <c r="P3">
        <f t="shared" ref="P3:P42" ca="1" si="2">IFERROR(IF(I3="",#N/A,I3),#N/A)</f>
        <v>610</v>
      </c>
    </row>
    <row r="4" spans="1:16" x14ac:dyDescent="0.2">
      <c r="A4" s="22">
        <f ca="1">Data!AL3</f>
        <v>45920</v>
      </c>
      <c r="B4" s="145" t="s">
        <v>762</v>
      </c>
      <c r="D4" s="147"/>
      <c r="H4" s="22">
        <f ca="1">IFERROR(IF(I4="","",Data!AL3),"")</f>
        <v>45920</v>
      </c>
      <c r="I4">
        <f ca="1"/>
        <v>400</v>
      </c>
      <c r="J4" s="22">
        <f t="shared" ca="1" si="0"/>
        <v>45920</v>
      </c>
      <c r="K4" s="306">
        <f ca="1"/>
        <v>8</v>
      </c>
      <c r="L4">
        <f t="shared" ref="L4:L42" si="3">L3+$M$1</f>
        <v>77</v>
      </c>
      <c r="O4">
        <f t="shared" ca="1" si="1"/>
        <v>8</v>
      </c>
      <c r="P4">
        <f t="shared" ca="1" si="2"/>
        <v>400</v>
      </c>
    </row>
    <row r="5" spans="1:16" x14ac:dyDescent="0.2">
      <c r="A5" s="22">
        <f ca="1">Data!AL4</f>
        <v>45927</v>
      </c>
      <c r="B5" s="145" t="s">
        <v>766</v>
      </c>
      <c r="D5" s="147"/>
      <c r="H5" s="22">
        <f ca="1">IFERROR(IF(I5="","",Data!AL4),"")</f>
        <v>45927</v>
      </c>
      <c r="I5">
        <f ca="1"/>
        <v>330</v>
      </c>
      <c r="J5" s="22">
        <f t="shared" ca="1" si="0"/>
        <v>45927</v>
      </c>
      <c r="K5" s="306">
        <f ca="1"/>
        <v>5</v>
      </c>
      <c r="L5">
        <f t="shared" si="3"/>
        <v>99</v>
      </c>
      <c r="O5">
        <f t="shared" ca="1" si="1"/>
        <v>5</v>
      </c>
      <c r="P5">
        <f t="shared" ca="1" si="2"/>
        <v>330</v>
      </c>
    </row>
    <row r="6" spans="1:16" x14ac:dyDescent="0.2">
      <c r="A6" s="22">
        <f ca="1">Data!AL5</f>
        <v>45934</v>
      </c>
      <c r="B6" s="145" t="s">
        <v>770</v>
      </c>
      <c r="D6" s="147"/>
      <c r="H6" s="22">
        <f ca="1">IFERROR(IF(I6="","",Data!AL5),"")</f>
        <v>45934</v>
      </c>
      <c r="I6">
        <f ca="1"/>
        <v>680</v>
      </c>
      <c r="J6" s="22">
        <f t="shared" ca="1" si="0"/>
        <v>45934</v>
      </c>
      <c r="K6" s="306">
        <f ca="1"/>
        <v>2</v>
      </c>
      <c r="L6">
        <f t="shared" si="3"/>
        <v>121</v>
      </c>
      <c r="O6">
        <f t="shared" ca="1" si="1"/>
        <v>2</v>
      </c>
      <c r="P6">
        <f t="shared" ca="1" si="2"/>
        <v>680</v>
      </c>
    </row>
    <row r="7" spans="1:16" x14ac:dyDescent="0.2">
      <c r="A7" s="22">
        <f ca="1">Data!AL6</f>
        <v>45941</v>
      </c>
      <c r="B7" s="145" t="s">
        <v>774</v>
      </c>
      <c r="D7" s="147"/>
      <c r="H7" s="22">
        <f ca="1">IFERROR(IF(I7="","",Data!AL6),"")</f>
        <v>45941</v>
      </c>
      <c r="I7">
        <f ca="1"/>
        <v>610</v>
      </c>
      <c r="J7" s="22">
        <f t="shared" ca="1" si="0"/>
        <v>45941</v>
      </c>
      <c r="K7" s="306">
        <f ca="1"/>
        <v>7</v>
      </c>
      <c r="L7">
        <f t="shared" si="3"/>
        <v>143</v>
      </c>
      <c r="O7">
        <f t="shared" ca="1" si="1"/>
        <v>7</v>
      </c>
      <c r="P7">
        <f t="shared" ca="1" si="2"/>
        <v>610</v>
      </c>
    </row>
    <row r="8" spans="1:16" x14ac:dyDescent="0.2">
      <c r="A8" s="22">
        <f ca="1">Data!AL7</f>
        <v>45948</v>
      </c>
      <c r="B8" s="145" t="s">
        <v>776</v>
      </c>
      <c r="D8" s="147"/>
      <c r="H8" s="22">
        <f ca="1">IFERROR(IF(I8="","",Data!AL7),"")</f>
        <v>45948</v>
      </c>
      <c r="I8">
        <f ca="1"/>
        <v>680</v>
      </c>
      <c r="J8" s="22">
        <f t="shared" ca="1" si="0"/>
        <v>45948</v>
      </c>
      <c r="K8" s="306">
        <f ca="1"/>
        <v>1</v>
      </c>
      <c r="L8">
        <f t="shared" si="3"/>
        <v>165</v>
      </c>
      <c r="O8">
        <f t="shared" ca="1" si="1"/>
        <v>1</v>
      </c>
      <c r="P8">
        <f t="shared" ca="1" si="2"/>
        <v>680</v>
      </c>
    </row>
    <row r="9" spans="1:16" x14ac:dyDescent="0.2">
      <c r="A9" s="22">
        <f ca="1">Data!AL8</f>
        <v>45955</v>
      </c>
      <c r="B9" s="145" t="s">
        <v>780</v>
      </c>
      <c r="D9" s="147"/>
      <c r="H9" s="22">
        <f ca="1">IFERROR(IF(I9="","",Data!AL8),"")</f>
        <v>45955</v>
      </c>
      <c r="I9">
        <f ca="1"/>
        <v>470</v>
      </c>
      <c r="J9" s="22">
        <f t="shared" ca="1" si="0"/>
        <v>45955</v>
      </c>
      <c r="K9" s="306">
        <f ca="1"/>
        <v>8</v>
      </c>
      <c r="L9">
        <f t="shared" si="3"/>
        <v>187</v>
      </c>
      <c r="O9">
        <f t="shared" ca="1" si="1"/>
        <v>8</v>
      </c>
      <c r="P9">
        <f t="shared" ca="1" si="2"/>
        <v>470</v>
      </c>
    </row>
    <row r="10" spans="1:16" x14ac:dyDescent="0.2">
      <c r="A10" s="22">
        <f ca="1">Data!AL9</f>
        <v>45962</v>
      </c>
      <c r="B10" s="145" t="s">
        <v>784</v>
      </c>
      <c r="D10" s="147"/>
      <c r="H10" s="22">
        <f ca="1">IFERROR(IF(I10="","",Data!AL9),"")</f>
        <v>45962</v>
      </c>
      <c r="I10">
        <f ca="1"/>
        <v>750</v>
      </c>
      <c r="J10" s="22">
        <f t="shared" ca="1" si="0"/>
        <v>45962</v>
      </c>
      <c r="K10" s="306">
        <f ca="1"/>
        <v>2</v>
      </c>
      <c r="L10">
        <f t="shared" si="3"/>
        <v>209</v>
      </c>
      <c r="O10">
        <f t="shared" ca="1" si="1"/>
        <v>2</v>
      </c>
      <c r="P10">
        <f t="shared" ca="1" si="2"/>
        <v>750</v>
      </c>
    </row>
    <row r="11" spans="1:16" x14ac:dyDescent="0.2">
      <c r="A11" s="22">
        <f ca="1">Data!AL10</f>
        <v>45969</v>
      </c>
      <c r="B11" s="145" t="s">
        <v>787</v>
      </c>
      <c r="D11" s="147"/>
      <c r="G11" s="4"/>
      <c r="H11" s="22">
        <f ca="1">IFERROR(IF(I11="","",Data!AL10),"")</f>
        <v>45969</v>
      </c>
      <c r="I11">
        <f ca="1"/>
        <v>610</v>
      </c>
      <c r="J11" s="22">
        <f t="shared" ca="1" si="0"/>
        <v>45969</v>
      </c>
      <c r="K11" s="306">
        <f ca="1"/>
        <v>2</v>
      </c>
      <c r="L11">
        <f t="shared" si="3"/>
        <v>231</v>
      </c>
      <c r="O11">
        <f t="shared" ca="1" si="1"/>
        <v>2</v>
      </c>
      <c r="P11">
        <f t="shared" ca="1" si="2"/>
        <v>610</v>
      </c>
    </row>
    <row r="12" spans="1:16" x14ac:dyDescent="0.2">
      <c r="A12" s="22">
        <f ca="1">Data!AL11</f>
        <v>45976</v>
      </c>
      <c r="B12" s="145" t="s">
        <v>790</v>
      </c>
      <c r="D12" s="147"/>
      <c r="H12" s="22">
        <f ca="1">IFERROR(IF(I12="","",Data!AL11),"")</f>
        <v>45976</v>
      </c>
      <c r="I12">
        <f ca="1"/>
        <v>540</v>
      </c>
      <c r="J12" s="22">
        <f t="shared" ca="1" si="0"/>
        <v>45976</v>
      </c>
      <c r="K12" s="306">
        <f ca="1"/>
        <v>6</v>
      </c>
      <c r="L12">
        <f t="shared" si="3"/>
        <v>253</v>
      </c>
      <c r="O12">
        <f t="shared" ca="1" si="1"/>
        <v>6</v>
      </c>
      <c r="P12">
        <f t="shared" ca="1" si="2"/>
        <v>540</v>
      </c>
    </row>
    <row r="13" spans="1:16" x14ac:dyDescent="0.2">
      <c r="A13" s="22">
        <f ca="1">Data!AL12</f>
        <v>45983</v>
      </c>
      <c r="D13" s="147"/>
      <c r="H13" s="22">
        <f ca="1">IFERROR(IF(I13="","",Data!AL12),"")</f>
        <v>45983</v>
      </c>
      <c r="I13">
        <f ca="1"/>
        <v>540</v>
      </c>
      <c r="J13" s="22">
        <f t="shared" ca="1" si="0"/>
        <v>45983</v>
      </c>
      <c r="K13" s="306">
        <f ca="1"/>
        <v>1</v>
      </c>
      <c r="L13">
        <f t="shared" si="3"/>
        <v>275</v>
      </c>
      <c r="O13">
        <f t="shared" ca="1" si="1"/>
        <v>1</v>
      </c>
      <c r="P13">
        <f t="shared" ca="1" si="2"/>
        <v>540</v>
      </c>
    </row>
    <row r="14" spans="1:16" x14ac:dyDescent="0.2">
      <c r="A14" s="22">
        <f ca="1">Data!AL13</f>
        <v>45990</v>
      </c>
      <c r="D14" s="147"/>
      <c r="H14" s="22">
        <f ca="1">IFERROR(IF(I14="","",Data!AL13),"")</f>
        <v>45990</v>
      </c>
      <c r="I14">
        <f ca="1"/>
        <v>640</v>
      </c>
      <c r="J14" s="22">
        <f t="shared" ca="1" si="0"/>
        <v>45990</v>
      </c>
      <c r="K14" s="306">
        <f ca="1"/>
        <v>2</v>
      </c>
      <c r="L14">
        <f t="shared" si="3"/>
        <v>297</v>
      </c>
      <c r="O14">
        <f t="shared" ca="1" si="1"/>
        <v>2</v>
      </c>
      <c r="P14">
        <f t="shared" ca="1" si="2"/>
        <v>640</v>
      </c>
    </row>
    <row r="15" spans="1:16" x14ac:dyDescent="0.2">
      <c r="A15" s="22">
        <f ca="1">Data!AL14</f>
        <v>45997</v>
      </c>
      <c r="D15" s="147"/>
      <c r="H15" s="22">
        <f ca="1">IFERROR(IF(I15="","",Data!AL14),"")</f>
        <v>45997</v>
      </c>
      <c r="I15">
        <f ca="1"/>
        <v>610</v>
      </c>
      <c r="J15" s="22">
        <f t="shared" ca="1" si="0"/>
        <v>45997</v>
      </c>
      <c r="K15" s="306">
        <f ca="1"/>
        <v>1</v>
      </c>
      <c r="L15">
        <f t="shared" si="3"/>
        <v>319</v>
      </c>
      <c r="O15">
        <f t="shared" ca="1" si="1"/>
        <v>1</v>
      </c>
      <c r="P15">
        <f t="shared" ca="1" si="2"/>
        <v>610</v>
      </c>
    </row>
    <row r="16" spans="1:16" x14ac:dyDescent="0.2">
      <c r="A16" s="22">
        <f ca="1">Data!AL15</f>
        <v>46004</v>
      </c>
      <c r="D16" s="147"/>
      <c r="H16" s="22">
        <f ca="1">IFERROR(IF(I16="","",Data!AL15),"")</f>
        <v>46004</v>
      </c>
      <c r="I16">
        <f ca="1"/>
        <v>680</v>
      </c>
      <c r="J16" s="22">
        <f t="shared" ca="1" si="0"/>
        <v>46004</v>
      </c>
      <c r="K16" s="306">
        <f ca="1"/>
        <v>1</v>
      </c>
      <c r="L16">
        <f t="shared" si="3"/>
        <v>341</v>
      </c>
      <c r="O16">
        <f t="shared" ca="1" si="1"/>
        <v>1</v>
      </c>
      <c r="P16">
        <f t="shared" ca="1" si="2"/>
        <v>680</v>
      </c>
    </row>
    <row r="17" spans="1:16" x14ac:dyDescent="0.2">
      <c r="A17" s="22">
        <f ca="1">Data!AL16</f>
        <v>46032</v>
      </c>
      <c r="D17" s="147"/>
      <c r="H17" s="22">
        <f ca="1">IFERROR(IF(I17="","",Data!AL16),"")</f>
        <v>46032</v>
      </c>
      <c r="I17">
        <f ca="1"/>
        <v>650</v>
      </c>
      <c r="J17" s="22">
        <f t="shared" ca="1" si="0"/>
        <v>46032</v>
      </c>
      <c r="K17" s="306">
        <f ca="1"/>
        <v>2</v>
      </c>
      <c r="L17">
        <f t="shared" si="3"/>
        <v>363</v>
      </c>
      <c r="O17">
        <f t="shared" ca="1" si="1"/>
        <v>2</v>
      </c>
      <c r="P17">
        <f t="shared" ca="1" si="2"/>
        <v>650</v>
      </c>
    </row>
    <row r="18" spans="1:16" x14ac:dyDescent="0.2">
      <c r="A18" s="22">
        <f ca="1">Data!AL17</f>
        <v>46039</v>
      </c>
      <c r="D18" s="147"/>
      <c r="H18" s="22">
        <f ca="1">IFERROR(IF(I18="","",Data!AL17),"")</f>
        <v>46039</v>
      </c>
      <c r="I18">
        <f ca="1"/>
        <v>260</v>
      </c>
      <c r="J18" s="22">
        <f t="shared" ca="1" si="0"/>
        <v>46039</v>
      </c>
      <c r="K18" s="306">
        <f ca="1"/>
        <v>8</v>
      </c>
      <c r="L18">
        <f t="shared" si="3"/>
        <v>385</v>
      </c>
      <c r="O18">
        <f t="shared" ca="1" si="1"/>
        <v>8</v>
      </c>
      <c r="P18">
        <f t="shared" ca="1" si="2"/>
        <v>260</v>
      </c>
    </row>
    <row r="19" spans="1:16" x14ac:dyDescent="0.2">
      <c r="A19" s="22">
        <f ca="1">Data!AL18</f>
        <v>46046</v>
      </c>
      <c r="D19" s="147"/>
      <c r="H19" s="22">
        <f ca="1">IFERROR(IF(I19="","",Data!AL18),"")</f>
        <v>46046</v>
      </c>
      <c r="I19">
        <f ca="1"/>
        <v>540</v>
      </c>
      <c r="J19" s="22">
        <f t="shared" ca="1" si="0"/>
        <v>46046</v>
      </c>
      <c r="K19" s="306">
        <f ca="1"/>
        <v>1</v>
      </c>
      <c r="L19">
        <f t="shared" si="3"/>
        <v>407</v>
      </c>
      <c r="O19">
        <f t="shared" ca="1" si="1"/>
        <v>1</v>
      </c>
      <c r="P19">
        <f t="shared" ca="1" si="2"/>
        <v>540</v>
      </c>
    </row>
    <row r="20" spans="1:16" x14ac:dyDescent="0.2">
      <c r="A20" s="22">
        <f ca="1">Data!AL19</f>
        <v>46053</v>
      </c>
      <c r="D20" s="147"/>
      <c r="H20" s="22">
        <f ca="1">IFERROR(IF(I20="","",Data!AL19),"")</f>
        <v>46053</v>
      </c>
      <c r="I20">
        <f ca="1"/>
        <v>470</v>
      </c>
      <c r="J20" s="22">
        <f t="shared" ca="1" si="0"/>
        <v>46053</v>
      </c>
      <c r="K20" s="306">
        <f ca="1"/>
        <v>7</v>
      </c>
      <c r="L20">
        <f t="shared" si="3"/>
        <v>429</v>
      </c>
      <c r="O20">
        <f t="shared" ca="1" si="1"/>
        <v>7</v>
      </c>
      <c r="P20">
        <f t="shared" ca="1" si="2"/>
        <v>470</v>
      </c>
    </row>
    <row r="21" spans="1:16" x14ac:dyDescent="0.2">
      <c r="A21" s="22">
        <f ca="1">Data!AL20</f>
        <v>46060</v>
      </c>
      <c r="D21" s="147"/>
      <c r="H21" s="22">
        <f ca="1">IFERROR(IF(I21="","",Data!AL20),"")</f>
        <v>46060</v>
      </c>
      <c r="I21">
        <f ca="1"/>
        <v>470</v>
      </c>
      <c r="J21" s="22">
        <f t="shared" ca="1" si="0"/>
        <v>46060</v>
      </c>
      <c r="K21" s="306">
        <f ca="1"/>
        <v>5</v>
      </c>
      <c r="L21">
        <f t="shared" si="3"/>
        <v>451</v>
      </c>
      <c r="O21">
        <f t="shared" ca="1" si="1"/>
        <v>5</v>
      </c>
      <c r="P21">
        <f t="shared" ca="1" si="2"/>
        <v>470</v>
      </c>
    </row>
    <row r="22" spans="1:16" x14ac:dyDescent="0.2">
      <c r="A22" s="22">
        <f ca="1">Data!AL21</f>
        <v>46067</v>
      </c>
      <c r="D22" s="147"/>
      <c r="H22" s="22">
        <f ca="1">IFERROR(IF(I22="","",Data!AL21),"")</f>
        <v>46067</v>
      </c>
      <c r="I22">
        <f ca="1"/>
        <v>420</v>
      </c>
      <c r="J22" s="22">
        <f t="shared" ca="1" si="0"/>
        <v>46067</v>
      </c>
      <c r="K22" s="306">
        <f ca="1"/>
        <v>9</v>
      </c>
      <c r="L22">
        <f t="shared" si="3"/>
        <v>473</v>
      </c>
      <c r="O22">
        <f t="shared" ca="1" si="1"/>
        <v>9</v>
      </c>
      <c r="P22">
        <f t="shared" ca="1" si="2"/>
        <v>420</v>
      </c>
    </row>
    <row r="23" spans="1:16" x14ac:dyDescent="0.2">
      <c r="A23" s="22">
        <f ca="1">Data!AL22</f>
        <v>46074</v>
      </c>
      <c r="D23" s="147"/>
      <c r="H23" s="22">
        <f ca="1">IFERROR(IF(I23="","",Data!AL22),"")</f>
        <v>46074</v>
      </c>
      <c r="I23">
        <f ca="1"/>
        <v>400</v>
      </c>
      <c r="J23" s="22">
        <f t="shared" ca="1" si="0"/>
        <v>46074</v>
      </c>
      <c r="K23" s="306">
        <f ca="1"/>
        <v>1</v>
      </c>
      <c r="L23">
        <f t="shared" si="3"/>
        <v>495</v>
      </c>
      <c r="O23">
        <f t="shared" ca="1" si="1"/>
        <v>1</v>
      </c>
      <c r="P23">
        <f t="shared" ca="1" si="2"/>
        <v>400</v>
      </c>
    </row>
    <row r="24" spans="1:16" x14ac:dyDescent="0.2">
      <c r="A24" s="22">
        <f ca="1">Data!AL23</f>
        <v>46081</v>
      </c>
      <c r="D24" s="147"/>
      <c r="H24" s="22">
        <f ca="1">IFERROR(IF(I24="","",Data!AL23),"")</f>
        <v>46081</v>
      </c>
      <c r="I24">
        <f ca="1"/>
        <v>610</v>
      </c>
      <c r="J24" s="22">
        <f t="shared" ca="1" si="0"/>
        <v>46081</v>
      </c>
      <c r="K24" s="306">
        <f ca="1"/>
        <v>4</v>
      </c>
      <c r="L24">
        <f t="shared" si="3"/>
        <v>517</v>
      </c>
      <c r="O24">
        <f t="shared" ca="1" si="1"/>
        <v>4</v>
      </c>
      <c r="P24">
        <f t="shared" ca="1" si="2"/>
        <v>610</v>
      </c>
    </row>
    <row r="25" spans="1:16" x14ac:dyDescent="0.2">
      <c r="A25" s="22">
        <f ca="1">Data!AL24</f>
        <v>46088</v>
      </c>
      <c r="D25" s="147"/>
      <c r="H25" s="22">
        <f ca="1">IFERROR(IF(I25="","",Data!AL24),"")</f>
        <v>46088</v>
      </c>
      <c r="I25">
        <f ca="1"/>
        <v>610</v>
      </c>
      <c r="J25" s="22">
        <f t="shared" ca="1" si="0"/>
        <v>46088</v>
      </c>
      <c r="K25" s="306">
        <f ca="1"/>
        <v>1</v>
      </c>
      <c r="L25">
        <f t="shared" si="3"/>
        <v>539</v>
      </c>
      <c r="O25">
        <f t="shared" ca="1" si="1"/>
        <v>1</v>
      </c>
      <c r="P25">
        <f t="shared" ca="1" si="2"/>
        <v>610</v>
      </c>
    </row>
    <row r="26" spans="1:16" x14ac:dyDescent="0.2">
      <c r="A26" s="22">
        <f ca="1">Data!AL25</f>
        <v>46095</v>
      </c>
      <c r="D26" s="147"/>
      <c r="H26" s="22">
        <f ca="1">IFERROR(IF(I26="","",Data!AL25),"")</f>
        <v>46095</v>
      </c>
      <c r="I26">
        <f ca="1"/>
        <v>470</v>
      </c>
      <c r="J26" s="22">
        <f t="shared" ca="1" si="0"/>
        <v>46095</v>
      </c>
      <c r="K26" s="306">
        <f ca="1"/>
        <v>2</v>
      </c>
      <c r="L26">
        <f t="shared" si="3"/>
        <v>561</v>
      </c>
      <c r="O26">
        <f t="shared" ca="1" si="1"/>
        <v>2</v>
      </c>
      <c r="P26">
        <f t="shared" ca="1" si="2"/>
        <v>470</v>
      </c>
    </row>
    <row r="27" spans="1:16" x14ac:dyDescent="0.2">
      <c r="A27" s="22">
        <f ca="1">Data!AL26</f>
        <v>46102</v>
      </c>
      <c r="D27" s="147"/>
      <c r="H27" s="22">
        <f ca="1">IFERROR(IF(I27="","",Data!AL26),"")</f>
        <v>46102</v>
      </c>
      <c r="I27">
        <f ca="1"/>
        <v>470</v>
      </c>
      <c r="J27" s="22">
        <f t="shared" ca="1" si="0"/>
        <v>46102</v>
      </c>
      <c r="K27" s="306">
        <f ca="1"/>
        <v>5</v>
      </c>
      <c r="L27">
        <f t="shared" si="3"/>
        <v>583</v>
      </c>
      <c r="O27">
        <f t="shared" ca="1" si="1"/>
        <v>5</v>
      </c>
      <c r="P27">
        <f t="shared" ca="1" si="2"/>
        <v>470</v>
      </c>
    </row>
    <row r="28" spans="1:16" x14ac:dyDescent="0.2">
      <c r="A28" s="22">
        <f ca="1">Data!AL27</f>
        <v>46109</v>
      </c>
      <c r="D28" s="147"/>
      <c r="H28" s="22">
        <f ca="1">IFERROR(IF(I28="","",Data!AL27),"")</f>
        <v>46109</v>
      </c>
      <c r="I28">
        <f ca="1"/>
        <v>510</v>
      </c>
      <c r="J28" s="22">
        <f t="shared" ca="1" si="0"/>
        <v>46109</v>
      </c>
      <c r="K28" s="306">
        <f ca="1"/>
        <v>2</v>
      </c>
      <c r="L28">
        <f t="shared" si="3"/>
        <v>605</v>
      </c>
      <c r="O28">
        <f t="shared" ca="1" si="1"/>
        <v>2</v>
      </c>
      <c r="P28">
        <f t="shared" ca="1" si="2"/>
        <v>510</v>
      </c>
    </row>
    <row r="29" spans="1:16" x14ac:dyDescent="0.2">
      <c r="A29" s="22">
        <f ca="1">Data!AL28</f>
        <v>46123</v>
      </c>
      <c r="D29" s="147"/>
      <c r="H29" s="22">
        <f ca="1">IFERROR(IF(I29="","",Data!AL28),"")</f>
        <v>46123</v>
      </c>
      <c r="I29">
        <f ca="1"/>
        <v>580</v>
      </c>
      <c r="J29" s="22">
        <f t="shared" ca="1" si="0"/>
        <v>46123</v>
      </c>
      <c r="K29" s="306">
        <f ca="1"/>
        <v>1</v>
      </c>
      <c r="L29">
        <f t="shared" si="3"/>
        <v>627</v>
      </c>
      <c r="O29">
        <f t="shared" ca="1" si="1"/>
        <v>1</v>
      </c>
      <c r="P29">
        <f t="shared" ca="1" si="2"/>
        <v>580</v>
      </c>
    </row>
    <row r="30" spans="1:16" x14ac:dyDescent="0.2">
      <c r="A30" s="22">
        <f ca="1">Data!AL29</f>
        <v>46130</v>
      </c>
      <c r="D30" s="147"/>
      <c r="H30" s="22">
        <f ca="1">IFERROR(IF(I30="","",Data!AL29),"")</f>
        <v>46130</v>
      </c>
      <c r="I30">
        <f ca="1"/>
        <v>400</v>
      </c>
      <c r="J30" s="22">
        <f t="shared" ca="1" si="0"/>
        <v>46130</v>
      </c>
      <c r="K30" s="306">
        <f ca="1"/>
        <v>7</v>
      </c>
      <c r="L30">
        <f t="shared" si="3"/>
        <v>649</v>
      </c>
      <c r="O30">
        <f t="shared" ca="1" si="1"/>
        <v>7</v>
      </c>
      <c r="P30">
        <f t="shared" ca="1" si="2"/>
        <v>400</v>
      </c>
    </row>
    <row r="31" spans="1:16" x14ac:dyDescent="0.2">
      <c r="A31" s="22">
        <f ca="1">Data!AL30</f>
        <v>46137</v>
      </c>
      <c r="D31" s="147"/>
      <c r="H31" s="22">
        <f ca="1">IFERROR(IF(I31="","",Data!AL30),"")</f>
        <v>46137</v>
      </c>
      <c r="I31">
        <f ca="1"/>
        <v>570</v>
      </c>
      <c r="J31" s="22">
        <f t="shared" ca="1" si="0"/>
        <v>46137</v>
      </c>
      <c r="K31" s="306">
        <f ca="1"/>
        <v>6</v>
      </c>
      <c r="L31">
        <f t="shared" si="3"/>
        <v>671</v>
      </c>
      <c r="O31">
        <f t="shared" ca="1" si="1"/>
        <v>6</v>
      </c>
      <c r="P31">
        <f t="shared" ca="1" si="2"/>
        <v>570</v>
      </c>
    </row>
    <row r="32" spans="1:16" x14ac:dyDescent="0.2">
      <c r="A32" s="22">
        <f ca="1">Data!AL31</f>
        <v>46144</v>
      </c>
      <c r="D32" s="147"/>
      <c r="H32" s="22">
        <f ca="1">IFERROR(IF(I32="","",Data!AL31),"")</f>
        <v>46144</v>
      </c>
      <c r="I32">
        <f ca="1"/>
        <v>610</v>
      </c>
      <c r="J32" s="22">
        <f t="shared" ca="1" si="0"/>
        <v>46144</v>
      </c>
      <c r="K32" s="306">
        <f ca="1"/>
        <v>1</v>
      </c>
      <c r="L32">
        <f t="shared" si="3"/>
        <v>693</v>
      </c>
      <c r="O32">
        <f t="shared" ca="1" si="1"/>
        <v>1</v>
      </c>
      <c r="P32">
        <f t="shared" ca="1" si="2"/>
        <v>610</v>
      </c>
    </row>
    <row r="33" spans="1:16" x14ac:dyDescent="0.2">
      <c r="A33" s="22">
        <f ca="1">Data!AL32</f>
        <v>46151</v>
      </c>
      <c r="D33" s="147"/>
      <c r="H33" s="22">
        <f ca="1">IFERROR(IF(I33="","",Data!AL32),"")</f>
        <v>46151</v>
      </c>
      <c r="I33">
        <f ca="1"/>
        <v>600</v>
      </c>
      <c r="J33" s="22">
        <f t="shared" ca="1" si="0"/>
        <v>46151</v>
      </c>
      <c r="K33" s="306">
        <f ca="1"/>
        <v>2</v>
      </c>
      <c r="L33">
        <f t="shared" si="3"/>
        <v>715</v>
      </c>
      <c r="O33">
        <f t="shared" ca="1" si="1"/>
        <v>2</v>
      </c>
      <c r="P33">
        <f t="shared" ca="1" si="2"/>
        <v>600</v>
      </c>
    </row>
    <row r="34" spans="1:16" x14ac:dyDescent="0.2">
      <c r="A34" s="22" t="str">
        <f ca="1">Data!AL33</f>
        <v/>
      </c>
      <c r="D34" s="147"/>
      <c r="H34" s="22" t="str">
        <f ca="1">IFERROR(IF(I34="","",Data!AL33),"")</f>
        <v/>
      </c>
      <c r="I34" t="str">
        <f ca="1"/>
        <v/>
      </c>
      <c r="J34" s="22" t="str">
        <f t="shared" ca="1" si="0"/>
        <v/>
      </c>
      <c r="K34" s="306" t="str">
        <f ca="1"/>
        <v/>
      </c>
      <c r="L34">
        <f t="shared" si="3"/>
        <v>737</v>
      </c>
      <c r="O34" t="e">
        <f t="shared" ca="1" si="1"/>
        <v>#N/A</v>
      </c>
      <c r="P34" t="e">
        <f t="shared" ca="1" si="2"/>
        <v>#N/A</v>
      </c>
    </row>
    <row r="35" spans="1:16" x14ac:dyDescent="0.2">
      <c r="A35" s="22" t="str">
        <f ca="1">Data!AL34</f>
        <v/>
      </c>
      <c r="D35" s="147"/>
      <c r="H35" s="22" t="str">
        <f ca="1">IFERROR(IF(I35="","",Data!AL34),"")</f>
        <v/>
      </c>
      <c r="I35" t="str">
        <f ca="1"/>
        <v/>
      </c>
      <c r="J35" s="22" t="str">
        <f t="shared" ca="1" si="0"/>
        <v/>
      </c>
      <c r="K35" s="306" t="str">
        <f ca="1"/>
        <v/>
      </c>
      <c r="L35">
        <f t="shared" si="3"/>
        <v>759</v>
      </c>
      <c r="O35" t="e">
        <f t="shared" ca="1" si="1"/>
        <v>#N/A</v>
      </c>
      <c r="P35" t="e">
        <f t="shared" ca="1" si="2"/>
        <v>#N/A</v>
      </c>
    </row>
    <row r="36" spans="1:16" x14ac:dyDescent="0.2">
      <c r="A36" s="22" t="str">
        <f ca="1">Data!AL35</f>
        <v/>
      </c>
      <c r="D36" s="147"/>
      <c r="H36" s="22" t="str">
        <f ca="1">IFERROR(IF(I36="","",Data!AL35),"")</f>
        <v/>
      </c>
      <c r="I36" t="str">
        <f ca="1"/>
        <v/>
      </c>
      <c r="J36" s="22" t="str">
        <f t="shared" ca="1" si="0"/>
        <v/>
      </c>
      <c r="K36" s="306" t="str">
        <f ca="1"/>
        <v/>
      </c>
      <c r="L36">
        <f t="shared" si="3"/>
        <v>781</v>
      </c>
      <c r="O36" t="e">
        <f t="shared" ca="1" si="1"/>
        <v>#N/A</v>
      </c>
      <c r="P36" t="e">
        <f t="shared" ca="1" si="2"/>
        <v>#N/A</v>
      </c>
    </row>
    <row r="37" spans="1:16" x14ac:dyDescent="0.2">
      <c r="A37" s="22" t="str">
        <f ca="1">Data!AL36</f>
        <v/>
      </c>
      <c r="D37" s="147"/>
      <c r="H37" s="22" t="str">
        <f ca="1">IFERROR(IF(I37="","",Data!AL36),"")</f>
        <v/>
      </c>
      <c r="I37" t="str">
        <f ca="1"/>
        <v/>
      </c>
      <c r="J37" s="22" t="str">
        <f t="shared" ca="1" si="0"/>
        <v/>
      </c>
      <c r="K37" s="306" t="str">
        <f ca="1"/>
        <v/>
      </c>
      <c r="L37">
        <f t="shared" si="3"/>
        <v>803</v>
      </c>
      <c r="O37" t="e">
        <f t="shared" ca="1" si="1"/>
        <v>#N/A</v>
      </c>
      <c r="P37" t="e">
        <f t="shared" ca="1" si="2"/>
        <v>#N/A</v>
      </c>
    </row>
    <row r="38" spans="1:16" x14ac:dyDescent="0.2">
      <c r="A38" s="22" t="str">
        <f ca="1">Data!AL37</f>
        <v/>
      </c>
      <c r="D38" s="147"/>
      <c r="H38" s="22" t="str">
        <f ca="1">IFERROR(IF(I38="","",Data!AL37),"")</f>
        <v/>
      </c>
      <c r="I38" t="str">
        <f ca="1"/>
        <v/>
      </c>
      <c r="J38" s="22" t="str">
        <f t="shared" ca="1" si="0"/>
        <v/>
      </c>
      <c r="K38" s="306" t="str">
        <f ca="1"/>
        <v/>
      </c>
      <c r="L38">
        <f t="shared" si="3"/>
        <v>825</v>
      </c>
      <c r="O38" t="e">
        <f t="shared" ca="1" si="1"/>
        <v>#N/A</v>
      </c>
      <c r="P38" t="e">
        <f t="shared" ca="1" si="2"/>
        <v>#N/A</v>
      </c>
    </row>
    <row r="39" spans="1:16" x14ac:dyDescent="0.2">
      <c r="A39" s="22" t="str">
        <f ca="1">Data!AL38</f>
        <v/>
      </c>
      <c r="D39" s="147"/>
      <c r="H39" s="22" t="str">
        <f ca="1">IFERROR(IF(I39="","",Data!AL38),"")</f>
        <v/>
      </c>
      <c r="I39" t="str">
        <f ca="1"/>
        <v/>
      </c>
      <c r="J39" s="22" t="str">
        <f t="shared" ca="1" si="0"/>
        <v/>
      </c>
      <c r="K39" s="306" t="str">
        <f ca="1"/>
        <v/>
      </c>
      <c r="L39">
        <f t="shared" si="3"/>
        <v>847</v>
      </c>
      <c r="O39" t="e">
        <f t="shared" ca="1" si="1"/>
        <v>#N/A</v>
      </c>
      <c r="P39" t="e">
        <f t="shared" ca="1" si="2"/>
        <v>#N/A</v>
      </c>
    </row>
    <row r="40" spans="1:16" x14ac:dyDescent="0.2">
      <c r="A40" s="22" t="str">
        <f ca="1">Data!AL39</f>
        <v/>
      </c>
      <c r="D40" s="147"/>
      <c r="H40" s="22" t="str">
        <f ca="1">IFERROR(IF(I40="","",Data!AL39),"")</f>
        <v/>
      </c>
      <c r="I40" t="str">
        <f ca="1"/>
        <v/>
      </c>
      <c r="J40" s="22" t="str">
        <f t="shared" ca="1" si="0"/>
        <v/>
      </c>
      <c r="K40" s="306" t="str">
        <f ca="1"/>
        <v/>
      </c>
      <c r="L40">
        <f t="shared" si="3"/>
        <v>869</v>
      </c>
      <c r="O40" t="e">
        <f t="shared" ca="1" si="1"/>
        <v>#N/A</v>
      </c>
      <c r="P40" t="e">
        <f t="shared" ca="1" si="2"/>
        <v>#N/A</v>
      </c>
    </row>
    <row r="41" spans="1:16" x14ac:dyDescent="0.2">
      <c r="A41" s="22" t="str">
        <f ca="1">Data!AL40</f>
        <v/>
      </c>
      <c r="D41" s="147"/>
      <c r="H41" s="22" t="str">
        <f ca="1">IFERROR(IF(I41="","",Data!AL40),"")</f>
        <v/>
      </c>
      <c r="I41" t="str">
        <f ca="1"/>
        <v/>
      </c>
      <c r="J41" s="22" t="str">
        <f t="shared" ca="1" si="0"/>
        <v/>
      </c>
      <c r="K41" s="306" t="str">
        <f ca="1"/>
        <v/>
      </c>
      <c r="L41">
        <f t="shared" si="3"/>
        <v>891</v>
      </c>
      <c r="O41" t="e">
        <f t="shared" ca="1" si="1"/>
        <v>#N/A</v>
      </c>
      <c r="P41" t="e">
        <f t="shared" ca="1" si="2"/>
        <v>#N/A</v>
      </c>
    </row>
    <row r="42" spans="1:16" x14ac:dyDescent="0.2">
      <c r="A42" s="22" t="str">
        <f ca="1">Data!AL41</f>
        <v/>
      </c>
      <c r="D42" s="147"/>
      <c r="H42" s="22" t="str">
        <f ca="1">IFERROR(IF(I42="","",Data!AL41),"")</f>
        <v/>
      </c>
      <c r="I42" t="str">
        <f ca="1"/>
        <v/>
      </c>
      <c r="J42" s="22" t="str">
        <f t="shared" ca="1" si="0"/>
        <v/>
      </c>
      <c r="K42" s="306" t="str">
        <f ca="1"/>
        <v/>
      </c>
      <c r="L42">
        <f t="shared" si="3"/>
        <v>913</v>
      </c>
      <c r="O42" t="e">
        <f t="shared" ca="1" si="1"/>
        <v>#N/A</v>
      </c>
      <c r="P42" t="e">
        <f t="shared" ca="1" si="2"/>
        <v>#N/A</v>
      </c>
    </row>
    <row r="43" spans="1:16" x14ac:dyDescent="0.2">
      <c r="D43" s="147"/>
      <c r="H43" s="22" t="str">
        <f>IFERROR(IF(I43="","",Data!AL42),"")</f>
        <v/>
      </c>
      <c r="J43" s="22" t="str">
        <f t="shared" si="0"/>
        <v/>
      </c>
    </row>
    <row r="44" spans="1:16" x14ac:dyDescent="0.2">
      <c r="D44" s="147"/>
      <c r="H44" s="22" t="str">
        <f>IFERROR(IF(I44="","",Data!AL43),"")</f>
        <v/>
      </c>
      <c r="J44" s="22" t="str">
        <f t="shared" si="0"/>
        <v/>
      </c>
    </row>
    <row r="45" spans="1:16" x14ac:dyDescent="0.2">
      <c r="D45" s="147"/>
      <c r="H45" s="22" t="str">
        <f>IFERROR(IF(I45="","",Data!AL44),"")</f>
        <v/>
      </c>
      <c r="J45" s="22" t="str">
        <f t="shared" si="0"/>
        <v/>
      </c>
    </row>
    <row r="46" spans="1:16" x14ac:dyDescent="0.2">
      <c r="D46" s="147"/>
      <c r="H46" s="22" t="str">
        <f>IFERROR(IF(I46="","",Data!AL45),"")</f>
        <v/>
      </c>
      <c r="J46" s="22" t="str">
        <f t="shared" si="0"/>
        <v/>
      </c>
    </row>
    <row r="47" spans="1:16" x14ac:dyDescent="0.2">
      <c r="D47" s="147"/>
      <c r="H47" s="22" t="str">
        <f>IFERROR(IF(I47="","",Data!AL46),"")</f>
        <v/>
      </c>
      <c r="J47" s="22" t="str">
        <f t="shared" si="0"/>
        <v/>
      </c>
    </row>
    <row r="48" spans="1:16" x14ac:dyDescent="0.2">
      <c r="D48" s="147"/>
      <c r="H48" s="22" t="str">
        <f>IFERROR(IF(I48="","",Data!AL47),"")</f>
        <v/>
      </c>
      <c r="J48" s="22" t="str">
        <f t="shared" si="0"/>
        <v/>
      </c>
    </row>
    <row r="49" spans="4:10" x14ac:dyDescent="0.2">
      <c r="D49" s="147"/>
      <c r="H49" s="22" t="str">
        <f>IFERROR(IF(I49="","",Data!AL48),"")</f>
        <v/>
      </c>
      <c r="J49" s="22" t="str">
        <f t="shared" si="0"/>
        <v/>
      </c>
    </row>
    <row r="50" spans="4:10" x14ac:dyDescent="0.2">
      <c r="D50" s="147"/>
      <c r="H50" s="22" t="str">
        <f>IFERROR(IF(I50="","",Data!AL49),"")</f>
        <v/>
      </c>
      <c r="J50" s="22" t="str">
        <f t="shared" si="0"/>
        <v/>
      </c>
    </row>
    <row r="51" spans="4:10" x14ac:dyDescent="0.2">
      <c r="D51" s="147"/>
      <c r="H51" s="22" t="str">
        <f>IFERROR(IF(I51="","",Data!AL50),"")</f>
        <v/>
      </c>
      <c r="J51" s="22" t="str">
        <f t="shared" si="0"/>
        <v/>
      </c>
    </row>
    <row r="52" spans="4:10" x14ac:dyDescent="0.2">
      <c r="D52" s="147"/>
      <c r="H52" s="22" t="str">
        <f>IFERROR(IF(I52="","",Data!AL51),"")</f>
        <v/>
      </c>
      <c r="J52" s="22" t="str">
        <f t="shared" si="0"/>
        <v/>
      </c>
    </row>
    <row r="53" spans="4:10" x14ac:dyDescent="0.2">
      <c r="D53" s="147"/>
      <c r="H53" s="22" t="str">
        <f>IFERROR(IF(I53="","",Data!AL52),"")</f>
        <v/>
      </c>
      <c r="J53" s="22" t="str">
        <f t="shared" si="0"/>
        <v/>
      </c>
    </row>
    <row r="54" spans="4:10" x14ac:dyDescent="0.2">
      <c r="H54" s="22" t="str">
        <f>IFERROR(IF(I54="","",Data!AL53),"")</f>
        <v/>
      </c>
      <c r="J54" s="22" t="str">
        <f t="shared" si="0"/>
        <v/>
      </c>
    </row>
    <row r="55" spans="4:10" x14ac:dyDescent="0.2">
      <c r="H55" s="22" t="str">
        <f>IFERROR(IF(I55="","",Data!AL54),"")</f>
        <v/>
      </c>
      <c r="J55" s="22" t="str">
        <f t="shared" si="0"/>
        <v/>
      </c>
    </row>
    <row r="56" spans="4:10" x14ac:dyDescent="0.2">
      <c r="H56" s="22" t="str">
        <f>IFERROR(IF(I56="","",Data!AL55),"")</f>
        <v/>
      </c>
      <c r="J56" s="22" t="str">
        <f t="shared" si="0"/>
        <v/>
      </c>
    </row>
    <row r="57" spans="4:10" x14ac:dyDescent="0.2">
      <c r="H57" s="22" t="str">
        <f>IFERROR(IF(I57="","",Data!AL56),"")</f>
        <v/>
      </c>
      <c r="J57" s="22" t="str">
        <f t="shared" si="0"/>
        <v/>
      </c>
    </row>
    <row r="58" spans="4:10" x14ac:dyDescent="0.2">
      <c r="H58" s="22" t="str">
        <f>IFERROR(IF(I58="","",Data!AL57),"")</f>
        <v/>
      </c>
      <c r="J58" s="22" t="str">
        <f t="shared" si="0"/>
        <v/>
      </c>
    </row>
    <row r="59" spans="4:10" x14ac:dyDescent="0.2">
      <c r="H59" s="22" t="str">
        <f>IFERROR(IF(I59="","",Data!AL58),"")</f>
        <v/>
      </c>
      <c r="J59" s="22" t="str">
        <f t="shared" si="0"/>
        <v/>
      </c>
    </row>
    <row r="60" spans="4:10" x14ac:dyDescent="0.2">
      <c r="H60" s="22" t="str">
        <f>IFERROR(IF(I60="","",Data!AL59),"")</f>
        <v/>
      </c>
      <c r="J60" s="22" t="str">
        <f t="shared" si="0"/>
        <v/>
      </c>
    </row>
    <row r="61" spans="4:10" x14ac:dyDescent="0.2">
      <c r="H61" s="22" t="str">
        <f>IFERROR(IF(I61="","",Data!AL60),"")</f>
        <v/>
      </c>
      <c r="J61" s="22" t="str">
        <f t="shared" si="0"/>
        <v/>
      </c>
    </row>
    <row r="62" spans="4:10" x14ac:dyDescent="0.2">
      <c r="H62" s="22" t="str">
        <f>IFERROR(IF(I62="","",Data!AL61),"")</f>
        <v/>
      </c>
      <c r="J62" s="22" t="str">
        <f t="shared" si="0"/>
        <v/>
      </c>
    </row>
    <row r="63" spans="4:10" x14ac:dyDescent="0.2">
      <c r="H63" s="22" t="str">
        <f>IFERROR(IF(I63="","",Data!AL62),"")</f>
        <v/>
      </c>
      <c r="J63" s="22" t="str">
        <f t="shared" si="0"/>
        <v/>
      </c>
    </row>
    <row r="64" spans="4:10" x14ac:dyDescent="0.2">
      <c r="H64" s="22" t="str">
        <f>IFERROR(IF(I64="","",Data!AL63),"")</f>
        <v/>
      </c>
      <c r="J64" s="22" t="str">
        <f t="shared" si="0"/>
        <v/>
      </c>
    </row>
    <row r="65" spans="8:10" x14ac:dyDescent="0.2">
      <c r="H65" s="22" t="str">
        <f>IFERROR(IF(I65="","",Data!AL64),"")</f>
        <v/>
      </c>
      <c r="J65" s="22" t="str">
        <f t="shared" si="0"/>
        <v/>
      </c>
    </row>
    <row r="66" spans="8:10" x14ac:dyDescent="0.2">
      <c r="H66" s="22" t="str">
        <f>IFERROR(IF(I66="","",Data!AL65),"")</f>
        <v/>
      </c>
      <c r="J66" s="22" t="str">
        <f t="shared" si="0"/>
        <v/>
      </c>
    </row>
    <row r="67" spans="8:10" x14ac:dyDescent="0.2">
      <c r="H67" s="22" t="str">
        <f>IFERROR(IF(I67="","",Data!AL66),"")</f>
        <v/>
      </c>
      <c r="J67" s="22" t="str">
        <f t="shared" ref="J67:J130" si="4">H67</f>
        <v/>
      </c>
    </row>
    <row r="68" spans="8:10" x14ac:dyDescent="0.2">
      <c r="H68" s="22" t="str">
        <f>IFERROR(IF(I68="","",Data!AL67),"")</f>
        <v/>
      </c>
      <c r="J68" s="22" t="str">
        <f t="shared" si="4"/>
        <v/>
      </c>
    </row>
    <row r="69" spans="8:10" x14ac:dyDescent="0.2">
      <c r="H69" s="22" t="str">
        <f>IFERROR(IF(I69="","",Data!AL68),"")</f>
        <v/>
      </c>
      <c r="J69" s="22" t="str">
        <f t="shared" si="4"/>
        <v/>
      </c>
    </row>
    <row r="70" spans="8:10" x14ac:dyDescent="0.2">
      <c r="H70" s="22" t="str">
        <f>IFERROR(IF(I70="","",Data!AL69),"")</f>
        <v/>
      </c>
      <c r="J70" s="22" t="str">
        <f t="shared" si="4"/>
        <v/>
      </c>
    </row>
    <row r="71" spans="8:10" x14ac:dyDescent="0.2">
      <c r="H71" s="22" t="str">
        <f>IFERROR(IF(I71="","",Data!AL70),"")</f>
        <v/>
      </c>
      <c r="J71" s="22" t="str">
        <f t="shared" si="4"/>
        <v/>
      </c>
    </row>
    <row r="72" spans="8:10" x14ac:dyDescent="0.2">
      <c r="H72" s="22" t="str">
        <f>IFERROR(IF(I72="","",Data!AL71),"")</f>
        <v/>
      </c>
      <c r="J72" s="22" t="str">
        <f t="shared" si="4"/>
        <v/>
      </c>
    </row>
    <row r="73" spans="8:10" x14ac:dyDescent="0.2">
      <c r="H73" s="22" t="str">
        <f>IFERROR(IF(I73="","",Data!AL72),"")</f>
        <v/>
      </c>
      <c r="J73" s="22" t="str">
        <f t="shared" si="4"/>
        <v/>
      </c>
    </row>
    <row r="74" spans="8:10" x14ac:dyDescent="0.2">
      <c r="H74" s="22" t="str">
        <f>IFERROR(IF(I74="","",Data!AL73),"")</f>
        <v/>
      </c>
      <c r="J74" s="22" t="str">
        <f t="shared" si="4"/>
        <v/>
      </c>
    </row>
    <row r="75" spans="8:10" x14ac:dyDescent="0.2">
      <c r="H75" s="22" t="str">
        <f>IFERROR(IF(I75="","",Data!AL74),"")</f>
        <v/>
      </c>
      <c r="J75" s="22" t="str">
        <f t="shared" si="4"/>
        <v/>
      </c>
    </row>
    <row r="76" spans="8:10" x14ac:dyDescent="0.2">
      <c r="H76" s="22" t="str">
        <f>IFERROR(IF(I76="","",Data!AL75),"")</f>
        <v/>
      </c>
      <c r="J76" s="22" t="str">
        <f t="shared" si="4"/>
        <v/>
      </c>
    </row>
    <row r="77" spans="8:10" x14ac:dyDescent="0.2">
      <c r="H77" s="22" t="str">
        <f>IFERROR(IF(I77="","",Data!AL76),"")</f>
        <v/>
      </c>
      <c r="J77" s="22" t="str">
        <f t="shared" si="4"/>
        <v/>
      </c>
    </row>
    <row r="78" spans="8:10" x14ac:dyDescent="0.2">
      <c r="H78" s="22" t="str">
        <f>IFERROR(IF(I78="","",Data!AL77),"")</f>
        <v/>
      </c>
      <c r="J78" s="22" t="str">
        <f t="shared" si="4"/>
        <v/>
      </c>
    </row>
    <row r="79" spans="8:10" x14ac:dyDescent="0.2">
      <c r="H79" s="22" t="str">
        <f>IFERROR(IF(I79="","",Data!AL78),"")</f>
        <v/>
      </c>
      <c r="J79" s="22" t="str">
        <f t="shared" si="4"/>
        <v/>
      </c>
    </row>
    <row r="80" spans="8:10" x14ac:dyDescent="0.2">
      <c r="H80" s="22" t="str">
        <f>IFERROR(IF(I80="","",Data!AL79),"")</f>
        <v/>
      </c>
      <c r="J80" s="22" t="str">
        <f t="shared" si="4"/>
        <v/>
      </c>
    </row>
    <row r="81" spans="8:10" x14ac:dyDescent="0.2">
      <c r="H81" s="22" t="str">
        <f>IFERROR(IF(I81="","",Data!AL80),"")</f>
        <v/>
      </c>
      <c r="J81" s="22" t="str">
        <f t="shared" si="4"/>
        <v/>
      </c>
    </row>
    <row r="82" spans="8:10" x14ac:dyDescent="0.2">
      <c r="H82" s="22" t="str">
        <f>IFERROR(IF(I82="","",Data!AL81),"")</f>
        <v/>
      </c>
      <c r="J82" s="22" t="str">
        <f t="shared" si="4"/>
        <v/>
      </c>
    </row>
    <row r="83" spans="8:10" x14ac:dyDescent="0.2">
      <c r="H83" s="22" t="str">
        <f>IFERROR(IF(I83="","",Data!AL82),"")</f>
        <v/>
      </c>
      <c r="J83" s="22" t="str">
        <f t="shared" si="4"/>
        <v/>
      </c>
    </row>
    <row r="84" spans="8:10" x14ac:dyDescent="0.2">
      <c r="H84" s="22" t="str">
        <f>IFERROR(IF(I84="","",Data!AL83),"")</f>
        <v/>
      </c>
      <c r="J84" s="22" t="str">
        <f t="shared" si="4"/>
        <v/>
      </c>
    </row>
    <row r="85" spans="8:10" x14ac:dyDescent="0.2">
      <c r="H85" s="22" t="str">
        <f>IFERROR(IF(I85="","",Data!AL84),"")</f>
        <v/>
      </c>
      <c r="J85" s="22" t="str">
        <f t="shared" si="4"/>
        <v/>
      </c>
    </row>
    <row r="86" spans="8:10" x14ac:dyDescent="0.2">
      <c r="H86" s="22" t="str">
        <f>IFERROR(IF(I86="","",Data!AL85),"")</f>
        <v/>
      </c>
      <c r="J86" s="22" t="str">
        <f t="shared" si="4"/>
        <v/>
      </c>
    </row>
    <row r="87" spans="8:10" x14ac:dyDescent="0.2">
      <c r="H87" s="22" t="str">
        <f>IFERROR(IF(I87="","",Data!AL86),"")</f>
        <v/>
      </c>
      <c r="J87" s="22" t="str">
        <f t="shared" si="4"/>
        <v/>
      </c>
    </row>
    <row r="88" spans="8:10" x14ac:dyDescent="0.2">
      <c r="H88" s="22" t="str">
        <f>IFERROR(IF(I88="","",Data!AL87),"")</f>
        <v/>
      </c>
      <c r="J88" s="22" t="str">
        <f t="shared" si="4"/>
        <v/>
      </c>
    </row>
    <row r="89" spans="8:10" x14ac:dyDescent="0.2">
      <c r="H89" s="22" t="str">
        <f>IFERROR(IF(I89="","",Data!AL88),"")</f>
        <v/>
      </c>
      <c r="J89" s="22" t="str">
        <f t="shared" si="4"/>
        <v/>
      </c>
    </row>
    <row r="90" spans="8:10" x14ac:dyDescent="0.2">
      <c r="H90" s="22" t="str">
        <f>IFERROR(IF(I90="","",Data!AL89),"")</f>
        <v/>
      </c>
      <c r="J90" s="22" t="str">
        <f t="shared" si="4"/>
        <v/>
      </c>
    </row>
    <row r="91" spans="8:10" x14ac:dyDescent="0.2">
      <c r="H91" s="22" t="str">
        <f>IFERROR(IF(I91="","",Data!AL90),"")</f>
        <v/>
      </c>
      <c r="J91" s="22" t="str">
        <f t="shared" si="4"/>
        <v/>
      </c>
    </row>
    <row r="92" spans="8:10" x14ac:dyDescent="0.2">
      <c r="H92" s="22" t="str">
        <f>IFERROR(IF(I92="","",Data!AL91),"")</f>
        <v/>
      </c>
      <c r="J92" s="22" t="str">
        <f t="shared" si="4"/>
        <v/>
      </c>
    </row>
    <row r="93" spans="8:10" x14ac:dyDescent="0.2">
      <c r="H93" s="22" t="str">
        <f>IFERROR(IF(I93="","",Data!AL92),"")</f>
        <v/>
      </c>
      <c r="J93" s="22" t="str">
        <f t="shared" si="4"/>
        <v/>
      </c>
    </row>
    <row r="94" spans="8:10" x14ac:dyDescent="0.2">
      <c r="H94" s="22" t="str">
        <f>IFERROR(IF(I94="","",Data!AL93),"")</f>
        <v/>
      </c>
      <c r="J94" s="22" t="str">
        <f t="shared" si="4"/>
        <v/>
      </c>
    </row>
    <row r="95" spans="8:10" x14ac:dyDescent="0.2">
      <c r="H95" s="22" t="str">
        <f>IFERROR(IF(I95="","",Data!AL94),"")</f>
        <v/>
      </c>
      <c r="J95" s="22" t="str">
        <f t="shared" si="4"/>
        <v/>
      </c>
    </row>
    <row r="96" spans="8:10" x14ac:dyDescent="0.2">
      <c r="H96" s="22" t="str">
        <f>IFERROR(IF(I96="","",Data!AL95),"")</f>
        <v/>
      </c>
      <c r="J96" s="22" t="str">
        <f t="shared" si="4"/>
        <v/>
      </c>
    </row>
    <row r="97" spans="8:10" x14ac:dyDescent="0.2">
      <c r="H97" s="22" t="str">
        <f>IFERROR(IF(I97="","",Data!AL96),"")</f>
        <v/>
      </c>
      <c r="J97" s="22" t="str">
        <f t="shared" si="4"/>
        <v/>
      </c>
    </row>
    <row r="98" spans="8:10" x14ac:dyDescent="0.2">
      <c r="H98" s="22" t="str">
        <f>IFERROR(IF(I98="","",Data!AL97),"")</f>
        <v/>
      </c>
      <c r="J98" s="22" t="str">
        <f t="shared" si="4"/>
        <v/>
      </c>
    </row>
    <row r="99" spans="8:10" x14ac:dyDescent="0.2">
      <c r="H99" s="22" t="str">
        <f>IFERROR(IF(I99="","",Data!AL98),"")</f>
        <v/>
      </c>
      <c r="J99" s="22" t="str">
        <f t="shared" si="4"/>
        <v/>
      </c>
    </row>
    <row r="100" spans="8:10" x14ac:dyDescent="0.2">
      <c r="H100" s="22" t="str">
        <f>IFERROR(IF(I100="","",Data!AL99),"")</f>
        <v/>
      </c>
      <c r="J100" s="22" t="str">
        <f t="shared" si="4"/>
        <v/>
      </c>
    </row>
    <row r="101" spans="8:10" x14ac:dyDescent="0.2">
      <c r="H101" s="22" t="str">
        <f>IFERROR(IF(I101="","",Data!AL100),"")</f>
        <v/>
      </c>
      <c r="J101" s="22" t="str">
        <f t="shared" si="4"/>
        <v/>
      </c>
    </row>
    <row r="102" spans="8:10" x14ac:dyDescent="0.2">
      <c r="H102" s="22" t="str">
        <f>IFERROR(IF(I102="","",Data!AL101),"")</f>
        <v/>
      </c>
      <c r="J102" s="22" t="str">
        <f t="shared" si="4"/>
        <v/>
      </c>
    </row>
    <row r="103" spans="8:10" x14ac:dyDescent="0.2">
      <c r="H103" s="22" t="str">
        <f>IFERROR(IF(I103="","",Data!AL102),"")</f>
        <v/>
      </c>
      <c r="J103" s="22" t="str">
        <f t="shared" si="4"/>
        <v/>
      </c>
    </row>
    <row r="104" spans="8:10" x14ac:dyDescent="0.2">
      <c r="H104" s="22" t="str">
        <f>IFERROR(IF(I104="","",Data!AL103),"")</f>
        <v/>
      </c>
      <c r="J104" s="22" t="str">
        <f t="shared" si="4"/>
        <v/>
      </c>
    </row>
    <row r="105" spans="8:10" x14ac:dyDescent="0.2">
      <c r="H105" s="22" t="str">
        <f>IFERROR(IF(I105="","",Data!AL104),"")</f>
        <v/>
      </c>
      <c r="J105" s="22" t="str">
        <f t="shared" si="4"/>
        <v/>
      </c>
    </row>
    <row r="106" spans="8:10" x14ac:dyDescent="0.2">
      <c r="H106" s="22" t="str">
        <f>IFERROR(IF(I106="","",Data!AL105),"")</f>
        <v/>
      </c>
      <c r="J106" s="22" t="str">
        <f t="shared" si="4"/>
        <v/>
      </c>
    </row>
    <row r="107" spans="8:10" x14ac:dyDescent="0.2">
      <c r="H107" s="22" t="str">
        <f>IFERROR(IF(I107="","",Data!AL106),"")</f>
        <v/>
      </c>
      <c r="J107" s="22" t="str">
        <f t="shared" si="4"/>
        <v/>
      </c>
    </row>
    <row r="108" spans="8:10" x14ac:dyDescent="0.2">
      <c r="H108" s="22" t="str">
        <f>IFERROR(IF(I108="","",Data!AL107),"")</f>
        <v/>
      </c>
      <c r="J108" s="22" t="str">
        <f t="shared" si="4"/>
        <v/>
      </c>
    </row>
    <row r="109" spans="8:10" x14ac:dyDescent="0.2">
      <c r="H109" s="22" t="str">
        <f>IFERROR(IF(I109="","",Data!AL108),"")</f>
        <v/>
      </c>
      <c r="J109" s="22" t="str">
        <f t="shared" si="4"/>
        <v/>
      </c>
    </row>
    <row r="110" spans="8:10" x14ac:dyDescent="0.2">
      <c r="H110" s="22" t="str">
        <f>IFERROR(IF(I110="","",Data!AL109),"")</f>
        <v/>
      </c>
      <c r="J110" s="22" t="str">
        <f t="shared" si="4"/>
        <v/>
      </c>
    </row>
    <row r="111" spans="8:10" x14ac:dyDescent="0.2">
      <c r="H111" s="22" t="str">
        <f>IFERROR(IF(I111="","",Data!AL110),"")</f>
        <v/>
      </c>
      <c r="J111" s="22" t="str">
        <f t="shared" si="4"/>
        <v/>
      </c>
    </row>
    <row r="112" spans="8:10" x14ac:dyDescent="0.2">
      <c r="H112" s="22" t="str">
        <f>IFERROR(IF(I112="","",Data!AL111),"")</f>
        <v/>
      </c>
      <c r="J112" s="22" t="str">
        <f t="shared" si="4"/>
        <v/>
      </c>
    </row>
    <row r="113" spans="8:10" x14ac:dyDescent="0.2">
      <c r="H113" s="22" t="str">
        <f>IFERROR(IF(I113="","",Data!AL112),"")</f>
        <v/>
      </c>
      <c r="J113" s="22" t="str">
        <f t="shared" si="4"/>
        <v/>
      </c>
    </row>
    <row r="114" spans="8:10" x14ac:dyDescent="0.2">
      <c r="H114" s="22" t="str">
        <f>IFERROR(IF(I114="","",Data!AL113),"")</f>
        <v/>
      </c>
      <c r="J114" s="22" t="str">
        <f t="shared" si="4"/>
        <v/>
      </c>
    </row>
    <row r="115" spans="8:10" x14ac:dyDescent="0.2">
      <c r="H115" s="22" t="str">
        <f>IFERROR(IF(I115="","",Data!AL114),"")</f>
        <v/>
      </c>
      <c r="J115" s="22" t="str">
        <f t="shared" si="4"/>
        <v/>
      </c>
    </row>
    <row r="116" spans="8:10" x14ac:dyDescent="0.2">
      <c r="H116" s="22" t="str">
        <f>IFERROR(IF(I116="","",Data!AL115),"")</f>
        <v/>
      </c>
      <c r="J116" s="22" t="str">
        <f t="shared" si="4"/>
        <v/>
      </c>
    </row>
    <row r="117" spans="8:10" x14ac:dyDescent="0.2">
      <c r="H117" s="22" t="str">
        <f>IFERROR(IF(I117="","",Data!AL116),"")</f>
        <v/>
      </c>
      <c r="J117" s="22" t="str">
        <f t="shared" si="4"/>
        <v/>
      </c>
    </row>
    <row r="118" spans="8:10" x14ac:dyDescent="0.2">
      <c r="H118" s="22" t="str">
        <f>IFERROR(IF(I118="","",Data!AL117),"")</f>
        <v/>
      </c>
      <c r="J118" s="22" t="str">
        <f t="shared" si="4"/>
        <v/>
      </c>
    </row>
    <row r="119" spans="8:10" x14ac:dyDescent="0.2">
      <c r="H119" s="22" t="str">
        <f>IFERROR(IF(I119="","",Data!AL118),"")</f>
        <v/>
      </c>
      <c r="J119" s="22" t="str">
        <f t="shared" si="4"/>
        <v/>
      </c>
    </row>
    <row r="120" spans="8:10" x14ac:dyDescent="0.2">
      <c r="H120" s="22" t="str">
        <f>IFERROR(IF(I120="","",Data!AL119),"")</f>
        <v/>
      </c>
      <c r="J120" s="22" t="str">
        <f t="shared" si="4"/>
        <v/>
      </c>
    </row>
    <row r="121" spans="8:10" x14ac:dyDescent="0.2">
      <c r="H121" s="22" t="str">
        <f>IFERROR(IF(I121="","",Data!AL120),"")</f>
        <v/>
      </c>
      <c r="J121" s="22" t="str">
        <f t="shared" si="4"/>
        <v/>
      </c>
    </row>
    <row r="122" spans="8:10" x14ac:dyDescent="0.2">
      <c r="H122" s="22" t="str">
        <f>IFERROR(IF(I122="","",Data!AL121),"")</f>
        <v/>
      </c>
      <c r="J122" s="22" t="str">
        <f t="shared" si="4"/>
        <v/>
      </c>
    </row>
    <row r="123" spans="8:10" x14ac:dyDescent="0.2">
      <c r="H123" s="22" t="str">
        <f>IFERROR(IF(I123="","",Data!AL122),"")</f>
        <v/>
      </c>
      <c r="J123" s="22" t="str">
        <f t="shared" si="4"/>
        <v/>
      </c>
    </row>
    <row r="124" spans="8:10" x14ac:dyDescent="0.2">
      <c r="H124" s="22" t="str">
        <f>IFERROR(IF(I124="","",Data!AL123),"")</f>
        <v/>
      </c>
      <c r="J124" s="22" t="str">
        <f t="shared" si="4"/>
        <v/>
      </c>
    </row>
    <row r="125" spans="8:10" x14ac:dyDescent="0.2">
      <c r="H125" s="22" t="str">
        <f>IFERROR(IF(I125="","",Data!AL124),"")</f>
        <v/>
      </c>
      <c r="J125" s="22" t="str">
        <f t="shared" si="4"/>
        <v/>
      </c>
    </row>
    <row r="126" spans="8:10" x14ac:dyDescent="0.2">
      <c r="H126" s="22" t="str">
        <f>IFERROR(IF(I126="","",Data!AL125),"")</f>
        <v/>
      </c>
      <c r="J126" s="22" t="str">
        <f t="shared" si="4"/>
        <v/>
      </c>
    </row>
    <row r="127" spans="8:10" x14ac:dyDescent="0.2">
      <c r="H127" s="22" t="str">
        <f>IFERROR(IF(I127="","",Data!AL126),"")</f>
        <v/>
      </c>
      <c r="J127" s="22" t="str">
        <f t="shared" si="4"/>
        <v/>
      </c>
    </row>
    <row r="128" spans="8:10" x14ac:dyDescent="0.2">
      <c r="H128" s="22" t="str">
        <f>IFERROR(IF(I128="","",Data!AL127),"")</f>
        <v/>
      </c>
      <c r="J128" s="22" t="str">
        <f t="shared" si="4"/>
        <v/>
      </c>
    </row>
    <row r="129" spans="8:10" x14ac:dyDescent="0.2">
      <c r="H129" s="22" t="str">
        <f>IFERROR(IF(I129="","",Data!AL128),"")</f>
        <v/>
      </c>
      <c r="J129" s="22" t="str">
        <f t="shared" si="4"/>
        <v/>
      </c>
    </row>
    <row r="130" spans="8:10" x14ac:dyDescent="0.2">
      <c r="H130" s="22" t="str">
        <f>IFERROR(IF(I130="","",Data!AL129),"")</f>
        <v/>
      </c>
      <c r="J130" s="22" t="str">
        <f t="shared" si="4"/>
        <v/>
      </c>
    </row>
    <row r="131" spans="8:10" x14ac:dyDescent="0.2">
      <c r="H131" s="22" t="str">
        <f>IFERROR(IF(I131="","",Data!AL130),"")</f>
        <v/>
      </c>
      <c r="J131" s="22" t="str">
        <f t="shared" ref="J131:J157" si="5">H131</f>
        <v/>
      </c>
    </row>
    <row r="132" spans="8:10" x14ac:dyDescent="0.2">
      <c r="H132" s="22" t="str">
        <f>IFERROR(IF(I132="","",Data!AL131),"")</f>
        <v/>
      </c>
      <c r="J132" s="22" t="str">
        <f t="shared" si="5"/>
        <v/>
      </c>
    </row>
    <row r="133" spans="8:10" x14ac:dyDescent="0.2">
      <c r="H133" s="22" t="str">
        <f>IFERROR(IF(I133="","",Data!AL132),"")</f>
        <v/>
      </c>
      <c r="J133" s="22" t="str">
        <f t="shared" si="5"/>
        <v/>
      </c>
    </row>
    <row r="134" spans="8:10" x14ac:dyDescent="0.2">
      <c r="H134" s="22" t="str">
        <f>IFERROR(IF(I134="","",Data!AL133),"")</f>
        <v/>
      </c>
      <c r="J134" s="22" t="str">
        <f t="shared" si="5"/>
        <v/>
      </c>
    </row>
    <row r="135" spans="8:10" x14ac:dyDescent="0.2">
      <c r="H135" s="22" t="str">
        <f>IFERROR(IF(I135="","",Data!AL134),"")</f>
        <v/>
      </c>
      <c r="J135" s="22" t="str">
        <f t="shared" si="5"/>
        <v/>
      </c>
    </row>
    <row r="136" spans="8:10" x14ac:dyDescent="0.2">
      <c r="H136" s="22" t="str">
        <f>IFERROR(IF(I136="","",Data!AL135),"")</f>
        <v/>
      </c>
      <c r="J136" s="22" t="str">
        <f t="shared" si="5"/>
        <v/>
      </c>
    </row>
    <row r="137" spans="8:10" x14ac:dyDescent="0.2">
      <c r="H137" s="22" t="str">
        <f>IFERROR(IF(I137="","",Data!AL136),"")</f>
        <v/>
      </c>
      <c r="J137" s="22" t="str">
        <f t="shared" si="5"/>
        <v/>
      </c>
    </row>
    <row r="138" spans="8:10" x14ac:dyDescent="0.2">
      <c r="H138" s="22" t="str">
        <f>IFERROR(IF(I138="","",Data!AL137),"")</f>
        <v/>
      </c>
      <c r="J138" s="22" t="str">
        <f t="shared" si="5"/>
        <v/>
      </c>
    </row>
    <row r="139" spans="8:10" x14ac:dyDescent="0.2">
      <c r="H139" s="22" t="str">
        <f>IFERROR(IF(I139="","",Data!AL138),"")</f>
        <v/>
      </c>
      <c r="J139" s="22" t="str">
        <f t="shared" si="5"/>
        <v/>
      </c>
    </row>
    <row r="140" spans="8:10" x14ac:dyDescent="0.2">
      <c r="H140" s="22" t="str">
        <f>IFERROR(IF(I140="","",Data!AL139),"")</f>
        <v/>
      </c>
      <c r="J140" s="22" t="str">
        <f t="shared" si="5"/>
        <v/>
      </c>
    </row>
    <row r="141" spans="8:10" x14ac:dyDescent="0.2">
      <c r="H141" s="22" t="str">
        <f>IFERROR(IF(I141="","",Data!AL140),"")</f>
        <v/>
      </c>
      <c r="J141" s="22" t="str">
        <f t="shared" si="5"/>
        <v/>
      </c>
    </row>
    <row r="142" spans="8:10" x14ac:dyDescent="0.2">
      <c r="H142" s="22" t="str">
        <f>IFERROR(IF(I142="","",Data!AL141),"")</f>
        <v/>
      </c>
      <c r="J142" s="22" t="str">
        <f t="shared" si="5"/>
        <v/>
      </c>
    </row>
    <row r="143" spans="8:10" x14ac:dyDescent="0.2">
      <c r="H143" s="22" t="str">
        <f>IFERROR(IF(I143="","",Data!AL142),"")</f>
        <v/>
      </c>
      <c r="J143" s="22" t="str">
        <f t="shared" si="5"/>
        <v/>
      </c>
    </row>
    <row r="144" spans="8:10" x14ac:dyDescent="0.2">
      <c r="H144" s="22" t="str">
        <f>IFERROR(IF(I144="","",Data!AL143),"")</f>
        <v/>
      </c>
      <c r="J144" s="22" t="str">
        <f t="shared" si="5"/>
        <v/>
      </c>
    </row>
    <row r="145" spans="8:10" x14ac:dyDescent="0.2">
      <c r="H145" s="22" t="str">
        <f>IFERROR(IF(I145="","",Data!AL144),"")</f>
        <v/>
      </c>
      <c r="J145" s="22" t="str">
        <f t="shared" si="5"/>
        <v/>
      </c>
    </row>
    <row r="146" spans="8:10" x14ac:dyDescent="0.2">
      <c r="H146" s="22" t="str">
        <f>IFERROR(IF(I146="","",Data!AL145),"")</f>
        <v/>
      </c>
      <c r="J146" s="22" t="str">
        <f t="shared" si="5"/>
        <v/>
      </c>
    </row>
    <row r="147" spans="8:10" x14ac:dyDescent="0.2">
      <c r="H147" s="22" t="str">
        <f>IFERROR(IF(I147="","",Data!AL146),"")</f>
        <v/>
      </c>
      <c r="J147" s="22" t="str">
        <f t="shared" si="5"/>
        <v/>
      </c>
    </row>
    <row r="148" spans="8:10" x14ac:dyDescent="0.2">
      <c r="H148" s="22" t="str">
        <f>IFERROR(IF(I148="","",Data!AL147),"")</f>
        <v/>
      </c>
      <c r="J148" s="22" t="str">
        <f t="shared" si="5"/>
        <v/>
      </c>
    </row>
    <row r="149" spans="8:10" x14ac:dyDescent="0.2">
      <c r="H149" s="22" t="str">
        <f>IFERROR(IF(I149="","",Data!AL148),"")</f>
        <v/>
      </c>
      <c r="J149" s="22" t="str">
        <f t="shared" si="5"/>
        <v/>
      </c>
    </row>
    <row r="150" spans="8:10" x14ac:dyDescent="0.2">
      <c r="H150" s="22" t="str">
        <f>IFERROR(IF(I150="","",Data!AL149),"")</f>
        <v/>
      </c>
      <c r="J150" s="22" t="str">
        <f t="shared" si="5"/>
        <v/>
      </c>
    </row>
    <row r="151" spans="8:10" x14ac:dyDescent="0.2">
      <c r="H151" s="22" t="str">
        <f>IFERROR(IF(I151="","",Data!AL150),"")</f>
        <v/>
      </c>
      <c r="J151" s="22" t="str">
        <f t="shared" si="5"/>
        <v/>
      </c>
    </row>
    <row r="152" spans="8:10" x14ac:dyDescent="0.2">
      <c r="H152" s="22" t="str">
        <f>IFERROR(IF(I152="","",Data!AL151),"")</f>
        <v/>
      </c>
      <c r="J152" s="22" t="str">
        <f t="shared" si="5"/>
        <v/>
      </c>
    </row>
    <row r="153" spans="8:10" x14ac:dyDescent="0.2">
      <c r="H153" s="22" t="str">
        <f>IFERROR(IF(I153="","",Data!AL152),"")</f>
        <v/>
      </c>
      <c r="J153" s="22" t="str">
        <f t="shared" si="5"/>
        <v/>
      </c>
    </row>
    <row r="154" spans="8:10" x14ac:dyDescent="0.2">
      <c r="H154" s="22" t="str">
        <f>IFERROR(IF(I154="","",Data!AL153),"")</f>
        <v/>
      </c>
      <c r="J154" s="22" t="str">
        <f t="shared" si="5"/>
        <v/>
      </c>
    </row>
    <row r="155" spans="8:10" x14ac:dyDescent="0.2">
      <c r="H155" s="22" t="str">
        <f>IFERROR(IF(I155="","",Data!AL154),"")</f>
        <v/>
      </c>
      <c r="J155" s="22" t="str">
        <f t="shared" si="5"/>
        <v/>
      </c>
    </row>
    <row r="156" spans="8:10" x14ac:dyDescent="0.2">
      <c r="H156" s="22" t="str">
        <f>IFERROR(IF(I156="","",Data!AL155),"")</f>
        <v/>
      </c>
      <c r="J156" s="22" t="str">
        <f t="shared" si="5"/>
        <v/>
      </c>
    </row>
    <row r="157" spans="8:10" x14ac:dyDescent="0.2">
      <c r="H157" s="22" t="str">
        <f>IFERROR(IF(I157="","",Data!AL156),"")</f>
        <v/>
      </c>
      <c r="J157" s="22" t="str">
        <f t="shared" si="5"/>
        <v/>
      </c>
    </row>
  </sheetData>
  <autoFilter ref="O1:P42" xr:uid="{3EA11E6F-8554-407A-84E2-2479A6491A50}"/>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12F2A-7D7D-4514-937D-8FAAB5F89364}">
  <sheetPr codeName="Ark6"/>
  <dimension ref="C3:BI38"/>
  <sheetViews>
    <sheetView showGridLines="0" topLeftCell="M7" zoomScale="130" zoomScaleNormal="130" workbookViewId="0">
      <selection activeCell="AO1" sqref="AO1"/>
    </sheetView>
  </sheetViews>
  <sheetFormatPr baseColWidth="10" defaultColWidth="11.42578125" defaultRowHeight="12.75" x14ac:dyDescent="0.2"/>
  <sheetData>
    <row r="3" spans="3:61" x14ac:dyDescent="0.2">
      <c r="C3" t="str">
        <f>Data!$F$11</f>
        <v>Alf Henrik Håker</v>
      </c>
      <c r="N3" t="s">
        <v>818</v>
      </c>
      <c r="Q3" t="s">
        <v>819</v>
      </c>
      <c r="T3" t="s">
        <v>820</v>
      </c>
      <c r="W3" t="s">
        <v>821</v>
      </c>
      <c r="Z3" t="s">
        <v>822</v>
      </c>
      <c r="AC3" t="s">
        <v>823</v>
      </c>
      <c r="AG3" t="s">
        <v>824</v>
      </c>
      <c r="AJ3" t="s">
        <v>825</v>
      </c>
      <c r="AM3" t="s">
        <v>826</v>
      </c>
      <c r="AP3" t="s">
        <v>827</v>
      </c>
      <c r="AS3" t="s">
        <v>828</v>
      </c>
      <c r="AV3" t="s">
        <v>829</v>
      </c>
      <c r="AY3" t="s">
        <v>830</v>
      </c>
      <c r="BB3" t="s">
        <v>831</v>
      </c>
      <c r="BE3" t="s">
        <v>832</v>
      </c>
      <c r="BH3" t="s">
        <v>833</v>
      </c>
    </row>
    <row r="4" spans="3:61" x14ac:dyDescent="0.2">
      <c r="N4" t="s">
        <v>21</v>
      </c>
      <c r="O4">
        <v>670</v>
      </c>
      <c r="Q4" t="s">
        <v>21</v>
      </c>
      <c r="R4">
        <v>640</v>
      </c>
      <c r="T4" t="s">
        <v>21</v>
      </c>
      <c r="U4">
        <v>590</v>
      </c>
      <c r="W4" t="s">
        <v>21</v>
      </c>
      <c r="X4">
        <v>686</v>
      </c>
      <c r="Z4" t="s">
        <v>24</v>
      </c>
      <c r="AA4">
        <v>553</v>
      </c>
      <c r="AC4" t="s">
        <v>24</v>
      </c>
      <c r="AD4">
        <v>754</v>
      </c>
      <c r="AG4" t="s">
        <v>20</v>
      </c>
      <c r="AH4">
        <v>969</v>
      </c>
      <c r="AJ4" t="s">
        <v>19</v>
      </c>
      <c r="AK4">
        <v>734</v>
      </c>
      <c r="AM4" t="s">
        <v>23</v>
      </c>
      <c r="AN4">
        <v>639</v>
      </c>
      <c r="AP4" t="s">
        <v>24</v>
      </c>
      <c r="AQ4">
        <v>618</v>
      </c>
      <c r="AS4" t="s">
        <v>25</v>
      </c>
      <c r="AT4">
        <v>661</v>
      </c>
      <c r="AV4" t="s">
        <v>19</v>
      </c>
      <c r="AW4">
        <v>644</v>
      </c>
      <c r="AY4" t="s">
        <v>22</v>
      </c>
      <c r="AZ4">
        <v>637</v>
      </c>
      <c r="BB4" t="s">
        <v>25</v>
      </c>
      <c r="BC4">
        <v>651</v>
      </c>
      <c r="BE4" t="s">
        <v>21</v>
      </c>
      <c r="BF4">
        <v>609</v>
      </c>
      <c r="BH4" t="s">
        <v>21</v>
      </c>
      <c r="BI4">
        <v>168</v>
      </c>
    </row>
    <row r="5" spans="3:61" x14ac:dyDescent="0.2">
      <c r="C5" t="s">
        <v>7</v>
      </c>
      <c r="D5">
        <f ca="1">SUMIF(t_ahh[hp],"&lt;&gt;#I/T")</f>
        <v>9350</v>
      </c>
      <c r="N5" t="s">
        <v>23</v>
      </c>
      <c r="O5">
        <v>720</v>
      </c>
      <c r="Q5" t="s">
        <v>23</v>
      </c>
      <c r="R5">
        <v>660</v>
      </c>
      <c r="T5" t="s">
        <v>23</v>
      </c>
      <c r="U5">
        <v>710</v>
      </c>
      <c r="W5" t="s">
        <v>23</v>
      </c>
      <c r="X5">
        <v>680</v>
      </c>
      <c r="Z5" t="s">
        <v>25</v>
      </c>
      <c r="AA5">
        <v>547</v>
      </c>
      <c r="AC5" t="s">
        <v>22</v>
      </c>
      <c r="AD5">
        <v>488</v>
      </c>
      <c r="AG5" t="s">
        <v>22</v>
      </c>
      <c r="AH5">
        <v>957</v>
      </c>
      <c r="AJ5" t="s">
        <v>22</v>
      </c>
      <c r="AK5">
        <v>673</v>
      </c>
      <c r="AM5" t="s">
        <v>20</v>
      </c>
      <c r="AN5">
        <v>630</v>
      </c>
      <c r="AP5" t="s">
        <v>25</v>
      </c>
      <c r="AQ5">
        <v>616</v>
      </c>
      <c r="AS5" t="s">
        <v>19</v>
      </c>
      <c r="AT5">
        <v>644</v>
      </c>
      <c r="AV5" t="s">
        <v>22</v>
      </c>
      <c r="AW5">
        <v>537</v>
      </c>
      <c r="AY5" t="s">
        <v>19</v>
      </c>
      <c r="AZ5">
        <v>621</v>
      </c>
      <c r="BB5" t="s">
        <v>23</v>
      </c>
      <c r="BC5">
        <v>604</v>
      </c>
      <c r="BE5" t="s">
        <v>24</v>
      </c>
      <c r="BF5">
        <v>598</v>
      </c>
      <c r="BH5" t="s">
        <v>20</v>
      </c>
      <c r="BI5">
        <v>169</v>
      </c>
    </row>
    <row r="6" spans="3:61" x14ac:dyDescent="0.2">
      <c r="C6" t="s">
        <v>8</v>
      </c>
      <c r="D6">
        <f ca="1">SUMIF(t_ahh[up],"&lt;&gt;#I/T")</f>
        <v>2600</v>
      </c>
      <c r="N6" t="s">
        <v>19</v>
      </c>
      <c r="O6">
        <v>590</v>
      </c>
      <c r="Q6" t="s">
        <v>19</v>
      </c>
      <c r="R6">
        <v>630</v>
      </c>
      <c r="T6" t="s">
        <v>19</v>
      </c>
      <c r="U6">
        <v>610</v>
      </c>
      <c r="W6" t="s">
        <v>19</v>
      </c>
      <c r="X6">
        <v>618</v>
      </c>
      <c r="Z6" t="s">
        <v>21</v>
      </c>
      <c r="AA6">
        <v>538</v>
      </c>
      <c r="AC6" t="s">
        <v>23</v>
      </c>
      <c r="AD6">
        <v>541</v>
      </c>
      <c r="AG6" t="s">
        <v>25</v>
      </c>
      <c r="AH6">
        <v>955</v>
      </c>
      <c r="AJ6" t="s">
        <v>23</v>
      </c>
      <c r="AK6">
        <v>665</v>
      </c>
      <c r="AM6" t="s">
        <v>21</v>
      </c>
      <c r="AN6">
        <v>598</v>
      </c>
      <c r="AP6" t="s">
        <v>20</v>
      </c>
      <c r="AQ6">
        <v>589</v>
      </c>
      <c r="AS6" t="s">
        <v>21</v>
      </c>
      <c r="AT6">
        <v>628</v>
      </c>
      <c r="AV6" t="s">
        <v>21</v>
      </c>
      <c r="AW6">
        <v>498</v>
      </c>
      <c r="AY6" t="s">
        <v>20</v>
      </c>
      <c r="AZ6">
        <v>611</v>
      </c>
      <c r="BB6" t="s">
        <v>24</v>
      </c>
      <c r="BC6">
        <v>596</v>
      </c>
      <c r="BE6" t="s">
        <v>19</v>
      </c>
      <c r="BF6">
        <v>592</v>
      </c>
      <c r="BH6" t="s">
        <v>24</v>
      </c>
      <c r="BI6">
        <v>192</v>
      </c>
    </row>
    <row r="7" spans="3:61" x14ac:dyDescent="0.2">
      <c r="C7" t="s">
        <v>9</v>
      </c>
      <c r="D7">
        <f ca="1">SUMIF(t_ahh[bp],"&lt;&gt;#I/T")</f>
        <v>3870</v>
      </c>
      <c r="N7" t="s">
        <v>24</v>
      </c>
      <c r="O7">
        <v>630</v>
      </c>
      <c r="Q7" t="s">
        <v>24</v>
      </c>
      <c r="R7">
        <v>640</v>
      </c>
      <c r="T7" t="s">
        <v>24</v>
      </c>
      <c r="U7">
        <v>580</v>
      </c>
      <c r="W7" t="s">
        <v>24</v>
      </c>
      <c r="X7">
        <v>565</v>
      </c>
      <c r="Z7" t="s">
        <v>22</v>
      </c>
      <c r="AA7">
        <v>538</v>
      </c>
      <c r="AC7" t="s">
        <v>21</v>
      </c>
      <c r="AD7">
        <v>612</v>
      </c>
      <c r="AG7" t="s">
        <v>21</v>
      </c>
      <c r="AH7">
        <v>724</v>
      </c>
      <c r="AJ7" t="s">
        <v>20</v>
      </c>
      <c r="AK7">
        <v>647</v>
      </c>
      <c r="AM7" t="s">
        <v>22</v>
      </c>
      <c r="AN7">
        <v>581</v>
      </c>
      <c r="AP7" t="s">
        <v>21</v>
      </c>
      <c r="AQ7">
        <v>578</v>
      </c>
      <c r="AS7" t="s">
        <v>22</v>
      </c>
      <c r="AT7">
        <v>615</v>
      </c>
      <c r="AV7" t="s">
        <v>20</v>
      </c>
      <c r="AW7">
        <v>487</v>
      </c>
      <c r="AY7" t="s">
        <v>24</v>
      </c>
      <c r="AZ7">
        <v>565</v>
      </c>
      <c r="BB7" t="s">
        <v>21</v>
      </c>
      <c r="BC7">
        <v>582</v>
      </c>
      <c r="BE7" t="s">
        <v>23</v>
      </c>
      <c r="BF7">
        <v>585</v>
      </c>
      <c r="BH7" t="s">
        <v>22</v>
      </c>
      <c r="BI7">
        <v>234</v>
      </c>
    </row>
    <row r="8" spans="3:61" x14ac:dyDescent="0.2">
      <c r="C8" t="s">
        <v>834</v>
      </c>
      <c r="D8">
        <f ca="1">SUMIF(t_ahh[straff],"&lt;&gt;#I/T")</f>
        <v>0</v>
      </c>
      <c r="N8" t="s">
        <v>20</v>
      </c>
      <c r="O8">
        <v>580</v>
      </c>
      <c r="Q8" t="s">
        <v>20</v>
      </c>
      <c r="R8">
        <v>660</v>
      </c>
      <c r="T8" t="s">
        <v>20</v>
      </c>
      <c r="U8">
        <v>640</v>
      </c>
      <c r="W8" t="s">
        <v>20</v>
      </c>
      <c r="X8">
        <v>538</v>
      </c>
      <c r="Z8" t="s">
        <v>23</v>
      </c>
      <c r="AA8">
        <v>538</v>
      </c>
      <c r="AC8" t="s">
        <v>19</v>
      </c>
      <c r="AD8">
        <v>485</v>
      </c>
      <c r="AG8" t="s">
        <v>23</v>
      </c>
      <c r="AH8">
        <v>996</v>
      </c>
      <c r="AJ8" t="s">
        <v>24</v>
      </c>
      <c r="AK8">
        <v>635</v>
      </c>
      <c r="AM8" t="s">
        <v>19</v>
      </c>
      <c r="AN8">
        <v>575</v>
      </c>
      <c r="AP8" t="s">
        <v>22</v>
      </c>
      <c r="AQ8">
        <v>561</v>
      </c>
      <c r="AS8" t="s">
        <v>20</v>
      </c>
      <c r="AT8">
        <v>606</v>
      </c>
      <c r="AV8" t="s">
        <v>23</v>
      </c>
      <c r="AW8">
        <v>464</v>
      </c>
      <c r="AY8" t="s">
        <v>25</v>
      </c>
      <c r="AZ8">
        <v>557</v>
      </c>
      <c r="BB8" t="s">
        <v>20</v>
      </c>
      <c r="BC8">
        <v>571</v>
      </c>
      <c r="BE8" t="s">
        <v>22</v>
      </c>
      <c r="BF8">
        <v>576</v>
      </c>
      <c r="BH8" t="s">
        <v>19</v>
      </c>
      <c r="BI8">
        <v>240</v>
      </c>
    </row>
    <row r="9" spans="3:61" x14ac:dyDescent="0.2">
      <c r="C9" t="s">
        <v>835</v>
      </c>
      <c r="D9">
        <f ca="1">SUMIF(t_ahh[tp],"&lt;&gt;#I/T")</f>
        <v>15820</v>
      </c>
      <c r="N9" t="s">
        <v>22</v>
      </c>
      <c r="O9">
        <v>660</v>
      </c>
      <c r="Q9" t="s">
        <v>22</v>
      </c>
      <c r="R9">
        <v>610</v>
      </c>
      <c r="T9" t="s">
        <v>22</v>
      </c>
      <c r="U9">
        <v>620</v>
      </c>
      <c r="W9" t="s">
        <v>22</v>
      </c>
      <c r="X9">
        <v>494</v>
      </c>
      <c r="Z9" t="s">
        <v>19</v>
      </c>
      <c r="AA9">
        <v>484</v>
      </c>
      <c r="AC9" t="s">
        <v>25</v>
      </c>
      <c r="AD9">
        <v>547</v>
      </c>
      <c r="AG9" t="s">
        <v>24</v>
      </c>
      <c r="AH9">
        <v>700</v>
      </c>
      <c r="AJ9" t="s">
        <v>21</v>
      </c>
      <c r="AK9">
        <v>534</v>
      </c>
      <c r="AM9" t="s">
        <v>25</v>
      </c>
      <c r="AN9">
        <v>546</v>
      </c>
      <c r="AP9" t="s">
        <v>23</v>
      </c>
      <c r="AQ9">
        <v>542</v>
      </c>
      <c r="AS9" t="s">
        <v>23</v>
      </c>
      <c r="AT9">
        <v>577</v>
      </c>
      <c r="AV9" t="s">
        <v>25</v>
      </c>
      <c r="AW9">
        <v>431</v>
      </c>
      <c r="AY9" t="s">
        <v>21</v>
      </c>
      <c r="AZ9">
        <v>517</v>
      </c>
      <c r="BB9" t="s">
        <v>22</v>
      </c>
      <c r="BC9">
        <v>549</v>
      </c>
      <c r="BE9" t="s">
        <v>20</v>
      </c>
      <c r="BF9">
        <v>572</v>
      </c>
      <c r="BH9" t="s">
        <v>25</v>
      </c>
      <c r="BI9">
        <v>242</v>
      </c>
    </row>
    <row r="10" spans="3:61" x14ac:dyDescent="0.2">
      <c r="N10" t="s">
        <v>25</v>
      </c>
      <c r="O10">
        <v>640</v>
      </c>
      <c r="Q10" t="s">
        <v>25</v>
      </c>
      <c r="R10">
        <v>610</v>
      </c>
      <c r="T10" t="s">
        <v>25</v>
      </c>
      <c r="U10">
        <v>610</v>
      </c>
      <c r="W10" t="s">
        <v>25</v>
      </c>
      <c r="X10">
        <v>636</v>
      </c>
      <c r="Z10" t="s">
        <v>20</v>
      </c>
      <c r="AA10">
        <v>488</v>
      </c>
      <c r="AC10" t="s">
        <v>20</v>
      </c>
      <c r="AD10">
        <v>603</v>
      </c>
      <c r="AG10" t="s">
        <v>19</v>
      </c>
      <c r="AH10">
        <v>483</v>
      </c>
      <c r="AJ10" t="s">
        <v>25</v>
      </c>
      <c r="AK10">
        <v>478</v>
      </c>
      <c r="AM10" t="s">
        <v>24</v>
      </c>
      <c r="AN10">
        <v>488</v>
      </c>
      <c r="AP10" t="s">
        <v>19</v>
      </c>
      <c r="AQ10">
        <v>535</v>
      </c>
      <c r="AS10" t="s">
        <v>24</v>
      </c>
      <c r="AT10">
        <v>543</v>
      </c>
      <c r="AV10" t="s">
        <v>24</v>
      </c>
      <c r="AW10">
        <v>415</v>
      </c>
      <c r="AY10" t="s">
        <v>23</v>
      </c>
      <c r="AZ10">
        <v>511</v>
      </c>
      <c r="BB10" t="s">
        <v>19</v>
      </c>
      <c r="BC10">
        <v>521</v>
      </c>
      <c r="BE10" t="s">
        <v>25</v>
      </c>
      <c r="BF10">
        <v>549</v>
      </c>
      <c r="BH10" t="s">
        <v>23</v>
      </c>
      <c r="BI10">
        <v>243</v>
      </c>
    </row>
    <row r="11" spans="3:61" x14ac:dyDescent="0.2">
      <c r="C11" s="20" t="s">
        <v>803</v>
      </c>
      <c r="D11" s="593" t="s">
        <v>19</v>
      </c>
      <c r="E11" s="593" t="s">
        <v>20</v>
      </c>
      <c r="F11" s="593" t="s">
        <v>21</v>
      </c>
      <c r="G11" s="593" t="s">
        <v>22</v>
      </c>
      <c r="H11" s="593" t="s">
        <v>23</v>
      </c>
      <c r="I11" s="593" t="s">
        <v>24</v>
      </c>
      <c r="J11" s="593" t="s">
        <v>25</v>
      </c>
      <c r="K11" s="593" t="s">
        <v>836</v>
      </c>
      <c r="L11" s="20"/>
      <c r="M11" s="20"/>
      <c r="P11" s="20"/>
      <c r="S11" s="20"/>
      <c r="V11" s="20"/>
    </row>
    <row r="12" spans="3:61" x14ac:dyDescent="0.2">
      <c r="C12" s="20"/>
      <c r="D12" s="20"/>
      <c r="E12" s="20"/>
      <c r="F12" s="20"/>
      <c r="G12" s="20"/>
      <c r="H12" s="20"/>
      <c r="I12" s="20"/>
      <c r="J12" s="20"/>
      <c r="K12" s="20"/>
      <c r="L12" s="20"/>
      <c r="M12" s="20"/>
      <c r="P12" s="20"/>
      <c r="Q12" s="870" t="s">
        <v>837</v>
      </c>
      <c r="R12" s="869">
        <v>2025</v>
      </c>
      <c r="S12" s="869">
        <v>2024</v>
      </c>
      <c r="T12" s="869">
        <v>2023</v>
      </c>
      <c r="U12" s="869">
        <v>2022</v>
      </c>
      <c r="V12" s="869">
        <v>2021</v>
      </c>
      <c r="W12" s="869">
        <v>2020</v>
      </c>
      <c r="X12" s="869">
        <v>2019</v>
      </c>
      <c r="Y12" s="869">
        <v>2018</v>
      </c>
      <c r="Z12" s="869">
        <v>2017</v>
      </c>
      <c r="AA12" s="869">
        <v>2016</v>
      </c>
      <c r="AB12" s="869">
        <v>2015</v>
      </c>
      <c r="AC12" s="869">
        <v>2014</v>
      </c>
      <c r="AD12" s="869">
        <v>2013</v>
      </c>
      <c r="AE12" s="869">
        <v>2012</v>
      </c>
      <c r="AF12" s="869">
        <v>2011</v>
      </c>
      <c r="AG12" s="869">
        <v>2010</v>
      </c>
      <c r="AH12" s="869"/>
      <c r="AI12" s="869"/>
      <c r="AJ12" s="869"/>
      <c r="AK12" s="869" t="s">
        <v>838</v>
      </c>
      <c r="AL12" s="869" t="s">
        <v>839</v>
      </c>
      <c r="AM12" s="2"/>
      <c r="AO12" s="882" t="s">
        <v>840</v>
      </c>
      <c r="AP12" s="883"/>
      <c r="AS12" s="880" t="s">
        <v>841</v>
      </c>
      <c r="AT12" s="881"/>
      <c r="AV12" s="882" t="s">
        <v>842</v>
      </c>
      <c r="AW12" s="888"/>
      <c r="AX12" s="883" t="s">
        <v>803</v>
      </c>
    </row>
    <row r="13" spans="3:61" x14ac:dyDescent="0.2">
      <c r="C13" s="20"/>
      <c r="D13" s="20"/>
      <c r="E13" s="20"/>
      <c r="F13" s="20"/>
      <c r="G13" s="20"/>
      <c r="H13" s="20"/>
      <c r="I13" s="20"/>
      <c r="J13" s="20"/>
      <c r="K13" s="20"/>
      <c r="L13" s="20"/>
      <c r="M13" s="20"/>
      <c r="P13" s="20"/>
      <c r="Q13" t="s">
        <v>19</v>
      </c>
      <c r="R13">
        <f>_xlfn.XLOOKUP($Q13,N$4:N$10,O$4:O$10)</f>
        <v>590</v>
      </c>
      <c r="S13">
        <f t="shared" ref="S13:S19" si="0">_xlfn.SINGLE(_xlfn.XLOOKUP($Q13,Q$4:Q$10,R$4:R$10))</f>
        <v>630</v>
      </c>
      <c r="T13" s="20">
        <f t="shared" ref="T13:T19" si="1">_xlfn.SINGLE(_xlfn.XLOOKUP($Q13,T$4:T$10,U$4:U$10))</f>
        <v>610</v>
      </c>
      <c r="U13" s="20">
        <f t="shared" ref="U13:U19" si="2">_xlfn.SINGLE(_xlfn.XLOOKUP($Q13,W$4:W$10,X$4:X$10))</f>
        <v>618</v>
      </c>
      <c r="V13" s="20">
        <f t="shared" ref="V13:V19" si="3">_xlfn.SINGLE(_xlfn.XLOOKUP($Q13,Z$4:Z$10,AA$4:AA$10))</f>
        <v>484</v>
      </c>
      <c r="W13" s="20">
        <f t="shared" ref="W13:W19" si="4">_xlfn.SINGLE(_xlfn.XLOOKUP($Q13,AC$4:AC$10,AD$4:AD$10))</f>
        <v>485</v>
      </c>
      <c r="X13">
        <f t="shared" ref="X13:X19" si="5">_xlfn.SINGLE(_xlfn.XLOOKUP($Q13,AG$4:AG$10,AH$4:AH$10))</f>
        <v>483</v>
      </c>
      <c r="Y13">
        <f t="shared" ref="Y13:Y19" si="6">_xlfn.SINGLE(_xlfn.XLOOKUP($Q13,AJ$4:AJ$10,AK$4:AK$10))</f>
        <v>734</v>
      </c>
      <c r="Z13">
        <f t="shared" ref="Z13:Z19" si="7">_xlfn.SINGLE(_xlfn.XLOOKUP($Q13,AM$4:AM$10,AN$4:AN$10))</f>
        <v>575</v>
      </c>
      <c r="AA13">
        <f t="shared" ref="AA13:AA19" si="8">_xlfn.SINGLE(_xlfn.XLOOKUP($Q13,AP$4:AP$10,AQ$4:AQ$10))</f>
        <v>535</v>
      </c>
      <c r="AB13">
        <f t="shared" ref="AB13:AB19" si="9">_xlfn.SINGLE(_xlfn.XLOOKUP($Q13,AS$4:AS$10,AT$4:AT$10))</f>
        <v>644</v>
      </c>
      <c r="AC13">
        <f t="shared" ref="AC13:AC19" si="10">_xlfn.SINGLE(_xlfn.XLOOKUP($Q13,AV$4:AV$10,AW$4:AW$10))</f>
        <v>644</v>
      </c>
      <c r="AD13">
        <f t="shared" ref="AD13:AD19" si="11">_xlfn.SINGLE(_xlfn.XLOOKUP($Q13,AY$4:AY$10,AZ$4:AZ$10))</f>
        <v>621</v>
      </c>
      <c r="AE13">
        <f>_xlfn.XLOOKUP($Q13,BB$4:BB$10,BC$4:BC$10)</f>
        <v>521</v>
      </c>
      <c r="AF13">
        <f>_xlfn.XLOOKUP($Q13,BE$4:BE$10,BF$4:BF$10)</f>
        <v>592</v>
      </c>
      <c r="AG13">
        <f>_xlfn.XLOOKUP($Q13,BH$4:BH$10,BI$4:BI$10)</f>
        <v>240</v>
      </c>
      <c r="AK13" t="str">
        <f>Q13</f>
        <v>AHH</v>
      </c>
      <c r="AL13">
        <f t="shared" ref="AL13:AL19" si="12">SUM(N13:AK13)</f>
        <v>9006</v>
      </c>
      <c r="AN13" s="877">
        <v>1</v>
      </c>
      <c r="AO13" s="871" t="str" cm="1">
        <f t="array" ref="AO13:AP19">_xlfn._xlws.SORT($AK$13:$AL$19,{2;1},-1)</f>
        <v>ØG</v>
      </c>
      <c r="AP13" s="872">
        <v>9675</v>
      </c>
      <c r="AQ13" s="879" t="s">
        <v>843</v>
      </c>
      <c r="AR13" s="877">
        <v>1</v>
      </c>
      <c r="AS13" s="873" t="s">
        <v>23</v>
      </c>
      <c r="AT13" s="874">
        <f t="shared" ref="AT13:AT19" si="13">COUNTIFS($R$23:$R$38,AS13)</f>
        <v>5</v>
      </c>
      <c r="AU13" s="879"/>
      <c r="AV13" s="873">
        <f>LARGE(R13:AG19,1)</f>
        <v>996</v>
      </c>
      <c r="AW13" s="884" t="str">
        <f>_xlfn.XLOOKUP($AV$13,$Q$23:$Q$38,R23:R38)</f>
        <v>ØG</v>
      </c>
      <c r="AX13" s="885">
        <f>_xlfn.XLOOKUP($AV$13,$Q$23:$Q$38,P23:P38)</f>
        <v>2019</v>
      </c>
    </row>
    <row r="14" spans="3:61" x14ac:dyDescent="0.2">
      <c r="C14" s="20"/>
      <c r="D14" s="20"/>
      <c r="E14" s="20"/>
      <c r="F14" s="20"/>
      <c r="G14" s="20"/>
      <c r="H14" s="20"/>
      <c r="I14" s="20"/>
      <c r="J14" s="20"/>
      <c r="K14" s="20"/>
      <c r="L14" s="20"/>
      <c r="M14" s="20"/>
      <c r="P14" s="20"/>
      <c r="Q14" t="s">
        <v>20</v>
      </c>
      <c r="R14">
        <f t="shared" ref="R14:R19" si="14">_xlfn.SINGLE(_xlfn.XLOOKUP($Q14,N$4:N$10,O$4:O$10))</f>
        <v>580</v>
      </c>
      <c r="S14">
        <f t="shared" si="0"/>
        <v>660</v>
      </c>
      <c r="T14" s="20">
        <f t="shared" si="1"/>
        <v>640</v>
      </c>
      <c r="U14" s="20">
        <f t="shared" si="2"/>
        <v>538</v>
      </c>
      <c r="V14" s="20">
        <f t="shared" si="3"/>
        <v>488</v>
      </c>
      <c r="W14" s="20">
        <f t="shared" si="4"/>
        <v>603</v>
      </c>
      <c r="X14">
        <f t="shared" si="5"/>
        <v>969</v>
      </c>
      <c r="Y14">
        <f t="shared" si="6"/>
        <v>647</v>
      </c>
      <c r="Z14">
        <f t="shared" si="7"/>
        <v>630</v>
      </c>
      <c r="AA14">
        <f t="shared" si="8"/>
        <v>589</v>
      </c>
      <c r="AB14">
        <f t="shared" si="9"/>
        <v>606</v>
      </c>
      <c r="AC14">
        <f t="shared" si="10"/>
        <v>487</v>
      </c>
      <c r="AD14">
        <f t="shared" si="11"/>
        <v>611</v>
      </c>
      <c r="AE14">
        <f t="shared" ref="AE14:AE19" si="15">_xlfn.SINGLE(_xlfn.XLOOKUP($Q14,BB$4:BB$10,BC$4:BC$10))</f>
        <v>571</v>
      </c>
      <c r="AF14">
        <f t="shared" ref="AF14:AF19" si="16">_xlfn.SINGLE(_xlfn.XLOOKUP($Q14,BE$4:BE$10,BF$4:BF$10))</f>
        <v>572</v>
      </c>
      <c r="AG14">
        <f t="shared" ref="AG14:AG19" si="17">_xlfn.SINGLE(_xlfn.XLOOKUP($Q14,BH$4:BH$10,BI$4:BI$10))</f>
        <v>169</v>
      </c>
      <c r="AK14" t="str">
        <f t="shared" ref="AK14:AK19" si="18">Q14</f>
        <v>RB</v>
      </c>
      <c r="AL14">
        <f t="shared" si="12"/>
        <v>9360</v>
      </c>
      <c r="AN14" s="877">
        <v>2</v>
      </c>
      <c r="AO14" s="873" t="str">
        <v>RB</v>
      </c>
      <c r="AP14" s="874">
        <v>9360</v>
      </c>
      <c r="AQ14" s="878">
        <f t="shared" ref="AQ14:AQ19" si="19">$AP$13-AP14</f>
        <v>315</v>
      </c>
      <c r="AR14" s="877">
        <v>2</v>
      </c>
      <c r="AS14" s="873" t="s">
        <v>24</v>
      </c>
      <c r="AT14" s="874">
        <f t="shared" si="13"/>
        <v>4</v>
      </c>
      <c r="AU14" s="878"/>
      <c r="AV14" s="873">
        <f>LARGE(R14:AG20,2)</f>
        <v>969</v>
      </c>
      <c r="AW14" s="884" t="str">
        <f>_xlfn.XLOOKUP($AV$13,$Q$23:$Q$38,R24:R39)</f>
        <v>AHH</v>
      </c>
      <c r="AX14" s="885">
        <f>_xlfn.XLOOKUP($AV$13,$Q$23:$Q$38,P24:P39)</f>
        <v>2018</v>
      </c>
    </row>
    <row r="15" spans="3:61" x14ac:dyDescent="0.2">
      <c r="C15">
        <v>2002</v>
      </c>
      <c r="D15" s="20"/>
      <c r="E15" s="20"/>
      <c r="F15" s="20"/>
      <c r="G15" s="20"/>
      <c r="H15" s="20"/>
      <c r="I15" s="20"/>
      <c r="J15" s="20"/>
      <c r="K15" s="20"/>
      <c r="L15" s="20"/>
      <c r="M15" s="20"/>
      <c r="P15" s="20"/>
      <c r="Q15" t="s">
        <v>21</v>
      </c>
      <c r="R15">
        <f t="shared" si="14"/>
        <v>670</v>
      </c>
      <c r="S15">
        <f t="shared" si="0"/>
        <v>640</v>
      </c>
      <c r="T15" s="20">
        <f t="shared" si="1"/>
        <v>590</v>
      </c>
      <c r="U15" s="20">
        <f t="shared" si="2"/>
        <v>686</v>
      </c>
      <c r="V15" s="20">
        <f t="shared" si="3"/>
        <v>538</v>
      </c>
      <c r="W15" s="20">
        <f t="shared" si="4"/>
        <v>612</v>
      </c>
      <c r="X15">
        <f t="shared" si="5"/>
        <v>724</v>
      </c>
      <c r="Y15">
        <f t="shared" si="6"/>
        <v>534</v>
      </c>
      <c r="Z15">
        <f t="shared" si="7"/>
        <v>598</v>
      </c>
      <c r="AA15">
        <f t="shared" si="8"/>
        <v>578</v>
      </c>
      <c r="AB15">
        <f t="shared" si="9"/>
        <v>628</v>
      </c>
      <c r="AC15">
        <f t="shared" si="10"/>
        <v>498</v>
      </c>
      <c r="AD15">
        <f t="shared" si="11"/>
        <v>517</v>
      </c>
      <c r="AE15">
        <f t="shared" si="15"/>
        <v>582</v>
      </c>
      <c r="AF15">
        <f t="shared" si="16"/>
        <v>609</v>
      </c>
      <c r="AG15">
        <f t="shared" si="17"/>
        <v>168</v>
      </c>
      <c r="AK15" t="str">
        <f t="shared" si="18"/>
        <v>EB</v>
      </c>
      <c r="AL15">
        <f t="shared" si="12"/>
        <v>9172</v>
      </c>
      <c r="AN15" s="877">
        <v>3</v>
      </c>
      <c r="AO15" s="873" t="str">
        <v>KAF</v>
      </c>
      <c r="AP15" s="874">
        <v>9330</v>
      </c>
      <c r="AQ15" s="878">
        <f t="shared" si="19"/>
        <v>345</v>
      </c>
      <c r="AR15" s="877">
        <v>3</v>
      </c>
      <c r="AS15" s="873" t="s">
        <v>21</v>
      </c>
      <c r="AT15" s="874">
        <f t="shared" si="13"/>
        <v>2</v>
      </c>
      <c r="AU15" s="878"/>
      <c r="AV15" s="875">
        <f>LARGE(R15:AG21,3)</f>
        <v>955</v>
      </c>
      <c r="AW15" s="886" t="str">
        <f>_xlfn.XLOOKUP($AV$13,$Q$23:$Q$38,R25:R40)</f>
        <v>ØG</v>
      </c>
      <c r="AX15" s="887">
        <f>_xlfn.XLOOKUP($AV$13,$Q$23:$Q$38,P25:P40)</f>
        <v>2017</v>
      </c>
    </row>
    <row r="16" spans="3:61" x14ac:dyDescent="0.2">
      <c r="C16">
        <v>2003</v>
      </c>
      <c r="D16" s="20"/>
      <c r="E16" s="20"/>
      <c r="F16" s="20"/>
      <c r="G16" s="20"/>
      <c r="H16" s="20"/>
      <c r="I16" s="20"/>
      <c r="J16" s="20"/>
      <c r="K16" s="20"/>
      <c r="L16" s="20"/>
      <c r="M16" s="20"/>
      <c r="P16" s="20"/>
      <c r="Q16" t="s">
        <v>22</v>
      </c>
      <c r="R16">
        <f t="shared" si="14"/>
        <v>660</v>
      </c>
      <c r="S16">
        <f t="shared" si="0"/>
        <v>610</v>
      </c>
      <c r="T16" s="20">
        <f t="shared" si="1"/>
        <v>620</v>
      </c>
      <c r="U16" s="20">
        <f t="shared" si="2"/>
        <v>494</v>
      </c>
      <c r="V16" s="20">
        <f t="shared" si="3"/>
        <v>538</v>
      </c>
      <c r="W16" s="20">
        <f t="shared" si="4"/>
        <v>488</v>
      </c>
      <c r="X16">
        <f t="shared" si="5"/>
        <v>957</v>
      </c>
      <c r="Y16">
        <f t="shared" si="6"/>
        <v>673</v>
      </c>
      <c r="Z16">
        <f t="shared" si="7"/>
        <v>581</v>
      </c>
      <c r="AA16">
        <f t="shared" si="8"/>
        <v>561</v>
      </c>
      <c r="AB16">
        <f t="shared" si="9"/>
        <v>615</v>
      </c>
      <c r="AC16">
        <f t="shared" si="10"/>
        <v>537</v>
      </c>
      <c r="AD16">
        <f t="shared" si="11"/>
        <v>637</v>
      </c>
      <c r="AE16">
        <f t="shared" si="15"/>
        <v>549</v>
      </c>
      <c r="AF16">
        <f t="shared" si="16"/>
        <v>576</v>
      </c>
      <c r="AG16">
        <f t="shared" si="17"/>
        <v>234</v>
      </c>
      <c r="AK16" t="str">
        <f t="shared" si="18"/>
        <v>KAF</v>
      </c>
      <c r="AL16">
        <f t="shared" si="12"/>
        <v>9330</v>
      </c>
      <c r="AN16" s="877">
        <v>4</v>
      </c>
      <c r="AO16" s="873" t="str">
        <v>TOH</v>
      </c>
      <c r="AP16" s="874">
        <v>9276</v>
      </c>
      <c r="AQ16" s="878">
        <f t="shared" si="19"/>
        <v>399</v>
      </c>
      <c r="AR16" s="877">
        <v>4</v>
      </c>
      <c r="AS16" s="873" t="s">
        <v>25</v>
      </c>
      <c r="AT16" s="874">
        <f t="shared" si="13"/>
        <v>2</v>
      </c>
      <c r="AU16" s="878"/>
    </row>
    <row r="17" spans="3:47" x14ac:dyDescent="0.2">
      <c r="C17">
        <v>2004</v>
      </c>
      <c r="D17" s="20">
        <v>880</v>
      </c>
      <c r="E17" s="20">
        <v>594</v>
      </c>
      <c r="F17" s="20">
        <v>593</v>
      </c>
      <c r="G17" s="20">
        <v>819</v>
      </c>
      <c r="H17" s="20">
        <v>934</v>
      </c>
      <c r="I17" s="20"/>
      <c r="J17" s="20"/>
      <c r="K17" s="20">
        <v>810</v>
      </c>
      <c r="L17" s="20"/>
      <c r="M17" s="20"/>
      <c r="P17" s="20"/>
      <c r="Q17" t="s">
        <v>23</v>
      </c>
      <c r="R17">
        <f t="shared" si="14"/>
        <v>720</v>
      </c>
      <c r="S17">
        <f t="shared" si="0"/>
        <v>660</v>
      </c>
      <c r="T17" s="20">
        <f t="shared" si="1"/>
        <v>710</v>
      </c>
      <c r="U17" s="20">
        <f t="shared" si="2"/>
        <v>680</v>
      </c>
      <c r="V17" s="20">
        <f t="shared" si="3"/>
        <v>538</v>
      </c>
      <c r="W17" s="20">
        <f t="shared" si="4"/>
        <v>541</v>
      </c>
      <c r="X17">
        <f t="shared" si="5"/>
        <v>996</v>
      </c>
      <c r="Y17">
        <f t="shared" si="6"/>
        <v>665</v>
      </c>
      <c r="Z17">
        <f t="shared" si="7"/>
        <v>639</v>
      </c>
      <c r="AA17">
        <f t="shared" si="8"/>
        <v>542</v>
      </c>
      <c r="AB17">
        <f t="shared" si="9"/>
        <v>577</v>
      </c>
      <c r="AC17">
        <f t="shared" si="10"/>
        <v>464</v>
      </c>
      <c r="AD17">
        <f t="shared" si="11"/>
        <v>511</v>
      </c>
      <c r="AE17">
        <f t="shared" si="15"/>
        <v>604</v>
      </c>
      <c r="AF17">
        <f t="shared" si="16"/>
        <v>585</v>
      </c>
      <c r="AG17">
        <f t="shared" si="17"/>
        <v>243</v>
      </c>
      <c r="AK17" t="str">
        <f t="shared" si="18"/>
        <v>ØG</v>
      </c>
      <c r="AL17">
        <f t="shared" si="12"/>
        <v>9675</v>
      </c>
      <c r="AN17" s="877">
        <v>5</v>
      </c>
      <c r="AO17" s="873" t="str">
        <v>EB</v>
      </c>
      <c r="AP17" s="874">
        <v>9172</v>
      </c>
      <c r="AQ17" s="878">
        <f t="shared" si="19"/>
        <v>503</v>
      </c>
      <c r="AR17" s="877">
        <v>5</v>
      </c>
      <c r="AS17" s="873" t="s">
        <v>19</v>
      </c>
      <c r="AT17" s="874">
        <f t="shared" si="13"/>
        <v>1</v>
      </c>
      <c r="AU17" s="878"/>
    </row>
    <row r="18" spans="3:47" x14ac:dyDescent="0.2">
      <c r="C18">
        <v>2005</v>
      </c>
      <c r="D18" s="20">
        <v>207</v>
      </c>
      <c r="E18" s="20">
        <v>184</v>
      </c>
      <c r="F18" s="20">
        <v>145</v>
      </c>
      <c r="G18" s="20">
        <v>205</v>
      </c>
      <c r="H18" s="20">
        <v>206</v>
      </c>
      <c r="I18" s="20"/>
      <c r="J18" s="20"/>
      <c r="K18" s="20">
        <v>197</v>
      </c>
      <c r="L18" s="20"/>
      <c r="M18" s="20"/>
      <c r="P18" s="20"/>
      <c r="Q18" t="s">
        <v>24</v>
      </c>
      <c r="R18">
        <f t="shared" si="14"/>
        <v>630</v>
      </c>
      <c r="S18">
        <f t="shared" si="0"/>
        <v>640</v>
      </c>
      <c r="T18" s="20">
        <f t="shared" si="1"/>
        <v>580</v>
      </c>
      <c r="U18" s="20">
        <f t="shared" si="2"/>
        <v>565</v>
      </c>
      <c r="V18" s="20">
        <f t="shared" si="3"/>
        <v>553</v>
      </c>
      <c r="W18" s="20">
        <f t="shared" si="4"/>
        <v>754</v>
      </c>
      <c r="X18">
        <f t="shared" si="5"/>
        <v>700</v>
      </c>
      <c r="Y18">
        <f t="shared" si="6"/>
        <v>635</v>
      </c>
      <c r="Z18">
        <f t="shared" si="7"/>
        <v>488</v>
      </c>
      <c r="AA18">
        <f t="shared" si="8"/>
        <v>618</v>
      </c>
      <c r="AB18">
        <f t="shared" si="9"/>
        <v>543</v>
      </c>
      <c r="AC18">
        <f t="shared" si="10"/>
        <v>415</v>
      </c>
      <c r="AD18">
        <f t="shared" si="11"/>
        <v>565</v>
      </c>
      <c r="AE18">
        <f t="shared" si="15"/>
        <v>596</v>
      </c>
      <c r="AF18">
        <f t="shared" si="16"/>
        <v>598</v>
      </c>
      <c r="AG18">
        <f t="shared" si="17"/>
        <v>192</v>
      </c>
      <c r="AK18" t="str">
        <f t="shared" si="18"/>
        <v>JH</v>
      </c>
      <c r="AL18">
        <f t="shared" si="12"/>
        <v>9072</v>
      </c>
      <c r="AN18" s="877">
        <v>6</v>
      </c>
      <c r="AO18" s="873" t="str">
        <v>JH</v>
      </c>
      <c r="AP18" s="874">
        <v>9072</v>
      </c>
      <c r="AQ18" s="878">
        <f t="shared" si="19"/>
        <v>603</v>
      </c>
      <c r="AR18" s="877">
        <v>6</v>
      </c>
      <c r="AS18" s="873" t="s">
        <v>22</v>
      </c>
      <c r="AT18" s="874">
        <f t="shared" si="13"/>
        <v>1</v>
      </c>
      <c r="AU18" s="878"/>
    </row>
    <row r="19" spans="3:47" x14ac:dyDescent="0.2">
      <c r="C19">
        <v>2006</v>
      </c>
      <c r="D19" s="20"/>
      <c r="E19" s="20"/>
      <c r="F19" s="20"/>
      <c r="G19" s="20"/>
      <c r="H19" s="20"/>
      <c r="I19" s="20"/>
      <c r="J19" s="20"/>
      <c r="K19" s="20"/>
      <c r="L19" s="20"/>
      <c r="M19" s="20"/>
      <c r="P19" s="20"/>
      <c r="Q19" t="s">
        <v>25</v>
      </c>
      <c r="R19">
        <f t="shared" si="14"/>
        <v>640</v>
      </c>
      <c r="S19">
        <f t="shared" si="0"/>
        <v>610</v>
      </c>
      <c r="T19" s="20">
        <f t="shared" si="1"/>
        <v>610</v>
      </c>
      <c r="U19" s="20">
        <f t="shared" si="2"/>
        <v>636</v>
      </c>
      <c r="V19" s="20">
        <f t="shared" si="3"/>
        <v>547</v>
      </c>
      <c r="W19" s="20">
        <f t="shared" si="4"/>
        <v>547</v>
      </c>
      <c r="X19">
        <f t="shared" si="5"/>
        <v>955</v>
      </c>
      <c r="Y19">
        <f t="shared" si="6"/>
        <v>478</v>
      </c>
      <c r="Z19">
        <f t="shared" si="7"/>
        <v>546</v>
      </c>
      <c r="AA19">
        <f t="shared" si="8"/>
        <v>616</v>
      </c>
      <c r="AB19">
        <f t="shared" si="9"/>
        <v>661</v>
      </c>
      <c r="AC19">
        <f t="shared" si="10"/>
        <v>431</v>
      </c>
      <c r="AD19">
        <f t="shared" si="11"/>
        <v>557</v>
      </c>
      <c r="AE19">
        <f t="shared" si="15"/>
        <v>651</v>
      </c>
      <c r="AF19">
        <f t="shared" si="16"/>
        <v>549</v>
      </c>
      <c r="AG19">
        <f t="shared" si="17"/>
        <v>242</v>
      </c>
      <c r="AK19" t="str">
        <f t="shared" si="18"/>
        <v>TOH</v>
      </c>
      <c r="AL19">
        <f t="shared" si="12"/>
        <v>9276</v>
      </c>
      <c r="AN19" s="877">
        <v>7</v>
      </c>
      <c r="AO19" s="875" t="str">
        <v>AHH</v>
      </c>
      <c r="AP19" s="876">
        <v>9006</v>
      </c>
      <c r="AQ19" s="878">
        <f t="shared" si="19"/>
        <v>669</v>
      </c>
      <c r="AR19" s="877">
        <v>7</v>
      </c>
      <c r="AS19" s="875" t="s">
        <v>20</v>
      </c>
      <c r="AT19" s="876">
        <f t="shared" si="13"/>
        <v>1</v>
      </c>
      <c r="AU19" s="878"/>
    </row>
    <row r="20" spans="3:47" x14ac:dyDescent="0.2">
      <c r="C20">
        <v>2007</v>
      </c>
      <c r="D20" s="20">
        <v>403</v>
      </c>
      <c r="E20" s="20">
        <v>408</v>
      </c>
      <c r="F20" s="20">
        <v>360</v>
      </c>
      <c r="G20" s="20">
        <v>447</v>
      </c>
      <c r="H20" s="20">
        <v>445</v>
      </c>
      <c r="I20" s="20"/>
      <c r="J20" s="20"/>
      <c r="K20" s="20">
        <v>412</v>
      </c>
      <c r="L20" s="20"/>
      <c r="M20" s="20"/>
      <c r="P20" s="20"/>
      <c r="S20" s="20"/>
      <c r="T20" s="20"/>
      <c r="U20" s="20"/>
      <c r="V20" s="20"/>
    </row>
    <row r="21" spans="3:47" x14ac:dyDescent="0.2">
      <c r="C21">
        <v>2008</v>
      </c>
      <c r="D21" s="20"/>
      <c r="E21" s="20"/>
      <c r="F21" s="20"/>
      <c r="G21" s="20"/>
      <c r="H21" s="20"/>
      <c r="I21" s="20"/>
      <c r="J21" s="20"/>
      <c r="K21" s="20"/>
      <c r="L21" s="20"/>
      <c r="M21" s="20"/>
      <c r="P21" s="20"/>
      <c r="S21" s="20"/>
      <c r="T21" s="20"/>
      <c r="U21" s="20"/>
      <c r="V21" s="20"/>
    </row>
    <row r="22" spans="3:47" x14ac:dyDescent="0.2">
      <c r="C22">
        <v>2009</v>
      </c>
      <c r="D22" s="20">
        <v>986</v>
      </c>
      <c r="E22" s="20">
        <v>1014</v>
      </c>
      <c r="F22" s="20">
        <v>886</v>
      </c>
      <c r="G22" s="20">
        <v>1002</v>
      </c>
      <c r="H22" s="20">
        <v>1096</v>
      </c>
      <c r="I22" s="593">
        <v>1177</v>
      </c>
      <c r="J22" s="20">
        <v>407</v>
      </c>
      <c r="K22" s="20"/>
      <c r="L22" s="20"/>
      <c r="M22" s="20"/>
      <c r="P22" s="20"/>
      <c r="Q22" t="s">
        <v>844</v>
      </c>
      <c r="S22" s="20"/>
      <c r="T22" s="20" t="s">
        <v>35</v>
      </c>
      <c r="U22" s="20"/>
      <c r="V22" s="20"/>
      <c r="W22" t="s">
        <v>845</v>
      </c>
    </row>
    <row r="23" spans="3:47" x14ac:dyDescent="0.2">
      <c r="C23">
        <v>2010</v>
      </c>
      <c r="D23">
        <v>12820</v>
      </c>
      <c r="E23">
        <v>12591</v>
      </c>
      <c r="F23">
        <v>12762</v>
      </c>
      <c r="G23">
        <v>14456</v>
      </c>
      <c r="H23">
        <v>13448</v>
      </c>
      <c r="I23">
        <v>11305</v>
      </c>
      <c r="J23" s="589">
        <v>13529</v>
      </c>
      <c r="P23" s="2">
        <v>2025</v>
      </c>
      <c r="Q23">
        <f>MAX(R13:R19)</f>
        <v>720</v>
      </c>
      <c r="R23" t="str">
        <f>_xlfn.XLOOKUP(MAX(R$13:R$19),R$13:R$19,$Q$13:$Q$19)</f>
        <v>ØG</v>
      </c>
      <c r="T23" t="s">
        <v>19</v>
      </c>
      <c r="U23">
        <f>LARGE($R13:$AG13,1)</f>
        <v>734</v>
      </c>
      <c r="W23" t="str" cm="1">
        <f t="array" ref="W23:X29">_xlfn._xlws.SORT($T$23:$U$29,{2;1},-1)</f>
        <v>ØG</v>
      </c>
      <c r="X23">
        <v>996</v>
      </c>
    </row>
    <row r="24" spans="3:47" x14ac:dyDescent="0.2">
      <c r="C24">
        <v>2011</v>
      </c>
      <c r="D24">
        <v>14158</v>
      </c>
      <c r="E24">
        <v>12369</v>
      </c>
      <c r="F24">
        <v>12983</v>
      </c>
      <c r="G24" s="589">
        <v>14228</v>
      </c>
      <c r="H24">
        <v>13384</v>
      </c>
      <c r="I24">
        <v>13078</v>
      </c>
      <c r="J24">
        <v>13237</v>
      </c>
      <c r="P24" s="2">
        <v>2024</v>
      </c>
      <c r="Q24">
        <f>MAX(S13:S19)</f>
        <v>660</v>
      </c>
      <c r="R24" t="str">
        <f>_xlfn.XLOOKUP(MAX(S$13:S$19),S$13:S$19,$Q$13:$Q$19)</f>
        <v>RB</v>
      </c>
      <c r="T24" t="s">
        <v>20</v>
      </c>
      <c r="U24">
        <f t="shared" ref="U24:U29" si="20">LARGE($R14:$AG14,1)</f>
        <v>969</v>
      </c>
      <c r="W24" t="str">
        <v>RB</v>
      </c>
      <c r="X24">
        <v>969</v>
      </c>
    </row>
    <row r="25" spans="3:47" x14ac:dyDescent="0.2">
      <c r="C25">
        <v>2012</v>
      </c>
      <c r="D25">
        <v>12516</v>
      </c>
      <c r="E25">
        <v>13147</v>
      </c>
      <c r="F25">
        <v>13488</v>
      </c>
      <c r="G25">
        <v>13217</v>
      </c>
      <c r="H25" s="589">
        <v>14001</v>
      </c>
      <c r="I25">
        <v>13517</v>
      </c>
      <c r="J25">
        <v>13259</v>
      </c>
      <c r="P25" s="2">
        <v>2023</v>
      </c>
      <c r="Q25">
        <f>MAX(T13:T19)</f>
        <v>710</v>
      </c>
      <c r="R25" t="str">
        <f>_xlfn.XLOOKUP(MAX(T$13:T$19),T$13:T$19,$Q$13:$Q$19)</f>
        <v>ØG</v>
      </c>
      <c r="T25" t="s">
        <v>21</v>
      </c>
      <c r="U25">
        <f t="shared" si="20"/>
        <v>724</v>
      </c>
      <c r="W25" t="str">
        <v>KAF</v>
      </c>
      <c r="X25">
        <v>957</v>
      </c>
    </row>
    <row r="26" spans="3:47" x14ac:dyDescent="0.2">
      <c r="C26">
        <v>2013</v>
      </c>
      <c r="D26">
        <v>11347</v>
      </c>
      <c r="E26">
        <v>11599</v>
      </c>
      <c r="F26">
        <v>12072</v>
      </c>
      <c r="G26" s="589">
        <v>12519</v>
      </c>
      <c r="H26">
        <v>11330</v>
      </c>
      <c r="I26">
        <v>11348</v>
      </c>
      <c r="J26">
        <v>12171</v>
      </c>
      <c r="P26" s="2">
        <v>2022</v>
      </c>
      <c r="Q26">
        <f>MAX(U13:U19)</f>
        <v>686</v>
      </c>
      <c r="R26" t="str">
        <f>_xlfn.XLOOKUP(MAX(U$13:U$19),U$13:U$19,$Q$13:$Q$19)</f>
        <v>EB</v>
      </c>
      <c r="T26" t="s">
        <v>22</v>
      </c>
      <c r="U26">
        <f t="shared" si="20"/>
        <v>957</v>
      </c>
      <c r="W26" t="str">
        <v>TOH</v>
      </c>
      <c r="X26">
        <v>955</v>
      </c>
    </row>
    <row r="27" spans="3:47" x14ac:dyDescent="0.2">
      <c r="C27">
        <v>2014</v>
      </c>
      <c r="D27">
        <v>11314</v>
      </c>
      <c r="E27">
        <v>11720</v>
      </c>
      <c r="F27" s="589">
        <v>12384</v>
      </c>
      <c r="G27">
        <v>11240</v>
      </c>
      <c r="H27">
        <v>12628</v>
      </c>
      <c r="I27">
        <v>11001</v>
      </c>
      <c r="J27">
        <v>12351</v>
      </c>
      <c r="P27" s="2">
        <v>2021</v>
      </c>
      <c r="Q27">
        <f>MAX(V13:V19)</f>
        <v>553</v>
      </c>
      <c r="R27" t="str">
        <f>_xlfn.XLOOKUP(MAX(V$13:V$19),V$13:V$19,$Q$13:$Q$19)</f>
        <v>JH</v>
      </c>
      <c r="T27" t="s">
        <v>23</v>
      </c>
      <c r="U27">
        <f t="shared" si="20"/>
        <v>996</v>
      </c>
      <c r="W27" t="str">
        <v>JH</v>
      </c>
      <c r="X27">
        <v>754</v>
      </c>
    </row>
    <row r="28" spans="3:47" x14ac:dyDescent="0.2">
      <c r="C28">
        <v>2015</v>
      </c>
      <c r="D28" s="589">
        <v>12489</v>
      </c>
      <c r="E28">
        <v>11668</v>
      </c>
      <c r="F28">
        <v>11522</v>
      </c>
      <c r="G28">
        <v>11739</v>
      </c>
      <c r="H28">
        <v>12022</v>
      </c>
      <c r="I28">
        <v>10952</v>
      </c>
      <c r="J28">
        <v>11562</v>
      </c>
      <c r="P28" s="2">
        <v>2020</v>
      </c>
      <c r="Q28">
        <f>MAX(W13:W19)</f>
        <v>754</v>
      </c>
      <c r="R28" t="str">
        <f>_xlfn.XLOOKUP(MAX(W$13:W$19),W$13:W$19,$Q$13:$Q$19)</f>
        <v>JH</v>
      </c>
      <c r="T28" t="s">
        <v>24</v>
      </c>
      <c r="U28">
        <f t="shared" si="20"/>
        <v>754</v>
      </c>
      <c r="W28" t="str">
        <v>AHH</v>
      </c>
      <c r="X28">
        <v>734</v>
      </c>
    </row>
    <row r="29" spans="3:47" x14ac:dyDescent="0.2">
      <c r="C29">
        <v>2016</v>
      </c>
      <c r="D29">
        <v>11773</v>
      </c>
      <c r="E29">
        <v>10869</v>
      </c>
      <c r="F29">
        <v>11760</v>
      </c>
      <c r="G29">
        <v>12158</v>
      </c>
      <c r="H29">
        <v>12101</v>
      </c>
      <c r="I29">
        <v>10487</v>
      </c>
      <c r="J29" s="589">
        <v>12377</v>
      </c>
      <c r="P29" s="2">
        <v>2019</v>
      </c>
      <c r="Q29">
        <f>MAX(X$13:X$19)</f>
        <v>996</v>
      </c>
      <c r="R29" t="str">
        <f>_xlfn.XLOOKUP(MAX(X$13:X$19),X$13:X$19,$Q$13:$Q$19)</f>
        <v>ØG</v>
      </c>
      <c r="T29" t="s">
        <v>25</v>
      </c>
      <c r="U29">
        <f t="shared" si="20"/>
        <v>955</v>
      </c>
      <c r="W29" t="str">
        <v>EB</v>
      </c>
      <c r="X29">
        <v>724</v>
      </c>
    </row>
    <row r="30" spans="3:47" x14ac:dyDescent="0.2">
      <c r="C30">
        <v>2017</v>
      </c>
      <c r="D30">
        <v>12227</v>
      </c>
      <c r="E30">
        <v>12061</v>
      </c>
      <c r="F30">
        <v>12487</v>
      </c>
      <c r="G30" s="589">
        <v>12830</v>
      </c>
      <c r="H30">
        <v>12740</v>
      </c>
      <c r="I30">
        <v>10748</v>
      </c>
      <c r="J30">
        <v>11908</v>
      </c>
      <c r="P30" s="2">
        <v>2018</v>
      </c>
      <c r="Q30">
        <f>MAX(Y$13:Y$19)</f>
        <v>734</v>
      </c>
      <c r="R30" t="str">
        <f>_xlfn.XLOOKUP(MAX(Y$13:Y$19),Y$13:Y$19,$Q$13:$Q$19)</f>
        <v>AHH</v>
      </c>
    </row>
    <row r="31" spans="3:47" x14ac:dyDescent="0.2">
      <c r="C31">
        <v>2018</v>
      </c>
      <c r="D31">
        <v>10286</v>
      </c>
      <c r="E31">
        <v>10789</v>
      </c>
      <c r="F31">
        <v>9751</v>
      </c>
      <c r="G31" s="589">
        <v>11475</v>
      </c>
      <c r="H31">
        <v>11390</v>
      </c>
      <c r="I31">
        <v>11051</v>
      </c>
      <c r="J31">
        <v>10222</v>
      </c>
      <c r="P31" s="2">
        <v>2017</v>
      </c>
      <c r="Q31">
        <f>MAX(Z$13:Z$19)</f>
        <v>639</v>
      </c>
      <c r="R31" t="str">
        <f>_xlfn.XLOOKUP(MAX(Z$13:Z$19),Z$13:Z$19,$Q$13:$Q$19)</f>
        <v>ØG</v>
      </c>
    </row>
    <row r="32" spans="3:47" x14ac:dyDescent="0.2">
      <c r="C32">
        <v>2019</v>
      </c>
      <c r="D32">
        <v>9254</v>
      </c>
      <c r="E32">
        <v>10232</v>
      </c>
      <c r="F32">
        <v>10198</v>
      </c>
      <c r="G32" s="589">
        <v>11281</v>
      </c>
      <c r="H32">
        <v>10358</v>
      </c>
      <c r="I32">
        <v>9690</v>
      </c>
      <c r="J32">
        <v>10613</v>
      </c>
      <c r="P32" s="2">
        <v>2016</v>
      </c>
      <c r="Q32">
        <f>MAX(AA$13:AA$19)</f>
        <v>618</v>
      </c>
      <c r="R32" t="str">
        <f>_xlfn.XLOOKUP(MAX(AA$13:AA$19),AA$13:AA$19,$Q$13:$Q$19)</f>
        <v>JH</v>
      </c>
    </row>
    <row r="33" spans="3:18" x14ac:dyDescent="0.2">
      <c r="C33">
        <v>2020</v>
      </c>
      <c r="D33">
        <v>6004</v>
      </c>
      <c r="E33">
        <v>6317</v>
      </c>
      <c r="F33" s="589">
        <v>7223</v>
      </c>
      <c r="G33">
        <v>6563</v>
      </c>
      <c r="H33">
        <v>7116</v>
      </c>
      <c r="I33">
        <v>7112</v>
      </c>
      <c r="J33">
        <v>6734</v>
      </c>
      <c r="P33" s="2">
        <v>2015</v>
      </c>
      <c r="Q33">
        <f>MAX(AB$13:AB$19)</f>
        <v>661</v>
      </c>
      <c r="R33" t="str">
        <f>_xlfn.XLOOKUP(MAX(AA$13:AA$19),AA$13:AA$19,$Q$13:$Q$19)</f>
        <v>JH</v>
      </c>
    </row>
    <row r="34" spans="3:18" x14ac:dyDescent="0.2">
      <c r="C34">
        <v>2021</v>
      </c>
      <c r="D34">
        <v>3190</v>
      </c>
      <c r="E34">
        <v>3253</v>
      </c>
      <c r="F34">
        <v>2909</v>
      </c>
      <c r="G34" s="589">
        <v>3870</v>
      </c>
      <c r="H34">
        <v>3805</v>
      </c>
      <c r="I34">
        <v>3786</v>
      </c>
      <c r="J34">
        <v>3134</v>
      </c>
      <c r="P34" s="2">
        <v>2014</v>
      </c>
      <c r="Q34">
        <f>MAX(AC$13:AC$19)</f>
        <v>644</v>
      </c>
      <c r="R34" t="str">
        <f>_xlfn.XLOOKUP(MAX(AB$13:AB$19),AB$13:AB$19,$Q$13:$Q$19)</f>
        <v>TOH</v>
      </c>
    </row>
    <row r="35" spans="3:18" x14ac:dyDescent="0.2">
      <c r="C35">
        <v>2022</v>
      </c>
      <c r="D35">
        <v>9440</v>
      </c>
      <c r="E35">
        <v>9597</v>
      </c>
      <c r="F35">
        <v>9847</v>
      </c>
      <c r="G35" s="589">
        <v>10844</v>
      </c>
      <c r="H35">
        <v>9987</v>
      </c>
      <c r="I35">
        <v>10171</v>
      </c>
      <c r="J35">
        <v>10167</v>
      </c>
      <c r="P35" s="2">
        <v>2013</v>
      </c>
      <c r="Q35">
        <f>MAX(AD$13:AD$19)</f>
        <v>637</v>
      </c>
      <c r="R35" t="str">
        <f>_xlfn.XLOOKUP(MAX(AD$13:AD$19),AD$13:AD$19,$Q$13:$Q$19)</f>
        <v>KAF</v>
      </c>
    </row>
    <row r="36" spans="3:18" x14ac:dyDescent="0.2">
      <c r="C36">
        <v>2023</v>
      </c>
      <c r="D36">
        <v>14690</v>
      </c>
      <c r="E36">
        <v>14460</v>
      </c>
      <c r="F36">
        <v>15220</v>
      </c>
      <c r="G36">
        <v>14490</v>
      </c>
      <c r="H36" s="589">
        <v>15320</v>
      </c>
      <c r="I36">
        <v>14690</v>
      </c>
      <c r="J36">
        <v>13220</v>
      </c>
      <c r="P36" s="2">
        <v>2012</v>
      </c>
      <c r="Q36">
        <f>MAX(AE$13:AE$19)</f>
        <v>651</v>
      </c>
      <c r="R36" t="str">
        <f>_xlfn.XLOOKUP(MAX(AE$13:AE$19),AE$13:AE$19,$Q$13:$Q$19)</f>
        <v>TOH</v>
      </c>
    </row>
    <row r="37" spans="3:18" x14ac:dyDescent="0.2">
      <c r="P37" s="2">
        <v>2011</v>
      </c>
      <c r="Q37">
        <f>MAX(AF$13:AF$19)</f>
        <v>609</v>
      </c>
      <c r="R37" t="str">
        <f>_xlfn.XLOOKUP(MAX(AF$13:AF$19),AF$13:AF$19,$Q$13:$Q$19)</f>
        <v>EB</v>
      </c>
    </row>
    <row r="38" spans="3:18" x14ac:dyDescent="0.2">
      <c r="P38" s="2">
        <v>2010</v>
      </c>
      <c r="Q38">
        <f>MAX(AG$13:AG$19)</f>
        <v>243</v>
      </c>
      <c r="R38" t="str">
        <f>_xlfn.XLOOKUP(MAX(AG$13:AG$19),AG$13:AG$19,$Q$13:$Q$19)</f>
        <v>ØG</v>
      </c>
    </row>
  </sheetData>
  <sheetProtection selectLockedCells="1" selectUnlockedCells="1"/>
  <sortState xmlns:xlrd2="http://schemas.microsoft.com/office/spreadsheetml/2017/richdata2" ref="AS13:AT19">
    <sortCondition descending="1" ref="AT13:AT19"/>
    <sortCondition ref="AS13:AS19"/>
  </sortState>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3C22E-AD27-4AFE-9533-5D4D67804394}">
  <sheetPr codeName="Ark3"/>
  <dimension ref="A1:AA68"/>
  <sheetViews>
    <sheetView showGridLines="0" showZeros="0" workbookViewId="0">
      <pane ySplit="1" topLeftCell="A4" activePane="bottomLeft" state="frozen"/>
      <selection activeCell="AO1" sqref="AO1"/>
      <selection pane="bottomLeft" activeCell="C1" sqref="C1:G1"/>
    </sheetView>
  </sheetViews>
  <sheetFormatPr baseColWidth="10" defaultColWidth="11.42578125" defaultRowHeight="12.75" x14ac:dyDescent="0.2"/>
  <cols>
    <col min="1" max="1" width="13.42578125" customWidth="1"/>
    <col min="2" max="2" width="12.42578125" customWidth="1"/>
    <col min="3" max="6" width="6.42578125" customWidth="1"/>
    <col min="7" max="7" width="8.28515625" customWidth="1"/>
    <col min="9" max="10" width="8.7109375" customWidth="1"/>
    <col min="11" max="11" width="14.5703125" customWidth="1"/>
    <col min="24" max="25" width="10.28515625" customWidth="1"/>
  </cols>
  <sheetData>
    <row r="1" spans="1:27" ht="15.75" thickBot="1" x14ac:dyDescent="0.3">
      <c r="A1" s="23" t="s">
        <v>846</v>
      </c>
      <c r="B1" s="23" t="s">
        <v>401</v>
      </c>
      <c r="C1" s="24" t="s">
        <v>16</v>
      </c>
      <c r="D1" s="24" t="s">
        <v>17</v>
      </c>
      <c r="E1" s="24" t="s">
        <v>18</v>
      </c>
      <c r="F1" s="24" t="s">
        <v>15</v>
      </c>
      <c r="G1" s="24" t="s">
        <v>449</v>
      </c>
      <c r="H1" s="25" t="s">
        <v>450</v>
      </c>
      <c r="I1" s="23" t="s">
        <v>847</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IFERROR(IF(OFFSET(_xlfn.XLOOKUP(B2,Kuponger!E:E,Kuponger!Q:Q),15,0)=0,"",OFFSET(_xlfn.XLOOKUP(B2,Kuponger!E:E,Kuponger!Q:Q),15,0)),"")</f>
        <v>160</v>
      </c>
      <c r="D2">
        <f ca="1">IFERROR(IF(OFFSET(_xlfn.XLOOKUP(B2,Kuponger!E:E,Kuponger!Q:Q),15,1)=0,"",OFFSET(_xlfn.XLOOKUP(B2,Kuponger!E:E,Kuponger!Q:Q),15,1)),"")</f>
        <v>30</v>
      </c>
      <c r="E2">
        <f ca="1">IFERROR(IF(OFFSET(_xlfn.XLOOKUP(B2,Kuponger!E:E,Kuponger!Q:Q),15,2)=0,"",OFFSET(_xlfn.XLOOKUP(B2,Kuponger!E:E,Kuponger!Q:Q),15,2)),"")</f>
        <v>140</v>
      </c>
      <c r="F2" t="str">
        <f ca="1">IFERROR(IF(OFFSET(_xlfn.XLOOKUP(B2,Kuponger!E:E,Kuponger!S:S),1,2)=0,"",OFFSET(_xlfn.XLOOKUP(B2,Kuponger!E:E,Kuponger!S:S),1,2))*-1,"")</f>
        <v/>
      </c>
      <c r="G2">
        <f t="shared" ref="G2:G42" ca="1" si="0">IF(SUMIF(C2:F2,"&lt;&gt;""")=0,"",SUMIF(C2:F2,"&lt;&gt;"""))</f>
        <v>330</v>
      </c>
      <c r="H2">
        <f ca="1">IFERROR(IF(OFFSET(_xlfn.XLOOKUP(B2,Kuponger!E:E,Kuponger!Q:Q),1,1)="","",OFFSET(_xlfn.XLOOKUP(B2,Kuponger!E:E,Kuponger!Q:Q),1,1)),"")</f>
        <v>9</v>
      </c>
      <c r="I2" s="3" t="str">
        <f ca="1">IFERROR(t_ahh[[#This Row],[tp]]-G1,"")</f>
        <v/>
      </c>
      <c r="J2" s="3"/>
      <c r="K2" s="801" t="s">
        <v>849</v>
      </c>
      <c r="L2">
        <f>COUNTIF(Kuponger!$Q:$Q,f_ahh!L$1)</f>
        <v>55</v>
      </c>
      <c r="M2">
        <f>COUNTIF(Kuponger!$Q:$Q,f_ahh!M$1)</f>
        <v>32</v>
      </c>
      <c r="N2">
        <f>COUNTIF(Kuponger!$Q:$Q,f_ahh!N$1)</f>
        <v>53</v>
      </c>
      <c r="O2">
        <f>COUNTIF(Kuponger!$Q:$Q,f_ahh!O$1)</f>
        <v>52</v>
      </c>
      <c r="P2">
        <f>COUNTIF(Kuponger!$Q:$Q,f_ahh!P$1)</f>
        <v>73</v>
      </c>
      <c r="Q2">
        <f>COUNTIF(Kuponger!$Q:$Q,f_ahh!Q$1)</f>
        <v>40</v>
      </c>
      <c r="R2">
        <f>COUNTIF(Kuponger!$Q:$Q,f_ahh!R$1)</f>
        <v>42</v>
      </c>
      <c r="S2">
        <f>COUNTIF(Kuponger!$Q:$Q,f_ahh!S$1)</f>
        <v>37</v>
      </c>
      <c r="T2">
        <f>SUM(L$2:S$2)</f>
        <v>384</v>
      </c>
      <c r="W2" s="3"/>
      <c r="X2" s="3"/>
      <c r="Y2" s="3"/>
      <c r="Z2" s="3"/>
      <c r="AA2" s="3"/>
    </row>
    <row r="3" spans="1:27" x14ac:dyDescent="0.2">
      <c r="A3">
        <v>2</v>
      </c>
      <c r="B3" s="22">
        <f ca="1">Data!AL2</f>
        <v>45892</v>
      </c>
      <c r="C3">
        <f ca="1">IFERROR(IF(OFFSET(_xlfn.XLOOKUP(B3,Kuponger!E:E,Kuponger!Q:Q),15,0)=0,"",OFFSET(_xlfn.XLOOKUP(B3,Kuponger!E:E,Kuponger!Q:Q),15,0)),"")</f>
        <v>340</v>
      </c>
      <c r="D3">
        <f ca="1">IFERROR(IF(OFFSET(_xlfn.XLOOKUP(B3,Kuponger!E:E,Kuponger!Q:Q),15,1)=0,"",OFFSET(_xlfn.XLOOKUP(B3,Kuponger!E:E,Kuponger!Q:Q),15,1)),"")</f>
        <v>70</v>
      </c>
      <c r="E3">
        <f ca="1">IFERROR(IF(OFFSET(_xlfn.XLOOKUP(B3,Kuponger!E:E,Kuponger!Q:Q),15,2)=0,"",OFFSET(_xlfn.XLOOKUP(B3,Kuponger!E:E,Kuponger!Q:Q),15,2)),"")</f>
        <v>120</v>
      </c>
      <c r="F3" t="str">
        <f ca="1">IFERROR(IF(OFFSET(_xlfn.XLOOKUP(B3,Kuponger!E:E,Kuponger!S:S),1,2)=0,"",OFFSET(_xlfn.XLOOKUP(B3,Kuponger!E:E,Kuponger!S:S),1,2))*-1,"")</f>
        <v/>
      </c>
      <c r="G3">
        <f t="shared" ca="1" si="0"/>
        <v>530</v>
      </c>
      <c r="H3">
        <f ca="1">IFERROR(IF(OFFSET(_xlfn.XLOOKUP(B3,Kuponger!E:E,Kuponger!Q:Q),1,1)="","",OFFSET(_xlfn.XLOOKUP(B3,Kuponger!E:E,Kuponger!Q:Q),1,1)),"")</f>
        <v>6</v>
      </c>
      <c r="I3" s="3">
        <f ca="1">IFERROR(t_ahh[[#This Row],[tp]]-G2,"")</f>
        <v>200</v>
      </c>
      <c r="J3" s="3"/>
      <c r="K3" s="801" t="s">
        <v>850</v>
      </c>
      <c r="L3">
        <f>COUNTIF(Kuponger!$R:$R,f_ahh!L$1)</f>
        <v>15</v>
      </c>
      <c r="M3">
        <f>COUNTIF(Kuponger!$R:$R,f_ahh!M$1)</f>
        <v>8</v>
      </c>
      <c r="N3">
        <f>COUNTIF(Kuponger!$R:$R,f_ahh!N$1)</f>
        <v>21</v>
      </c>
      <c r="O3">
        <f>COUNTIF(Kuponger!$R:$R,f_ahh!O$1)</f>
        <v>6</v>
      </c>
      <c r="P3">
        <f>COUNTIF(Kuponger!$R:$R,f_ahh!P$1)</f>
        <v>15</v>
      </c>
      <c r="Q3">
        <f>COUNTIF(Kuponger!$R:$R,f_ahh!Q$1)</f>
        <v>158</v>
      </c>
      <c r="R3">
        <f>COUNTIF(Kuponger!$R:$R,f_ahh!R$1)</f>
        <v>107</v>
      </c>
      <c r="S3">
        <f>COUNTIF(Kuponger!$R:$R,f_ahh!S$1)</f>
        <v>71</v>
      </c>
      <c r="T3">
        <f>SUM(L$3:S$3)</f>
        <v>401</v>
      </c>
    </row>
    <row r="4" spans="1:27" x14ac:dyDescent="0.2">
      <c r="A4">
        <v>3</v>
      </c>
      <c r="B4" s="22">
        <f ca="1">Data!AL3</f>
        <v>45920</v>
      </c>
      <c r="C4">
        <f ca="1">IFERROR(IF(OFFSET(_xlfn.XLOOKUP(B4,Kuponger!E:E,Kuponger!Q:Q),15,0)=0,"",OFFSET(_xlfn.XLOOKUP(B4,Kuponger!E:E,Kuponger!Q:Q),15,0)),"")</f>
        <v>240</v>
      </c>
      <c r="D4">
        <f ca="1">IFERROR(IF(OFFSET(_xlfn.XLOOKUP(B4,Kuponger!E:E,Kuponger!Q:Q),15,1)=0,"",OFFSET(_xlfn.XLOOKUP(B4,Kuponger!E:E,Kuponger!Q:Q),15,1)),"")</f>
        <v>90</v>
      </c>
      <c r="E4">
        <f ca="1">IFERROR(IF(OFFSET(_xlfn.XLOOKUP(B4,Kuponger!E:E,Kuponger!Q:Q),15,2)=0,"",OFFSET(_xlfn.XLOOKUP(B4,Kuponger!E:E,Kuponger!Q:Q),15,2)),"")</f>
        <v>150</v>
      </c>
      <c r="F4" t="str">
        <f ca="1">IFERROR(IF(OFFSET(_xlfn.XLOOKUP(B4,Kuponger!E:E,Kuponger!S:S),1,2)=0,"",OFFSET(_xlfn.XLOOKUP(B4,Kuponger!E:E,Kuponger!S:S),1,2))*-1,"")</f>
        <v/>
      </c>
      <c r="G4">
        <f t="shared" ca="1" si="0"/>
        <v>480</v>
      </c>
      <c r="H4">
        <f ca="1">IFERROR(IF(OFFSET(_xlfn.XLOOKUP(B4,Kuponger!E:E,Kuponger!Q:Q),1,1)="","",OFFSET(_xlfn.XLOOKUP(B4,Kuponger!E:E,Kuponger!Q:Q),1,1)),"")</f>
        <v>4</v>
      </c>
      <c r="I4" s="3">
        <f ca="1">IFERROR(t_ahh[[#This Row],[tp]]-G3,"")</f>
        <v>-50</v>
      </c>
      <c r="J4" s="3"/>
      <c r="K4" s="801" t="s">
        <v>851</v>
      </c>
      <c r="L4">
        <f>COUNTIF(Kuponger!$S:$S,f_ahh!L$1)</f>
        <v>11</v>
      </c>
      <c r="M4">
        <f>COUNTIF(Kuponger!$S:$S,f_ahh!M$1)</f>
        <v>12</v>
      </c>
      <c r="N4">
        <f>COUNTIF(Kuponger!$S:$S,f_ahh!N$1)</f>
        <v>19</v>
      </c>
      <c r="O4">
        <f>COUNTIF(Kuponger!$S:$S,f_ahh!O$1)</f>
        <v>20</v>
      </c>
      <c r="P4">
        <f>COUNTIF(Kuponger!$S:$S,f_ahh!P$1)</f>
        <v>28</v>
      </c>
      <c r="Q4">
        <f>COUNTIF(Kuponger!$S:$S,f_ahh!Q$1)</f>
        <v>74</v>
      </c>
      <c r="R4">
        <f>COUNTIF(Kuponger!$S:$S,f_ahh!R$1)</f>
        <v>103</v>
      </c>
      <c r="S4">
        <f>COUNTIF(Kuponger!$S:$S,f_ahh!S$1)</f>
        <v>128</v>
      </c>
      <c r="T4">
        <f>SUM(L$4:S$4)</f>
        <v>395</v>
      </c>
    </row>
    <row r="5" spans="1:27" x14ac:dyDescent="0.2">
      <c r="A5">
        <v>4</v>
      </c>
      <c r="B5" s="22">
        <f ca="1">Data!AL4</f>
        <v>45927</v>
      </c>
      <c r="C5">
        <f ca="1">IFERROR(IF(OFFSET(_xlfn.XLOOKUP(B5,Kuponger!E:E,Kuponger!Q:Q),15,0)=0,"",OFFSET(_xlfn.XLOOKUP(B5,Kuponger!E:E,Kuponger!Q:Q),15,0)),"")</f>
        <v>190</v>
      </c>
      <c r="D5">
        <f ca="1">IFERROR(IF(OFFSET(_xlfn.XLOOKUP(B5,Kuponger!E:E,Kuponger!Q:Q),15,1)=0,"",OFFSET(_xlfn.XLOOKUP(B5,Kuponger!E:E,Kuponger!Q:Q),15,1)),"")</f>
        <v>160</v>
      </c>
      <c r="E5">
        <f ca="1">IFERROR(IF(OFFSET(_xlfn.XLOOKUP(B5,Kuponger!E:E,Kuponger!Q:Q),15,2)=0,"",OFFSET(_xlfn.XLOOKUP(B5,Kuponger!E:E,Kuponger!Q:Q),15,2)),"")</f>
        <v>40</v>
      </c>
      <c r="F5" t="str">
        <f ca="1">IFERROR(IF(OFFSET(_xlfn.XLOOKUP(B5,Kuponger!E:E,Kuponger!S:S),1,2)=0,"",OFFSET(_xlfn.XLOOKUP(B5,Kuponger!E:E,Kuponger!S:S),1,2))*-1,"")</f>
        <v/>
      </c>
      <c r="G5">
        <f t="shared" ca="1" si="0"/>
        <v>390</v>
      </c>
      <c r="H5">
        <f ca="1">IFERROR(IF(OFFSET(_xlfn.XLOOKUP(B5,Kuponger!E:E,Kuponger!Q:Q),1,1)="","",OFFSET(_xlfn.XLOOKUP(B5,Kuponger!E:E,Kuponger!Q:Q),1,1)),"")</f>
        <v>1</v>
      </c>
      <c r="I5" s="3">
        <f ca="1">IFERROR(t_ahh[[#This Row],[tp]]-G4,"")</f>
        <v>-90</v>
      </c>
      <c r="J5" s="3"/>
      <c r="K5" s="801" t="str">
        <f>K1</f>
        <v>Antall Leverte</v>
      </c>
      <c r="L5">
        <f>SUM(L2:L4)</f>
        <v>81</v>
      </c>
      <c r="M5">
        <f t="shared" ref="M5:S5" si="1">SUM(M2:M4)</f>
        <v>52</v>
      </c>
      <c r="N5">
        <f t="shared" si="1"/>
        <v>93</v>
      </c>
      <c r="O5">
        <f t="shared" si="1"/>
        <v>78</v>
      </c>
      <c r="P5">
        <f t="shared" si="1"/>
        <v>116</v>
      </c>
      <c r="Q5">
        <f t="shared" si="1"/>
        <v>272</v>
      </c>
      <c r="R5">
        <f t="shared" si="1"/>
        <v>252</v>
      </c>
      <c r="S5">
        <f t="shared" si="1"/>
        <v>236</v>
      </c>
      <c r="T5">
        <f>SUM(L$5:S$5)</f>
        <v>1180</v>
      </c>
    </row>
    <row r="6" spans="1:27" x14ac:dyDescent="0.2">
      <c r="A6">
        <v>5</v>
      </c>
      <c r="B6" s="22">
        <f ca="1">Data!AL5</f>
        <v>45934</v>
      </c>
      <c r="C6">
        <f ca="1">IFERROR(IF(OFFSET(_xlfn.XLOOKUP(B6,Kuponger!E:E,Kuponger!Q:Q),15,0)=0,"",OFFSET(_xlfn.XLOOKUP(B6,Kuponger!E:E,Kuponger!Q:Q),15,0)),"")</f>
        <v>520</v>
      </c>
      <c r="D6">
        <f ca="1">IFERROR(IF(OFFSET(_xlfn.XLOOKUP(B6,Kuponger!E:E,Kuponger!Q:Q),15,1)=0,"",OFFSET(_xlfn.XLOOKUP(B6,Kuponger!E:E,Kuponger!Q:Q),15,1)),"")</f>
        <v>30</v>
      </c>
      <c r="E6">
        <f ca="1">IFERROR(IF(OFFSET(_xlfn.XLOOKUP(B6,Kuponger!E:E,Kuponger!Q:Q),15,2)=0,"",OFFSET(_xlfn.XLOOKUP(B6,Kuponger!E:E,Kuponger!Q:Q),15,2)),"")</f>
        <v>90</v>
      </c>
      <c r="F6" t="str">
        <f ca="1">IFERROR(IF(OFFSET(_xlfn.XLOOKUP(B6,Kuponger!E:E,Kuponger!S:S),1,2)=0,"",OFFSET(_xlfn.XLOOKUP(B6,Kuponger!E:E,Kuponger!S:S),1,2))*-1,"")</f>
        <v/>
      </c>
      <c r="G6">
        <f t="shared" ca="1" si="0"/>
        <v>640</v>
      </c>
      <c r="H6">
        <f ca="1">IFERROR(IF(OFFSET(_xlfn.XLOOKUP(B6,Kuponger!E:E,Kuponger!Q:Q),1,1)="","",OFFSET(_xlfn.XLOOKUP(B6,Kuponger!E:E,Kuponger!Q:Q),1,1)),"")</f>
        <v>6</v>
      </c>
      <c r="I6" s="3">
        <f ca="1">IFERROR(t_ahh[[#This Row],[tp]]-G5,"")</f>
        <v>250</v>
      </c>
      <c r="J6" s="3"/>
    </row>
    <row r="7" spans="1:27" ht="15" x14ac:dyDescent="0.25">
      <c r="A7">
        <v>6</v>
      </c>
      <c r="B7" s="22">
        <f ca="1">Data!AL6</f>
        <v>45941</v>
      </c>
      <c r="C7">
        <f ca="1">IFERROR(IF(OFFSET(_xlfn.XLOOKUP(B7,Kuponger!E:E,Kuponger!Q:Q),15,0)=0,"",OFFSET(_xlfn.XLOOKUP(B7,Kuponger!E:E,Kuponger!Q:Q),15,0)),"")</f>
        <v>380</v>
      </c>
      <c r="D7">
        <f ca="1">IFERROR(IF(OFFSET(_xlfn.XLOOKUP(B7,Kuponger!E:E,Kuponger!Q:Q),15,1)=0,"",OFFSET(_xlfn.XLOOKUP(B7,Kuponger!E:E,Kuponger!Q:Q),15,1)),"")</f>
        <v>20</v>
      </c>
      <c r="E7">
        <f ca="1">IFERROR(IF(OFFSET(_xlfn.XLOOKUP(B7,Kuponger!E:E,Kuponger!Q:Q),15,2)=0,"",OFFSET(_xlfn.XLOOKUP(B7,Kuponger!E:E,Kuponger!Q:Q),15,2)),"")</f>
        <v>210</v>
      </c>
      <c r="F7" t="str">
        <f ca="1">IFERROR(IF(OFFSET(_xlfn.XLOOKUP(B7,Kuponger!E:E,Kuponger!S:S),1,2)=0,"",OFFSET(_xlfn.XLOOKUP(B7,Kuponger!E:E,Kuponger!S:S),1,2))*-1,"")</f>
        <v/>
      </c>
      <c r="G7">
        <f t="shared" ca="1" si="0"/>
        <v>610</v>
      </c>
      <c r="H7">
        <f ca="1">IFERROR(IF(OFFSET(_xlfn.XLOOKUP(B7,Kuponger!E:E,Kuponger!Q:Q),1,1)="","",OFFSET(_xlfn.XLOOKUP(B7,Kuponger!E:E,Kuponger!Q:Q),1,1)),"")</f>
        <v>7</v>
      </c>
      <c r="I7" s="3">
        <f ca="1">IFERROR(t_ahh[[#This Row],[tp]]-G6,"")</f>
        <v>-30</v>
      </c>
      <c r="J7" s="3"/>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IFERROR(IF(OFFSET(_xlfn.XLOOKUP(B8,Kuponger!E:E,Kuponger!Q:Q),15,0)=0,"",OFFSET(_xlfn.XLOOKUP(B8,Kuponger!E:E,Kuponger!Q:Q),15,0)),"")</f>
        <v>270</v>
      </c>
      <c r="D8">
        <f ca="1">IFERROR(IF(OFFSET(_xlfn.XLOOKUP(B8,Kuponger!E:E,Kuponger!Q:Q),15,1)=0,"",OFFSET(_xlfn.XLOOKUP(B8,Kuponger!E:E,Kuponger!Q:Q),15,1)),"")</f>
        <v>120</v>
      </c>
      <c r="E8">
        <f ca="1">IFERROR(IF(OFFSET(_xlfn.XLOOKUP(B8,Kuponger!E:E,Kuponger!Q:Q),15,2)=0,"",OFFSET(_xlfn.XLOOKUP(B8,Kuponger!E:E,Kuponger!Q:Q),15,2)),"")</f>
        <v>210</v>
      </c>
      <c r="F8" t="str">
        <f ca="1">IFERROR(IF(OFFSET(_xlfn.XLOOKUP(B8,Kuponger!E:E,Kuponger!S:S),1,2)=0,"",OFFSET(_xlfn.XLOOKUP(B8,Kuponger!E:E,Kuponger!S:S),1,2))*-1,"")</f>
        <v/>
      </c>
      <c r="G8">
        <f t="shared" ca="1" si="0"/>
        <v>600</v>
      </c>
      <c r="H8">
        <f ca="1">IFERROR(IF(OFFSET(_xlfn.XLOOKUP(B8,Kuponger!E:E,Kuponger!Q:Q),1,1)="","",OFFSET(_xlfn.XLOOKUP(B8,Kuponger!E:E,Kuponger!Q:Q),1,1)),"")</f>
        <v>7</v>
      </c>
      <c r="I8" s="3">
        <f ca="1">IFERROR(t_ahh[[#This Row],[tp]]-G7,"")</f>
        <v>-10</v>
      </c>
      <c r="J8" s="3"/>
      <c r="K8" s="801" t="str">
        <f>K2</f>
        <v>Hjemmetips</v>
      </c>
      <c r="L8">
        <f>COUNTIF(Kuponger!$U:$U,L$7)</f>
        <v>38</v>
      </c>
      <c r="M8">
        <f>COUNTIF(Kuponger!$U:$U,M$7)</f>
        <v>24</v>
      </c>
      <c r="N8">
        <f>COUNTIF(Kuponger!$U:$U,N$7)</f>
        <v>19</v>
      </c>
      <c r="O8">
        <f>COUNTIF(Kuponger!$U:$U,O$7)</f>
        <v>27</v>
      </c>
      <c r="P8">
        <f>COUNTIF(Kuponger!$U:$U,P$7)</f>
        <v>34</v>
      </c>
      <c r="Q8">
        <f>COUNTIF(Kuponger!$U:$U,Q$7)</f>
        <v>15</v>
      </c>
      <c r="R8">
        <f>COUNTIF(Kuponger!$U:$U,R$7)</f>
        <v>14</v>
      </c>
      <c r="S8">
        <f>COUNTIF(Kuponger!$U:$U,S$7)</f>
        <v>5</v>
      </c>
      <c r="T8">
        <f>SUM(L$8:S$8)</f>
        <v>176</v>
      </c>
    </row>
    <row r="9" spans="1:27" x14ac:dyDescent="0.2">
      <c r="A9">
        <v>8</v>
      </c>
      <c r="B9" s="22">
        <f ca="1">Data!AL8</f>
        <v>45955</v>
      </c>
      <c r="C9">
        <f ca="1">IFERROR(IF(OFFSET(_xlfn.XLOOKUP(B9,Kuponger!E:E,Kuponger!Q:Q),15,0)=0,"",OFFSET(_xlfn.XLOOKUP(B9,Kuponger!E:E,Kuponger!Q:Q),15,0)),"")</f>
        <v>270</v>
      </c>
      <c r="D9">
        <f ca="1">IFERROR(IF(OFFSET(_xlfn.XLOOKUP(B9,Kuponger!E:E,Kuponger!Q:Q),15,1)=0,"",OFFSET(_xlfn.XLOOKUP(B9,Kuponger!E:E,Kuponger!Q:Q),15,1)),"")</f>
        <v>60</v>
      </c>
      <c r="E9">
        <f ca="1">IFERROR(IF(OFFSET(_xlfn.XLOOKUP(B9,Kuponger!E:E,Kuponger!Q:Q),15,2)=0,"",OFFSET(_xlfn.XLOOKUP(B9,Kuponger!E:E,Kuponger!Q:Q),15,2)),"")</f>
        <v>110</v>
      </c>
      <c r="F9" t="str">
        <f ca="1">IFERROR(IF(OFFSET(_xlfn.XLOOKUP(B9,Kuponger!E:E,Kuponger!S:S),1,2)=0,"",OFFSET(_xlfn.XLOOKUP(B9,Kuponger!E:E,Kuponger!S:S),1,2))*-1,"")</f>
        <v/>
      </c>
      <c r="G9">
        <f t="shared" ca="1" si="0"/>
        <v>440</v>
      </c>
      <c r="H9">
        <f ca="1">IFERROR(IF(OFFSET(_xlfn.XLOOKUP(B9,Kuponger!E:E,Kuponger!Q:Q),1,1)="","",OFFSET(_xlfn.XLOOKUP(B9,Kuponger!E:E,Kuponger!Q:Q),1,1)),"")</f>
        <v>9</v>
      </c>
      <c r="I9" s="3">
        <f ca="1">IFERROR(t_ahh[[#This Row],[tp]]-G8,"")</f>
        <v>-160</v>
      </c>
      <c r="J9" s="3"/>
      <c r="K9" s="801" t="str">
        <f>K3</f>
        <v>Uavgjorttips</v>
      </c>
      <c r="L9">
        <f>COUNTIF(Kuponger!$V:$V,L$7)</f>
        <v>5</v>
      </c>
      <c r="M9">
        <f>COUNTIF(Kuponger!$V:$V,M$7)</f>
        <v>1</v>
      </c>
      <c r="N9">
        <f>COUNTIF(Kuponger!$V:$V,N$7)</f>
        <v>3</v>
      </c>
      <c r="O9">
        <f>COUNTIF(Kuponger!$V:$V,O$7)</f>
        <v>1</v>
      </c>
      <c r="P9">
        <f>COUNTIF(Kuponger!$V:$V,P$7)</f>
        <v>2</v>
      </c>
      <c r="Q9">
        <f>COUNTIF(Kuponger!$V:$V,Q$7)</f>
        <v>40</v>
      </c>
      <c r="R9">
        <f>COUNTIF(Kuponger!$V:$V,R$7)</f>
        <v>25</v>
      </c>
      <c r="S9">
        <f>COUNTIF(Kuponger!$V:$V,S$7)</f>
        <v>12</v>
      </c>
      <c r="T9">
        <f>SUM(L$9:S$9)</f>
        <v>89</v>
      </c>
    </row>
    <row r="10" spans="1:27" x14ac:dyDescent="0.2">
      <c r="A10">
        <v>9</v>
      </c>
      <c r="B10" s="22">
        <f ca="1">Data!AL9</f>
        <v>45962</v>
      </c>
      <c r="C10">
        <f ca="1">IFERROR(IF(OFFSET(_xlfn.XLOOKUP(B10,Kuponger!E:E,Kuponger!Q:Q),15,0)=0,"",OFFSET(_xlfn.XLOOKUP(B10,Kuponger!E:E,Kuponger!Q:Q),15,0)),"")</f>
        <v>440</v>
      </c>
      <c r="D10">
        <f ca="1">IFERROR(IF(OFFSET(_xlfn.XLOOKUP(B10,Kuponger!E:E,Kuponger!Q:Q),15,1)=0,"",OFFSET(_xlfn.XLOOKUP(B10,Kuponger!E:E,Kuponger!Q:Q),15,1)),"")</f>
        <v>60</v>
      </c>
      <c r="E10">
        <f ca="1">IFERROR(IF(OFFSET(_xlfn.XLOOKUP(B10,Kuponger!E:E,Kuponger!Q:Q),15,2)=0,"",OFFSET(_xlfn.XLOOKUP(B10,Kuponger!E:E,Kuponger!Q:Q),15,2)),"")</f>
        <v>70</v>
      </c>
      <c r="F10" t="str">
        <f ca="1">IFERROR(IF(OFFSET(_xlfn.XLOOKUP(B10,Kuponger!E:E,Kuponger!S:S),1,2)=0,"",OFFSET(_xlfn.XLOOKUP(B10,Kuponger!E:E,Kuponger!S:S),1,2))*-1,"")</f>
        <v/>
      </c>
      <c r="G10">
        <f t="shared" ca="1" si="0"/>
        <v>570</v>
      </c>
      <c r="H10">
        <f ca="1">IFERROR(IF(OFFSET(_xlfn.XLOOKUP(B10,Kuponger!E:E,Kuponger!Q:Q),1,1)="","",OFFSET(_xlfn.XLOOKUP(B10,Kuponger!E:E,Kuponger!Q:Q),1,1)),"")</f>
        <v>8</v>
      </c>
      <c r="I10" s="3">
        <f ca="1">IFERROR(t_ahh[[#This Row],[tp]]-G9,"")</f>
        <v>130</v>
      </c>
      <c r="J10" s="3"/>
      <c r="K10" s="801" t="str">
        <f>K4</f>
        <v>Bortetips</v>
      </c>
      <c r="L10">
        <f>COUNTIF(Kuponger!$W:$W,L$7)</f>
        <v>10</v>
      </c>
      <c r="M10">
        <f>COUNTIF(Kuponger!$W:$W,M$7)</f>
        <v>6</v>
      </c>
      <c r="N10">
        <f>COUNTIF(Kuponger!$W:$W,N$7)</f>
        <v>8</v>
      </c>
      <c r="O10">
        <f>COUNTIF(Kuponger!$W:$W,O$7)</f>
        <v>6</v>
      </c>
      <c r="P10">
        <f>COUNTIF(Kuponger!$W:$W,P$7)</f>
        <v>5</v>
      </c>
      <c r="Q10">
        <f>COUNTIF(Kuponger!$W:$W,Q$7)</f>
        <v>25</v>
      </c>
      <c r="R10">
        <f>COUNTIF(Kuponger!$W:$W,R$7)</f>
        <v>33</v>
      </c>
      <c r="S10">
        <f>COUNTIF(Kuponger!$W:$W,S$7)</f>
        <v>26</v>
      </c>
      <c r="T10">
        <f>SUM(L$10:S$10)</f>
        <v>119</v>
      </c>
    </row>
    <row r="11" spans="1:27" x14ac:dyDescent="0.2">
      <c r="A11">
        <v>10</v>
      </c>
      <c r="B11" s="22">
        <f ca="1">Data!AL10</f>
        <v>45969</v>
      </c>
      <c r="C11">
        <f ca="1">IFERROR(IF(OFFSET(_xlfn.XLOOKUP(B11,Kuponger!E:E,Kuponger!Q:Q),15,0)=0,"",OFFSET(_xlfn.XLOOKUP(B11,Kuponger!E:E,Kuponger!Q:Q),15,0)),"")</f>
        <v>310</v>
      </c>
      <c r="D11">
        <f ca="1">IFERROR(IF(OFFSET(_xlfn.XLOOKUP(B11,Kuponger!E:E,Kuponger!Q:Q),15,1)=0,"",OFFSET(_xlfn.XLOOKUP(B11,Kuponger!E:E,Kuponger!Q:Q),15,1)),"")</f>
        <v>60</v>
      </c>
      <c r="E11">
        <f ca="1">IFERROR(IF(OFFSET(_xlfn.XLOOKUP(B11,Kuponger!E:E,Kuponger!Q:Q),15,2)=0,"",OFFSET(_xlfn.XLOOKUP(B11,Kuponger!E:E,Kuponger!Q:Q),15,2)),"")</f>
        <v>180</v>
      </c>
      <c r="F11" t="str">
        <f ca="1">IFERROR(IF(OFFSET(_xlfn.XLOOKUP(B11,Kuponger!E:E,Kuponger!S:S),1,2)=0,"",OFFSET(_xlfn.XLOOKUP(B11,Kuponger!E:E,Kuponger!S:S),1,2))*-1,"")</f>
        <v/>
      </c>
      <c r="G11">
        <f t="shared" ca="1" si="0"/>
        <v>550</v>
      </c>
      <c r="H11">
        <f ca="1">IFERROR(IF(OFFSET(_xlfn.XLOOKUP(B11,Kuponger!E:E,Kuponger!Q:Q),1,1)="","",OFFSET(_xlfn.XLOOKUP(B11,Kuponger!E:E,Kuponger!Q:Q),1,1)),"")</f>
        <v>7</v>
      </c>
      <c r="I11" s="3">
        <f ca="1">IFERROR(t_ahh[[#This Row],[tp]]-G10,"")</f>
        <v>-20</v>
      </c>
      <c r="J11" s="3"/>
      <c r="K11" s="801" t="str">
        <f>K7</f>
        <v>Antall Treff</v>
      </c>
      <c r="L11">
        <f>SUM(L$8:L$10)</f>
        <v>53</v>
      </c>
      <c r="M11">
        <f t="shared" ref="M11:S11" si="3">SUM(M$8:M$10)</f>
        <v>31</v>
      </c>
      <c r="N11">
        <f t="shared" si="3"/>
        <v>30</v>
      </c>
      <c r="O11">
        <f t="shared" si="3"/>
        <v>34</v>
      </c>
      <c r="P11">
        <f>SUM(P$8:P$10)</f>
        <v>41</v>
      </c>
      <c r="Q11">
        <f t="shared" si="3"/>
        <v>80</v>
      </c>
      <c r="R11">
        <f t="shared" si="3"/>
        <v>72</v>
      </c>
      <c r="S11">
        <f t="shared" si="3"/>
        <v>43</v>
      </c>
      <c r="T11">
        <f>SUM(L$11:S$11)</f>
        <v>384</v>
      </c>
    </row>
    <row r="12" spans="1:27" x14ac:dyDescent="0.2">
      <c r="A12">
        <v>11</v>
      </c>
      <c r="B12" s="22">
        <f ca="1">Data!AL11</f>
        <v>45976</v>
      </c>
      <c r="C12">
        <f ca="1">IFERROR(IF(OFFSET(_xlfn.XLOOKUP(B12,Kuponger!E:E,Kuponger!Q:Q),15,0)=0,"",OFFSET(_xlfn.XLOOKUP(B12,Kuponger!E:E,Kuponger!Q:Q),15,0)),"")</f>
        <v>250</v>
      </c>
      <c r="D12">
        <f ca="1">IFERROR(IF(OFFSET(_xlfn.XLOOKUP(B12,Kuponger!E:E,Kuponger!Q:Q),15,1)=0,"",OFFSET(_xlfn.XLOOKUP(B12,Kuponger!E:E,Kuponger!Q:Q),15,1)),"")</f>
        <v>90</v>
      </c>
      <c r="E12">
        <f ca="1">IFERROR(IF(OFFSET(_xlfn.XLOOKUP(B12,Kuponger!E:E,Kuponger!Q:Q),15,2)=0,"",OFFSET(_xlfn.XLOOKUP(B12,Kuponger!E:E,Kuponger!Q:Q),15,2)),"")</f>
        <v>210</v>
      </c>
      <c r="F12" t="str">
        <f ca="1">IFERROR(IF(OFFSET(_xlfn.XLOOKUP(B12,Kuponger!E:E,Kuponger!S:S),1,2)=0,"",OFFSET(_xlfn.XLOOKUP(B12,Kuponger!E:E,Kuponger!S:S),1,2))*-1,"")</f>
        <v/>
      </c>
      <c r="G12">
        <f t="shared" ca="1" si="0"/>
        <v>550</v>
      </c>
      <c r="H12">
        <f ca="1">IFERROR(IF(OFFSET(_xlfn.XLOOKUP(B12,Kuponger!E:E,Kuponger!Q:Q),1,1)="","",OFFSET(_xlfn.XLOOKUP(B12,Kuponger!E:E,Kuponger!Q:Q),1,1)),"")</f>
        <v>5</v>
      </c>
      <c r="I12" s="3">
        <f ca="1">IFERROR(t_ahh[[#This Row],[tp]]-G11,"")</f>
        <v>0</v>
      </c>
      <c r="J12" s="3"/>
    </row>
    <row r="13" spans="1:27" ht="15" x14ac:dyDescent="0.25">
      <c r="A13">
        <v>12</v>
      </c>
      <c r="B13" s="22">
        <f ca="1">Data!AL12</f>
        <v>45983</v>
      </c>
      <c r="C13">
        <f ca="1">IFERROR(IF(OFFSET(_xlfn.XLOOKUP(B13,Kuponger!E:E,Kuponger!Q:Q),15,0)=0,"",OFFSET(_xlfn.XLOOKUP(B13,Kuponger!E:E,Kuponger!Q:Q),15,0)),"")</f>
        <v>250</v>
      </c>
      <c r="D13">
        <f ca="1">IFERROR(IF(OFFSET(_xlfn.XLOOKUP(B13,Kuponger!E:E,Kuponger!Q:Q),15,1)=0,"",OFFSET(_xlfn.XLOOKUP(B13,Kuponger!E:E,Kuponger!Q:Q),15,1)),"")</f>
        <v>60</v>
      </c>
      <c r="E13">
        <f ca="1">IFERROR(IF(OFFSET(_xlfn.XLOOKUP(B13,Kuponger!E:E,Kuponger!Q:Q),15,2)=0,"",OFFSET(_xlfn.XLOOKUP(B13,Kuponger!E:E,Kuponger!Q:Q),15,2)),"")</f>
        <v>100</v>
      </c>
      <c r="F13" t="str">
        <f ca="1">IFERROR(IF(OFFSET(_xlfn.XLOOKUP(B13,Kuponger!E:E,Kuponger!S:S),1,2)=0,"",OFFSET(_xlfn.XLOOKUP(B13,Kuponger!E:E,Kuponger!S:S),1,2))*-1,"")</f>
        <v/>
      </c>
      <c r="G13">
        <f t="shared" ca="1" si="0"/>
        <v>410</v>
      </c>
      <c r="H13">
        <f ca="1">IFERROR(IF(OFFSET(_xlfn.XLOOKUP(B13,Kuponger!E:E,Kuponger!Q:Q),1,1)="","",OFFSET(_xlfn.XLOOKUP(B13,Kuponger!E:E,Kuponger!Q:Q),1,1)),"")</f>
        <v>7</v>
      </c>
      <c r="I13" s="3">
        <f ca="1">IFERROR(t_ahh[[#This Row],[tp]]-G12,"")</f>
        <v>-140</v>
      </c>
      <c r="J13" s="3"/>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IFERROR(IF(OFFSET(_xlfn.XLOOKUP(B14,Kuponger!E:E,Kuponger!Q:Q),15,0)=0,"",OFFSET(_xlfn.XLOOKUP(B14,Kuponger!E:E,Kuponger!Q:Q),15,0)),"")</f>
        <v>410</v>
      </c>
      <c r="D14">
        <f ca="1">IFERROR(IF(OFFSET(_xlfn.XLOOKUP(B14,Kuponger!E:E,Kuponger!Q:Q),15,1)=0,"",OFFSET(_xlfn.XLOOKUP(B14,Kuponger!E:E,Kuponger!Q:Q),15,1)),"")</f>
        <v>30</v>
      </c>
      <c r="E14">
        <f ca="1">IFERROR(IF(OFFSET(_xlfn.XLOOKUP(B14,Kuponger!E:E,Kuponger!Q:Q),15,2)=0,"",OFFSET(_xlfn.XLOOKUP(B14,Kuponger!E:E,Kuponger!Q:Q),15,2)),"")</f>
        <v>100</v>
      </c>
      <c r="F14" t="str">
        <f ca="1">IFERROR(IF(OFFSET(_xlfn.XLOOKUP(B14,Kuponger!E:E,Kuponger!S:S),1,2)=0,"",OFFSET(_xlfn.XLOOKUP(B14,Kuponger!E:E,Kuponger!S:S),1,2))*-1,"")</f>
        <v/>
      </c>
      <c r="G14">
        <f t="shared" ca="1" si="0"/>
        <v>540</v>
      </c>
      <c r="H14">
        <f ca="1">IFERROR(IF(OFFSET(_xlfn.XLOOKUP(B14,Kuponger!E:E,Kuponger!Q:Q),1,1)="","",OFFSET(_xlfn.XLOOKUP(B14,Kuponger!E:E,Kuponger!Q:Q),1,1)),"")</f>
        <v>7</v>
      </c>
      <c r="I14" s="3">
        <f ca="1">IFERROR(t_ahh[[#This Row],[tp]]-G13,"")</f>
        <v>130</v>
      </c>
      <c r="J14" s="3"/>
      <c r="K14" s="801" t="str">
        <f>K8</f>
        <v>Hjemmetips</v>
      </c>
      <c r="L14">
        <f>L2-L8</f>
        <v>17</v>
      </c>
      <c r="M14">
        <f t="shared" ref="M14:S16" si="5">M2-M8</f>
        <v>8</v>
      </c>
      <c r="N14">
        <f t="shared" si="5"/>
        <v>34</v>
      </c>
      <c r="O14">
        <f t="shared" si="5"/>
        <v>25</v>
      </c>
      <c r="P14">
        <f t="shared" si="5"/>
        <v>39</v>
      </c>
      <c r="Q14">
        <f t="shared" si="5"/>
        <v>25</v>
      </c>
      <c r="R14">
        <f t="shared" si="5"/>
        <v>28</v>
      </c>
      <c r="S14">
        <f t="shared" si="5"/>
        <v>32</v>
      </c>
      <c r="T14">
        <f>SUM(L$14:S$14)</f>
        <v>208</v>
      </c>
    </row>
    <row r="15" spans="1:27" x14ac:dyDescent="0.2">
      <c r="A15">
        <v>14</v>
      </c>
      <c r="B15" s="22">
        <f ca="1">Data!AL14</f>
        <v>45997</v>
      </c>
      <c r="C15">
        <f ca="1">IFERROR(IF(OFFSET(_xlfn.XLOOKUP(B15,Kuponger!E:E,Kuponger!Q:Q),15,0)=0,"",OFFSET(_xlfn.XLOOKUP(B15,Kuponger!E:E,Kuponger!Q:Q),15,0)),"")</f>
        <v>480</v>
      </c>
      <c r="D15">
        <f ca="1">IFERROR(IF(OFFSET(_xlfn.XLOOKUP(B15,Kuponger!E:E,Kuponger!Q:Q),15,1)=0,"",OFFSET(_xlfn.XLOOKUP(B15,Kuponger!E:E,Kuponger!Q:Q),15,1)),"")</f>
        <v>130</v>
      </c>
      <c r="E15" t="str">
        <f ca="1">IFERROR(IF(OFFSET(_xlfn.XLOOKUP(B15,Kuponger!E:E,Kuponger!Q:Q),15,2)=0,"",OFFSET(_xlfn.XLOOKUP(B15,Kuponger!E:E,Kuponger!Q:Q),15,2)),"")</f>
        <v/>
      </c>
      <c r="F15" t="str">
        <f ca="1">IFERROR(IF(OFFSET(_xlfn.XLOOKUP(B15,Kuponger!E:E,Kuponger!S:S),1,2)=0,"",OFFSET(_xlfn.XLOOKUP(B15,Kuponger!E:E,Kuponger!S:S),1,2))*-1,"")</f>
        <v/>
      </c>
      <c r="G15">
        <f t="shared" ca="1" si="0"/>
        <v>610</v>
      </c>
      <c r="H15">
        <f ca="1">IFERROR(IF(OFFSET(_xlfn.XLOOKUP(B15,Kuponger!E:E,Kuponger!Q:Q),1,1)="","",OFFSET(_xlfn.XLOOKUP(B15,Kuponger!E:E,Kuponger!Q:Q),1,1)),"")</f>
        <v>1</v>
      </c>
      <c r="I15" s="3">
        <f ca="1">IFERROR(t_ahh[[#This Row],[tp]]-G14,"")</f>
        <v>70</v>
      </c>
      <c r="J15" s="3"/>
      <c r="K15" s="801" t="str">
        <f>K9</f>
        <v>Uavgjorttips</v>
      </c>
      <c r="L15">
        <f>L3-L9</f>
        <v>10</v>
      </c>
      <c r="M15">
        <f t="shared" si="5"/>
        <v>7</v>
      </c>
      <c r="N15">
        <f t="shared" si="5"/>
        <v>18</v>
      </c>
      <c r="O15">
        <f t="shared" si="5"/>
        <v>5</v>
      </c>
      <c r="P15">
        <f t="shared" si="5"/>
        <v>13</v>
      </c>
      <c r="Q15">
        <f t="shared" si="5"/>
        <v>118</v>
      </c>
      <c r="R15">
        <f t="shared" si="5"/>
        <v>82</v>
      </c>
      <c r="S15">
        <f t="shared" si="5"/>
        <v>59</v>
      </c>
      <c r="T15">
        <f>SUM(L$15:S$15)</f>
        <v>312</v>
      </c>
    </row>
    <row r="16" spans="1:27" x14ac:dyDescent="0.2">
      <c r="A16">
        <v>15</v>
      </c>
      <c r="B16" s="22">
        <f ca="1">Data!AL15</f>
        <v>46004</v>
      </c>
      <c r="C16">
        <f ca="1">IFERROR(IF(OFFSET(_xlfn.XLOOKUP(B16,Kuponger!E:E,Kuponger!Q:Q),15,0)=0,"",OFFSET(_xlfn.XLOOKUP(B16,Kuponger!E:E,Kuponger!Q:Q),15,0)),"")</f>
        <v>450</v>
      </c>
      <c r="D16">
        <f ca="1">IFERROR(IF(OFFSET(_xlfn.XLOOKUP(B16,Kuponger!E:E,Kuponger!Q:Q),15,1)=0,"",OFFSET(_xlfn.XLOOKUP(B16,Kuponger!E:E,Kuponger!Q:Q),15,1)),"")</f>
        <v>50</v>
      </c>
      <c r="E16">
        <f ca="1">IFERROR(IF(OFFSET(_xlfn.XLOOKUP(B16,Kuponger!E:E,Kuponger!Q:Q),15,2)=0,"",OFFSET(_xlfn.XLOOKUP(B16,Kuponger!E:E,Kuponger!Q:Q),15,2)),"")</f>
        <v>20</v>
      </c>
      <c r="F16" t="str">
        <f ca="1">IFERROR(IF(OFFSET(_xlfn.XLOOKUP(B16,Kuponger!E:E,Kuponger!S:S),1,2)=0,"",OFFSET(_xlfn.XLOOKUP(B16,Kuponger!E:E,Kuponger!S:S),1,2))*-1,"")</f>
        <v/>
      </c>
      <c r="G16">
        <f t="shared" ca="1" si="0"/>
        <v>520</v>
      </c>
      <c r="H16">
        <f ca="1">IFERROR(IF(OFFSET(_xlfn.XLOOKUP(B16,Kuponger!E:E,Kuponger!Q:Q),1,1)="","",OFFSET(_xlfn.XLOOKUP(B16,Kuponger!E:E,Kuponger!Q:Q),1,1)),"")</f>
        <v>9</v>
      </c>
      <c r="I16" s="3">
        <f ca="1">IFERROR(t_ahh[[#This Row],[tp]]-G15,"")</f>
        <v>-90</v>
      </c>
      <c r="J16" s="3"/>
      <c r="K16" s="801" t="str">
        <f>K10</f>
        <v>Bortetips</v>
      </c>
      <c r="L16">
        <f>L4-L10</f>
        <v>1</v>
      </c>
      <c r="M16">
        <f t="shared" si="5"/>
        <v>6</v>
      </c>
      <c r="N16">
        <f t="shared" si="5"/>
        <v>11</v>
      </c>
      <c r="O16">
        <f t="shared" si="5"/>
        <v>14</v>
      </c>
      <c r="P16">
        <f t="shared" si="5"/>
        <v>23</v>
      </c>
      <c r="Q16">
        <f t="shared" si="5"/>
        <v>49</v>
      </c>
      <c r="R16">
        <f t="shared" si="5"/>
        <v>70</v>
      </c>
      <c r="S16">
        <f t="shared" si="5"/>
        <v>102</v>
      </c>
      <c r="T16">
        <f>SUM(L$16:S$16)</f>
        <v>276</v>
      </c>
    </row>
    <row r="17" spans="1:20" x14ac:dyDescent="0.2">
      <c r="A17">
        <v>16</v>
      </c>
      <c r="B17" s="22">
        <f ca="1">Data!AL16</f>
        <v>46032</v>
      </c>
      <c r="C17">
        <f ca="1">IFERROR(IF(OFFSET(_xlfn.XLOOKUP(B17,Kuponger!E:E,Kuponger!Q:Q),15,0)=0,"",OFFSET(_xlfn.XLOOKUP(B17,Kuponger!E:E,Kuponger!Q:Q),15,0)),"")</f>
        <v>300</v>
      </c>
      <c r="D17">
        <f ca="1">IFERROR(IF(OFFSET(_xlfn.XLOOKUP(B17,Kuponger!E:E,Kuponger!Q:Q),15,1)=0,"",OFFSET(_xlfn.XLOOKUP(B17,Kuponger!E:E,Kuponger!Q:Q),15,1)),"")</f>
        <v>40</v>
      </c>
      <c r="E17">
        <f ca="1">IFERROR(IF(OFFSET(_xlfn.XLOOKUP(B17,Kuponger!E:E,Kuponger!Q:Q),15,2)=0,"",OFFSET(_xlfn.XLOOKUP(B17,Kuponger!E:E,Kuponger!Q:Q),15,2)),"")</f>
        <v>230</v>
      </c>
      <c r="F17" t="str">
        <f ca="1">IFERROR(IF(OFFSET(_xlfn.XLOOKUP(B17,Kuponger!E:E,Kuponger!S:S),1,2)=0,"",OFFSET(_xlfn.XLOOKUP(B17,Kuponger!E:E,Kuponger!S:S),1,2))*-1,"")</f>
        <v/>
      </c>
      <c r="G17">
        <f t="shared" ca="1" si="0"/>
        <v>570</v>
      </c>
      <c r="H17">
        <f ca="1">IFERROR(IF(OFFSET(_xlfn.XLOOKUP(B17,Kuponger!E:E,Kuponger!Q:Q),1,1)="","",OFFSET(_xlfn.XLOOKUP(B17,Kuponger!E:E,Kuponger!Q:Q),1,1)),"")</f>
        <v>7</v>
      </c>
      <c r="I17" s="3">
        <f ca="1">IFERROR(t_ahh[[#This Row],[tp]]-G16,"")</f>
        <v>50</v>
      </c>
      <c r="J17" s="3"/>
      <c r="K17" s="801" t="str">
        <f>K13</f>
        <v>Antall misser</v>
      </c>
      <c r="L17">
        <f>SUM(L$14:L$16)</f>
        <v>28</v>
      </c>
      <c r="M17">
        <f t="shared" ref="M17:S17" si="6">SUM(M$14:M$16)</f>
        <v>21</v>
      </c>
      <c r="N17">
        <f t="shared" si="6"/>
        <v>63</v>
      </c>
      <c r="O17">
        <f t="shared" si="6"/>
        <v>44</v>
      </c>
      <c r="P17">
        <f t="shared" si="6"/>
        <v>75</v>
      </c>
      <c r="Q17">
        <f t="shared" si="6"/>
        <v>192</v>
      </c>
      <c r="R17">
        <f t="shared" si="6"/>
        <v>180</v>
      </c>
      <c r="S17">
        <f t="shared" si="6"/>
        <v>193</v>
      </c>
      <c r="T17">
        <f>SUM(L$17:S$17)</f>
        <v>796</v>
      </c>
    </row>
    <row r="18" spans="1:20" x14ac:dyDescent="0.2">
      <c r="A18">
        <v>17</v>
      </c>
      <c r="B18" s="22">
        <f ca="1">Data!AL17</f>
        <v>46039</v>
      </c>
      <c r="C18">
        <f ca="1">IFERROR(IF(OFFSET(_xlfn.XLOOKUP(B18,Kuponger!E:E,Kuponger!Q:Q),15,0)=0,"",OFFSET(_xlfn.XLOOKUP(B18,Kuponger!E:E,Kuponger!Q:Q),15,0)),"")</f>
        <v>180</v>
      </c>
      <c r="D18">
        <f ca="1">IFERROR(IF(OFFSET(_xlfn.XLOOKUP(B18,Kuponger!E:E,Kuponger!Q:Q),15,1)=0,"",OFFSET(_xlfn.XLOOKUP(B18,Kuponger!E:E,Kuponger!Q:Q),15,1)),"")</f>
        <v>180</v>
      </c>
      <c r="E18">
        <f ca="1">IFERROR(IF(OFFSET(_xlfn.XLOOKUP(B18,Kuponger!E:E,Kuponger!Q:Q),15,2)=0,"",OFFSET(_xlfn.XLOOKUP(B18,Kuponger!E:E,Kuponger!Q:Q),15,2)),"")</f>
        <v>70</v>
      </c>
      <c r="F18" t="str">
        <f ca="1">IFERROR(IF(OFFSET(_xlfn.XLOOKUP(B18,Kuponger!E:E,Kuponger!S:S),1,2)=0,"",OFFSET(_xlfn.XLOOKUP(B18,Kuponger!E:E,Kuponger!S:S),1,2))*-1,"")</f>
        <v/>
      </c>
      <c r="G18">
        <f t="shared" ca="1" si="0"/>
        <v>430</v>
      </c>
      <c r="H18">
        <f ca="1">IFERROR(IF(OFFSET(_xlfn.XLOOKUP(B18,Kuponger!E:E,Kuponger!Q:Q),1,1)="","",OFFSET(_xlfn.XLOOKUP(B18,Kuponger!E:E,Kuponger!Q:Q),1,1)),"")</f>
        <v>2</v>
      </c>
      <c r="I18" s="3">
        <f ca="1">IFERROR(t_ahh[[#This Row],[tp]]-G17,"")</f>
        <v>-140</v>
      </c>
      <c r="J18" s="3"/>
      <c r="K18" s="4"/>
    </row>
    <row r="19" spans="1:20" x14ac:dyDescent="0.2">
      <c r="A19">
        <v>18</v>
      </c>
      <c r="B19" s="22">
        <f ca="1">Data!AL18</f>
        <v>46046</v>
      </c>
      <c r="C19">
        <f ca="1">IFERROR(IF(OFFSET(_xlfn.XLOOKUP(B19,Kuponger!E:E,Kuponger!Q:Q),15,0)=0,"",OFFSET(_xlfn.XLOOKUP(B19,Kuponger!E:E,Kuponger!Q:Q),15,0)),"")</f>
        <v>270</v>
      </c>
      <c r="D19">
        <f ca="1">IFERROR(IF(OFFSET(_xlfn.XLOOKUP(B19,Kuponger!E:E,Kuponger!Q:Q),15,1)=0,"",OFFSET(_xlfn.XLOOKUP(B19,Kuponger!E:E,Kuponger!Q:Q),15,1)),"")</f>
        <v>150</v>
      </c>
      <c r="E19">
        <f ca="1">IFERROR(IF(OFFSET(_xlfn.XLOOKUP(B19,Kuponger!E:E,Kuponger!Q:Q),15,2)=0,"",OFFSET(_xlfn.XLOOKUP(B19,Kuponger!E:E,Kuponger!Q:Q),15,2)),"")</f>
        <v>30</v>
      </c>
      <c r="F19" t="str">
        <f ca="1">IFERROR(IF(OFFSET(_xlfn.XLOOKUP(B19,Kuponger!E:E,Kuponger!S:S),1,2)=0,"",OFFSET(_xlfn.XLOOKUP(B19,Kuponger!E:E,Kuponger!S:S),1,2))*-1,"")</f>
        <v/>
      </c>
      <c r="G19">
        <f t="shared" ca="1" si="0"/>
        <v>450</v>
      </c>
      <c r="H19">
        <f ca="1">IFERROR(IF(OFFSET(_xlfn.XLOOKUP(B19,Kuponger!E:E,Kuponger!Q:Q),1,1)="","",OFFSET(_xlfn.XLOOKUP(B19,Kuponger!E:E,Kuponger!Q:Q),1,1)),"")</f>
        <v>5</v>
      </c>
      <c r="I19" s="3">
        <f ca="1">IFERROR(t_ahh[[#This Row],[tp]]-G18,"")</f>
        <v>20</v>
      </c>
      <c r="J19" s="3"/>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IFERROR(IF(OFFSET(_xlfn.XLOOKUP(B20,Kuponger!E:E,Kuponger!Q:Q),15,0)=0,"",OFFSET(_xlfn.XLOOKUP(B20,Kuponger!E:E,Kuponger!Q:Q),15,0)),"")</f>
        <v>210</v>
      </c>
      <c r="D20">
        <f ca="1">IFERROR(IF(OFFSET(_xlfn.XLOOKUP(B20,Kuponger!E:E,Kuponger!Q:Q),15,1)=0,"",OFFSET(_xlfn.XLOOKUP(B20,Kuponger!E:E,Kuponger!Q:Q),15,1)),"")</f>
        <v>110</v>
      </c>
      <c r="E20">
        <f ca="1">IFERROR(IF(OFFSET(_xlfn.XLOOKUP(B20,Kuponger!E:E,Kuponger!Q:Q),15,2)=0,"",OFFSET(_xlfn.XLOOKUP(B20,Kuponger!E:E,Kuponger!Q:Q),15,2)),"")</f>
        <v>180</v>
      </c>
      <c r="F20" t="str">
        <f ca="1">IFERROR(IF(OFFSET(_xlfn.XLOOKUP(B20,Kuponger!E:E,Kuponger!S:S),1,2)=0,"",OFFSET(_xlfn.XLOOKUP(B20,Kuponger!E:E,Kuponger!S:S),1,2))*-1,"")</f>
        <v/>
      </c>
      <c r="G20">
        <f t="shared" ca="1" si="0"/>
        <v>500</v>
      </c>
      <c r="H20">
        <f ca="1">IFERROR(IF(OFFSET(_xlfn.XLOOKUP(B20,Kuponger!E:E,Kuponger!Q:Q),1,1)="","",OFFSET(_xlfn.XLOOKUP(B20,Kuponger!E:E,Kuponger!Q:Q),1,1)),"")</f>
        <v>4</v>
      </c>
      <c r="I20" s="3">
        <f ca="1">IFERROR(t_ahh[[#This Row],[tp]]-G19,"")</f>
        <v>50</v>
      </c>
      <c r="J20" s="3"/>
      <c r="K20" s="801" t="str">
        <f>K8</f>
        <v>Hjemmetips</v>
      </c>
      <c r="L20">
        <f>L$8*L$19</f>
        <v>3040</v>
      </c>
      <c r="M20">
        <f t="shared" ref="M20:S20" si="8">M$8*M$19</f>
        <v>1680</v>
      </c>
      <c r="N20">
        <f t="shared" si="8"/>
        <v>1140</v>
      </c>
      <c r="O20">
        <f t="shared" si="8"/>
        <v>1350</v>
      </c>
      <c r="P20">
        <f t="shared" si="8"/>
        <v>1360</v>
      </c>
      <c r="Q20">
        <f t="shared" si="8"/>
        <v>450</v>
      </c>
      <c r="R20">
        <f t="shared" si="8"/>
        <v>280</v>
      </c>
      <c r="S20">
        <f t="shared" si="8"/>
        <v>50</v>
      </c>
      <c r="T20">
        <f>SUM(L$20:S$20)</f>
        <v>9350</v>
      </c>
    </row>
    <row r="21" spans="1:20" x14ac:dyDescent="0.2">
      <c r="A21">
        <v>20</v>
      </c>
      <c r="B21" s="22">
        <f ca="1">Data!AL20</f>
        <v>46060</v>
      </c>
      <c r="C21">
        <f ca="1">IFERROR(IF(OFFSET(_xlfn.XLOOKUP(B21,Kuponger!E:E,Kuponger!Q:Q),15,0)=0,"",OFFSET(_xlfn.XLOOKUP(B21,Kuponger!E:E,Kuponger!Q:Q),15,0)),"")</f>
        <v>190</v>
      </c>
      <c r="D21">
        <f ca="1">IFERROR(IF(OFFSET(_xlfn.XLOOKUP(B21,Kuponger!E:E,Kuponger!Q:Q),15,1)=0,"",OFFSET(_xlfn.XLOOKUP(B21,Kuponger!E:E,Kuponger!Q:Q),15,1)),"")</f>
        <v>100</v>
      </c>
      <c r="E21">
        <f ca="1">IFERROR(IF(OFFSET(_xlfn.XLOOKUP(B21,Kuponger!E:E,Kuponger!Q:Q),15,2)=0,"",OFFSET(_xlfn.XLOOKUP(B21,Kuponger!E:E,Kuponger!Q:Q),15,2)),"")</f>
        <v>200</v>
      </c>
      <c r="F21" t="str">
        <f ca="1">IFERROR(IF(OFFSET(_xlfn.XLOOKUP(B21,Kuponger!E:E,Kuponger!S:S),1,2)=0,"",OFFSET(_xlfn.XLOOKUP(B21,Kuponger!E:E,Kuponger!S:S),1,2))*-1,"")</f>
        <v/>
      </c>
      <c r="G21">
        <f t="shared" ca="1" si="0"/>
        <v>490</v>
      </c>
      <c r="H21">
        <f ca="1">IFERROR(IF(OFFSET(_xlfn.XLOOKUP(B21,Kuponger!E:E,Kuponger!Q:Q),1,1)="","",OFFSET(_xlfn.XLOOKUP(B21,Kuponger!E:E,Kuponger!Q:Q),1,1)),"")</f>
        <v>3</v>
      </c>
      <c r="I21" s="3">
        <f ca="1">IFERROR(t_ahh[[#This Row],[tp]]-G20,"")</f>
        <v>-10</v>
      </c>
      <c r="J21" s="3"/>
      <c r="K21" s="801" t="str">
        <f>K9</f>
        <v>Uavgjorttips</v>
      </c>
      <c r="L21">
        <f>L$9*L$19</f>
        <v>400</v>
      </c>
      <c r="M21">
        <f t="shared" ref="M21:S21" si="9">M$9*M$19</f>
        <v>70</v>
      </c>
      <c r="N21">
        <f t="shared" si="9"/>
        <v>180</v>
      </c>
      <c r="O21">
        <f t="shared" si="9"/>
        <v>50</v>
      </c>
      <c r="P21">
        <f t="shared" si="9"/>
        <v>80</v>
      </c>
      <c r="Q21">
        <f t="shared" si="9"/>
        <v>1200</v>
      </c>
      <c r="R21">
        <f t="shared" si="9"/>
        <v>500</v>
      </c>
      <c r="S21">
        <f t="shared" si="9"/>
        <v>120</v>
      </c>
      <c r="T21">
        <f>SUM(L$21:S$21)</f>
        <v>2600</v>
      </c>
    </row>
    <row r="22" spans="1:20" x14ac:dyDescent="0.2">
      <c r="A22">
        <v>21</v>
      </c>
      <c r="B22" s="22">
        <f ca="1">Data!AL21</f>
        <v>46067</v>
      </c>
      <c r="C22">
        <f ca="1">IFERROR(IF(OFFSET(_xlfn.XLOOKUP(B22,Kuponger!E:E,Kuponger!Q:Q),15,0)=0,"",OFFSET(_xlfn.XLOOKUP(B22,Kuponger!E:E,Kuponger!Q:Q),15,0)),"")</f>
        <v>270</v>
      </c>
      <c r="D22">
        <f ca="1">IFERROR(IF(OFFSET(_xlfn.XLOOKUP(B22,Kuponger!E:E,Kuponger!Q:Q),15,1)=0,"",OFFSET(_xlfn.XLOOKUP(B22,Kuponger!E:E,Kuponger!Q:Q),15,1)),"")</f>
        <v>110</v>
      </c>
      <c r="E22">
        <f ca="1">IFERROR(IF(OFFSET(_xlfn.XLOOKUP(B22,Kuponger!E:E,Kuponger!Q:Q),15,2)=0,"",OFFSET(_xlfn.XLOOKUP(B22,Kuponger!E:E,Kuponger!Q:Q),15,2)),"")</f>
        <v>80</v>
      </c>
      <c r="F22" t="str">
        <f ca="1">IFERROR(IF(OFFSET(_xlfn.XLOOKUP(B22,Kuponger!E:E,Kuponger!S:S),1,2)=0,"",OFFSET(_xlfn.XLOOKUP(B22,Kuponger!E:E,Kuponger!S:S),1,2))*-1,"")</f>
        <v/>
      </c>
      <c r="G22">
        <f t="shared" ca="1" si="0"/>
        <v>460</v>
      </c>
      <c r="H22">
        <f ca="1">IFERROR(IF(OFFSET(_xlfn.XLOOKUP(B22,Kuponger!E:E,Kuponger!Q:Q),1,1)="","",OFFSET(_xlfn.XLOOKUP(B22,Kuponger!E:E,Kuponger!Q:Q),1,1)),"")</f>
        <v>6</v>
      </c>
      <c r="I22" s="3">
        <f ca="1">IFERROR(t_ahh[[#This Row],[tp]]-G21,"")</f>
        <v>-30</v>
      </c>
      <c r="J22" s="3"/>
      <c r="K22" s="801" t="str">
        <f>K10</f>
        <v>Bortetips</v>
      </c>
      <c r="L22">
        <f>L$10*L$19</f>
        <v>800</v>
      </c>
      <c r="M22">
        <f t="shared" ref="M22:S22" si="10">M$10*M$19</f>
        <v>420</v>
      </c>
      <c r="N22">
        <f t="shared" si="10"/>
        <v>480</v>
      </c>
      <c r="O22">
        <f t="shared" si="10"/>
        <v>300</v>
      </c>
      <c r="P22">
        <f t="shared" si="10"/>
        <v>200</v>
      </c>
      <c r="Q22">
        <f t="shared" si="10"/>
        <v>750</v>
      </c>
      <c r="R22">
        <f t="shared" si="10"/>
        <v>660</v>
      </c>
      <c r="S22">
        <f t="shared" si="10"/>
        <v>260</v>
      </c>
      <c r="T22">
        <f>SUM(L$22:S$22)</f>
        <v>3870</v>
      </c>
    </row>
    <row r="23" spans="1:20" x14ac:dyDescent="0.2">
      <c r="A23">
        <v>22</v>
      </c>
      <c r="B23" s="22">
        <f ca="1">Data!AL22</f>
        <v>46074</v>
      </c>
      <c r="C23">
        <f ca="1">IFERROR(IF(OFFSET(_xlfn.XLOOKUP(B23,Kuponger!E:E,Kuponger!Q:Q),15,0)=0,"",OFFSET(_xlfn.XLOOKUP(B23,Kuponger!E:E,Kuponger!Q:Q),15,0)),"")</f>
        <v>160</v>
      </c>
      <c r="D23">
        <f ca="1">IFERROR(IF(OFFSET(_xlfn.XLOOKUP(B23,Kuponger!E:E,Kuponger!Q:Q),15,1)=0,"",OFFSET(_xlfn.XLOOKUP(B23,Kuponger!E:E,Kuponger!Q:Q),15,1)),"")</f>
        <v>150</v>
      </c>
      <c r="E23">
        <f ca="1">IFERROR(IF(OFFSET(_xlfn.XLOOKUP(B23,Kuponger!E:E,Kuponger!Q:Q),15,2)=0,"",OFFSET(_xlfn.XLOOKUP(B23,Kuponger!E:E,Kuponger!Q:Q),15,2)),"")</f>
        <v>50</v>
      </c>
      <c r="F23" t="str">
        <f ca="1">IFERROR(IF(OFFSET(_xlfn.XLOOKUP(B23,Kuponger!E:E,Kuponger!S:S),1,2)=0,"",OFFSET(_xlfn.XLOOKUP(B23,Kuponger!E:E,Kuponger!S:S),1,2))*-1,"")</f>
        <v/>
      </c>
      <c r="G23">
        <f t="shared" ca="1" si="0"/>
        <v>360</v>
      </c>
      <c r="H23">
        <f ca="1">IFERROR(IF(OFFSET(_xlfn.XLOOKUP(B23,Kuponger!E:E,Kuponger!Q:Q),1,1)="","",OFFSET(_xlfn.XLOOKUP(B23,Kuponger!E:E,Kuponger!Q:Q),1,1)),"")</f>
        <v>2</v>
      </c>
      <c r="I23" s="3">
        <f ca="1">IFERROR(t_ahh[[#This Row],[tp]]-G22,"")</f>
        <v>-100</v>
      </c>
      <c r="J23" s="3"/>
      <c r="K23" s="801" t="str">
        <f>K19</f>
        <v>Treff poeng</v>
      </c>
      <c r="L23">
        <f>SUM(L20:L22)</f>
        <v>4240</v>
      </c>
      <c r="M23">
        <f t="shared" ref="M23:S23" si="11">SUM(M20:M22)</f>
        <v>2170</v>
      </c>
      <c r="N23">
        <f t="shared" si="11"/>
        <v>1800</v>
      </c>
      <c r="O23">
        <f t="shared" si="11"/>
        <v>1700</v>
      </c>
      <c r="P23">
        <f t="shared" si="11"/>
        <v>1640</v>
      </c>
      <c r="Q23">
        <f t="shared" si="11"/>
        <v>2400</v>
      </c>
      <c r="R23">
        <f t="shared" si="11"/>
        <v>1440</v>
      </c>
      <c r="S23">
        <f t="shared" si="11"/>
        <v>430</v>
      </c>
      <c r="T23">
        <f>SUM(L$23:S$23)</f>
        <v>15820</v>
      </c>
    </row>
    <row r="24" spans="1:20" x14ac:dyDescent="0.2">
      <c r="A24">
        <v>23</v>
      </c>
      <c r="B24" s="22">
        <f ca="1">Data!AL23</f>
        <v>46081</v>
      </c>
      <c r="C24">
        <f ca="1">IFERROR(IF(OFFSET(_xlfn.XLOOKUP(B24,Kuponger!E:E,Kuponger!Q:Q),15,0)=0,"",OFFSET(_xlfn.XLOOKUP(B24,Kuponger!E:E,Kuponger!Q:Q),15,0)),"")</f>
        <v>350</v>
      </c>
      <c r="D24" t="str">
        <f ca="1">IFERROR(IF(OFFSET(_xlfn.XLOOKUP(B24,Kuponger!E:E,Kuponger!Q:Q),15,1)=0,"",OFFSET(_xlfn.XLOOKUP(B24,Kuponger!E:E,Kuponger!Q:Q),15,1)),"")</f>
        <v/>
      </c>
      <c r="E24">
        <f ca="1">IFERROR(IF(OFFSET(_xlfn.XLOOKUP(B24,Kuponger!E:E,Kuponger!Q:Q),15,2)=0,"",OFFSET(_xlfn.XLOOKUP(B24,Kuponger!E:E,Kuponger!Q:Q),15,2)),"")</f>
        <v>160</v>
      </c>
      <c r="F24" t="str">
        <f ca="1">IFERROR(IF(OFFSET(_xlfn.XLOOKUP(B24,Kuponger!E:E,Kuponger!S:S),1,2)=0,"",OFFSET(_xlfn.XLOOKUP(B24,Kuponger!E:E,Kuponger!S:S),1,2))*-1,"")</f>
        <v/>
      </c>
      <c r="G24">
        <f t="shared" ca="1" si="0"/>
        <v>510</v>
      </c>
      <c r="H24">
        <f ca="1">IFERROR(IF(OFFSET(_xlfn.XLOOKUP(B24,Kuponger!E:E,Kuponger!Q:Q),1,1)="","",OFFSET(_xlfn.XLOOKUP(B24,Kuponger!E:E,Kuponger!Q:Q),1,1)),"")</f>
        <v>9</v>
      </c>
      <c r="I24" s="3">
        <f ca="1">IFERROR(t_ahh[[#This Row],[tp]]-G23,"")</f>
        <v>150</v>
      </c>
      <c r="J24" s="3"/>
      <c r="K24" s="4"/>
    </row>
    <row r="25" spans="1:20" x14ac:dyDescent="0.2">
      <c r="A25">
        <v>24</v>
      </c>
      <c r="B25" s="22">
        <f ca="1">Data!AL24</f>
        <v>46088</v>
      </c>
      <c r="C25">
        <f ca="1">IFERROR(IF(OFFSET(_xlfn.XLOOKUP(B25,Kuponger!E:E,Kuponger!Q:Q),15,0)=0,"",OFFSET(_xlfn.XLOOKUP(B25,Kuponger!E:E,Kuponger!Q:Q),15,0)),"")</f>
        <v>240</v>
      </c>
      <c r="D25">
        <f ca="1">IFERROR(IF(OFFSET(_xlfn.XLOOKUP(B25,Kuponger!E:E,Kuponger!Q:Q),15,1)=0,"",OFFSET(_xlfn.XLOOKUP(B25,Kuponger!E:E,Kuponger!Q:Q),15,1)),"")</f>
        <v>60</v>
      </c>
      <c r="E25">
        <f ca="1">IFERROR(IF(OFFSET(_xlfn.XLOOKUP(B25,Kuponger!E:E,Kuponger!Q:Q),15,2)=0,"",OFFSET(_xlfn.XLOOKUP(B25,Kuponger!E:E,Kuponger!Q:Q),15,2)),"")</f>
        <v>190</v>
      </c>
      <c r="F25" t="str">
        <f ca="1">IFERROR(IF(OFFSET(_xlfn.XLOOKUP(B25,Kuponger!E:E,Kuponger!S:S),1,2)=0,"",OFFSET(_xlfn.XLOOKUP(B25,Kuponger!E:E,Kuponger!S:S),1,2))*-1,"")</f>
        <v/>
      </c>
      <c r="G25">
        <f t="shared" ca="1" si="0"/>
        <v>490</v>
      </c>
      <c r="H25">
        <f ca="1">IFERROR(IF(OFFSET(_xlfn.XLOOKUP(B25,Kuponger!E:E,Kuponger!Q:Q),1,1)="","",OFFSET(_xlfn.XLOOKUP(B25,Kuponger!E:E,Kuponger!Q:Q),1,1)),"")</f>
        <v>3</v>
      </c>
      <c r="I25" s="3">
        <f ca="1">IFERROR(t_ahh[[#This Row],[tp]]-G24,"")</f>
        <v>-20</v>
      </c>
      <c r="J25" s="3"/>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IFERROR(IF(OFFSET(_xlfn.XLOOKUP(B26,Kuponger!E:E,Kuponger!Q:Q),15,0)=0,"",OFFSET(_xlfn.XLOOKUP(B26,Kuponger!E:E,Kuponger!Q:Q),15,0)),"")</f>
        <v>230</v>
      </c>
      <c r="D26">
        <f ca="1">IFERROR(IF(OFFSET(_xlfn.XLOOKUP(B26,Kuponger!E:E,Kuponger!Q:Q),15,1)=0,"",OFFSET(_xlfn.XLOOKUP(B26,Kuponger!E:E,Kuponger!Q:Q),15,1)),"")</f>
        <v>190</v>
      </c>
      <c r="E26">
        <f ca="1">IFERROR(IF(OFFSET(_xlfn.XLOOKUP(B26,Kuponger!E:E,Kuponger!Q:Q),15,2)=0,"",OFFSET(_xlfn.XLOOKUP(B26,Kuponger!E:E,Kuponger!Q:Q),15,2)),"")</f>
        <v>60</v>
      </c>
      <c r="F26" t="str">
        <f ca="1">IFERROR(IF(OFFSET(_xlfn.XLOOKUP(B26,Kuponger!E:E,Kuponger!S:S),1,2)=0,"",OFFSET(_xlfn.XLOOKUP(B26,Kuponger!E:E,Kuponger!S:S),1,2))*-1,"")</f>
        <v/>
      </c>
      <c r="G26">
        <f t="shared" ca="1" si="0"/>
        <v>480</v>
      </c>
      <c r="H26">
        <f ca="1">IFERROR(IF(OFFSET(_xlfn.XLOOKUP(B26,Kuponger!E:E,Kuponger!Q:Q),1,1)="","",OFFSET(_xlfn.XLOOKUP(B26,Kuponger!E:E,Kuponger!Q:Q),1,1)),"")</f>
        <v>1</v>
      </c>
      <c r="I26" s="3">
        <f ca="1">IFERROR(t_ahh[[#This Row],[tp]]-G25,"")</f>
        <v>-10</v>
      </c>
      <c r="J26" s="3"/>
      <c r="K26" s="801" t="str">
        <f>K8</f>
        <v>Hjemmetips</v>
      </c>
      <c r="L26">
        <f>L$14*L$25</f>
        <v>1360</v>
      </c>
      <c r="M26">
        <f t="shared" ref="M26:S26" si="13">M$14*M$25</f>
        <v>560</v>
      </c>
      <c r="N26">
        <f t="shared" si="13"/>
        <v>2040</v>
      </c>
      <c r="O26">
        <f t="shared" si="13"/>
        <v>1250</v>
      </c>
      <c r="P26">
        <f t="shared" si="13"/>
        <v>1560</v>
      </c>
      <c r="Q26">
        <f t="shared" si="13"/>
        <v>750</v>
      </c>
      <c r="R26">
        <f t="shared" si="13"/>
        <v>560</v>
      </c>
      <c r="S26">
        <f t="shared" si="13"/>
        <v>320</v>
      </c>
      <c r="T26">
        <f>SUM(L$26:S$26)</f>
        <v>8400</v>
      </c>
    </row>
    <row r="27" spans="1:20" x14ac:dyDescent="0.2">
      <c r="A27">
        <v>26</v>
      </c>
      <c r="B27" s="22">
        <f ca="1">Data!AL26</f>
        <v>46102</v>
      </c>
      <c r="C27">
        <f ca="1">IFERROR(IF(OFFSET(_xlfn.XLOOKUP(B27,Kuponger!E:E,Kuponger!Q:Q),15,0)=0,"",OFFSET(_xlfn.XLOOKUP(B27,Kuponger!E:E,Kuponger!Q:Q),15,0)),"")</f>
        <v>300</v>
      </c>
      <c r="D27">
        <f ca="1">IFERROR(IF(OFFSET(_xlfn.XLOOKUP(B27,Kuponger!E:E,Kuponger!Q:Q),15,1)=0,"",OFFSET(_xlfn.XLOOKUP(B27,Kuponger!E:E,Kuponger!Q:Q),15,1)),"")</f>
        <v>90</v>
      </c>
      <c r="E27">
        <f ca="1">IFERROR(IF(OFFSET(_xlfn.XLOOKUP(B27,Kuponger!E:E,Kuponger!Q:Q),15,2)=0,"",OFFSET(_xlfn.XLOOKUP(B27,Kuponger!E:E,Kuponger!Q:Q),15,2)),"")</f>
        <v>60</v>
      </c>
      <c r="F27" t="str">
        <f ca="1">IFERROR(IF(OFFSET(_xlfn.XLOOKUP(B27,Kuponger!E:E,Kuponger!S:S),1,2)=0,"",OFFSET(_xlfn.XLOOKUP(B27,Kuponger!E:E,Kuponger!S:S),1,2))*-1,"")</f>
        <v/>
      </c>
      <c r="G27">
        <f t="shared" ca="1" si="0"/>
        <v>450</v>
      </c>
      <c r="H27">
        <f ca="1">IFERROR(IF(OFFSET(_xlfn.XLOOKUP(B27,Kuponger!E:E,Kuponger!Q:Q),1,1)="","",OFFSET(_xlfn.XLOOKUP(B27,Kuponger!E:E,Kuponger!Q:Q),1,1)),"")</f>
        <v>7</v>
      </c>
      <c r="I27" s="3">
        <f ca="1">IFERROR(t_ahh[[#This Row],[tp]]-G26,"")</f>
        <v>-30</v>
      </c>
      <c r="J27" s="3"/>
      <c r="K27" s="801" t="str">
        <f>K9</f>
        <v>Uavgjorttips</v>
      </c>
      <c r="L27">
        <f>L$25*L$15</f>
        <v>800</v>
      </c>
      <c r="M27">
        <f t="shared" ref="M27:S27" si="14">M$25*M$15</f>
        <v>490</v>
      </c>
      <c r="N27">
        <f t="shared" si="14"/>
        <v>1080</v>
      </c>
      <c r="O27">
        <f t="shared" si="14"/>
        <v>250</v>
      </c>
      <c r="P27">
        <f t="shared" si="14"/>
        <v>520</v>
      </c>
      <c r="Q27">
        <f t="shared" si="14"/>
        <v>3540</v>
      </c>
      <c r="R27">
        <f t="shared" si="14"/>
        <v>1640</v>
      </c>
      <c r="S27">
        <f t="shared" si="14"/>
        <v>590</v>
      </c>
      <c r="T27">
        <f>SUM(L$27:S$27)</f>
        <v>8910</v>
      </c>
    </row>
    <row r="28" spans="1:20" x14ac:dyDescent="0.2">
      <c r="A28">
        <v>27</v>
      </c>
      <c r="B28" s="22">
        <f ca="1">Data!AL27</f>
        <v>46109</v>
      </c>
      <c r="C28">
        <f ca="1">IFERROR(IF(OFFSET(_xlfn.XLOOKUP(B28,Kuponger!E:E,Kuponger!Q:Q),15,0)=0,"",OFFSET(_xlfn.XLOOKUP(B28,Kuponger!E:E,Kuponger!Q:Q),15,0)),"")</f>
        <v>410</v>
      </c>
      <c r="D28">
        <f ca="1">IFERROR(IF(OFFSET(_xlfn.XLOOKUP(B28,Kuponger!E:E,Kuponger!Q:Q),15,1)=0,"",OFFSET(_xlfn.XLOOKUP(B28,Kuponger!E:E,Kuponger!Q:Q),15,1)),"")</f>
        <v>90</v>
      </c>
      <c r="E28" t="str">
        <f ca="1">IFERROR(IF(OFFSET(_xlfn.XLOOKUP(B28,Kuponger!E:E,Kuponger!Q:Q),15,2)=0,"",OFFSET(_xlfn.XLOOKUP(B28,Kuponger!E:E,Kuponger!Q:Q),15,2)),"")</f>
        <v/>
      </c>
      <c r="F28" t="str">
        <f ca="1">IFERROR(IF(OFFSET(_xlfn.XLOOKUP(B28,Kuponger!E:E,Kuponger!S:S),1,2)=0,"",OFFSET(_xlfn.XLOOKUP(B28,Kuponger!E:E,Kuponger!S:S),1,2))*-1,"")</f>
        <v/>
      </c>
      <c r="G28">
        <f t="shared" ca="1" si="0"/>
        <v>500</v>
      </c>
      <c r="H28">
        <f ca="1">IFERROR(IF(OFFSET(_xlfn.XLOOKUP(B28,Kuponger!E:E,Kuponger!Q:Q),1,1)="","",OFFSET(_xlfn.XLOOKUP(B28,Kuponger!E:E,Kuponger!Q:Q),1,1)),"")</f>
        <v>3</v>
      </c>
      <c r="I28" s="3">
        <f ca="1">IFERROR(t_ahh[[#This Row],[tp]]-G27,"")</f>
        <v>50</v>
      </c>
      <c r="J28" s="3"/>
      <c r="K28" s="801" t="str">
        <f>K10</f>
        <v>Bortetips</v>
      </c>
      <c r="L28">
        <f>L$25*L$16</f>
        <v>80</v>
      </c>
      <c r="M28">
        <f t="shared" ref="M28:S28" si="15">M$25*M$16</f>
        <v>420</v>
      </c>
      <c r="N28">
        <f t="shared" si="15"/>
        <v>660</v>
      </c>
      <c r="O28">
        <f t="shared" si="15"/>
        <v>700</v>
      </c>
      <c r="P28">
        <f t="shared" si="15"/>
        <v>920</v>
      </c>
      <c r="Q28">
        <f t="shared" si="15"/>
        <v>1470</v>
      </c>
      <c r="R28">
        <f t="shared" si="15"/>
        <v>1400</v>
      </c>
      <c r="S28">
        <f t="shared" si="15"/>
        <v>1020</v>
      </c>
      <c r="T28">
        <f>SUM(L$28:S$28)</f>
        <v>6670</v>
      </c>
    </row>
    <row r="29" spans="1:20" x14ac:dyDescent="0.2">
      <c r="A29">
        <v>28</v>
      </c>
      <c r="B29" s="22">
        <f ca="1">Data!AL28</f>
        <v>46123</v>
      </c>
      <c r="C29">
        <f ca="1">IFERROR(IF(OFFSET(_xlfn.XLOOKUP(B29,Kuponger!E:E,Kuponger!Q:Q),15,0)=0,"",OFFSET(_xlfn.XLOOKUP(B29,Kuponger!E:E,Kuponger!Q:Q),15,0)),"")</f>
        <v>330</v>
      </c>
      <c r="D29">
        <f ca="1">IFERROR(IF(OFFSET(_xlfn.XLOOKUP(B29,Kuponger!E:E,Kuponger!Q:Q),15,1)=0,"",OFFSET(_xlfn.XLOOKUP(B29,Kuponger!E:E,Kuponger!Q:Q),15,1)),"")</f>
        <v>50</v>
      </c>
      <c r="E29">
        <f ca="1">IFERROR(IF(OFFSET(_xlfn.XLOOKUP(B29,Kuponger!E:E,Kuponger!Q:Q),15,2)=0,"",OFFSET(_xlfn.XLOOKUP(B29,Kuponger!E:E,Kuponger!Q:Q),15,2)),"")</f>
        <v>70</v>
      </c>
      <c r="F29" t="str">
        <f ca="1">IFERROR(IF(OFFSET(_xlfn.XLOOKUP(B29,Kuponger!E:E,Kuponger!S:S),1,2)=0,"",OFFSET(_xlfn.XLOOKUP(B29,Kuponger!E:E,Kuponger!S:S),1,2))*-1,"")</f>
        <v/>
      </c>
      <c r="G29">
        <f t="shared" ca="1" si="0"/>
        <v>450</v>
      </c>
      <c r="H29">
        <f ca="1">IFERROR(IF(OFFSET(_xlfn.XLOOKUP(B29,Kuponger!E:E,Kuponger!Q:Q),1,1)="","",OFFSET(_xlfn.XLOOKUP(B29,Kuponger!E:E,Kuponger!Q:Q),1,1)),"")</f>
        <v>8</v>
      </c>
      <c r="I29" s="3">
        <f ca="1">IFERROR(t_ahh[[#This Row],[tp]]-G28,"")</f>
        <v>-50</v>
      </c>
      <c r="J29" s="3"/>
      <c r="K29" s="801" t="str">
        <f>K25</f>
        <v>Misset poeng</v>
      </c>
      <c r="L29">
        <f>SUM(L26:L28)</f>
        <v>2240</v>
      </c>
      <c r="M29">
        <f t="shared" ref="M29:S29" si="16">SUM(M26:M28)</f>
        <v>1470</v>
      </c>
      <c r="N29">
        <f t="shared" si="16"/>
        <v>3780</v>
      </c>
      <c r="O29">
        <f t="shared" si="16"/>
        <v>2200</v>
      </c>
      <c r="P29">
        <f t="shared" si="16"/>
        <v>3000</v>
      </c>
      <c r="Q29">
        <f t="shared" si="16"/>
        <v>5760</v>
      </c>
      <c r="R29">
        <f t="shared" si="16"/>
        <v>3600</v>
      </c>
      <c r="S29">
        <f t="shared" si="16"/>
        <v>1930</v>
      </c>
      <c r="T29">
        <f>SUM(L$29:S$29)</f>
        <v>23980</v>
      </c>
    </row>
    <row r="30" spans="1:20" x14ac:dyDescent="0.2">
      <c r="A30">
        <v>29</v>
      </c>
      <c r="B30" s="22">
        <f ca="1">Data!AL29</f>
        <v>46130</v>
      </c>
      <c r="C30">
        <f ca="1">IFERROR(IF(OFFSET(_xlfn.XLOOKUP(B30,Kuponger!E:E,Kuponger!Q:Q),15,0)=0,"",OFFSET(_xlfn.XLOOKUP(B30,Kuponger!E:E,Kuponger!Q:Q),15,0)),"")</f>
        <v>170</v>
      </c>
      <c r="D30">
        <f ca="1">IFERROR(IF(OFFSET(_xlfn.XLOOKUP(B30,Kuponger!E:E,Kuponger!Q:Q),15,1)=0,"",OFFSET(_xlfn.XLOOKUP(B30,Kuponger!E:E,Kuponger!Q:Q),15,1)),"")</f>
        <v>60</v>
      </c>
      <c r="E30">
        <f ca="1">IFERROR(IF(OFFSET(_xlfn.XLOOKUP(B30,Kuponger!E:E,Kuponger!Q:Q),15,2)=0,"",OFFSET(_xlfn.XLOOKUP(B30,Kuponger!E:E,Kuponger!Q:Q),15,2)),"")</f>
        <v>110</v>
      </c>
      <c r="F30" t="str">
        <f ca="1">IFERROR(IF(OFFSET(_xlfn.XLOOKUP(B30,Kuponger!E:E,Kuponger!S:S),1,2)=0,"",OFFSET(_xlfn.XLOOKUP(B30,Kuponger!E:E,Kuponger!S:S),1,2))*-1,"")</f>
        <v/>
      </c>
      <c r="G30">
        <f t="shared" ca="1" si="0"/>
        <v>340</v>
      </c>
      <c r="H30">
        <f ca="1">IFERROR(IF(OFFSET(_xlfn.XLOOKUP(B30,Kuponger!E:E,Kuponger!Q:Q),1,1)="","",OFFSET(_xlfn.XLOOKUP(B30,Kuponger!E:E,Kuponger!Q:Q),1,1)),"")</f>
        <v>9</v>
      </c>
      <c r="I30" s="3">
        <f ca="1">IFERROR(t_ahh[[#This Row],[tp]]-G29,"")</f>
        <v>-110</v>
      </c>
      <c r="J30" s="3"/>
    </row>
    <row r="31" spans="1:20" x14ac:dyDescent="0.2">
      <c r="A31">
        <v>30</v>
      </c>
      <c r="B31" s="22">
        <f ca="1">Data!AL30</f>
        <v>46137</v>
      </c>
      <c r="C31">
        <f ca="1">IFERROR(IF(OFFSET(_xlfn.XLOOKUP(B31,Kuponger!E:E,Kuponger!Q:Q),15,0)=0,"",OFFSET(_xlfn.XLOOKUP(B31,Kuponger!E:E,Kuponger!Q:Q),15,0)),"")</f>
        <v>300</v>
      </c>
      <c r="D31">
        <f ca="1">IFERROR(IF(OFFSET(_xlfn.XLOOKUP(B31,Kuponger!E:E,Kuponger!Q:Q),15,1)=0,"",OFFSET(_xlfn.XLOOKUP(B31,Kuponger!E:E,Kuponger!Q:Q),15,1)),"")</f>
        <v>60</v>
      </c>
      <c r="E31">
        <f ca="1">IFERROR(IF(OFFSET(_xlfn.XLOOKUP(B31,Kuponger!E:E,Kuponger!Q:Q),15,2)=0,"",OFFSET(_xlfn.XLOOKUP(B31,Kuponger!E:E,Kuponger!Q:Q),15,2)),"")</f>
        <v>180</v>
      </c>
      <c r="F31" t="str">
        <f ca="1">IFERROR(IF(OFFSET(_xlfn.XLOOKUP(B31,Kuponger!E:E,Kuponger!S:S),1,2)=0,"",OFFSET(_xlfn.XLOOKUP(B31,Kuponger!E:E,Kuponger!S:S),1,2))*-1,"")</f>
        <v/>
      </c>
      <c r="G31">
        <f t="shared" ca="1" si="0"/>
        <v>540</v>
      </c>
      <c r="H31">
        <f ca="1">IFERROR(IF(OFFSET(_xlfn.XLOOKUP(B31,Kuponger!E:E,Kuponger!Q:Q),1,1)="","",OFFSET(_xlfn.XLOOKUP(B31,Kuponger!E:E,Kuponger!Q:Q),1,1)),"")</f>
        <v>7</v>
      </c>
      <c r="I31" s="3">
        <f ca="1">IFERROR(t_ahh[[#This Row],[tp]]-G30,"")</f>
        <v>200</v>
      </c>
      <c r="J31" s="3"/>
      <c r="K31" t="s">
        <v>856</v>
      </c>
    </row>
    <row r="32" spans="1:20" x14ac:dyDescent="0.2">
      <c r="A32">
        <v>31</v>
      </c>
      <c r="B32" s="22">
        <f ca="1">Data!AL31</f>
        <v>46144</v>
      </c>
      <c r="C32">
        <f ca="1">IFERROR(IF(OFFSET(_xlfn.XLOOKUP(B32,Kuponger!E:E,Kuponger!Q:Q),15,0)=0,"",OFFSET(_xlfn.XLOOKUP(B32,Kuponger!E:E,Kuponger!Q:Q),15,0)),"")</f>
        <v>270</v>
      </c>
      <c r="D32">
        <f ca="1">IFERROR(IF(OFFSET(_xlfn.XLOOKUP(B32,Kuponger!E:E,Kuponger!Q:Q),15,1)=0,"",OFFSET(_xlfn.XLOOKUP(B32,Kuponger!E:E,Kuponger!Q:Q),15,1)),"")</f>
        <v>30</v>
      </c>
      <c r="E32">
        <f ca="1">IFERROR(IF(OFFSET(_xlfn.XLOOKUP(B32,Kuponger!E:E,Kuponger!Q:Q),15,2)=0,"",OFFSET(_xlfn.XLOOKUP(B32,Kuponger!E:E,Kuponger!Q:Q),15,2)),"")</f>
        <v>160</v>
      </c>
      <c r="F32" t="str">
        <f ca="1">IFERROR(IF(OFFSET(_xlfn.XLOOKUP(B32,Kuponger!E:E,Kuponger!S:S),1,2)=0,"",OFFSET(_xlfn.XLOOKUP(B32,Kuponger!E:E,Kuponger!S:S),1,2))*-1,"")</f>
        <v/>
      </c>
      <c r="G32">
        <f t="shared" ca="1" si="0"/>
        <v>460</v>
      </c>
      <c r="H32">
        <f ca="1">IFERROR(IF(OFFSET(_xlfn.XLOOKUP(B32,Kuponger!E:E,Kuponger!Q:Q),1,1)="","",OFFSET(_xlfn.XLOOKUP(B32,Kuponger!E:E,Kuponger!Q:Q),1,1)),"")</f>
        <v>6</v>
      </c>
      <c r="I32" s="3">
        <f ca="1">IFERROR(t_ahh[[#This Row],[tp]]-G31,"")</f>
        <v>-80</v>
      </c>
      <c r="J32" s="3"/>
      <c r="K32">
        <f>SUM(Kuponger!X:X)</f>
        <v>185</v>
      </c>
    </row>
    <row r="33" spans="1:17" x14ac:dyDescent="0.2">
      <c r="A33">
        <v>32</v>
      </c>
      <c r="B33" s="22">
        <f ca="1">Data!AL32</f>
        <v>46151</v>
      </c>
      <c r="C33">
        <f ca="1">IFERROR(IF(OFFSET(_xlfn.XLOOKUP(B33,Kuponger!E:E,Kuponger!Q:Q),15,0)=0,"",OFFSET(_xlfn.XLOOKUP(B33,Kuponger!E:E,Kuponger!Q:Q),15,0)),"")</f>
        <v>210</v>
      </c>
      <c r="D33">
        <f ca="1">IFERROR(IF(OFFSET(_xlfn.XLOOKUP(B33,Kuponger!E:E,Kuponger!Q:Q),15,1)=0,"",OFFSET(_xlfn.XLOOKUP(B33,Kuponger!E:E,Kuponger!Q:Q),15,1)),"")</f>
        <v>70</v>
      </c>
      <c r="E33">
        <f ca="1">IFERROR(IF(OFFSET(_xlfn.XLOOKUP(B33,Kuponger!E:E,Kuponger!Q:Q),15,2)=0,"",OFFSET(_xlfn.XLOOKUP(B33,Kuponger!E:E,Kuponger!Q:Q),15,2)),"")</f>
        <v>290</v>
      </c>
      <c r="F33" t="str">
        <f ca="1">IFERROR(IF(OFFSET(_xlfn.XLOOKUP(B33,Kuponger!E:E,Kuponger!S:S),1,2)=0,"",OFFSET(_xlfn.XLOOKUP(B33,Kuponger!E:E,Kuponger!S:S),1,2))*-1,"")</f>
        <v/>
      </c>
      <c r="G33">
        <f t="shared" ca="1" si="0"/>
        <v>570</v>
      </c>
      <c r="H33">
        <f ca="1">IFERROR(IF(OFFSET(_xlfn.XLOOKUP(B33,Kuponger!E:E,Kuponger!Q:Q),1,1)="","",OFFSET(_xlfn.XLOOKUP(B33,Kuponger!E:E,Kuponger!Q:Q),1,1)),"")</f>
        <v>3</v>
      </c>
      <c r="I33" s="3">
        <f ca="1">IFERROR(t_ahh[[#This Row],[tp]]-G32,"")</f>
        <v>110</v>
      </c>
      <c r="J33" s="3"/>
    </row>
    <row r="34" spans="1:17" x14ac:dyDescent="0.2">
      <c r="A34">
        <v>33</v>
      </c>
      <c r="B34" s="22" t="str">
        <f ca="1">Data!AL33</f>
        <v/>
      </c>
      <c r="C34" t="str">
        <f ca="1">IFERROR(IF(OFFSET(_xlfn.XLOOKUP(B34,Kuponger!E:E,Kuponger!Q:Q),15,0)=0,"",OFFSET(_xlfn.XLOOKUP(B34,Kuponger!E:E,Kuponger!Q:Q),15,0)),"")</f>
        <v/>
      </c>
      <c r="D34" t="str">
        <f ca="1">IFERROR(IF(OFFSET(_xlfn.XLOOKUP(B34,Kuponger!E:E,Kuponger!Q:Q),15,1)=0,"",OFFSET(_xlfn.XLOOKUP(B34,Kuponger!E:E,Kuponger!Q:Q),15,1)),"")</f>
        <v/>
      </c>
      <c r="E34" t="str">
        <f ca="1">IFERROR(IF(OFFSET(_xlfn.XLOOKUP(B34,Kuponger!E:E,Kuponger!Q:Q),15,2)=0,"",OFFSET(_xlfn.XLOOKUP(B34,Kuponger!E:E,Kuponger!Q:Q),15,2)),"")</f>
        <v/>
      </c>
      <c r="F34" t="str">
        <f ca="1">IFERROR(IF(OFFSET(_xlfn.XLOOKUP(B34,Kuponger!E:E,Kuponger!S:S),1,2)=0,"",OFFSET(_xlfn.XLOOKUP(B34,Kuponger!E:E,Kuponger!S:S),1,2))*-1,"")</f>
        <v/>
      </c>
      <c r="G34" t="str">
        <f t="shared" ca="1" si="0"/>
        <v/>
      </c>
      <c r="H34" t="str">
        <f ca="1">IFERROR(IF(OFFSET(_xlfn.XLOOKUP(B34,Kuponger!E:E,Kuponger!Q:Q),1,1)="","",OFFSET(_xlfn.XLOOKUP(B34,Kuponger!E:E,Kuponger!Q:Q),1,1)),"")</f>
        <v/>
      </c>
      <c r="I34" s="3" t="str">
        <f ca="1">IFERROR(t_ahh[[#This Row],[tp]]-G33,"")</f>
        <v/>
      </c>
      <c r="J34" s="3"/>
    </row>
    <row r="35" spans="1:17" x14ac:dyDescent="0.2">
      <c r="A35">
        <v>34</v>
      </c>
      <c r="B35" s="22" t="str">
        <f ca="1">Data!AL34</f>
        <v/>
      </c>
      <c r="C35" t="str">
        <f ca="1">IFERROR(IF(OFFSET(_xlfn.XLOOKUP(B35,Kuponger!E:E,Kuponger!Q:Q),15,0)=0,"",OFFSET(_xlfn.XLOOKUP(B35,Kuponger!E:E,Kuponger!Q:Q),15,0)),"")</f>
        <v/>
      </c>
      <c r="D35" t="str">
        <f ca="1">IFERROR(IF(OFFSET(_xlfn.XLOOKUP(B35,Kuponger!E:E,Kuponger!Q:Q),15,1)=0,"",OFFSET(_xlfn.XLOOKUP(B35,Kuponger!E:E,Kuponger!Q:Q),15,1)),"")</f>
        <v/>
      </c>
      <c r="E35" t="str">
        <f ca="1">IFERROR(IF(OFFSET(_xlfn.XLOOKUP(B35,Kuponger!E:E,Kuponger!Q:Q),15,2)=0,"",OFFSET(_xlfn.XLOOKUP(B35,Kuponger!E:E,Kuponger!Q:Q),15,2)),"")</f>
        <v/>
      </c>
      <c r="F35" t="str">
        <f ca="1">IFERROR(IF(OFFSET(_xlfn.XLOOKUP(B35,Kuponger!E:E,Kuponger!S:S),1,2)=0,"",OFFSET(_xlfn.XLOOKUP(B35,Kuponger!E:E,Kuponger!S:S),1,2))*-1,"")</f>
        <v/>
      </c>
      <c r="G35" t="str">
        <f t="shared" ca="1" si="0"/>
        <v/>
      </c>
      <c r="H35" t="str">
        <f ca="1">IFERROR(IF(OFFSET(_xlfn.XLOOKUP(B35,Kuponger!E:E,Kuponger!Q:Q),1,1)="","",OFFSET(_xlfn.XLOOKUP(B35,Kuponger!E:E,Kuponger!Q:Q),1,1)),"")</f>
        <v/>
      </c>
      <c r="I35" s="3" t="str">
        <f ca="1">IFERROR(t_ahh[[#This Row],[tp]]-G34,"")</f>
        <v/>
      </c>
      <c r="J35" s="3"/>
      <c r="K35" s="2" t="s">
        <v>19</v>
      </c>
    </row>
    <row r="36" spans="1:17" x14ac:dyDescent="0.2">
      <c r="A36">
        <v>35</v>
      </c>
      <c r="B36" s="22" t="str">
        <f ca="1">Data!AL35</f>
        <v/>
      </c>
      <c r="C36" t="str">
        <f ca="1">IFERROR(IF(OFFSET(_xlfn.XLOOKUP(B36,Kuponger!E:E,Kuponger!Q:Q),15,0)=0,"",OFFSET(_xlfn.XLOOKUP(B36,Kuponger!E:E,Kuponger!Q:Q),15,0)),"")</f>
        <v/>
      </c>
      <c r="D36" t="str">
        <f ca="1">IFERROR(IF(OFFSET(_xlfn.XLOOKUP(B36,Kuponger!E:E,Kuponger!Q:Q),15,1)=0,"",OFFSET(_xlfn.XLOOKUP(B36,Kuponger!E:E,Kuponger!Q:Q),15,1)),"")</f>
        <v/>
      </c>
      <c r="E36" t="str">
        <f ca="1">IFERROR(IF(OFFSET(_xlfn.XLOOKUP(B36,Kuponger!E:E,Kuponger!Q:Q),15,2)=0,"",OFFSET(_xlfn.XLOOKUP(B36,Kuponger!E:E,Kuponger!Q:Q),15,2)),"")</f>
        <v/>
      </c>
      <c r="F36" t="str">
        <f ca="1">IFERROR(IF(OFFSET(_xlfn.XLOOKUP(B36,Kuponger!E:E,Kuponger!S:S),1,2)=0,"",OFFSET(_xlfn.XLOOKUP(B36,Kuponger!E:E,Kuponger!S:S),1,2))*-1,"")</f>
        <v/>
      </c>
      <c r="G36" t="str">
        <f t="shared" ca="1" si="0"/>
        <v/>
      </c>
      <c r="H36" t="str">
        <f ca="1">IFERROR(IF(OFFSET(_xlfn.XLOOKUP(B36,Kuponger!E:E,Kuponger!Q:Q),1,1)="","",OFFSET(_xlfn.XLOOKUP(B36,Kuponger!E:E,Kuponger!Q:Q),1,1)),"")</f>
        <v/>
      </c>
      <c r="I36" s="3" t="str">
        <f ca="1">IFERROR(t_ahh[[#This Row],[tp]]-G35,"")</f>
        <v/>
      </c>
      <c r="J36" s="3"/>
      <c r="K36" s="4" t="s">
        <v>857</v>
      </c>
      <c r="L36" s="3">
        <v>80</v>
      </c>
      <c r="M36" s="3">
        <v>70</v>
      </c>
      <c r="N36" s="3">
        <v>60</v>
      </c>
      <c r="O36" s="3"/>
      <c r="P36" s="3"/>
      <c r="Q36" s="3"/>
    </row>
    <row r="37" spans="1:17" x14ac:dyDescent="0.2">
      <c r="A37">
        <v>36</v>
      </c>
      <c r="B37" s="22" t="str">
        <f ca="1">Data!AL36</f>
        <v/>
      </c>
      <c r="C37" t="str">
        <f ca="1">IFERROR(IF(OFFSET(_xlfn.XLOOKUP(B37,Kuponger!E:E,Kuponger!Q:Q),15,0)=0,"",OFFSET(_xlfn.XLOOKUP(B37,Kuponger!E:E,Kuponger!Q:Q),15,0)),"")</f>
        <v/>
      </c>
      <c r="D37" t="str">
        <f ca="1">IFERROR(IF(OFFSET(_xlfn.XLOOKUP(B37,Kuponger!E:E,Kuponger!Q:Q),15,1)=0,"",OFFSET(_xlfn.XLOOKUP(B37,Kuponger!E:E,Kuponger!Q:Q),15,1)),"")</f>
        <v/>
      </c>
      <c r="E37" t="str">
        <f ca="1">IFERROR(IF(OFFSET(_xlfn.XLOOKUP(B37,Kuponger!E:E,Kuponger!Q:Q),15,2)=0,"",OFFSET(_xlfn.XLOOKUP(B37,Kuponger!E:E,Kuponger!Q:Q),15,2)),"")</f>
        <v/>
      </c>
      <c r="F37" t="str">
        <f ca="1">IFERROR(IF(OFFSET(_xlfn.XLOOKUP(B37,Kuponger!E:E,Kuponger!S:S),1,2)=0,"",OFFSET(_xlfn.XLOOKUP(B37,Kuponger!E:E,Kuponger!S:S),1,2))*-1,"")</f>
        <v/>
      </c>
      <c r="G37" t="str">
        <f t="shared" ca="1" si="0"/>
        <v/>
      </c>
      <c r="H37" t="str">
        <f ca="1">IFERROR(IF(OFFSET(_xlfn.XLOOKUP(B37,Kuponger!E:E,Kuponger!Q:Q),1,1)="","",OFFSET(_xlfn.XLOOKUP(B37,Kuponger!E:E,Kuponger!Q:Q),1,1)),"")</f>
        <v/>
      </c>
      <c r="I37" s="3" t="str">
        <f ca="1">IFERROR(t_ahh[[#This Row],[tp]]-G36,"")</f>
        <v/>
      </c>
      <c r="J37" s="3"/>
      <c r="K37" s="4" t="s">
        <v>858</v>
      </c>
      <c r="L37" t="str">
        <f>_xlfn.XLOOKUP(LARGE(L$2:L$4,1),L$2:L$4,$K$2:$K$4)</f>
        <v>Hjemmetips</v>
      </c>
      <c r="M37" t="str">
        <f>_xlfn.XLOOKUP(LARGE(M$2:M$4,1),M$2:M$4,$K$2:$K$4)</f>
        <v>Hjemmetips</v>
      </c>
      <c r="N37" t="str">
        <f>_xlfn.XLOOKUP(LARGE(N$2:N$4,1),N$2:N$4,$K$2:$K$4)</f>
        <v>Hjemmetips</v>
      </c>
    </row>
    <row r="38" spans="1:17" x14ac:dyDescent="0.2">
      <c r="A38">
        <v>37</v>
      </c>
      <c r="B38" s="22" t="str">
        <f ca="1">Data!AL37</f>
        <v/>
      </c>
      <c r="C38" t="str">
        <f ca="1">IFERROR(IF(OFFSET(_xlfn.XLOOKUP(B38,Kuponger!E:E,Kuponger!Q:Q),15,0)=0,"",OFFSET(_xlfn.XLOOKUP(B38,Kuponger!E:E,Kuponger!Q:Q),15,0)),"")</f>
        <v/>
      </c>
      <c r="D38" t="str">
        <f ca="1">IFERROR(IF(OFFSET(_xlfn.XLOOKUP(B38,Kuponger!E:E,Kuponger!Q:Q),15,1)=0,"",OFFSET(_xlfn.XLOOKUP(B38,Kuponger!E:E,Kuponger!Q:Q),15,1)),"")</f>
        <v/>
      </c>
      <c r="E38" t="str">
        <f ca="1">IFERROR(IF(OFFSET(_xlfn.XLOOKUP(B38,Kuponger!E:E,Kuponger!Q:Q),15,2)=0,"",OFFSET(_xlfn.XLOOKUP(B38,Kuponger!E:E,Kuponger!Q:Q),15,2)),"")</f>
        <v/>
      </c>
      <c r="F38" t="str">
        <f ca="1">IFERROR(IF(OFFSET(_xlfn.XLOOKUP(B38,Kuponger!E:E,Kuponger!S:S),1,2)=0,"",OFFSET(_xlfn.XLOOKUP(B38,Kuponger!E:E,Kuponger!S:S),1,2))*-1,"")</f>
        <v/>
      </c>
      <c r="G38" t="str">
        <f t="shared" ca="1" si="0"/>
        <v/>
      </c>
      <c r="H38" t="str">
        <f ca="1">IFERROR(IF(OFFSET(_xlfn.XLOOKUP(B38,Kuponger!E:E,Kuponger!Q:Q),1,1)="","",OFFSET(_xlfn.XLOOKUP(B38,Kuponger!E:E,Kuponger!Q:Q),1,1)),"")</f>
        <v/>
      </c>
      <c r="I38" s="3" t="str">
        <f ca="1">IFERROR(t_ahh[[#This Row],[tp]]-G37,"")</f>
        <v/>
      </c>
      <c r="J38" s="3"/>
      <c r="K38" s="4" t="s">
        <v>859</v>
      </c>
      <c r="L38" t="str">
        <f>_xlfn.XLOOKUP(LARGE(L$8:L$10,1),L$8:L$10,$K$8:$K$10)</f>
        <v>Hjemmetips</v>
      </c>
      <c r="M38" t="str">
        <f>_xlfn.XLOOKUP(LARGE(M$8:M$10,1),M$8:M$10,$K$8:$K$10)</f>
        <v>Hjemmetips</v>
      </c>
      <c r="N38" t="str">
        <f>_xlfn.XLOOKUP(LARGE(N$8:N$10,1),N$8:N$10,$K$8:$K$10)</f>
        <v>Hjemmetips</v>
      </c>
    </row>
    <row r="39" spans="1:17" x14ac:dyDescent="0.2">
      <c r="A39">
        <v>38</v>
      </c>
      <c r="B39" s="22" t="str">
        <f ca="1">Data!AL38</f>
        <v/>
      </c>
      <c r="C39" t="str">
        <f ca="1">IFERROR(IF(OFFSET(_xlfn.XLOOKUP(B39,Kuponger!E:E,Kuponger!Q:Q),15,0)=0,"",OFFSET(_xlfn.XLOOKUP(B39,Kuponger!E:E,Kuponger!Q:Q),15,0)),"")</f>
        <v/>
      </c>
      <c r="D39" t="str">
        <f ca="1">IFERROR(IF(OFFSET(_xlfn.XLOOKUP(B39,Kuponger!E:E,Kuponger!Q:Q),15,1)=0,"",OFFSET(_xlfn.XLOOKUP(B39,Kuponger!E:E,Kuponger!Q:Q),15,1)),"")</f>
        <v/>
      </c>
      <c r="E39" t="str">
        <f ca="1">IFERROR(IF(OFFSET(_xlfn.XLOOKUP(B39,Kuponger!E:E,Kuponger!Q:Q),15,2)=0,"",OFFSET(_xlfn.XLOOKUP(B39,Kuponger!E:E,Kuponger!Q:Q),15,2)),"")</f>
        <v/>
      </c>
      <c r="F39" t="str">
        <f ca="1">IFERROR(IF(OFFSET(_xlfn.XLOOKUP(B39,Kuponger!E:E,Kuponger!S:S),1,2)=0,"",OFFSET(_xlfn.XLOOKUP(B39,Kuponger!E:E,Kuponger!S:S),1,2))*-1,"")</f>
        <v/>
      </c>
      <c r="G39" t="str">
        <f t="shared" ca="1" si="0"/>
        <v/>
      </c>
      <c r="H39" t="str">
        <f ca="1">IFERROR(IF(OFFSET(_xlfn.XLOOKUP(B39,Kuponger!E:E,Kuponger!Q:Q),1,1)="","",OFFSET(_xlfn.XLOOKUP(B39,Kuponger!E:E,Kuponger!Q:Q),1,1)),"")</f>
        <v/>
      </c>
      <c r="I39" s="3" t="str">
        <f ca="1">IFERROR(t_ahh[[#This Row],[tp]]-G38,"")</f>
        <v/>
      </c>
      <c r="J39" s="3"/>
      <c r="K39" s="4" t="s">
        <v>860</v>
      </c>
      <c r="L39" t="str">
        <f>_xlfn.XLOOKUP(LARGE(L$14:L$16,1),L$14:L$16,$K$14:$K$16)</f>
        <v>Hjemmetips</v>
      </c>
      <c r="M39" t="str">
        <f>_xlfn.XLOOKUP(LARGE(M$14:M$16,1),M$14:M$16,$K$14:$K$16)</f>
        <v>Hjemmetips</v>
      </c>
      <c r="N39" t="str">
        <f>_xlfn.XLOOKUP(LARGE(N$14:N$16,1),N$14:N$16,$K$14:$K$16)</f>
        <v>Hjemmetips</v>
      </c>
    </row>
    <row r="40" spans="1:17" x14ac:dyDescent="0.2">
      <c r="A40">
        <v>39</v>
      </c>
      <c r="B40" s="22" t="str">
        <f ca="1">Data!AL39</f>
        <v/>
      </c>
      <c r="C40" t="str">
        <f ca="1">IFERROR(IF(OFFSET(_xlfn.XLOOKUP(B40,Kuponger!E:E,Kuponger!Q:Q),15,0)=0,"",OFFSET(_xlfn.XLOOKUP(B40,Kuponger!E:E,Kuponger!Q:Q),15,0)),"")</f>
        <v/>
      </c>
      <c r="D40" t="str">
        <f ca="1">IFERROR(IF(OFFSET(_xlfn.XLOOKUP(B40,Kuponger!E:E,Kuponger!Q:Q),15,1)=0,"",OFFSET(_xlfn.XLOOKUP(B40,Kuponger!E:E,Kuponger!Q:Q),15,1)),"")</f>
        <v/>
      </c>
      <c r="E40" t="str">
        <f ca="1">IFERROR(IF(OFFSET(_xlfn.XLOOKUP(B40,Kuponger!E:E,Kuponger!Q:Q),15,2)=0,"",OFFSET(_xlfn.XLOOKUP(B40,Kuponger!E:E,Kuponger!Q:Q),15,2)),"")</f>
        <v/>
      </c>
      <c r="F40" t="str">
        <f ca="1">IFERROR(IF(OFFSET(_xlfn.XLOOKUP(B40,Kuponger!E:E,Kuponger!S:S),1,2)=0,"",OFFSET(_xlfn.XLOOKUP(B40,Kuponger!E:E,Kuponger!S:S),1,2))*-1,"")</f>
        <v/>
      </c>
      <c r="G40" t="str">
        <f t="shared" ca="1" si="0"/>
        <v/>
      </c>
      <c r="H40" t="str">
        <f ca="1">IFERROR(IF(OFFSET(_xlfn.XLOOKUP(B40,Kuponger!E:E,Kuponger!Q:Q),1,1)="","",OFFSET(_xlfn.XLOOKUP(B40,Kuponger!E:E,Kuponger!Q:Q),1,1)),"")</f>
        <v/>
      </c>
      <c r="I40" s="3" t="str">
        <f ca="1">IFERROR(t_ahh[[#This Row],[tp]]-G39,"")</f>
        <v/>
      </c>
      <c r="J40" s="3"/>
    </row>
    <row r="41" spans="1:17" x14ac:dyDescent="0.2">
      <c r="A41">
        <v>40</v>
      </c>
      <c r="B41" s="22" t="str">
        <f ca="1">Data!AL40</f>
        <v/>
      </c>
      <c r="C41" t="str">
        <f ca="1">IFERROR(IF(OFFSET(_xlfn.XLOOKUP(B41,Kuponger!E:E,Kuponger!Q:Q),15,0)=0,"",OFFSET(_xlfn.XLOOKUP(B41,Kuponger!E:E,Kuponger!Q:Q),15,0)),"")</f>
        <v/>
      </c>
      <c r="D41" t="str">
        <f ca="1">IFERROR(IF(OFFSET(_xlfn.XLOOKUP(B41,Kuponger!E:E,Kuponger!Q:Q),15,1)=0,"",OFFSET(_xlfn.XLOOKUP(B41,Kuponger!E:E,Kuponger!Q:Q),15,1)),"")</f>
        <v/>
      </c>
      <c r="E41" t="str">
        <f ca="1">IFERROR(IF(OFFSET(_xlfn.XLOOKUP(B41,Kuponger!E:E,Kuponger!Q:Q),15,2)=0,"",OFFSET(_xlfn.XLOOKUP(B41,Kuponger!E:E,Kuponger!Q:Q),15,2)),"")</f>
        <v/>
      </c>
      <c r="F41" t="str">
        <f ca="1">IFERROR(IF(OFFSET(_xlfn.XLOOKUP(B41,Kuponger!E:E,Kuponger!S:S),1,2)=0,"",OFFSET(_xlfn.XLOOKUP(B41,Kuponger!E:E,Kuponger!S:S),1,2))*-1,"")</f>
        <v/>
      </c>
      <c r="G41" t="str">
        <f t="shared" ca="1" si="0"/>
        <v/>
      </c>
      <c r="H41" t="str">
        <f ca="1">IFERROR(IF(OFFSET(_xlfn.XLOOKUP(B41,Kuponger!E:E,Kuponger!Q:Q),1,1)="","",OFFSET(_xlfn.XLOOKUP(B41,Kuponger!E:E,Kuponger!Q:Q),1,1)),"")</f>
        <v/>
      </c>
      <c r="I41" s="3" t="str">
        <f ca="1">IFERROR(t_ahh[[#This Row],[tp]]-G40,"")</f>
        <v/>
      </c>
      <c r="J41" s="3"/>
      <c r="K41" s="4" t="s">
        <v>861</v>
      </c>
      <c r="L41" s="811">
        <f ca="1">IFERROR(AVERAGE(H:H),"")</f>
        <v>5.5625</v>
      </c>
      <c r="N41" t="str">
        <f>K35&amp;" treffer på "&amp;TEXT((S11/S5)*100,"00,0")&amp;"% av sine 10-poengere, dvs. han bommer"</f>
        <v>AHH treffer på 18,2% av sine 10-poengere, dvs. han bommer</v>
      </c>
    </row>
    <row r="42" spans="1:17" x14ac:dyDescent="0.2">
      <c r="A42">
        <v>41</v>
      </c>
      <c r="B42" s="22" t="str">
        <f ca="1">Data!AL41</f>
        <v/>
      </c>
      <c r="C42" t="str">
        <f ca="1">IFERROR(IF(OFFSET(_xlfn.XLOOKUP(B42,Kuponger!E:E,Kuponger!Q:Q),15,0)=0,"",OFFSET(_xlfn.XLOOKUP(B42,Kuponger!E:E,Kuponger!Q:Q),15,0)),"")</f>
        <v/>
      </c>
      <c r="D42" t="str">
        <f ca="1">IFERROR(IF(OFFSET(_xlfn.XLOOKUP(B42,Kuponger!E:E,Kuponger!Q:Q),15,1)=0,"",OFFSET(_xlfn.XLOOKUP(B42,Kuponger!E:E,Kuponger!Q:Q),15,1)),"")</f>
        <v/>
      </c>
      <c r="E42" t="str">
        <f ca="1">IFERROR(IF(OFFSET(_xlfn.XLOOKUP(B42,Kuponger!E:E,Kuponger!Q:Q),15,2)=0,"",OFFSET(_xlfn.XLOOKUP(B42,Kuponger!E:E,Kuponger!Q:Q),15,2)),"")</f>
        <v/>
      </c>
      <c r="F42" t="str">
        <f ca="1">IFERROR(IF(OFFSET(_xlfn.XLOOKUP(B42,Kuponger!E:E,Kuponger!S:S),1,2)=0,"",OFFSET(_xlfn.XLOOKUP(B42,Kuponger!E:E,Kuponger!S:S),1,2))*-1,"")</f>
        <v/>
      </c>
      <c r="G42" t="str">
        <f t="shared" ca="1" si="0"/>
        <v/>
      </c>
      <c r="H42" t="str">
        <f ca="1">IFERROR(IF(OFFSET(_xlfn.XLOOKUP(B42,Kuponger!E:E,Kuponger!Q:Q),1,1)="","",OFFSET(_xlfn.XLOOKUP(B42,Kuponger!E:E,Kuponger!Q:Q),1,1)),"")</f>
        <v/>
      </c>
      <c r="I42" s="3" t="str">
        <f ca="1">IFERROR(t_ahh[[#This Row],[tp]]-G41,"")</f>
        <v/>
      </c>
      <c r="J42" s="3"/>
      <c r="K42" s="4" t="s">
        <v>862</v>
      </c>
      <c r="L42" s="811">
        <f ca="1">IFERROR(AVERAGE(C:C),"")</f>
        <v>292.1875</v>
      </c>
      <c r="N42" t="str">
        <f>K35&amp;" treffer på "&amp;TEXT((L11/L5)*100,"00,0")&amp;"% av sine 80-poengere"</f>
        <v>AHH treffer på 65,4% av sine 80-poengere</v>
      </c>
    </row>
    <row r="43" spans="1:17" x14ac:dyDescent="0.2">
      <c r="K43" s="4" t="s">
        <v>863</v>
      </c>
      <c r="L43" s="811">
        <f ca="1">IFERROR(AVERAGE(D:D),"")</f>
        <v>83.870967741935488</v>
      </c>
      <c r="N43" t="str">
        <f>K35&amp;" har tatt "&amp;T23&amp;" poeng så langt, men samtidig gått glipp av "&amp;T29&amp;" poeng, noe som gir en poengandel på "&amp;TEXT(L48,"0,0%")</f>
        <v>AHH har tatt 15820 poeng så langt, men samtidig gått glipp av 23980 poeng, noe som gir en poengandel på 66,0%</v>
      </c>
    </row>
    <row r="44" spans="1:17" x14ac:dyDescent="0.2">
      <c r="K44" s="4" t="s">
        <v>864</v>
      </c>
      <c r="L44" s="811">
        <f ca="1">IFERROR(AVERAGE(E:E),"")</f>
        <v>129</v>
      </c>
    </row>
    <row r="45" spans="1:17" x14ac:dyDescent="0.2">
      <c r="K45" s="4" t="s">
        <v>865</v>
      </c>
      <c r="L45" s="810">
        <f ca="1">IFERROR(COUNTIF(F:F,"&lt;0")/COUNTIF(C:C,"&gt;0"),"")</f>
        <v>0</v>
      </c>
    </row>
    <row r="46" spans="1:17" x14ac:dyDescent="0.2">
      <c r="K46" s="4" t="s">
        <v>866</v>
      </c>
      <c r="L46" s="811">
        <f ca="1">IFERROR(AVERAGE(G:G),"")</f>
        <v>494.375</v>
      </c>
    </row>
    <row r="48" spans="1:17" x14ac:dyDescent="0.2">
      <c r="K48" s="4" t="s">
        <v>867</v>
      </c>
      <c r="L48" s="812">
        <f>(T23/T29)</f>
        <v>0.65971643035863214</v>
      </c>
    </row>
    <row r="68" spans="26:26" x14ac:dyDescent="0.2">
      <c r="Z68" s="22"/>
    </row>
  </sheetData>
  <sheetProtection selectLockedCells="1" selectUnlockedCells="1"/>
  <pageMargins left="0.7" right="0.7" top="0.75" bottom="0.75" header="0.3" footer="0.3"/>
  <pageSetup paperSize="9" orientation="portrait" horizontalDpi="0" verticalDpi="0" r:id="rId1"/>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iconSet" priority="1" id="{00000000-000E-0000-0C00-000001000000}">
            <x14:iconSet iconSet="3Arrows" showValue="0" custom="1">
              <x14:cfvo type="percent">
                <xm:f>0</xm:f>
              </x14:cfvo>
              <x14:cfvo type="formula">
                <xm:f>0</xm:f>
              </x14:cfvo>
              <x14:cfvo type="formula" gte="0">
                <xm:f>0</xm:f>
              </x14:cfvo>
              <x14:cfIcon iconSet="3Arrows" iconId="2"/>
              <x14:cfIcon iconSet="3Arrows" iconId="1"/>
              <x14:cfIcon iconSet="3Arrows" iconId="0"/>
            </x14:iconSet>
          </x14:cfRule>
          <xm:sqref>I2:J42</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D111-C5F8-41F3-9FB1-E27FC07B0C22}">
  <sheetPr codeName="Ark21"/>
  <dimension ref="A1:AA68"/>
  <sheetViews>
    <sheetView showGridLines="0" workbookViewId="0">
      <pane ySplit="1" topLeftCell="A4" activePane="bottomLeft" state="frozen"/>
      <selection activeCell="AO1" sqref="AO1"/>
      <selection pane="bottomLeft" activeCell="Q17" sqref="Q17"/>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IFERROR(IF(OFFSET(_xlfn.XLOOKUP(B2,Kuponger!E:E,Kuponger!Q:Q),15,9)=0,"",OFFSET(_xlfn.XLOOKUP(B2,Kuponger!E:E,Kuponger!Q:Q),15,9)),"")</f>
        <v>270</v>
      </c>
      <c r="D2">
        <f ca="1">IFERROR(IF(OFFSET(_xlfn.XLOOKUP(B2,Kuponger!E:E,Kuponger!Q:Q),15,10)=0,"",OFFSET(_xlfn.XLOOKUP(B2,Kuponger!E:E,Kuponger!Q:Q),15,10)),"")</f>
        <v>20</v>
      </c>
      <c r="E2">
        <f ca="1">IFERROR(IF(OFFSET(_xlfn.XLOOKUP(B2,Kuponger!E:E,Kuponger!Q:Q),15,11)=0,"",OFFSET(_xlfn.XLOOKUP(B2,Kuponger!E:E,Kuponger!Q:Q),15,11)),"")</f>
        <v>290</v>
      </c>
      <c r="F2">
        <f ca="1">IFERROR(IF(OFFSET(_xlfn.XLOOKUP(B2,Kuponger!E:E,Kuponger!Q:Q),1,11)="","",OFFSET(_xlfn.XLOOKUP(B2,Kuponger!E:E,Kuponger!Q:Q),1,11))*-1,"")</f>
        <v>-50</v>
      </c>
      <c r="G2">
        <f t="shared" ref="G2:G42" ca="1" si="0">IF(SUMIF(C2:F2,"&lt;&gt;""")=0,"",SUMIF(C2:F2,"&lt;&gt;"""))</f>
        <v>530</v>
      </c>
      <c r="H2">
        <f ca="1">IFERROR(IF(OFFSET(_xlfn.XLOOKUP(B2,Kuponger!E:E,Kuponger!Q:Q),1,10)="","",OFFSET(_xlfn.XLOOKUP(B2,Kuponger!E:E,Kuponger!Q:Q),1,10)),"")</f>
        <v>1</v>
      </c>
      <c r="I2" t="str">
        <f ca="1">IFERROR(t_rb[[#This Row],[tp]]-G1,"")</f>
        <v/>
      </c>
      <c r="K2" s="801" t="s">
        <v>36</v>
      </c>
      <c r="L2">
        <f>COUNTIF(Kuponger!$Z:$Z,f_rb!L$1)</f>
        <v>253</v>
      </c>
      <c r="M2">
        <f>COUNTIF(Kuponger!$Z:$Z,f_rb!M$1)</f>
        <v>0</v>
      </c>
      <c r="N2">
        <f>COUNTIF(Kuponger!$Z:$Z,f_rb!N$1)</f>
        <v>0</v>
      </c>
      <c r="O2">
        <f>COUNTIF(Kuponger!$Z:$Z,f_rb!O$1)</f>
        <v>5</v>
      </c>
      <c r="P2">
        <f>COUNTIF(Kuponger!$Z:$Z,f_rb!P$1)</f>
        <v>7</v>
      </c>
      <c r="Q2">
        <f>COUNTIF(Kuponger!$Z:$Z,f_rb!Q$1)</f>
        <v>0</v>
      </c>
      <c r="R2">
        <f>COUNTIF(Kuponger!$Z:$Z,f_rb!R$1)</f>
        <v>0</v>
      </c>
      <c r="S2">
        <f>COUNTIF(Kuponger!$Z:$Z,f_rb!S$1)</f>
        <v>119</v>
      </c>
      <c r="T2">
        <f>COUNTIF(Kuponger!$Z:$Z,f_rb!T$1)</f>
        <v>0</v>
      </c>
      <c r="W2" s="3"/>
      <c r="X2" s="3"/>
      <c r="Y2" s="3"/>
      <c r="Z2" s="3"/>
      <c r="AA2" s="3"/>
    </row>
    <row r="3" spans="1:27" x14ac:dyDescent="0.2">
      <c r="A3">
        <v>2</v>
      </c>
      <c r="B3" s="22">
        <f ca="1">Data!AL2</f>
        <v>45892</v>
      </c>
      <c r="C3">
        <f ca="1">IFERROR(IF(OFFSET(_xlfn.XLOOKUP(B3,Kuponger!E:E,Kuponger!Q:Q),15,9)=0,"",OFFSET(_xlfn.XLOOKUP(B3,Kuponger!E:E,Kuponger!Q:Q),15,9)),"")</f>
        <v>410</v>
      </c>
      <c r="D3">
        <f ca="1">IFERROR(IF(OFFSET(_xlfn.XLOOKUP(B3,Kuponger!E:E,Kuponger!Q:Q),15,10)=0,"",OFFSET(_xlfn.XLOOKUP(B3,Kuponger!E:E,Kuponger!Q:Q),15,10)),"")</f>
        <v>30</v>
      </c>
      <c r="E3">
        <f ca="1">IFERROR(IF(OFFSET(_xlfn.XLOOKUP(B3,Kuponger!E:E,Kuponger!Q:Q),15,11)=0,"",OFFSET(_xlfn.XLOOKUP(B3,Kuponger!E:E,Kuponger!Q:Q),15,11)),"")</f>
        <v>170</v>
      </c>
      <c r="F3" t="str">
        <f ca="1">IFERROR(IF(OFFSET(_xlfn.XLOOKUP(B3,Kuponger!E:E,Kuponger!Q:Q),1,11)="","",OFFSET(_xlfn.XLOOKUP(B3,Kuponger!E:E,Kuponger!Q:Q),1,11))*-1,"")</f>
        <v/>
      </c>
      <c r="G3">
        <f t="shared" ca="1" si="0"/>
        <v>610</v>
      </c>
      <c r="H3">
        <f ca="1">IFERROR(IF(OFFSET(_xlfn.XLOOKUP(B3,Kuponger!E:E,Kuponger!Q:Q),1,10)="","",OFFSET(_xlfn.XLOOKUP(B3,Kuponger!E:E,Kuponger!Q:Q),1,10)),"")</f>
        <v>2</v>
      </c>
      <c r="I3" s="3">
        <f ca="1">IFERROR(t_rb[[#This Row],[tp]]-G2,"")</f>
        <v>80</v>
      </c>
      <c r="K3" s="801" t="s">
        <v>37</v>
      </c>
      <c r="L3">
        <f>COUNTIF(Kuponger!$AA:$AA,f_rb!L$1)</f>
        <v>17</v>
      </c>
      <c r="M3">
        <f>COUNTIF(Kuponger!$AA:$AA,f_rb!M$1)</f>
        <v>0</v>
      </c>
      <c r="N3">
        <f>COUNTIF(Kuponger!$AA:$AA,f_rb!N$1)</f>
        <v>1</v>
      </c>
      <c r="O3">
        <f>COUNTIF(Kuponger!$AA:$AA,f_rb!O$1)</f>
        <v>7</v>
      </c>
      <c r="P3">
        <f>COUNTIF(Kuponger!$AA:$AA,f_rb!P$1)</f>
        <v>2</v>
      </c>
      <c r="Q3">
        <f>COUNTIF(Kuponger!$AA:$AA,f_rb!Q$1)</f>
        <v>13</v>
      </c>
      <c r="R3">
        <f>COUNTIF(Kuponger!$AA:$AA,f_rb!R$1)</f>
        <v>7</v>
      </c>
      <c r="S3">
        <f>COUNTIF(Kuponger!$AA:$AA,f_rb!S$1)</f>
        <v>364</v>
      </c>
      <c r="T3">
        <f>COUNTIF(Kuponger!$AA:$AA,f_rb!T$1)</f>
        <v>0</v>
      </c>
    </row>
    <row r="4" spans="1:27" x14ac:dyDescent="0.2">
      <c r="A4">
        <v>3</v>
      </c>
      <c r="B4" s="22">
        <f ca="1">Data!AL3</f>
        <v>45920</v>
      </c>
      <c r="C4">
        <f ca="1">IFERROR(IF(OFFSET(_xlfn.XLOOKUP(B4,Kuponger!E:E,Kuponger!Q:Q),15,9)=0,"",OFFSET(_xlfn.XLOOKUP(B4,Kuponger!E:E,Kuponger!Q:Q),15,9)),"")</f>
        <v>250</v>
      </c>
      <c r="D4">
        <f ca="1">IFERROR(IF(OFFSET(_xlfn.XLOOKUP(B4,Kuponger!E:E,Kuponger!Q:Q),15,10)=0,"",OFFSET(_xlfn.XLOOKUP(B4,Kuponger!E:E,Kuponger!Q:Q),15,10)),"")</f>
        <v>30</v>
      </c>
      <c r="E4">
        <f ca="1">IFERROR(IF(OFFSET(_xlfn.XLOOKUP(B4,Kuponger!E:E,Kuponger!Q:Q),15,11)=0,"",OFFSET(_xlfn.XLOOKUP(B4,Kuponger!E:E,Kuponger!Q:Q),15,11)),"")</f>
        <v>120</v>
      </c>
      <c r="F4" t="str">
        <f ca="1">IFERROR(IF(OFFSET(_xlfn.XLOOKUP(B4,Kuponger!E:E,Kuponger!Q:Q),1,11)="","",OFFSET(_xlfn.XLOOKUP(B4,Kuponger!E:E,Kuponger!Q:Q),1,11))*-1,"")</f>
        <v/>
      </c>
      <c r="G4">
        <f t="shared" ca="1" si="0"/>
        <v>400</v>
      </c>
      <c r="H4">
        <f ca="1">IFERROR(IF(OFFSET(_xlfn.XLOOKUP(B4,Kuponger!E:E,Kuponger!Q:Q),1,10)="","",OFFSET(_xlfn.XLOOKUP(B4,Kuponger!E:E,Kuponger!Q:Q),1,10)),"")</f>
        <v>8</v>
      </c>
      <c r="I4" s="3">
        <f ca="1">IFERROR(t_rb[[#This Row],[tp]]-G3,"")</f>
        <v>-210</v>
      </c>
      <c r="K4" s="801" t="s">
        <v>38</v>
      </c>
      <c r="L4">
        <f>COUNTIF(Kuponger!$AB:$AB,f_rb!L$1)</f>
        <v>100</v>
      </c>
      <c r="M4">
        <f>COUNTIF(Kuponger!$AB:$AB,f_rb!M$1)</f>
        <v>0</v>
      </c>
      <c r="N4">
        <f>COUNTIF(Kuponger!$AB:$AB,f_rb!N$1)</f>
        <v>0</v>
      </c>
      <c r="O4">
        <f>COUNTIF(Kuponger!$AB:$AB,f_rb!O$1)</f>
        <v>5</v>
      </c>
      <c r="P4">
        <f>COUNTIF(Kuponger!$AB:$AB,f_rb!P$1)</f>
        <v>7</v>
      </c>
      <c r="Q4">
        <f>COUNTIF(Kuponger!$AB:$AB,f_rb!Q$1)</f>
        <v>2</v>
      </c>
      <c r="R4">
        <f>COUNTIF(Kuponger!$AB:$AB,f_rb!R$1)</f>
        <v>2</v>
      </c>
      <c r="S4">
        <f>COUNTIF(Kuponger!$AB:$AB,f_rb!S$1)</f>
        <v>275</v>
      </c>
      <c r="T4">
        <f>COUNTIF(Kuponger!$AB:$AB,f_rb!T$1)</f>
        <v>0</v>
      </c>
    </row>
    <row r="5" spans="1:27" x14ac:dyDescent="0.2">
      <c r="A5">
        <v>4</v>
      </c>
      <c r="B5" s="22">
        <f ca="1">Data!AL4</f>
        <v>45927</v>
      </c>
      <c r="C5">
        <f ca="1">IFERROR(IF(OFFSET(_xlfn.XLOOKUP(B5,Kuponger!E:E,Kuponger!Q:Q),15,9)=0,"",OFFSET(_xlfn.XLOOKUP(B5,Kuponger!E:E,Kuponger!Q:Q),15,9)),"")</f>
        <v>180</v>
      </c>
      <c r="D5">
        <f ca="1">IFERROR(IF(OFFSET(_xlfn.XLOOKUP(B5,Kuponger!E:E,Kuponger!Q:Q),15,10)=0,"",OFFSET(_xlfn.XLOOKUP(B5,Kuponger!E:E,Kuponger!Q:Q),15,10)),"")</f>
        <v>130</v>
      </c>
      <c r="E5">
        <f ca="1">IFERROR(IF(OFFSET(_xlfn.XLOOKUP(B5,Kuponger!E:E,Kuponger!Q:Q),15,11)=0,"",OFFSET(_xlfn.XLOOKUP(B5,Kuponger!E:E,Kuponger!Q:Q),15,11)),"")</f>
        <v>20</v>
      </c>
      <c r="F5" t="str">
        <f ca="1">IFERROR(IF(OFFSET(_xlfn.XLOOKUP(B5,Kuponger!E:E,Kuponger!Q:Q),1,11)="","",OFFSET(_xlfn.XLOOKUP(B5,Kuponger!E:E,Kuponger!Q:Q),1,11))*-1,"")</f>
        <v/>
      </c>
      <c r="G5">
        <f t="shared" ca="1" si="0"/>
        <v>330</v>
      </c>
      <c r="H5">
        <f ca="1">IFERROR(IF(OFFSET(_xlfn.XLOOKUP(B5,Kuponger!E:E,Kuponger!Q:Q),1,10)="","",OFFSET(_xlfn.XLOOKUP(B5,Kuponger!E:E,Kuponger!Q:Q),1,10)),"")</f>
        <v>5</v>
      </c>
      <c r="I5" s="3">
        <f ca="1">IFERROR(t_rb[[#This Row],[tp]]-G4,"")</f>
        <v>-70</v>
      </c>
      <c r="K5" s="801" t="str">
        <f>K1</f>
        <v>Antall Leverte</v>
      </c>
      <c r="L5">
        <f>SUM(L2:L4)</f>
        <v>370</v>
      </c>
      <c r="M5">
        <f t="shared" ref="M5:S5" si="1">SUM(M2:M4)</f>
        <v>0</v>
      </c>
      <c r="N5">
        <f t="shared" si="1"/>
        <v>1</v>
      </c>
      <c r="O5">
        <f t="shared" si="1"/>
        <v>17</v>
      </c>
      <c r="P5">
        <f t="shared" si="1"/>
        <v>16</v>
      </c>
      <c r="Q5">
        <f t="shared" si="1"/>
        <v>15</v>
      </c>
      <c r="R5">
        <f t="shared" si="1"/>
        <v>9</v>
      </c>
      <c r="S5">
        <f t="shared" si="1"/>
        <v>758</v>
      </c>
      <c r="T5">
        <f>SUM(L$5:S$5)</f>
        <v>1186</v>
      </c>
    </row>
    <row r="6" spans="1:27" x14ac:dyDescent="0.2">
      <c r="A6">
        <v>5</v>
      </c>
      <c r="B6" s="22">
        <f ca="1">Data!AL5</f>
        <v>45934</v>
      </c>
      <c r="C6">
        <f ca="1">IFERROR(IF(OFFSET(_xlfn.XLOOKUP(B6,Kuponger!E:E,Kuponger!Q:Q),15,9)=0,"",OFFSET(_xlfn.XLOOKUP(B6,Kuponger!E:E,Kuponger!Q:Q),15,9)),"")</f>
        <v>570</v>
      </c>
      <c r="D6">
        <f ca="1">IFERROR(IF(OFFSET(_xlfn.XLOOKUP(B6,Kuponger!E:E,Kuponger!Q:Q),15,10)=0,"",OFFSET(_xlfn.XLOOKUP(B6,Kuponger!E:E,Kuponger!Q:Q),15,10)),"")</f>
        <v>10</v>
      </c>
      <c r="E6">
        <f ca="1">IFERROR(IF(OFFSET(_xlfn.XLOOKUP(B6,Kuponger!E:E,Kuponger!Q:Q),15,11)=0,"",OFFSET(_xlfn.XLOOKUP(B6,Kuponger!E:E,Kuponger!Q:Q),15,11)),"")</f>
        <v>100</v>
      </c>
      <c r="F6" t="str">
        <f ca="1">IFERROR(IF(OFFSET(_xlfn.XLOOKUP(B6,Kuponger!E:E,Kuponger!Q:Q),1,11)="","",OFFSET(_xlfn.XLOOKUP(B6,Kuponger!E:E,Kuponger!Q:Q),1,11))*-1,"")</f>
        <v/>
      </c>
      <c r="G6">
        <f t="shared" ca="1" si="0"/>
        <v>680</v>
      </c>
      <c r="H6">
        <f ca="1">IFERROR(IF(OFFSET(_xlfn.XLOOKUP(B6,Kuponger!E:E,Kuponger!Q:Q),1,10)="","",OFFSET(_xlfn.XLOOKUP(B6,Kuponger!E:E,Kuponger!Q:Q),1,10)),"")</f>
        <v>2</v>
      </c>
      <c r="I6" s="3">
        <f ca="1">IFERROR(t_rb[[#This Row],[tp]]-G5,"")</f>
        <v>350</v>
      </c>
    </row>
    <row r="7" spans="1:27" ht="15" x14ac:dyDescent="0.25">
      <c r="A7">
        <v>6</v>
      </c>
      <c r="B7" s="22">
        <f ca="1">Data!AL6</f>
        <v>45941</v>
      </c>
      <c r="C7">
        <f ca="1">IFERROR(IF(OFFSET(_xlfn.XLOOKUP(B7,Kuponger!E:E,Kuponger!Q:Q),15,9)=0,"",OFFSET(_xlfn.XLOOKUP(B7,Kuponger!E:E,Kuponger!Q:Q),15,9)),"")</f>
        <v>410</v>
      </c>
      <c r="D7">
        <f ca="1">IFERROR(IF(OFFSET(_xlfn.XLOOKUP(B7,Kuponger!E:E,Kuponger!Q:Q),15,10)=0,"",OFFSET(_xlfn.XLOOKUP(B7,Kuponger!E:E,Kuponger!Q:Q),15,10)),"")</f>
        <v>10</v>
      </c>
      <c r="E7">
        <f ca="1">IFERROR(IF(OFFSET(_xlfn.XLOOKUP(B7,Kuponger!E:E,Kuponger!Q:Q),15,11)=0,"",OFFSET(_xlfn.XLOOKUP(B7,Kuponger!E:E,Kuponger!Q:Q),15,11)),"")</f>
        <v>190</v>
      </c>
      <c r="F7" t="str">
        <f ca="1">IFERROR(IF(OFFSET(_xlfn.XLOOKUP(B7,Kuponger!E:E,Kuponger!Q:Q),1,11)="","",OFFSET(_xlfn.XLOOKUP(B7,Kuponger!E:E,Kuponger!Q:Q),1,11))*-1,"")</f>
        <v/>
      </c>
      <c r="G7">
        <f t="shared" ca="1" si="0"/>
        <v>610</v>
      </c>
      <c r="H7">
        <f ca="1">IFERROR(IF(OFFSET(_xlfn.XLOOKUP(B7,Kuponger!E:E,Kuponger!Q:Q),1,10)="","",OFFSET(_xlfn.XLOOKUP(B7,Kuponger!E:E,Kuponger!Q:Q),1,10)),"")</f>
        <v>7</v>
      </c>
      <c r="I7" s="3">
        <f ca="1">IFERROR(t_rb[[#This Row],[tp]]-G6,"")</f>
        <v>-70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IFERROR(IF(OFFSET(_xlfn.XLOOKUP(B8,Kuponger!E:E,Kuponger!Q:Q),15,9)=0,"",OFFSET(_xlfn.XLOOKUP(B8,Kuponger!E:E,Kuponger!Q:Q),15,9)),"")</f>
        <v>330</v>
      </c>
      <c r="D8">
        <f ca="1">IFERROR(IF(OFFSET(_xlfn.XLOOKUP(B8,Kuponger!E:E,Kuponger!Q:Q),15,10)=0,"",OFFSET(_xlfn.XLOOKUP(B8,Kuponger!E:E,Kuponger!Q:Q),15,10)),"")</f>
        <v>110</v>
      </c>
      <c r="E8">
        <f ca="1">IFERROR(IF(OFFSET(_xlfn.XLOOKUP(B8,Kuponger!E:E,Kuponger!Q:Q),15,11)=0,"",OFFSET(_xlfn.XLOOKUP(B8,Kuponger!E:E,Kuponger!Q:Q),15,11)),"")</f>
        <v>240</v>
      </c>
      <c r="F8" t="str">
        <f ca="1">IFERROR(IF(OFFSET(_xlfn.XLOOKUP(B8,Kuponger!E:E,Kuponger!Q:Q),1,11)="","",OFFSET(_xlfn.XLOOKUP(B8,Kuponger!E:E,Kuponger!Q:Q),1,11))*-1,"")</f>
        <v/>
      </c>
      <c r="G8">
        <f t="shared" ca="1" si="0"/>
        <v>680</v>
      </c>
      <c r="H8">
        <f ca="1">IFERROR(IF(OFFSET(_xlfn.XLOOKUP(B8,Kuponger!E:E,Kuponger!Q:Q),1,10)="","",OFFSET(_xlfn.XLOOKUP(B8,Kuponger!E:E,Kuponger!Q:Q),1,10)),"")</f>
        <v>1</v>
      </c>
      <c r="I8" s="3">
        <f ca="1">IFERROR(t_rb[[#This Row],[tp]]-G7,"")</f>
        <v>70</v>
      </c>
      <c r="K8" s="801" t="s">
        <v>36</v>
      </c>
      <c r="L8">
        <f>COUNTIF(Kuponger!$AD:$AD,L$7)</f>
        <v>137</v>
      </c>
      <c r="M8">
        <f>COUNTIF(Kuponger!$AD:$AD,M$7)</f>
        <v>0</v>
      </c>
      <c r="N8">
        <f>COUNTIF(Kuponger!$AD:$AD,N$7)</f>
        <v>0</v>
      </c>
      <c r="O8">
        <f>COUNTIF(Kuponger!$AD:$AD,O$7)</f>
        <v>3</v>
      </c>
      <c r="P8">
        <f>COUNTIF(Kuponger!$AD:$AD,P$7)</f>
        <v>2</v>
      </c>
      <c r="Q8">
        <f>COUNTIF(Kuponger!$AD:$AD,Q$7)</f>
        <v>0</v>
      </c>
      <c r="R8">
        <f>COUNTIF(Kuponger!$AD:$AD,R$7)</f>
        <v>0</v>
      </c>
      <c r="S8">
        <f>COUNTIF(Kuponger!$AD:$AD,S$7)</f>
        <v>34</v>
      </c>
      <c r="T8">
        <f>SUM(L$8:S$8)</f>
        <v>176</v>
      </c>
    </row>
    <row r="9" spans="1:27" x14ac:dyDescent="0.2">
      <c r="A9">
        <v>8</v>
      </c>
      <c r="B9" s="22">
        <f ca="1">Data!AL8</f>
        <v>45955</v>
      </c>
      <c r="C9">
        <f ca="1">IFERROR(IF(OFFSET(_xlfn.XLOOKUP(B9,Kuponger!E:E,Kuponger!Q:Q),15,9)=0,"",OFFSET(_xlfn.XLOOKUP(B9,Kuponger!E:E,Kuponger!Q:Q),15,9)),"")</f>
        <v>410</v>
      </c>
      <c r="D9">
        <f ca="1">IFERROR(IF(OFFSET(_xlfn.XLOOKUP(B9,Kuponger!E:E,Kuponger!Q:Q),15,10)=0,"",OFFSET(_xlfn.XLOOKUP(B9,Kuponger!E:E,Kuponger!Q:Q),15,10)),"")</f>
        <v>20</v>
      </c>
      <c r="E9">
        <f ca="1">IFERROR(IF(OFFSET(_xlfn.XLOOKUP(B9,Kuponger!E:E,Kuponger!Q:Q),15,11)=0,"",OFFSET(_xlfn.XLOOKUP(B9,Kuponger!E:E,Kuponger!Q:Q),15,11)),"")</f>
        <v>40</v>
      </c>
      <c r="F9" t="str">
        <f ca="1">IFERROR(IF(OFFSET(_xlfn.XLOOKUP(B9,Kuponger!E:E,Kuponger!Q:Q),1,11)="","",OFFSET(_xlfn.XLOOKUP(B9,Kuponger!E:E,Kuponger!Q:Q),1,11))*-1,"")</f>
        <v/>
      </c>
      <c r="G9">
        <f t="shared" ca="1" si="0"/>
        <v>470</v>
      </c>
      <c r="H9">
        <f ca="1">IFERROR(IF(OFFSET(_xlfn.XLOOKUP(B9,Kuponger!E:E,Kuponger!Q:Q),1,10)="","",OFFSET(_xlfn.XLOOKUP(B9,Kuponger!E:E,Kuponger!Q:Q),1,10)),"")</f>
        <v>8</v>
      </c>
      <c r="I9" s="3">
        <f ca="1">IFERROR(t_rb[[#This Row],[tp]]-G8,"")</f>
        <v>-210</v>
      </c>
      <c r="K9" s="801" t="s">
        <v>37</v>
      </c>
      <c r="L9">
        <f>COUNTIF(Kuponger!$AE:$AE,L$7)</f>
        <v>4</v>
      </c>
      <c r="M9">
        <f>COUNTIF(Kuponger!$AE:$AE,M$7)</f>
        <v>0</v>
      </c>
      <c r="N9">
        <f>COUNTIF(Kuponger!$AE:$AE,N$7)</f>
        <v>0</v>
      </c>
      <c r="O9">
        <f>COUNTIF(Kuponger!$AE:$AE,O$7)</f>
        <v>0</v>
      </c>
      <c r="P9">
        <f>COUNTIF(Kuponger!$AE:$AE,P$7)</f>
        <v>0</v>
      </c>
      <c r="Q9">
        <f>COUNTIF(Kuponger!$AE:$AE,Q$7)</f>
        <v>0</v>
      </c>
      <c r="R9">
        <f>COUNTIF(Kuponger!$AE:$AE,R$7)</f>
        <v>0</v>
      </c>
      <c r="S9">
        <f>COUNTIF(Kuponger!$AE:$AE,S$7)</f>
        <v>85</v>
      </c>
      <c r="T9">
        <f>SUM(L$9:S$9)</f>
        <v>89</v>
      </c>
    </row>
    <row r="10" spans="1:27" x14ac:dyDescent="0.2">
      <c r="A10">
        <v>9</v>
      </c>
      <c r="B10" s="22">
        <f ca="1">Data!AL9</f>
        <v>45962</v>
      </c>
      <c r="C10">
        <f ca="1">IFERROR(IF(OFFSET(_xlfn.XLOOKUP(B10,Kuponger!E:E,Kuponger!Q:Q),15,9)=0,"",OFFSET(_xlfn.XLOOKUP(B10,Kuponger!E:E,Kuponger!Q:Q),15,9)),"")</f>
        <v>570</v>
      </c>
      <c r="D10">
        <f ca="1">IFERROR(IF(OFFSET(_xlfn.XLOOKUP(B10,Kuponger!E:E,Kuponger!Q:Q),15,10)=0,"",OFFSET(_xlfn.XLOOKUP(B10,Kuponger!E:E,Kuponger!Q:Q),15,10)),"")</f>
        <v>10</v>
      </c>
      <c r="E10">
        <f ca="1">IFERROR(IF(OFFSET(_xlfn.XLOOKUP(B10,Kuponger!E:E,Kuponger!Q:Q),15,11)=0,"",OFFSET(_xlfn.XLOOKUP(B10,Kuponger!E:E,Kuponger!Q:Q),15,11)),"")</f>
        <v>170</v>
      </c>
      <c r="F10" t="str">
        <f ca="1">IFERROR(IF(OFFSET(_xlfn.XLOOKUP(B10,Kuponger!E:E,Kuponger!Q:Q),1,11)="","",OFFSET(_xlfn.XLOOKUP(B10,Kuponger!E:E,Kuponger!Q:Q),1,11))*-1,"")</f>
        <v/>
      </c>
      <c r="G10">
        <f t="shared" ca="1" si="0"/>
        <v>750</v>
      </c>
      <c r="H10">
        <f ca="1">IFERROR(IF(OFFSET(_xlfn.XLOOKUP(B10,Kuponger!E:E,Kuponger!Q:Q),1,10)="","",OFFSET(_xlfn.XLOOKUP(B10,Kuponger!E:E,Kuponger!Q:Q),1,10)),"")</f>
        <v>2</v>
      </c>
      <c r="I10" s="3">
        <f ca="1">IFERROR(t_rb[[#This Row],[tp]]-G9,"")</f>
        <v>280</v>
      </c>
      <c r="K10" s="801" t="s">
        <v>38</v>
      </c>
      <c r="L10">
        <f>COUNTIF(Kuponger!$AF:$AF,L$7)</f>
        <v>49</v>
      </c>
      <c r="M10">
        <f>COUNTIF(Kuponger!$AF:$AF,M$7)</f>
        <v>0</v>
      </c>
      <c r="N10">
        <f>COUNTIF(Kuponger!$AF:$AF,N$7)</f>
        <v>0</v>
      </c>
      <c r="O10">
        <f>COUNTIF(Kuponger!$AF:$AF,O$7)</f>
        <v>1</v>
      </c>
      <c r="P10">
        <f>COUNTIF(Kuponger!$AF:$AF,P$7)</f>
        <v>2</v>
      </c>
      <c r="Q10">
        <f>COUNTIF(Kuponger!$AF:$AF,Q$7)</f>
        <v>0</v>
      </c>
      <c r="R10">
        <f>COUNTIF(Kuponger!$AF:$AF,R$7)</f>
        <v>0</v>
      </c>
      <c r="S10">
        <f>COUNTIF(Kuponger!$AF:$AF,S$7)</f>
        <v>67</v>
      </c>
      <c r="T10">
        <f>SUM(L$10:S$10)</f>
        <v>119</v>
      </c>
    </row>
    <row r="11" spans="1:27" x14ac:dyDescent="0.2">
      <c r="A11">
        <v>10</v>
      </c>
      <c r="B11" s="22">
        <f ca="1">Data!AL10</f>
        <v>45969</v>
      </c>
      <c r="C11">
        <f ca="1">IFERROR(IF(OFFSET(_xlfn.XLOOKUP(B11,Kuponger!E:E,Kuponger!Q:Q),15,9)=0,"",OFFSET(_xlfn.XLOOKUP(B11,Kuponger!E:E,Kuponger!Q:Q),15,9)),"")</f>
        <v>400</v>
      </c>
      <c r="D11">
        <f ca="1">IFERROR(IF(OFFSET(_xlfn.XLOOKUP(B11,Kuponger!E:E,Kuponger!Q:Q),15,10)=0,"",OFFSET(_xlfn.XLOOKUP(B11,Kuponger!E:E,Kuponger!Q:Q),15,10)),"")</f>
        <v>30</v>
      </c>
      <c r="E11">
        <f ca="1">IFERROR(IF(OFFSET(_xlfn.XLOOKUP(B11,Kuponger!E:E,Kuponger!Q:Q),15,11)=0,"",OFFSET(_xlfn.XLOOKUP(B11,Kuponger!E:E,Kuponger!Q:Q),15,11)),"")</f>
        <v>180</v>
      </c>
      <c r="F11" t="str">
        <f ca="1">IFERROR(IF(OFFSET(_xlfn.XLOOKUP(B11,Kuponger!E:E,Kuponger!Q:Q),1,11)="","",OFFSET(_xlfn.XLOOKUP(B11,Kuponger!E:E,Kuponger!Q:Q),1,11))*-1,"")</f>
        <v/>
      </c>
      <c r="G11">
        <f t="shared" ca="1" si="0"/>
        <v>610</v>
      </c>
      <c r="H11">
        <f ca="1">IFERROR(IF(OFFSET(_xlfn.XLOOKUP(B11,Kuponger!E:E,Kuponger!Q:Q),1,10)="","",OFFSET(_xlfn.XLOOKUP(B11,Kuponger!E:E,Kuponger!Q:Q),1,10)),"")</f>
        <v>2</v>
      </c>
      <c r="I11" s="3">
        <f ca="1">IFERROR(t_rb[[#This Row],[tp]]-G10,"")</f>
        <v>-140</v>
      </c>
      <c r="K11" s="801" t="str">
        <f>K7</f>
        <v>Antall Treff</v>
      </c>
      <c r="L11">
        <f>SUM(L$8:L$10)</f>
        <v>190</v>
      </c>
      <c r="M11">
        <f t="shared" ref="M11:S11" si="3">SUM(M$8:M$10)</f>
        <v>0</v>
      </c>
      <c r="N11">
        <f t="shared" si="3"/>
        <v>0</v>
      </c>
      <c r="O11">
        <f t="shared" si="3"/>
        <v>4</v>
      </c>
      <c r="P11">
        <f>SUM(P$8:P$10)</f>
        <v>4</v>
      </c>
      <c r="Q11">
        <f t="shared" si="3"/>
        <v>0</v>
      </c>
      <c r="R11">
        <f t="shared" si="3"/>
        <v>0</v>
      </c>
      <c r="S11">
        <f t="shared" si="3"/>
        <v>186</v>
      </c>
      <c r="T11">
        <f>SUM(L$11:S$11)</f>
        <v>384</v>
      </c>
    </row>
    <row r="12" spans="1:27" x14ac:dyDescent="0.2">
      <c r="A12">
        <v>11</v>
      </c>
      <c r="B12" s="22">
        <f ca="1">Data!AL11</f>
        <v>45976</v>
      </c>
      <c r="C12">
        <f ca="1">IFERROR(IF(OFFSET(_xlfn.XLOOKUP(B12,Kuponger!E:E,Kuponger!Q:Q),15,9)=0,"",OFFSET(_xlfn.XLOOKUP(B12,Kuponger!E:E,Kuponger!Q:Q),15,9)),"")</f>
        <v>260</v>
      </c>
      <c r="D12">
        <f ca="1">IFERROR(IF(OFFSET(_xlfn.XLOOKUP(B12,Kuponger!E:E,Kuponger!Q:Q),15,10)=0,"",OFFSET(_xlfn.XLOOKUP(B12,Kuponger!E:E,Kuponger!Q:Q),15,10)),"")</f>
        <v>100</v>
      </c>
      <c r="E12">
        <f ca="1">IFERROR(IF(OFFSET(_xlfn.XLOOKUP(B12,Kuponger!E:E,Kuponger!Q:Q),15,11)=0,"",OFFSET(_xlfn.XLOOKUP(B12,Kuponger!E:E,Kuponger!Q:Q),15,11)),"")</f>
        <v>180</v>
      </c>
      <c r="F12" t="str">
        <f ca="1">IFERROR(IF(OFFSET(_xlfn.XLOOKUP(B12,Kuponger!E:E,Kuponger!Q:Q),1,11)="","",OFFSET(_xlfn.XLOOKUP(B12,Kuponger!E:E,Kuponger!Q:Q),1,11))*-1,"")</f>
        <v/>
      </c>
      <c r="G12">
        <f t="shared" ca="1" si="0"/>
        <v>540</v>
      </c>
      <c r="H12">
        <f ca="1">IFERROR(IF(OFFSET(_xlfn.XLOOKUP(B12,Kuponger!E:E,Kuponger!Q:Q),1,10)="","",OFFSET(_xlfn.XLOOKUP(B12,Kuponger!E:E,Kuponger!Q:Q),1,10)),"")</f>
        <v>6</v>
      </c>
      <c r="I12" s="3">
        <f ca="1">IFERROR(t_rb[[#This Row],[tp]]-G11,"")</f>
        <v>-70</v>
      </c>
    </row>
    <row r="13" spans="1:27" ht="15" x14ac:dyDescent="0.25">
      <c r="A13">
        <v>12</v>
      </c>
      <c r="B13" s="22">
        <f ca="1">Data!AL12</f>
        <v>45983</v>
      </c>
      <c r="C13">
        <f ca="1">IFERROR(IF(OFFSET(_xlfn.XLOOKUP(B13,Kuponger!E:E,Kuponger!Q:Q),15,9)=0,"",OFFSET(_xlfn.XLOOKUP(B13,Kuponger!E:E,Kuponger!Q:Q),15,9)),"")</f>
        <v>340</v>
      </c>
      <c r="D13">
        <f ca="1">IFERROR(IF(OFFSET(_xlfn.XLOOKUP(B13,Kuponger!E:E,Kuponger!Q:Q),15,10)=0,"",OFFSET(_xlfn.XLOOKUP(B13,Kuponger!E:E,Kuponger!Q:Q),15,10)),"")</f>
        <v>30</v>
      </c>
      <c r="E13">
        <f ca="1">IFERROR(IF(OFFSET(_xlfn.XLOOKUP(B13,Kuponger!E:E,Kuponger!Q:Q),15,11)=0,"",OFFSET(_xlfn.XLOOKUP(B13,Kuponger!E:E,Kuponger!Q:Q),15,11)),"")</f>
        <v>170</v>
      </c>
      <c r="F13" t="str">
        <f ca="1">IFERROR(IF(OFFSET(_xlfn.XLOOKUP(B13,Kuponger!E:E,Kuponger!Q:Q),1,11)="","",OFFSET(_xlfn.XLOOKUP(B13,Kuponger!E:E,Kuponger!Q:Q),1,11))*-1,"")</f>
        <v/>
      </c>
      <c r="G13">
        <f t="shared" ca="1" si="0"/>
        <v>540</v>
      </c>
      <c r="H13">
        <f ca="1">IFERROR(IF(OFFSET(_xlfn.XLOOKUP(B13,Kuponger!E:E,Kuponger!Q:Q),1,10)="","",OFFSET(_xlfn.XLOOKUP(B13,Kuponger!E:E,Kuponger!Q:Q),1,10)),"")</f>
        <v>1</v>
      </c>
      <c r="I13" s="3">
        <f ca="1">IFERROR(t_rb[[#This Row],[tp]]-G12,"")</f>
        <v>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IFERROR(IF(OFFSET(_xlfn.XLOOKUP(B14,Kuponger!E:E,Kuponger!Q:Q),15,9)=0,"",OFFSET(_xlfn.XLOOKUP(B14,Kuponger!E:E,Kuponger!Q:Q),15,9)),"")</f>
        <v>530</v>
      </c>
      <c r="D14">
        <f ca="1">IFERROR(IF(OFFSET(_xlfn.XLOOKUP(B14,Kuponger!E:E,Kuponger!Q:Q),15,10)=0,"",OFFSET(_xlfn.XLOOKUP(B14,Kuponger!E:E,Kuponger!Q:Q),15,10)),"")</f>
        <v>10</v>
      </c>
      <c r="E14">
        <f ca="1">IFERROR(IF(OFFSET(_xlfn.XLOOKUP(B14,Kuponger!E:E,Kuponger!Q:Q),15,11)=0,"",OFFSET(_xlfn.XLOOKUP(B14,Kuponger!E:E,Kuponger!Q:Q),15,11)),"")</f>
        <v>100</v>
      </c>
      <c r="F14" t="str">
        <f ca="1">IFERROR(IF(OFFSET(_xlfn.XLOOKUP(B14,Kuponger!E:E,Kuponger!Q:Q),1,11)="","",OFFSET(_xlfn.XLOOKUP(B14,Kuponger!E:E,Kuponger!Q:Q),1,11))*-1,"")</f>
        <v/>
      </c>
      <c r="G14">
        <f t="shared" ca="1" si="0"/>
        <v>640</v>
      </c>
      <c r="H14">
        <f ca="1">IFERROR(IF(OFFSET(_xlfn.XLOOKUP(B14,Kuponger!E:E,Kuponger!Q:Q),1,10)="","",OFFSET(_xlfn.XLOOKUP(B14,Kuponger!E:E,Kuponger!Q:Q),1,10)),"")</f>
        <v>2</v>
      </c>
      <c r="I14" s="3">
        <f ca="1">IFERROR(t_rb[[#This Row],[tp]]-G13,"")</f>
        <v>100</v>
      </c>
      <c r="K14" s="801" t="str">
        <f>K8</f>
        <v>Hjemme</v>
      </c>
      <c r="L14">
        <f>L2-L8</f>
        <v>116</v>
      </c>
      <c r="M14">
        <f t="shared" ref="M14:S16" si="5">M2-M8</f>
        <v>0</v>
      </c>
      <c r="N14">
        <f t="shared" si="5"/>
        <v>0</v>
      </c>
      <c r="O14">
        <f t="shared" si="5"/>
        <v>2</v>
      </c>
      <c r="P14">
        <f t="shared" si="5"/>
        <v>5</v>
      </c>
      <c r="Q14">
        <f t="shared" si="5"/>
        <v>0</v>
      </c>
      <c r="R14">
        <f t="shared" si="5"/>
        <v>0</v>
      </c>
      <c r="S14">
        <f t="shared" si="5"/>
        <v>85</v>
      </c>
      <c r="T14">
        <f>SUM(L$14:S$14)</f>
        <v>208</v>
      </c>
    </row>
    <row r="15" spans="1:27" x14ac:dyDescent="0.2">
      <c r="A15">
        <v>14</v>
      </c>
      <c r="B15" s="22">
        <f ca="1">Data!AL14</f>
        <v>45997</v>
      </c>
      <c r="C15">
        <f ca="1">IFERROR(IF(OFFSET(_xlfn.XLOOKUP(B15,Kuponger!E:E,Kuponger!Q:Q),15,9)=0,"",OFFSET(_xlfn.XLOOKUP(B15,Kuponger!E:E,Kuponger!Q:Q),15,9)),"")</f>
        <v>580</v>
      </c>
      <c r="D15">
        <f ca="1">IFERROR(IF(OFFSET(_xlfn.XLOOKUP(B15,Kuponger!E:E,Kuponger!Q:Q),15,10)=0,"",OFFSET(_xlfn.XLOOKUP(B15,Kuponger!E:E,Kuponger!Q:Q),15,10)),"")</f>
        <v>30</v>
      </c>
      <c r="E15" t="str">
        <f ca="1">IFERROR(IF(OFFSET(_xlfn.XLOOKUP(B15,Kuponger!E:E,Kuponger!Q:Q),15,11)=0,"",OFFSET(_xlfn.XLOOKUP(B15,Kuponger!E:E,Kuponger!Q:Q),15,11)),"")</f>
        <v/>
      </c>
      <c r="F15" t="str">
        <f ca="1">IFERROR(IF(OFFSET(_xlfn.XLOOKUP(B15,Kuponger!E:E,Kuponger!Q:Q),1,11)="","",OFFSET(_xlfn.XLOOKUP(B15,Kuponger!E:E,Kuponger!Q:Q),1,11))*-1,"")</f>
        <v/>
      </c>
      <c r="G15">
        <f t="shared" ca="1" si="0"/>
        <v>610</v>
      </c>
      <c r="H15">
        <f ca="1">IFERROR(IF(OFFSET(_xlfn.XLOOKUP(B15,Kuponger!E:E,Kuponger!Q:Q),1,10)="","",OFFSET(_xlfn.XLOOKUP(B15,Kuponger!E:E,Kuponger!Q:Q),1,10)),"")</f>
        <v>1</v>
      </c>
      <c r="I15" s="3">
        <f ca="1">IFERROR(t_rb[[#This Row],[tp]]-G14,"")</f>
        <v>-30</v>
      </c>
      <c r="K15" s="801" t="str">
        <f>K9</f>
        <v>Uavgjort</v>
      </c>
      <c r="L15">
        <f>L3-L9</f>
        <v>13</v>
      </c>
      <c r="M15">
        <f t="shared" si="5"/>
        <v>0</v>
      </c>
      <c r="N15">
        <f t="shared" si="5"/>
        <v>1</v>
      </c>
      <c r="O15">
        <f t="shared" si="5"/>
        <v>7</v>
      </c>
      <c r="P15">
        <f t="shared" si="5"/>
        <v>2</v>
      </c>
      <c r="Q15">
        <f t="shared" si="5"/>
        <v>13</v>
      </c>
      <c r="R15">
        <f t="shared" si="5"/>
        <v>7</v>
      </c>
      <c r="S15">
        <f t="shared" si="5"/>
        <v>279</v>
      </c>
      <c r="T15">
        <f>SUM(L$15:S$15)</f>
        <v>322</v>
      </c>
    </row>
    <row r="16" spans="1:27" x14ac:dyDescent="0.2">
      <c r="A16">
        <v>15</v>
      </c>
      <c r="B16" s="22">
        <f ca="1">Data!AL15</f>
        <v>46004</v>
      </c>
      <c r="C16">
        <f ca="1">IFERROR(IF(OFFSET(_xlfn.XLOOKUP(B16,Kuponger!E:E,Kuponger!Q:Q),15,9)=0,"",OFFSET(_xlfn.XLOOKUP(B16,Kuponger!E:E,Kuponger!Q:Q),15,9)),"")</f>
        <v>570</v>
      </c>
      <c r="D16">
        <f ca="1">IFERROR(IF(OFFSET(_xlfn.XLOOKUP(B16,Kuponger!E:E,Kuponger!Q:Q),15,10)=0,"",OFFSET(_xlfn.XLOOKUP(B16,Kuponger!E:E,Kuponger!Q:Q),15,10)),"")</f>
        <v>20</v>
      </c>
      <c r="E16">
        <f ca="1">IFERROR(IF(OFFSET(_xlfn.XLOOKUP(B16,Kuponger!E:E,Kuponger!Q:Q),15,11)=0,"",OFFSET(_xlfn.XLOOKUP(B16,Kuponger!E:E,Kuponger!Q:Q),15,11)),"")</f>
        <v>90</v>
      </c>
      <c r="F16" t="str">
        <f ca="1">IFERROR(IF(OFFSET(_xlfn.XLOOKUP(B16,Kuponger!E:E,Kuponger!Q:Q),1,11)="","",OFFSET(_xlfn.XLOOKUP(B16,Kuponger!E:E,Kuponger!Q:Q),1,11))*-1,"")</f>
        <v/>
      </c>
      <c r="G16">
        <f t="shared" ca="1" si="0"/>
        <v>680</v>
      </c>
      <c r="H16">
        <f ca="1">IFERROR(IF(OFFSET(_xlfn.XLOOKUP(B16,Kuponger!E:E,Kuponger!Q:Q),1,10)="","",OFFSET(_xlfn.XLOOKUP(B16,Kuponger!E:E,Kuponger!Q:Q),1,10)),"")</f>
        <v>1</v>
      </c>
      <c r="I16" s="3">
        <f ca="1">IFERROR(t_rb[[#This Row],[tp]]-G15,"")</f>
        <v>70</v>
      </c>
      <c r="K16" s="801" t="str">
        <f>K10</f>
        <v>Borte</v>
      </c>
      <c r="L16">
        <f>L4-L10</f>
        <v>51</v>
      </c>
      <c r="M16">
        <f t="shared" si="5"/>
        <v>0</v>
      </c>
      <c r="N16">
        <f t="shared" si="5"/>
        <v>0</v>
      </c>
      <c r="O16">
        <f t="shared" si="5"/>
        <v>4</v>
      </c>
      <c r="P16">
        <f t="shared" si="5"/>
        <v>5</v>
      </c>
      <c r="Q16">
        <f t="shared" si="5"/>
        <v>2</v>
      </c>
      <c r="R16">
        <f t="shared" si="5"/>
        <v>2</v>
      </c>
      <c r="S16">
        <f t="shared" si="5"/>
        <v>208</v>
      </c>
      <c r="T16">
        <f>SUM(L$16:S$16)</f>
        <v>272</v>
      </c>
    </row>
    <row r="17" spans="1:20" x14ac:dyDescent="0.2">
      <c r="A17">
        <v>16</v>
      </c>
      <c r="B17" s="22">
        <f ca="1">Data!AL16</f>
        <v>46032</v>
      </c>
      <c r="C17">
        <f ca="1">IFERROR(IF(OFFSET(_xlfn.XLOOKUP(B17,Kuponger!E:E,Kuponger!Q:Q),15,9)=0,"",OFFSET(_xlfn.XLOOKUP(B17,Kuponger!E:E,Kuponger!Q:Q),15,9)),"")</f>
        <v>380</v>
      </c>
      <c r="D17">
        <f ca="1">IFERROR(IF(OFFSET(_xlfn.XLOOKUP(B17,Kuponger!E:E,Kuponger!Q:Q),15,10)=0,"",OFFSET(_xlfn.XLOOKUP(B17,Kuponger!E:E,Kuponger!Q:Q),15,10)),"")</f>
        <v>20</v>
      </c>
      <c r="E17">
        <f ca="1">IFERROR(IF(OFFSET(_xlfn.XLOOKUP(B17,Kuponger!E:E,Kuponger!Q:Q),15,11)=0,"",OFFSET(_xlfn.XLOOKUP(B17,Kuponger!E:E,Kuponger!Q:Q),15,11)),"")</f>
        <v>250</v>
      </c>
      <c r="F17" t="str">
        <f ca="1">IFERROR(IF(OFFSET(_xlfn.XLOOKUP(B17,Kuponger!E:E,Kuponger!Q:Q),1,11)="","",OFFSET(_xlfn.XLOOKUP(B17,Kuponger!E:E,Kuponger!Q:Q),1,11))*-1,"")</f>
        <v/>
      </c>
      <c r="G17">
        <f t="shared" ca="1" si="0"/>
        <v>650</v>
      </c>
      <c r="H17">
        <f ca="1">IFERROR(IF(OFFSET(_xlfn.XLOOKUP(B17,Kuponger!E:E,Kuponger!Q:Q),1,10)="","",OFFSET(_xlfn.XLOOKUP(B17,Kuponger!E:E,Kuponger!Q:Q),1,10)),"")</f>
        <v>2</v>
      </c>
      <c r="I17" s="3">
        <f ca="1">IFERROR(t_rb[[#This Row],[tp]]-G16,"")</f>
        <v>-30</v>
      </c>
      <c r="K17" s="801" t="str">
        <f>K13</f>
        <v>Antall misser</v>
      </c>
      <c r="L17">
        <f>SUM(L$14:L$16)</f>
        <v>180</v>
      </c>
      <c r="M17">
        <f t="shared" ref="M17:S17" si="6">SUM(M$14:M$16)</f>
        <v>0</v>
      </c>
      <c r="N17">
        <f t="shared" si="6"/>
        <v>1</v>
      </c>
      <c r="O17">
        <f t="shared" si="6"/>
        <v>13</v>
      </c>
      <c r="P17">
        <f t="shared" si="6"/>
        <v>12</v>
      </c>
      <c r="Q17">
        <f t="shared" si="6"/>
        <v>15</v>
      </c>
      <c r="R17">
        <f t="shared" si="6"/>
        <v>9</v>
      </c>
      <c r="S17">
        <f t="shared" si="6"/>
        <v>572</v>
      </c>
      <c r="T17">
        <f>SUM(L$17:S$17)</f>
        <v>802</v>
      </c>
    </row>
    <row r="18" spans="1:20" x14ac:dyDescent="0.2">
      <c r="A18">
        <v>17</v>
      </c>
      <c r="B18" s="22">
        <f ca="1">Data!AL17</f>
        <v>46039</v>
      </c>
      <c r="C18">
        <f ca="1">IFERROR(IF(OFFSET(_xlfn.XLOOKUP(B18,Kuponger!E:E,Kuponger!Q:Q),15,9)=0,"",OFFSET(_xlfn.XLOOKUP(B18,Kuponger!E:E,Kuponger!Q:Q),15,9)),"")</f>
        <v>180</v>
      </c>
      <c r="D18">
        <f ca="1">IFERROR(IF(OFFSET(_xlfn.XLOOKUP(B18,Kuponger!E:E,Kuponger!Q:Q),15,10)=0,"",OFFSET(_xlfn.XLOOKUP(B18,Kuponger!E:E,Kuponger!Q:Q),15,10)),"")</f>
        <v>50</v>
      </c>
      <c r="E18">
        <f ca="1">IFERROR(IF(OFFSET(_xlfn.XLOOKUP(B18,Kuponger!E:E,Kuponger!Q:Q),15,11)=0,"",OFFSET(_xlfn.XLOOKUP(B18,Kuponger!E:E,Kuponger!Q:Q),15,11)),"")</f>
        <v>30</v>
      </c>
      <c r="F18" t="str">
        <f ca="1">IFERROR(IF(OFFSET(_xlfn.XLOOKUP(B18,Kuponger!E:E,Kuponger!Q:Q),1,11)="","",OFFSET(_xlfn.XLOOKUP(B18,Kuponger!E:E,Kuponger!Q:Q),1,11))*-1,"")</f>
        <v/>
      </c>
      <c r="G18">
        <f t="shared" ca="1" si="0"/>
        <v>260</v>
      </c>
      <c r="H18">
        <f ca="1">IFERROR(IF(OFFSET(_xlfn.XLOOKUP(B18,Kuponger!E:E,Kuponger!Q:Q),1,10)="","",OFFSET(_xlfn.XLOOKUP(B18,Kuponger!E:E,Kuponger!Q:Q),1,10)),"")</f>
        <v>8</v>
      </c>
      <c r="I18" s="3">
        <f ca="1">IFERROR(t_rb[[#This Row],[tp]]-G17,"")</f>
        <v>-390</v>
      </c>
      <c r="K18" s="4"/>
    </row>
    <row r="19" spans="1:20" x14ac:dyDescent="0.2">
      <c r="A19">
        <v>18</v>
      </c>
      <c r="B19" s="22">
        <f ca="1">Data!AL18</f>
        <v>46046</v>
      </c>
      <c r="C19">
        <f ca="1">IFERROR(IF(OFFSET(_xlfn.XLOOKUP(B19,Kuponger!E:E,Kuponger!Q:Q),15,9)=0,"",OFFSET(_xlfn.XLOOKUP(B19,Kuponger!E:E,Kuponger!Q:Q),15,9)),"")</f>
        <v>410</v>
      </c>
      <c r="D19">
        <f ca="1">IFERROR(IF(OFFSET(_xlfn.XLOOKUP(B19,Kuponger!E:E,Kuponger!Q:Q),15,10)=0,"",OFFSET(_xlfn.XLOOKUP(B19,Kuponger!E:E,Kuponger!Q:Q),15,10)),"")</f>
        <v>110</v>
      </c>
      <c r="E19">
        <f ca="1">IFERROR(IF(OFFSET(_xlfn.XLOOKUP(B19,Kuponger!E:E,Kuponger!Q:Q),15,11)=0,"",OFFSET(_xlfn.XLOOKUP(B19,Kuponger!E:E,Kuponger!Q:Q),15,11)),"")</f>
        <v>20</v>
      </c>
      <c r="F19" t="str">
        <f ca="1">IFERROR(IF(OFFSET(_xlfn.XLOOKUP(B19,Kuponger!E:E,Kuponger!Q:Q),1,11)="","",OFFSET(_xlfn.XLOOKUP(B19,Kuponger!E:E,Kuponger!Q:Q),1,11))*-1,"")</f>
        <v/>
      </c>
      <c r="G19">
        <f t="shared" ca="1" si="0"/>
        <v>540</v>
      </c>
      <c r="H19">
        <f ca="1">IFERROR(IF(OFFSET(_xlfn.XLOOKUP(B19,Kuponger!E:E,Kuponger!Q:Q),1,10)="","",OFFSET(_xlfn.XLOOKUP(B19,Kuponger!E:E,Kuponger!Q:Q),1,10)),"")</f>
        <v>1</v>
      </c>
      <c r="I19" s="3">
        <f ca="1">IFERROR(t_rb[[#This Row],[tp]]-G18,"")</f>
        <v>280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IFERROR(IF(OFFSET(_xlfn.XLOOKUP(B20,Kuponger!E:E,Kuponger!Q:Q),15,9)=0,"",OFFSET(_xlfn.XLOOKUP(B20,Kuponger!E:E,Kuponger!Q:Q),15,9)),"")</f>
        <v>260</v>
      </c>
      <c r="D20">
        <f ca="1">IFERROR(IF(OFFSET(_xlfn.XLOOKUP(B20,Kuponger!E:E,Kuponger!Q:Q),15,10)=0,"",OFFSET(_xlfn.XLOOKUP(B20,Kuponger!E:E,Kuponger!Q:Q),15,10)),"")</f>
        <v>30</v>
      </c>
      <c r="E20">
        <f ca="1">IFERROR(IF(OFFSET(_xlfn.XLOOKUP(B20,Kuponger!E:E,Kuponger!Q:Q),15,11)=0,"",OFFSET(_xlfn.XLOOKUP(B20,Kuponger!E:E,Kuponger!Q:Q),15,11)),"")</f>
        <v>180</v>
      </c>
      <c r="F20" t="str">
        <f ca="1">IFERROR(IF(OFFSET(_xlfn.XLOOKUP(B20,Kuponger!E:E,Kuponger!Q:Q),1,11)="","",OFFSET(_xlfn.XLOOKUP(B20,Kuponger!E:E,Kuponger!Q:Q),1,11))*-1,"")</f>
        <v/>
      </c>
      <c r="G20">
        <f t="shared" ca="1" si="0"/>
        <v>470</v>
      </c>
      <c r="H20">
        <f ca="1">IFERROR(IF(OFFSET(_xlfn.XLOOKUP(B20,Kuponger!E:E,Kuponger!Q:Q),1,10)="","",OFFSET(_xlfn.XLOOKUP(B20,Kuponger!E:E,Kuponger!Q:Q),1,10)),"")</f>
        <v>7</v>
      </c>
      <c r="I20" s="3">
        <f ca="1">IFERROR(t_rb[[#This Row],[tp]]-G19,"")</f>
        <v>-70</v>
      </c>
      <c r="K20" s="801" t="str">
        <f>K8</f>
        <v>Hjemme</v>
      </c>
      <c r="L20">
        <f>L$8*L$19</f>
        <v>10960</v>
      </c>
      <c r="M20">
        <f t="shared" ref="M20:S20" si="8">M$8*M$19</f>
        <v>0</v>
      </c>
      <c r="N20">
        <f t="shared" si="8"/>
        <v>0</v>
      </c>
      <c r="O20">
        <f t="shared" si="8"/>
        <v>150</v>
      </c>
      <c r="P20">
        <f t="shared" si="8"/>
        <v>80</v>
      </c>
      <c r="Q20">
        <f t="shared" si="8"/>
        <v>0</v>
      </c>
      <c r="R20">
        <f t="shared" si="8"/>
        <v>0</v>
      </c>
      <c r="S20">
        <f t="shared" si="8"/>
        <v>340</v>
      </c>
      <c r="T20">
        <f>SUM(L$20:S$20)</f>
        <v>11530</v>
      </c>
    </row>
    <row r="21" spans="1:20" x14ac:dyDescent="0.2">
      <c r="A21">
        <v>20</v>
      </c>
      <c r="B21" s="22">
        <f ca="1">Data!AL20</f>
        <v>46060</v>
      </c>
      <c r="C21">
        <f ca="1">IFERROR(IF(OFFSET(_xlfn.XLOOKUP(B21,Kuponger!E:E,Kuponger!Q:Q),15,9)=0,"",OFFSET(_xlfn.XLOOKUP(B21,Kuponger!E:E,Kuponger!Q:Q),15,9)),"")</f>
        <v>240</v>
      </c>
      <c r="D21">
        <f ca="1">IFERROR(IF(OFFSET(_xlfn.XLOOKUP(B21,Kuponger!E:E,Kuponger!Q:Q),15,10)=0,"",OFFSET(_xlfn.XLOOKUP(B21,Kuponger!E:E,Kuponger!Q:Q),15,10)),"")</f>
        <v>30</v>
      </c>
      <c r="E21">
        <f ca="1">IFERROR(IF(OFFSET(_xlfn.XLOOKUP(B21,Kuponger!E:E,Kuponger!Q:Q),15,11)=0,"",OFFSET(_xlfn.XLOOKUP(B21,Kuponger!E:E,Kuponger!Q:Q),15,11)),"")</f>
        <v>200</v>
      </c>
      <c r="F21" t="str">
        <f ca="1">IFERROR(IF(OFFSET(_xlfn.XLOOKUP(B21,Kuponger!E:E,Kuponger!Q:Q),1,11)="","",OFFSET(_xlfn.XLOOKUP(B21,Kuponger!E:E,Kuponger!Q:Q),1,11))*-1,"")</f>
        <v/>
      </c>
      <c r="G21">
        <f t="shared" ca="1" si="0"/>
        <v>470</v>
      </c>
      <c r="H21">
        <f ca="1">IFERROR(IF(OFFSET(_xlfn.XLOOKUP(B21,Kuponger!E:E,Kuponger!Q:Q),1,10)="","",OFFSET(_xlfn.XLOOKUP(B21,Kuponger!E:E,Kuponger!Q:Q),1,10)),"")</f>
        <v>5</v>
      </c>
      <c r="I21" s="3">
        <f ca="1">IFERROR(t_rb[[#This Row],[tp]]-G20,"")</f>
        <v>0</v>
      </c>
      <c r="K21" s="801" t="str">
        <f>K9</f>
        <v>Uavgjort</v>
      </c>
      <c r="L21">
        <f>L$9*L$19</f>
        <v>320</v>
      </c>
      <c r="M21">
        <f t="shared" ref="M21:S21" si="9">M$9*M$19</f>
        <v>0</v>
      </c>
      <c r="N21">
        <f t="shared" si="9"/>
        <v>0</v>
      </c>
      <c r="O21">
        <f t="shared" si="9"/>
        <v>0</v>
      </c>
      <c r="P21">
        <f t="shared" si="9"/>
        <v>0</v>
      </c>
      <c r="Q21">
        <f t="shared" si="9"/>
        <v>0</v>
      </c>
      <c r="R21">
        <f t="shared" si="9"/>
        <v>0</v>
      </c>
      <c r="S21">
        <f t="shared" si="9"/>
        <v>850</v>
      </c>
      <c r="T21">
        <f>SUM(L$21:S$21)</f>
        <v>1170</v>
      </c>
    </row>
    <row r="22" spans="1:20" x14ac:dyDescent="0.2">
      <c r="A22">
        <v>21</v>
      </c>
      <c r="B22" s="22">
        <f ca="1">Data!AL21</f>
        <v>46067</v>
      </c>
      <c r="C22">
        <f ca="1">IFERROR(IF(OFFSET(_xlfn.XLOOKUP(B22,Kuponger!E:E,Kuponger!Q:Q),15,9)=0,"",OFFSET(_xlfn.XLOOKUP(B22,Kuponger!E:E,Kuponger!Q:Q),15,9)),"")</f>
        <v>400</v>
      </c>
      <c r="D22">
        <f ca="1">IFERROR(IF(OFFSET(_xlfn.XLOOKUP(B22,Kuponger!E:E,Kuponger!Q:Q),15,10)=0,"",OFFSET(_xlfn.XLOOKUP(B22,Kuponger!E:E,Kuponger!Q:Q),15,10)),"")</f>
        <v>40</v>
      </c>
      <c r="E22">
        <f ca="1">IFERROR(IF(OFFSET(_xlfn.XLOOKUP(B22,Kuponger!E:E,Kuponger!Q:Q),15,11)=0,"",OFFSET(_xlfn.XLOOKUP(B22,Kuponger!E:E,Kuponger!Q:Q),15,11)),"")</f>
        <v>30</v>
      </c>
      <c r="F22">
        <f ca="1">IFERROR(IF(OFFSET(_xlfn.XLOOKUP(B22,Kuponger!E:E,Kuponger!Q:Q),1,11)="","",OFFSET(_xlfn.XLOOKUP(B22,Kuponger!E:E,Kuponger!Q:Q),1,11))*-1,"")</f>
        <v>-50</v>
      </c>
      <c r="G22">
        <f t="shared" ca="1" si="0"/>
        <v>420</v>
      </c>
      <c r="H22">
        <f ca="1">IFERROR(IF(OFFSET(_xlfn.XLOOKUP(B22,Kuponger!E:E,Kuponger!Q:Q),1,10)="","",OFFSET(_xlfn.XLOOKUP(B22,Kuponger!E:E,Kuponger!Q:Q),1,10)),"")</f>
        <v>9</v>
      </c>
      <c r="I22" s="3">
        <f ca="1">IFERROR(t_rb[[#This Row],[tp]]-G21,"")</f>
        <v>-50</v>
      </c>
      <c r="K22" s="801" t="str">
        <f>K10</f>
        <v>Borte</v>
      </c>
      <c r="L22">
        <f>L$10*L$19</f>
        <v>3920</v>
      </c>
      <c r="M22">
        <f t="shared" ref="M22:S22" si="10">M$10*M$19</f>
        <v>0</v>
      </c>
      <c r="N22">
        <f t="shared" si="10"/>
        <v>0</v>
      </c>
      <c r="O22">
        <f t="shared" si="10"/>
        <v>50</v>
      </c>
      <c r="P22">
        <f t="shared" si="10"/>
        <v>80</v>
      </c>
      <c r="Q22">
        <f t="shared" si="10"/>
        <v>0</v>
      </c>
      <c r="R22">
        <f t="shared" si="10"/>
        <v>0</v>
      </c>
      <c r="S22">
        <f t="shared" si="10"/>
        <v>670</v>
      </c>
      <c r="T22">
        <f>SUM(L$22:S$22)</f>
        <v>4720</v>
      </c>
    </row>
    <row r="23" spans="1:20" x14ac:dyDescent="0.2">
      <c r="A23">
        <v>22</v>
      </c>
      <c r="B23" s="22">
        <f ca="1">Data!AL22</f>
        <v>46074</v>
      </c>
      <c r="C23">
        <f ca="1">IFERROR(IF(OFFSET(_xlfn.XLOOKUP(B23,Kuponger!E:E,Kuponger!Q:Q),15,9)=0,"",OFFSET(_xlfn.XLOOKUP(B23,Kuponger!E:E,Kuponger!Q:Q),15,9)),"")</f>
        <v>240</v>
      </c>
      <c r="D23">
        <f ca="1">IFERROR(IF(OFFSET(_xlfn.XLOOKUP(B23,Kuponger!E:E,Kuponger!Q:Q),15,10)=0,"",OFFSET(_xlfn.XLOOKUP(B23,Kuponger!E:E,Kuponger!Q:Q),15,10)),"")</f>
        <v>60</v>
      </c>
      <c r="E23">
        <f ca="1">IFERROR(IF(OFFSET(_xlfn.XLOOKUP(B23,Kuponger!E:E,Kuponger!Q:Q),15,11)=0,"",OFFSET(_xlfn.XLOOKUP(B23,Kuponger!E:E,Kuponger!Q:Q),15,11)),"")</f>
        <v>100</v>
      </c>
      <c r="F23" t="str">
        <f ca="1">IFERROR(IF(OFFSET(_xlfn.XLOOKUP(B23,Kuponger!E:E,Kuponger!Q:Q),1,11)="","",OFFSET(_xlfn.XLOOKUP(B23,Kuponger!E:E,Kuponger!Q:Q),1,11))*-1,"")</f>
        <v/>
      </c>
      <c r="G23">
        <f t="shared" ca="1" si="0"/>
        <v>400</v>
      </c>
      <c r="H23">
        <f ca="1">IFERROR(IF(OFFSET(_xlfn.XLOOKUP(B23,Kuponger!E:E,Kuponger!Q:Q),1,10)="","",OFFSET(_xlfn.XLOOKUP(B23,Kuponger!E:E,Kuponger!Q:Q),1,10)),"")</f>
        <v>1</v>
      </c>
      <c r="I23" s="3">
        <f ca="1">IFERROR(t_rb[[#This Row],[tp]]-G22,"")</f>
        <v>-20</v>
      </c>
      <c r="K23" s="801" t="str">
        <f>K19</f>
        <v>Treff poeng</v>
      </c>
      <c r="L23">
        <f>SUM(L20:L22)</f>
        <v>15200</v>
      </c>
      <c r="M23">
        <f t="shared" ref="M23:S23" si="11">SUM(M20:M22)</f>
        <v>0</v>
      </c>
      <c r="N23">
        <f t="shared" si="11"/>
        <v>0</v>
      </c>
      <c r="O23">
        <f t="shared" si="11"/>
        <v>200</v>
      </c>
      <c r="P23">
        <f t="shared" si="11"/>
        <v>160</v>
      </c>
      <c r="Q23">
        <f t="shared" si="11"/>
        <v>0</v>
      </c>
      <c r="R23">
        <f t="shared" si="11"/>
        <v>0</v>
      </c>
      <c r="S23">
        <f t="shared" si="11"/>
        <v>1860</v>
      </c>
      <c r="T23">
        <f>SUM(L$23:S$23)</f>
        <v>17420</v>
      </c>
    </row>
    <row r="24" spans="1:20" x14ac:dyDescent="0.2">
      <c r="A24">
        <v>23</v>
      </c>
      <c r="B24" s="22">
        <f ca="1">Data!AL23</f>
        <v>46081</v>
      </c>
      <c r="C24">
        <f ca="1">IFERROR(IF(OFFSET(_xlfn.XLOOKUP(B24,Kuponger!E:E,Kuponger!Q:Q),15,9)=0,"",OFFSET(_xlfn.XLOOKUP(B24,Kuponger!E:E,Kuponger!Q:Q),15,9)),"")</f>
        <v>330</v>
      </c>
      <c r="D24" t="str">
        <f ca="1">IFERROR(IF(OFFSET(_xlfn.XLOOKUP(B24,Kuponger!E:E,Kuponger!Q:Q),15,10)=0,"",OFFSET(_xlfn.XLOOKUP(B24,Kuponger!E:E,Kuponger!Q:Q),15,10)),"")</f>
        <v/>
      </c>
      <c r="E24">
        <f ca="1">IFERROR(IF(OFFSET(_xlfn.XLOOKUP(B24,Kuponger!E:E,Kuponger!Q:Q),15,11)=0,"",OFFSET(_xlfn.XLOOKUP(B24,Kuponger!E:E,Kuponger!Q:Q),15,11)),"")</f>
        <v>280</v>
      </c>
      <c r="F24" t="str">
        <f ca="1">IFERROR(IF(OFFSET(_xlfn.XLOOKUP(B24,Kuponger!E:E,Kuponger!Q:Q),1,11)="","",OFFSET(_xlfn.XLOOKUP(B24,Kuponger!E:E,Kuponger!Q:Q),1,11))*-1,"")</f>
        <v/>
      </c>
      <c r="G24">
        <f t="shared" ca="1" si="0"/>
        <v>610</v>
      </c>
      <c r="H24">
        <f ca="1">IFERROR(IF(OFFSET(_xlfn.XLOOKUP(B24,Kuponger!E:E,Kuponger!Q:Q),1,10)="","",OFFSET(_xlfn.XLOOKUP(B24,Kuponger!E:E,Kuponger!Q:Q),1,10)),"")</f>
        <v>4</v>
      </c>
      <c r="I24" s="3">
        <f ca="1">IFERROR(t_rb[[#This Row],[tp]]-G23,"")</f>
        <v>210</v>
      </c>
      <c r="K24" s="4"/>
    </row>
    <row r="25" spans="1:20" x14ac:dyDescent="0.2">
      <c r="A25">
        <v>24</v>
      </c>
      <c r="B25" s="22">
        <f ca="1">Data!AL24</f>
        <v>46088</v>
      </c>
      <c r="C25">
        <f ca="1">IFERROR(IF(OFFSET(_xlfn.XLOOKUP(B25,Kuponger!E:E,Kuponger!Q:Q),15,9)=0,"",OFFSET(_xlfn.XLOOKUP(B25,Kuponger!E:E,Kuponger!Q:Q),15,9)),"")</f>
        <v>250</v>
      </c>
      <c r="D25">
        <f ca="1">IFERROR(IF(OFFSET(_xlfn.XLOOKUP(B25,Kuponger!E:E,Kuponger!Q:Q),15,10)=0,"",OFFSET(_xlfn.XLOOKUP(B25,Kuponger!E:E,Kuponger!Q:Q),15,10)),"")</f>
        <v>30</v>
      </c>
      <c r="E25">
        <f ca="1">IFERROR(IF(OFFSET(_xlfn.XLOOKUP(B25,Kuponger!E:E,Kuponger!Q:Q),15,11)=0,"",OFFSET(_xlfn.XLOOKUP(B25,Kuponger!E:E,Kuponger!Q:Q),15,11)),"")</f>
        <v>330</v>
      </c>
      <c r="F25" t="str">
        <f ca="1">IFERROR(IF(OFFSET(_xlfn.XLOOKUP(B25,Kuponger!E:E,Kuponger!Q:Q),1,11)="","",OFFSET(_xlfn.XLOOKUP(B25,Kuponger!E:E,Kuponger!Q:Q),1,11))*-1,"")</f>
        <v/>
      </c>
      <c r="G25">
        <f t="shared" ca="1" si="0"/>
        <v>610</v>
      </c>
      <c r="H25">
        <f ca="1">IFERROR(IF(OFFSET(_xlfn.XLOOKUP(B25,Kuponger!E:E,Kuponger!Q:Q),1,10)="","",OFFSET(_xlfn.XLOOKUP(B25,Kuponger!E:E,Kuponger!Q:Q),1,10)),"")</f>
        <v>1</v>
      </c>
      <c r="I25" s="3">
        <f ca="1">IFERROR(t_rb[[#This Row],[tp]]-G24,"")</f>
        <v>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IFERROR(IF(OFFSET(_xlfn.XLOOKUP(B26,Kuponger!E:E,Kuponger!Q:Q),15,9)=0,"",OFFSET(_xlfn.XLOOKUP(B26,Kuponger!E:E,Kuponger!Q:Q),15,9)),"")</f>
        <v>330</v>
      </c>
      <c r="D26">
        <f ca="1">IFERROR(IF(OFFSET(_xlfn.XLOOKUP(B26,Kuponger!E:E,Kuponger!Q:Q),15,10)=0,"",OFFSET(_xlfn.XLOOKUP(B26,Kuponger!E:E,Kuponger!Q:Q),15,10)),"")</f>
        <v>30</v>
      </c>
      <c r="E26">
        <f ca="1">IFERROR(IF(OFFSET(_xlfn.XLOOKUP(B26,Kuponger!E:E,Kuponger!Q:Q),15,11)=0,"",OFFSET(_xlfn.XLOOKUP(B26,Kuponger!E:E,Kuponger!Q:Q),15,11)),"")</f>
        <v>110</v>
      </c>
      <c r="F26" t="str">
        <f ca="1">IFERROR(IF(OFFSET(_xlfn.XLOOKUP(B26,Kuponger!E:E,Kuponger!Q:Q),1,11)="","",OFFSET(_xlfn.XLOOKUP(B26,Kuponger!E:E,Kuponger!Q:Q),1,11))*-1,"")</f>
        <v/>
      </c>
      <c r="G26">
        <f t="shared" ca="1" si="0"/>
        <v>470</v>
      </c>
      <c r="H26">
        <f ca="1">IFERROR(IF(OFFSET(_xlfn.XLOOKUP(B26,Kuponger!E:E,Kuponger!Q:Q),1,10)="","",OFFSET(_xlfn.XLOOKUP(B26,Kuponger!E:E,Kuponger!Q:Q),1,10)),"")</f>
        <v>2</v>
      </c>
      <c r="I26" s="3">
        <f ca="1">IFERROR(t_rb[[#This Row],[tp]]-G25,"")</f>
        <v>-140</v>
      </c>
      <c r="K26" s="801" t="str">
        <f>K8</f>
        <v>Hjemme</v>
      </c>
      <c r="L26">
        <f>L$14*L$25</f>
        <v>9280</v>
      </c>
      <c r="M26">
        <f t="shared" ref="M26:S26" si="13">M$14*M$25</f>
        <v>0</v>
      </c>
      <c r="N26">
        <f t="shared" si="13"/>
        <v>0</v>
      </c>
      <c r="O26">
        <f t="shared" si="13"/>
        <v>100</v>
      </c>
      <c r="P26">
        <f t="shared" si="13"/>
        <v>200</v>
      </c>
      <c r="Q26">
        <f t="shared" si="13"/>
        <v>0</v>
      </c>
      <c r="R26">
        <f t="shared" si="13"/>
        <v>0</v>
      </c>
      <c r="S26">
        <f t="shared" si="13"/>
        <v>850</v>
      </c>
      <c r="T26">
        <f>SUM(L$26:S$26)</f>
        <v>10430</v>
      </c>
    </row>
    <row r="27" spans="1:20" x14ac:dyDescent="0.2">
      <c r="A27">
        <v>26</v>
      </c>
      <c r="B27" s="22">
        <f ca="1">Data!AL26</f>
        <v>46102</v>
      </c>
      <c r="C27">
        <f ca="1">IFERROR(IF(OFFSET(_xlfn.XLOOKUP(B27,Kuponger!E:E,Kuponger!Q:Q),15,9)=0,"",OFFSET(_xlfn.XLOOKUP(B27,Kuponger!E:E,Kuponger!Q:Q),15,9)),"")</f>
        <v>330</v>
      </c>
      <c r="D27">
        <f ca="1">IFERROR(IF(OFFSET(_xlfn.XLOOKUP(B27,Kuponger!E:E,Kuponger!Q:Q),15,10)=0,"",OFFSET(_xlfn.XLOOKUP(B27,Kuponger!E:E,Kuponger!Q:Q),15,10)),"")</f>
        <v>30</v>
      </c>
      <c r="E27">
        <f ca="1">IFERROR(IF(OFFSET(_xlfn.XLOOKUP(B27,Kuponger!E:E,Kuponger!Q:Q),15,11)=0,"",OFFSET(_xlfn.XLOOKUP(B27,Kuponger!E:E,Kuponger!Q:Q),15,11)),"")</f>
        <v>110</v>
      </c>
      <c r="F27" t="str">
        <f ca="1">IFERROR(IF(OFFSET(_xlfn.XLOOKUP(B27,Kuponger!E:E,Kuponger!Q:Q),1,11)="","",OFFSET(_xlfn.XLOOKUP(B27,Kuponger!E:E,Kuponger!Q:Q),1,11))*-1,"")</f>
        <v/>
      </c>
      <c r="G27">
        <f t="shared" ca="1" si="0"/>
        <v>470</v>
      </c>
      <c r="H27">
        <f ca="1">IFERROR(IF(OFFSET(_xlfn.XLOOKUP(B27,Kuponger!E:E,Kuponger!Q:Q),1,10)="","",OFFSET(_xlfn.XLOOKUP(B27,Kuponger!E:E,Kuponger!Q:Q),1,10)),"")</f>
        <v>5</v>
      </c>
      <c r="I27" s="3">
        <f ca="1">IFERROR(t_rb[[#This Row],[tp]]-G26,"")</f>
        <v>0</v>
      </c>
      <c r="K27" s="801" t="str">
        <f>K9</f>
        <v>Uavgjort</v>
      </c>
      <c r="L27">
        <f>L$25*L$15</f>
        <v>1040</v>
      </c>
      <c r="M27">
        <f t="shared" ref="M27:S27" si="14">M$25*M$15</f>
        <v>0</v>
      </c>
      <c r="N27">
        <f t="shared" si="14"/>
        <v>60</v>
      </c>
      <c r="O27">
        <f t="shared" si="14"/>
        <v>350</v>
      </c>
      <c r="P27">
        <f t="shared" si="14"/>
        <v>80</v>
      </c>
      <c r="Q27">
        <f t="shared" si="14"/>
        <v>390</v>
      </c>
      <c r="R27">
        <f t="shared" si="14"/>
        <v>140</v>
      </c>
      <c r="S27">
        <f t="shared" si="14"/>
        <v>2790</v>
      </c>
      <c r="T27">
        <f>SUM(L$27:S$27)</f>
        <v>4850</v>
      </c>
    </row>
    <row r="28" spans="1:20" x14ac:dyDescent="0.2">
      <c r="A28">
        <v>27</v>
      </c>
      <c r="B28" s="22">
        <f ca="1">Data!AL27</f>
        <v>46109</v>
      </c>
      <c r="C28">
        <f ca="1">IFERROR(IF(OFFSET(_xlfn.XLOOKUP(B28,Kuponger!E:E,Kuponger!Q:Q),15,9)=0,"",OFFSET(_xlfn.XLOOKUP(B28,Kuponger!E:E,Kuponger!Q:Q),15,9)),"")</f>
        <v>480</v>
      </c>
      <c r="D28">
        <f ca="1">IFERROR(IF(OFFSET(_xlfn.XLOOKUP(B28,Kuponger!E:E,Kuponger!Q:Q),15,10)=0,"",OFFSET(_xlfn.XLOOKUP(B28,Kuponger!E:E,Kuponger!Q:Q),15,10)),"")</f>
        <v>30</v>
      </c>
      <c r="E28" t="str">
        <f ca="1">IFERROR(IF(OFFSET(_xlfn.XLOOKUP(B28,Kuponger!E:E,Kuponger!Q:Q),15,11)=0,"",OFFSET(_xlfn.XLOOKUP(B28,Kuponger!E:E,Kuponger!Q:Q),15,11)),"")</f>
        <v/>
      </c>
      <c r="F28" t="str">
        <f ca="1">IFERROR(IF(OFFSET(_xlfn.XLOOKUP(B28,Kuponger!E:E,Kuponger!Q:Q),1,11)="","",OFFSET(_xlfn.XLOOKUP(B28,Kuponger!E:E,Kuponger!Q:Q),1,11))*-1,"")</f>
        <v/>
      </c>
      <c r="G28">
        <f t="shared" ca="1" si="0"/>
        <v>510</v>
      </c>
      <c r="H28">
        <f ca="1">IFERROR(IF(OFFSET(_xlfn.XLOOKUP(B28,Kuponger!E:E,Kuponger!Q:Q),1,10)="","",OFFSET(_xlfn.XLOOKUP(B28,Kuponger!E:E,Kuponger!Q:Q),1,10)),"")</f>
        <v>2</v>
      </c>
      <c r="I28" s="3">
        <f ca="1">IFERROR(t_rb[[#This Row],[tp]]-G27,"")</f>
        <v>40</v>
      </c>
      <c r="K28" s="801" t="str">
        <f>K10</f>
        <v>Borte</v>
      </c>
      <c r="L28">
        <f>L$25*L$16</f>
        <v>4080</v>
      </c>
      <c r="M28">
        <f t="shared" ref="M28:S28" si="15">M$25*M$16</f>
        <v>0</v>
      </c>
      <c r="N28">
        <f t="shared" si="15"/>
        <v>0</v>
      </c>
      <c r="O28">
        <f t="shared" si="15"/>
        <v>200</v>
      </c>
      <c r="P28">
        <f t="shared" si="15"/>
        <v>200</v>
      </c>
      <c r="Q28">
        <f t="shared" si="15"/>
        <v>60</v>
      </c>
      <c r="R28">
        <f t="shared" si="15"/>
        <v>40</v>
      </c>
      <c r="S28">
        <f t="shared" si="15"/>
        <v>2080</v>
      </c>
      <c r="T28">
        <f>SUM(L$28:S$28)</f>
        <v>6660</v>
      </c>
    </row>
    <row r="29" spans="1:20" x14ac:dyDescent="0.2">
      <c r="A29">
        <v>28</v>
      </c>
      <c r="B29" s="22">
        <f ca="1">Data!AL28</f>
        <v>46123</v>
      </c>
      <c r="C29">
        <f ca="1">IFERROR(IF(OFFSET(_xlfn.XLOOKUP(B29,Kuponger!E:E,Kuponger!Q:Q),15,9)=0,"",OFFSET(_xlfn.XLOOKUP(B29,Kuponger!E:E,Kuponger!Q:Q),15,9)),"")</f>
        <v>450</v>
      </c>
      <c r="D29">
        <f ca="1">IFERROR(IF(OFFSET(_xlfn.XLOOKUP(B29,Kuponger!E:E,Kuponger!Q:Q),15,10)=0,"",OFFSET(_xlfn.XLOOKUP(B29,Kuponger!E:E,Kuponger!Q:Q),15,10)),"")</f>
        <v>20</v>
      </c>
      <c r="E29">
        <f ca="1">IFERROR(IF(OFFSET(_xlfn.XLOOKUP(B29,Kuponger!E:E,Kuponger!Q:Q),15,11)=0,"",OFFSET(_xlfn.XLOOKUP(B29,Kuponger!E:E,Kuponger!Q:Q),15,11)),"")</f>
        <v>110</v>
      </c>
      <c r="F29" t="str">
        <f ca="1">IFERROR(IF(OFFSET(_xlfn.XLOOKUP(B29,Kuponger!E:E,Kuponger!Q:Q),1,11)="","",OFFSET(_xlfn.XLOOKUP(B29,Kuponger!E:E,Kuponger!Q:Q),1,11))*-1,"")</f>
        <v/>
      </c>
      <c r="G29">
        <f t="shared" ca="1" si="0"/>
        <v>580</v>
      </c>
      <c r="H29">
        <f ca="1">IFERROR(IF(OFFSET(_xlfn.XLOOKUP(B29,Kuponger!E:E,Kuponger!Q:Q),1,10)="","",OFFSET(_xlfn.XLOOKUP(B29,Kuponger!E:E,Kuponger!Q:Q),1,10)),"")</f>
        <v>1</v>
      </c>
      <c r="I29" s="3">
        <f ca="1">IFERROR(t_rb[[#This Row],[tp]]-G28,"")</f>
        <v>70</v>
      </c>
      <c r="K29" s="801" t="str">
        <f>K25</f>
        <v>Misset poeng</v>
      </c>
      <c r="L29">
        <f>SUM(L26:L28)</f>
        <v>14400</v>
      </c>
      <c r="M29">
        <f t="shared" ref="M29:S29" si="16">SUM(M26:M28)</f>
        <v>0</v>
      </c>
      <c r="N29">
        <f t="shared" si="16"/>
        <v>60</v>
      </c>
      <c r="O29">
        <f t="shared" si="16"/>
        <v>650</v>
      </c>
      <c r="P29">
        <f t="shared" si="16"/>
        <v>480</v>
      </c>
      <c r="Q29">
        <f t="shared" si="16"/>
        <v>450</v>
      </c>
      <c r="R29">
        <f t="shared" si="16"/>
        <v>180</v>
      </c>
      <c r="S29">
        <f t="shared" si="16"/>
        <v>5720</v>
      </c>
      <c r="T29">
        <f>SUM(L$29:S$29)</f>
        <v>21940</v>
      </c>
    </row>
    <row r="30" spans="1:20" x14ac:dyDescent="0.2">
      <c r="A30">
        <v>29</v>
      </c>
      <c r="B30" s="22">
        <f ca="1">Data!AL29</f>
        <v>46130</v>
      </c>
      <c r="C30">
        <f ca="1">IFERROR(IF(OFFSET(_xlfn.XLOOKUP(B30,Kuponger!E:E,Kuponger!Q:Q),15,9)=0,"",OFFSET(_xlfn.XLOOKUP(B30,Kuponger!E:E,Kuponger!Q:Q),15,9)),"")</f>
        <v>240</v>
      </c>
      <c r="D30">
        <f ca="1">IFERROR(IF(OFFSET(_xlfn.XLOOKUP(B30,Kuponger!E:E,Kuponger!Q:Q),15,10)=0,"",OFFSET(_xlfn.XLOOKUP(B30,Kuponger!E:E,Kuponger!Q:Q),15,10)),"")</f>
        <v>30</v>
      </c>
      <c r="E30">
        <f ca="1">IFERROR(IF(OFFSET(_xlfn.XLOOKUP(B30,Kuponger!E:E,Kuponger!Q:Q),15,11)=0,"",OFFSET(_xlfn.XLOOKUP(B30,Kuponger!E:E,Kuponger!Q:Q),15,11)),"")</f>
        <v>130</v>
      </c>
      <c r="F30" t="str">
        <f ca="1">IFERROR(IF(OFFSET(_xlfn.XLOOKUP(B30,Kuponger!E:E,Kuponger!Q:Q),1,11)="","",OFFSET(_xlfn.XLOOKUP(B30,Kuponger!E:E,Kuponger!Q:Q),1,11))*-1,"")</f>
        <v/>
      </c>
      <c r="G30">
        <f t="shared" ca="1" si="0"/>
        <v>400</v>
      </c>
      <c r="H30">
        <f ca="1">IFERROR(IF(OFFSET(_xlfn.XLOOKUP(B30,Kuponger!E:E,Kuponger!Q:Q),1,10)="","",OFFSET(_xlfn.XLOOKUP(B30,Kuponger!E:E,Kuponger!Q:Q),1,10)),"")</f>
        <v>7</v>
      </c>
      <c r="I30" s="3">
        <f ca="1">IFERROR(t_rb[[#This Row],[tp]]-G29,"")</f>
        <v>-180</v>
      </c>
    </row>
    <row r="31" spans="1:20" x14ac:dyDescent="0.2">
      <c r="A31">
        <v>30</v>
      </c>
      <c r="B31" s="22">
        <f ca="1">Data!AL30</f>
        <v>46137</v>
      </c>
      <c r="C31">
        <f ca="1">IFERROR(IF(OFFSET(_xlfn.XLOOKUP(B31,Kuponger!E:E,Kuponger!Q:Q),15,9)=0,"",OFFSET(_xlfn.XLOOKUP(B31,Kuponger!E:E,Kuponger!Q:Q),15,9)),"")</f>
        <v>360</v>
      </c>
      <c r="D31">
        <f ca="1">IFERROR(IF(OFFSET(_xlfn.XLOOKUP(B31,Kuponger!E:E,Kuponger!Q:Q),15,10)=0,"",OFFSET(_xlfn.XLOOKUP(B31,Kuponger!E:E,Kuponger!Q:Q),15,10)),"")</f>
        <v>20</v>
      </c>
      <c r="E31">
        <f ca="1">IFERROR(IF(OFFSET(_xlfn.XLOOKUP(B31,Kuponger!E:E,Kuponger!Q:Q),15,11)=0,"",OFFSET(_xlfn.XLOOKUP(B31,Kuponger!E:E,Kuponger!Q:Q),15,11)),"")</f>
        <v>190</v>
      </c>
      <c r="F31" t="str">
        <f ca="1">IFERROR(IF(OFFSET(_xlfn.XLOOKUP(B31,Kuponger!E:E,Kuponger!Q:Q),1,11)="","",OFFSET(_xlfn.XLOOKUP(B31,Kuponger!E:E,Kuponger!Q:Q),1,11))*-1,"")</f>
        <v/>
      </c>
      <c r="G31">
        <f t="shared" ca="1" si="0"/>
        <v>570</v>
      </c>
      <c r="H31">
        <f ca="1">IFERROR(IF(OFFSET(_xlfn.XLOOKUP(B31,Kuponger!E:E,Kuponger!Q:Q),1,10)="","",OFFSET(_xlfn.XLOOKUP(B31,Kuponger!E:E,Kuponger!Q:Q),1,10)),"")</f>
        <v>6</v>
      </c>
      <c r="I31" s="3">
        <f ca="1">IFERROR(t_rb[[#This Row],[tp]]-G30,"")</f>
        <v>170</v>
      </c>
      <c r="K31" t="s">
        <v>856</v>
      </c>
    </row>
    <row r="32" spans="1:20" x14ac:dyDescent="0.2">
      <c r="A32">
        <v>31</v>
      </c>
      <c r="B32" s="22">
        <f ca="1">Data!AL31</f>
        <v>46144</v>
      </c>
      <c r="C32">
        <f ca="1">IFERROR(IF(OFFSET(_xlfn.XLOOKUP(B32,Kuponger!E:E,Kuponger!Q:Q),15,9)=0,"",OFFSET(_xlfn.XLOOKUP(B32,Kuponger!E:E,Kuponger!Q:Q),15,9)),"")</f>
        <v>330</v>
      </c>
      <c r="D32">
        <f ca="1">IFERROR(IF(OFFSET(_xlfn.XLOOKUP(B32,Kuponger!E:E,Kuponger!Q:Q),15,10)=0,"",OFFSET(_xlfn.XLOOKUP(B32,Kuponger!E:E,Kuponger!Q:Q),15,10)),"")</f>
        <v>20</v>
      </c>
      <c r="E32">
        <f ca="1">IFERROR(IF(OFFSET(_xlfn.XLOOKUP(B32,Kuponger!E:E,Kuponger!Q:Q),15,11)=0,"",OFFSET(_xlfn.XLOOKUP(B32,Kuponger!E:E,Kuponger!Q:Q),15,11)),"")</f>
        <v>260</v>
      </c>
      <c r="F32" t="str">
        <f ca="1">IFERROR(IF(OFFSET(_xlfn.XLOOKUP(B32,Kuponger!E:E,Kuponger!Q:Q),1,11)="","",OFFSET(_xlfn.XLOOKUP(B32,Kuponger!E:E,Kuponger!Q:Q),1,11))*-1,"")</f>
        <v/>
      </c>
      <c r="G32">
        <f t="shared" ca="1" si="0"/>
        <v>610</v>
      </c>
      <c r="H32">
        <f ca="1">IFERROR(IF(OFFSET(_xlfn.XLOOKUP(B32,Kuponger!E:E,Kuponger!Q:Q),1,10)="","",OFFSET(_xlfn.XLOOKUP(B32,Kuponger!E:E,Kuponger!Q:Q),1,10)),"")</f>
        <v>1</v>
      </c>
      <c r="I32" s="3">
        <f ca="1">IFERROR(t_rb[[#This Row],[tp]]-G31,"")</f>
        <v>40</v>
      </c>
      <c r="K32">
        <f>SUM(Kuponger!AG:AG)</f>
        <v>194</v>
      </c>
    </row>
    <row r="33" spans="1:14" x14ac:dyDescent="0.2">
      <c r="A33">
        <v>32</v>
      </c>
      <c r="B33" s="22">
        <f ca="1">Data!AL32</f>
        <v>46151</v>
      </c>
      <c r="C33">
        <f ca="1">IFERROR(IF(OFFSET(_xlfn.XLOOKUP(B33,Kuponger!E:E,Kuponger!Q:Q),15,9)=0,"",OFFSET(_xlfn.XLOOKUP(B33,Kuponger!E:E,Kuponger!Q:Q),15,9)),"")</f>
        <v>240</v>
      </c>
      <c r="D33">
        <f ca="1">IFERROR(IF(OFFSET(_xlfn.XLOOKUP(B33,Kuponger!E:E,Kuponger!Q:Q),15,10)=0,"",OFFSET(_xlfn.XLOOKUP(B33,Kuponger!E:E,Kuponger!Q:Q),15,10)),"")</f>
        <v>30</v>
      </c>
      <c r="E33">
        <f ca="1">IFERROR(IF(OFFSET(_xlfn.XLOOKUP(B33,Kuponger!E:E,Kuponger!Q:Q),15,11)=0,"",OFFSET(_xlfn.XLOOKUP(B33,Kuponger!E:E,Kuponger!Q:Q),15,11)),"")</f>
        <v>330</v>
      </c>
      <c r="F33" t="str">
        <f ca="1">IFERROR(IF(OFFSET(_xlfn.XLOOKUP(B33,Kuponger!E:E,Kuponger!Q:Q),1,11)="","",OFFSET(_xlfn.XLOOKUP(B33,Kuponger!E:E,Kuponger!Q:Q),1,11))*-1,"")</f>
        <v/>
      </c>
      <c r="G33">
        <f t="shared" ca="1" si="0"/>
        <v>600</v>
      </c>
      <c r="H33">
        <f ca="1">IFERROR(IF(OFFSET(_xlfn.XLOOKUP(B33,Kuponger!E:E,Kuponger!Q:Q),1,10)="","",OFFSET(_xlfn.XLOOKUP(B33,Kuponger!E:E,Kuponger!Q:Q),1,10)),"")</f>
        <v>2</v>
      </c>
      <c r="I33" s="3">
        <f ca="1">IFERROR(t_rb[[#This Row],[tp]]-G32,"")</f>
        <v>-10</v>
      </c>
    </row>
    <row r="34" spans="1:14" x14ac:dyDescent="0.2">
      <c r="A34">
        <v>33</v>
      </c>
      <c r="B34" s="22" t="str">
        <f ca="1">Data!AL33</f>
        <v/>
      </c>
      <c r="C34" t="str">
        <f ca="1">IFERROR(IF(OFFSET(_xlfn.XLOOKUP(B34,Kuponger!E:E,Kuponger!Q:Q),15,9)=0,"",OFFSET(_xlfn.XLOOKUP(B34,Kuponger!E:E,Kuponger!Q:Q),15,9)),"")</f>
        <v/>
      </c>
      <c r="D34" t="str">
        <f ca="1">IFERROR(IF(OFFSET(_xlfn.XLOOKUP(B34,Kuponger!E:E,Kuponger!Q:Q),15,10)=0,"",OFFSET(_xlfn.XLOOKUP(B34,Kuponger!E:E,Kuponger!Q:Q),15,10)),"")</f>
        <v/>
      </c>
      <c r="E34" t="str">
        <f ca="1">IFERROR(IF(OFFSET(_xlfn.XLOOKUP(B34,Kuponger!E:E,Kuponger!Q:Q),15,11)=0,"",OFFSET(_xlfn.XLOOKUP(B34,Kuponger!E:E,Kuponger!Q:Q),15,11)),"")</f>
        <v/>
      </c>
      <c r="F34" t="str">
        <f ca="1">IFERROR(IF(OFFSET(_xlfn.XLOOKUP(B34,Kuponger!E:E,Kuponger!Q:Q),1,11)="","",OFFSET(_xlfn.XLOOKUP(B34,Kuponger!E:E,Kuponger!Q:Q),1,11))*-1,"")</f>
        <v/>
      </c>
      <c r="G34" t="str">
        <f t="shared" ca="1" si="0"/>
        <v/>
      </c>
      <c r="H34" t="str">
        <f ca="1">IFERROR(IF(OFFSET(_xlfn.XLOOKUP(B34,Kuponger!E:E,Kuponger!Q:Q),1,10)="","",OFFSET(_xlfn.XLOOKUP(B34,Kuponger!E:E,Kuponger!Q:Q),1,10)),"")</f>
        <v/>
      </c>
      <c r="I34" s="3" t="str">
        <f ca="1">IFERROR(t_rb[[#This Row],[tp]]-G33,"")</f>
        <v/>
      </c>
    </row>
    <row r="35" spans="1:14" x14ac:dyDescent="0.2">
      <c r="A35">
        <v>34</v>
      </c>
      <c r="B35" s="22" t="str">
        <f ca="1">Data!AL34</f>
        <v/>
      </c>
      <c r="C35" t="str">
        <f ca="1">IFERROR(IF(OFFSET(_xlfn.XLOOKUP(B35,Kuponger!E:E,Kuponger!Q:Q),15,9)=0,"",OFFSET(_xlfn.XLOOKUP(B35,Kuponger!E:E,Kuponger!Q:Q),15,9)),"")</f>
        <v/>
      </c>
      <c r="D35" t="str">
        <f ca="1">IFERROR(IF(OFFSET(_xlfn.XLOOKUP(B35,Kuponger!E:E,Kuponger!Q:Q),15,10)=0,"",OFFSET(_xlfn.XLOOKUP(B35,Kuponger!E:E,Kuponger!Q:Q),15,10)),"")</f>
        <v/>
      </c>
      <c r="E35" t="str">
        <f ca="1">IFERROR(IF(OFFSET(_xlfn.XLOOKUP(B35,Kuponger!E:E,Kuponger!Q:Q),15,11)=0,"",OFFSET(_xlfn.XLOOKUP(B35,Kuponger!E:E,Kuponger!Q:Q),15,11)),"")</f>
        <v/>
      </c>
      <c r="F35" t="str">
        <f ca="1">IFERROR(IF(OFFSET(_xlfn.XLOOKUP(B35,Kuponger!E:E,Kuponger!Q:Q),1,11)="","",OFFSET(_xlfn.XLOOKUP(B35,Kuponger!E:E,Kuponger!Q:Q),1,11))*-1,"")</f>
        <v/>
      </c>
      <c r="G35" t="str">
        <f t="shared" ca="1" si="0"/>
        <v/>
      </c>
      <c r="H35" t="str">
        <f ca="1">IFERROR(IF(OFFSET(_xlfn.XLOOKUP(B35,Kuponger!E:E,Kuponger!Q:Q),1,10)="","",OFFSET(_xlfn.XLOOKUP(B35,Kuponger!E:E,Kuponger!Q:Q),1,10)),"")</f>
        <v/>
      </c>
      <c r="I35" s="3" t="str">
        <f ca="1">IFERROR(t_rb[[#This Row],[tp]]-G34,"")</f>
        <v/>
      </c>
      <c r="K35" s="2" t="s">
        <v>20</v>
      </c>
    </row>
    <row r="36" spans="1:14" x14ac:dyDescent="0.2">
      <c r="A36">
        <v>35</v>
      </c>
      <c r="B36" s="22" t="str">
        <f ca="1">Data!AL35</f>
        <v/>
      </c>
      <c r="C36" t="str">
        <f ca="1">IFERROR(IF(OFFSET(_xlfn.XLOOKUP(B36,Kuponger!E:E,Kuponger!Q:Q),15,9)=0,"",OFFSET(_xlfn.XLOOKUP(B36,Kuponger!E:E,Kuponger!Q:Q),15,9)),"")</f>
        <v/>
      </c>
      <c r="D36" t="str">
        <f ca="1">IFERROR(IF(OFFSET(_xlfn.XLOOKUP(B36,Kuponger!E:E,Kuponger!Q:Q),15,10)=0,"",OFFSET(_xlfn.XLOOKUP(B36,Kuponger!E:E,Kuponger!Q:Q),15,10)),"")</f>
        <v/>
      </c>
      <c r="E36" t="str">
        <f ca="1">IFERROR(IF(OFFSET(_xlfn.XLOOKUP(B36,Kuponger!E:E,Kuponger!Q:Q),15,11)=0,"",OFFSET(_xlfn.XLOOKUP(B36,Kuponger!E:E,Kuponger!Q:Q),15,11)),"")</f>
        <v/>
      </c>
      <c r="F36" t="str">
        <f ca="1">IFERROR(IF(OFFSET(_xlfn.XLOOKUP(B36,Kuponger!E:E,Kuponger!Q:Q),1,11)="","",OFFSET(_xlfn.XLOOKUP(B36,Kuponger!E:E,Kuponger!Q:Q),1,11))*-1,"")</f>
        <v/>
      </c>
      <c r="G36" t="str">
        <f t="shared" ca="1" si="0"/>
        <v/>
      </c>
      <c r="H36" t="str">
        <f ca="1">IFERROR(IF(OFFSET(_xlfn.XLOOKUP(B36,Kuponger!E:E,Kuponger!Q:Q),1,10)="","",OFFSET(_xlfn.XLOOKUP(B36,Kuponger!E:E,Kuponger!Q:Q),1,10)),"")</f>
        <v/>
      </c>
      <c r="I36" s="3" t="str">
        <f ca="1">IFERROR(t_rb[[#This Row],[tp]]-G35,"")</f>
        <v/>
      </c>
      <c r="K36" s="4" t="s">
        <v>857</v>
      </c>
      <c r="L36" s="3">
        <v>80</v>
      </c>
      <c r="M36" s="3">
        <v>70</v>
      </c>
      <c r="N36" s="3">
        <v>60</v>
      </c>
    </row>
    <row r="37" spans="1:14" x14ac:dyDescent="0.2">
      <c r="A37">
        <v>36</v>
      </c>
      <c r="B37" s="22" t="str">
        <f ca="1">Data!AL36</f>
        <v/>
      </c>
      <c r="C37" t="str">
        <f ca="1">IFERROR(IF(OFFSET(_xlfn.XLOOKUP(B37,Kuponger!E:E,Kuponger!Q:Q),15,9)=0,"",OFFSET(_xlfn.XLOOKUP(B37,Kuponger!E:E,Kuponger!Q:Q),15,9)),"")</f>
        <v/>
      </c>
      <c r="D37" t="str">
        <f ca="1">IFERROR(IF(OFFSET(_xlfn.XLOOKUP(B37,Kuponger!E:E,Kuponger!Q:Q),15,10)=0,"",OFFSET(_xlfn.XLOOKUP(B37,Kuponger!E:E,Kuponger!Q:Q),15,10)),"")</f>
        <v/>
      </c>
      <c r="E37" t="str">
        <f ca="1">IFERROR(IF(OFFSET(_xlfn.XLOOKUP(B37,Kuponger!E:E,Kuponger!Q:Q),15,11)=0,"",OFFSET(_xlfn.XLOOKUP(B37,Kuponger!E:E,Kuponger!Q:Q),15,11)),"")</f>
        <v/>
      </c>
      <c r="F37" t="str">
        <f ca="1">IFERROR(IF(OFFSET(_xlfn.XLOOKUP(B37,Kuponger!E:E,Kuponger!Q:Q),1,11)="","",OFFSET(_xlfn.XLOOKUP(B37,Kuponger!E:E,Kuponger!Q:Q),1,11))*-1,"")</f>
        <v/>
      </c>
      <c r="G37" t="str">
        <f t="shared" ca="1" si="0"/>
        <v/>
      </c>
      <c r="H37" t="str">
        <f ca="1">IFERROR(IF(OFFSET(_xlfn.XLOOKUP(B37,Kuponger!E:E,Kuponger!Q:Q),1,10)="","",OFFSET(_xlfn.XLOOKUP(B37,Kuponger!E:E,Kuponger!Q:Q),1,10)),"")</f>
        <v/>
      </c>
      <c r="I37" s="3" t="str">
        <f ca="1">IFERROR(t_rb[[#This Row],[tp]]-G36,"")</f>
        <v/>
      </c>
      <c r="K37" s="4" t="s">
        <v>858</v>
      </c>
      <c r="L37" t="str">
        <f>_xlfn.XLOOKUP(LARGE(L$2:L$4,1),L$2:L$4,$K$2:$K$4)</f>
        <v>Hjemme</v>
      </c>
      <c r="M37" t="str">
        <f>_xlfn.XLOOKUP(LARGE(M$2:M$4,1),M$2:M$4,$K$2:$K$4)</f>
        <v>Hjemme</v>
      </c>
      <c r="N37" t="str">
        <f>_xlfn.XLOOKUP(LARGE(N$2:N$4,1),N$2:N$4,$K$2:$K$4)</f>
        <v>Uavgjort</v>
      </c>
    </row>
    <row r="38" spans="1:14" x14ac:dyDescent="0.2">
      <c r="A38">
        <v>37</v>
      </c>
      <c r="B38" s="22" t="str">
        <f ca="1">Data!AL37</f>
        <v/>
      </c>
      <c r="C38" t="str">
        <f ca="1">IFERROR(IF(OFFSET(_xlfn.XLOOKUP(B38,Kuponger!E:E,Kuponger!Q:Q),15,9)=0,"",OFFSET(_xlfn.XLOOKUP(B38,Kuponger!E:E,Kuponger!Q:Q),15,9)),"")</f>
        <v/>
      </c>
      <c r="D38" t="str">
        <f ca="1">IFERROR(IF(OFFSET(_xlfn.XLOOKUP(B38,Kuponger!E:E,Kuponger!Q:Q),15,10)=0,"",OFFSET(_xlfn.XLOOKUP(B38,Kuponger!E:E,Kuponger!Q:Q),15,10)),"")</f>
        <v/>
      </c>
      <c r="E38" t="str">
        <f ca="1">IFERROR(IF(OFFSET(_xlfn.XLOOKUP(B38,Kuponger!E:E,Kuponger!Q:Q),15,11)=0,"",OFFSET(_xlfn.XLOOKUP(B38,Kuponger!E:E,Kuponger!Q:Q),15,11)),"")</f>
        <v/>
      </c>
      <c r="F38" t="str">
        <f ca="1">IFERROR(IF(OFFSET(_xlfn.XLOOKUP(B38,Kuponger!E:E,Kuponger!Q:Q),1,11)="","",OFFSET(_xlfn.XLOOKUP(B38,Kuponger!E:E,Kuponger!Q:Q),1,11))*-1,"")</f>
        <v/>
      </c>
      <c r="G38" t="str">
        <f t="shared" ca="1" si="0"/>
        <v/>
      </c>
      <c r="H38" t="str">
        <f ca="1">IFERROR(IF(OFFSET(_xlfn.XLOOKUP(B38,Kuponger!E:E,Kuponger!Q:Q),1,10)="","",OFFSET(_xlfn.XLOOKUP(B38,Kuponger!E:E,Kuponger!Q:Q),1,10)),"")</f>
        <v/>
      </c>
      <c r="I38" s="3" t="str">
        <f ca="1">IFERROR(t_rb[[#This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IFERROR(IF(OFFSET(_xlfn.XLOOKUP(B39,Kuponger!E:E,Kuponger!Q:Q),15,9)=0,"",OFFSET(_xlfn.XLOOKUP(B39,Kuponger!E:E,Kuponger!Q:Q),15,9)),"")</f>
        <v/>
      </c>
      <c r="D39" t="str">
        <f ca="1">IFERROR(IF(OFFSET(_xlfn.XLOOKUP(B39,Kuponger!E:E,Kuponger!Q:Q),15,10)=0,"",OFFSET(_xlfn.XLOOKUP(B39,Kuponger!E:E,Kuponger!Q:Q),15,10)),"")</f>
        <v/>
      </c>
      <c r="E39" t="str">
        <f ca="1">IFERROR(IF(OFFSET(_xlfn.XLOOKUP(B39,Kuponger!E:E,Kuponger!Q:Q),15,11)=0,"",OFFSET(_xlfn.XLOOKUP(B39,Kuponger!E:E,Kuponger!Q:Q),15,11)),"")</f>
        <v/>
      </c>
      <c r="F39" t="str">
        <f ca="1">IFERROR(IF(OFFSET(_xlfn.XLOOKUP(B39,Kuponger!E:E,Kuponger!Q:Q),1,11)="","",OFFSET(_xlfn.XLOOKUP(B39,Kuponger!E:E,Kuponger!Q:Q),1,11))*-1,"")</f>
        <v/>
      </c>
      <c r="G39" t="str">
        <f t="shared" ca="1" si="0"/>
        <v/>
      </c>
      <c r="H39" t="str">
        <f ca="1">IFERROR(IF(OFFSET(_xlfn.XLOOKUP(B39,Kuponger!E:E,Kuponger!Q:Q),1,10)="","",OFFSET(_xlfn.XLOOKUP(B39,Kuponger!E:E,Kuponger!Q:Q),1,10)),"")</f>
        <v/>
      </c>
      <c r="I39" s="3" t="str">
        <f ca="1">IFERROR(t_rb[[#This Row],[tp]]-G38,"")</f>
        <v/>
      </c>
      <c r="K39" s="4" t="s">
        <v>860</v>
      </c>
      <c r="L39" t="str">
        <f>_xlfn.XLOOKUP(LARGE(L$14:L$16,1),L$14:L$16,$K$14:$K$16)</f>
        <v>Hjemme</v>
      </c>
      <c r="M39" t="str">
        <f>_xlfn.XLOOKUP(LARGE(M$14:M$16,1),M$14:M$16,$K$14:$K$16)</f>
        <v>Hjemme</v>
      </c>
      <c r="N39" t="str">
        <f>_xlfn.XLOOKUP(LARGE(N$14:N$16,1),N$14:N$16,$K$14:$K$16)</f>
        <v>Uavgjort</v>
      </c>
    </row>
    <row r="40" spans="1:14" x14ac:dyDescent="0.2">
      <c r="A40">
        <v>39</v>
      </c>
      <c r="B40" s="22" t="str">
        <f ca="1">Data!AL39</f>
        <v/>
      </c>
      <c r="C40" t="str">
        <f ca="1">IFERROR(IF(OFFSET(_xlfn.XLOOKUP(B40,Kuponger!E:E,Kuponger!Q:Q),15,9)=0,"",OFFSET(_xlfn.XLOOKUP(B40,Kuponger!E:E,Kuponger!Q:Q),15,9)),"")</f>
        <v/>
      </c>
      <c r="D40" t="str">
        <f ca="1">IFERROR(IF(OFFSET(_xlfn.XLOOKUP(B40,Kuponger!E:E,Kuponger!Q:Q),15,10)=0,"",OFFSET(_xlfn.XLOOKUP(B40,Kuponger!E:E,Kuponger!Q:Q),15,10)),"")</f>
        <v/>
      </c>
      <c r="E40" t="str">
        <f ca="1">IFERROR(IF(OFFSET(_xlfn.XLOOKUP(B40,Kuponger!E:E,Kuponger!Q:Q),15,11)=0,"",OFFSET(_xlfn.XLOOKUP(B40,Kuponger!E:E,Kuponger!Q:Q),15,11)),"")</f>
        <v/>
      </c>
      <c r="F40" t="str">
        <f ca="1">IFERROR(IF(OFFSET(_xlfn.XLOOKUP(B40,Kuponger!E:E,Kuponger!Q:Q),1,11)="","",OFFSET(_xlfn.XLOOKUP(B40,Kuponger!E:E,Kuponger!Q:Q),1,11))*-1,"")</f>
        <v/>
      </c>
      <c r="G40" t="str">
        <f t="shared" ca="1" si="0"/>
        <v/>
      </c>
      <c r="H40" t="str">
        <f ca="1">IFERROR(IF(OFFSET(_xlfn.XLOOKUP(B40,Kuponger!E:E,Kuponger!Q:Q),1,10)="","",OFFSET(_xlfn.XLOOKUP(B40,Kuponger!E:E,Kuponger!Q:Q),1,10)),"")</f>
        <v/>
      </c>
      <c r="I40" s="3" t="str">
        <f ca="1">IFERROR(t_rb[[#This Row],[tp]]-G39,"")</f>
        <v/>
      </c>
    </row>
    <row r="41" spans="1:14" x14ac:dyDescent="0.2">
      <c r="A41">
        <v>40</v>
      </c>
      <c r="B41" s="22" t="str">
        <f ca="1">Data!AL40</f>
        <v/>
      </c>
      <c r="C41" t="str">
        <f ca="1">IFERROR(IF(OFFSET(_xlfn.XLOOKUP(B41,Kuponger!E:E,Kuponger!Q:Q),15,9)=0,"",OFFSET(_xlfn.XLOOKUP(B41,Kuponger!E:E,Kuponger!Q:Q),15,9)),"")</f>
        <v/>
      </c>
      <c r="D41" t="str">
        <f ca="1">IFERROR(IF(OFFSET(_xlfn.XLOOKUP(B41,Kuponger!E:E,Kuponger!Q:Q),15,10)=0,"",OFFSET(_xlfn.XLOOKUP(B41,Kuponger!E:E,Kuponger!Q:Q),15,10)),"")</f>
        <v/>
      </c>
      <c r="E41" t="str">
        <f ca="1">IFERROR(IF(OFFSET(_xlfn.XLOOKUP(B41,Kuponger!E:E,Kuponger!Q:Q),15,11)=0,"",OFFSET(_xlfn.XLOOKUP(B41,Kuponger!E:E,Kuponger!Q:Q),15,11)),"")</f>
        <v/>
      </c>
      <c r="F41" t="str">
        <f ca="1">IFERROR(IF(OFFSET(_xlfn.XLOOKUP(B41,Kuponger!E:E,Kuponger!Q:Q),1,11)="","",OFFSET(_xlfn.XLOOKUP(B41,Kuponger!E:E,Kuponger!Q:Q),1,11))*-1,"")</f>
        <v/>
      </c>
      <c r="G41" t="str">
        <f t="shared" ca="1" si="0"/>
        <v/>
      </c>
      <c r="H41" t="str">
        <f ca="1">IFERROR(IF(OFFSET(_xlfn.XLOOKUP(B41,Kuponger!E:E,Kuponger!Q:Q),1,10)="","",OFFSET(_xlfn.XLOOKUP(B41,Kuponger!E:E,Kuponger!Q:Q),1,10)),"")</f>
        <v/>
      </c>
      <c r="I41" s="3" t="str">
        <f ca="1">IFERROR(t_rb[[#This Row],[tp]]-G40,"")</f>
        <v/>
      </c>
      <c r="K41" s="4" t="s">
        <v>861</v>
      </c>
      <c r="L41" s="811">
        <f ca="1">IFERROR(AVERAGE(H:H),"")</f>
        <v>3.53125</v>
      </c>
      <c r="N41" t="str">
        <f>K35&amp;" treffer på "&amp;TEXT((S11/S5)*100,"00,0")&amp;"% av sine 10-poengere, dvs. han bommer"</f>
        <v>RB treffer på 24,5% av sine 10-poengere, dvs. han bommer</v>
      </c>
    </row>
    <row r="42" spans="1:14" x14ac:dyDescent="0.2">
      <c r="A42">
        <v>41</v>
      </c>
      <c r="B42" s="22" t="str">
        <f ca="1">Data!AL41</f>
        <v/>
      </c>
      <c r="C42" t="str">
        <f ca="1">IFERROR(IF(OFFSET(_xlfn.XLOOKUP(B42,Kuponger!E:E,Kuponger!Q:Q),15,9)=0,"",OFFSET(_xlfn.XLOOKUP(B42,Kuponger!E:E,Kuponger!Q:Q),15,9)),"")</f>
        <v/>
      </c>
      <c r="D42" t="str">
        <f ca="1">IFERROR(IF(OFFSET(_xlfn.XLOOKUP(B42,Kuponger!E:E,Kuponger!Q:Q),15,10)=0,"",OFFSET(_xlfn.XLOOKUP(B42,Kuponger!E:E,Kuponger!Q:Q),15,10)),"")</f>
        <v/>
      </c>
      <c r="E42" t="str">
        <f ca="1">IFERROR(IF(OFFSET(_xlfn.XLOOKUP(B42,Kuponger!E:E,Kuponger!Q:Q),15,11)=0,"",OFFSET(_xlfn.XLOOKUP(B42,Kuponger!E:E,Kuponger!Q:Q),15,11)),"")</f>
        <v/>
      </c>
      <c r="F42" t="str">
        <f ca="1">IFERROR(IF(OFFSET(_xlfn.XLOOKUP(B42,Kuponger!E:E,Kuponger!Q:Q),1,11)="","",OFFSET(_xlfn.XLOOKUP(B42,Kuponger!E:E,Kuponger!Q:Q),1,11))*-1,"")</f>
        <v/>
      </c>
      <c r="G42" t="str">
        <f t="shared" ca="1" si="0"/>
        <v/>
      </c>
      <c r="H42" t="str">
        <f ca="1">IFERROR(IF(OFFSET(_xlfn.XLOOKUP(B42,Kuponger!E:E,Kuponger!Q:Q),1,10)="","",OFFSET(_xlfn.XLOOKUP(B42,Kuponger!E:E,Kuponger!Q:Q),1,10)),"")</f>
        <v/>
      </c>
      <c r="I42" s="3" t="str">
        <f ca="1">IFERROR(t_rb[[#This Row],[tp]]-G41,"")</f>
        <v/>
      </c>
      <c r="K42" s="4" t="s">
        <v>862</v>
      </c>
      <c r="L42" s="811">
        <f ca="1">IFERROR(AVERAGE(C:C),"")</f>
        <v>360.3125</v>
      </c>
      <c r="N42" t="str">
        <f>K35&amp;" treffer på "&amp;TEXT((L11/L5)*100,"00,0")&amp;"% av sine 80-poengere"</f>
        <v>RB treffer på 51,4% av sine 80-poengere</v>
      </c>
    </row>
    <row r="43" spans="1:14" x14ac:dyDescent="0.2">
      <c r="K43" s="4" t="s">
        <v>863</v>
      </c>
      <c r="L43" s="811">
        <f ca="1">IFERROR(AVERAGE(D:D),"")</f>
        <v>37.741935483870968</v>
      </c>
      <c r="N43" t="str">
        <f>K35&amp;" har tatt "&amp;T23&amp;" poeng så langt, men samtidig gått glipp av "&amp;T29&amp;" poeng, noe som gir en poengandel på "&amp;TEXT(L48,"0,0%")</f>
        <v>RB har tatt 17420 poeng så langt, men samtidig gått glipp av 21940 poeng, noe som gir en poengandel på 79,4%</v>
      </c>
    </row>
    <row r="44" spans="1:14" x14ac:dyDescent="0.2">
      <c r="K44" s="4" t="s">
        <v>864</v>
      </c>
      <c r="L44" s="811">
        <f ca="1">IFERROR(AVERAGE(E:E),"")</f>
        <v>157.33333333333334</v>
      </c>
    </row>
    <row r="45" spans="1:14" x14ac:dyDescent="0.2">
      <c r="K45" s="4" t="s">
        <v>865</v>
      </c>
      <c r="L45" s="810">
        <f ca="1">IFERROR(COUNTIF(F:F,"&lt;0")/COUNTIF(C:C,"&gt;0"),"")</f>
        <v>6.25E-2</v>
      </c>
    </row>
    <row r="46" spans="1:14" x14ac:dyDescent="0.2">
      <c r="K46" s="4" t="s">
        <v>866</v>
      </c>
      <c r="L46" s="811">
        <f ca="1">IFERROR(AVERAGE(G:G),"")</f>
        <v>541.25</v>
      </c>
    </row>
    <row r="48" spans="1:14" x14ac:dyDescent="0.2">
      <c r="K48" s="4" t="s">
        <v>867</v>
      </c>
      <c r="L48" s="812">
        <f>(T23/T29)</f>
        <v>0.7939835916134913</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2C315-C63E-499E-AB21-1B2642F77D7E}">
  <sheetPr codeName="Ark22"/>
  <dimension ref="A1:AA68"/>
  <sheetViews>
    <sheetView showGridLines="0" topLeftCell="P1" workbookViewId="0">
      <pane ySplit="1" topLeftCell="A34"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IFERROR(IF(OFFSET(_xlfn.XLOOKUP(B2,Kuponger!E:E,Kuponger!Q:Q),15,18)=0,"",OFFSET(_xlfn.XLOOKUP(B2,Kuponger!E:E,Kuponger!Q:Q),15,18)),"")</f>
        <v>330</v>
      </c>
      <c r="D2">
        <f ca="1">IFERROR(IF(OFFSET(_xlfn.XLOOKUP(B2,Kuponger!E:E,Kuponger!Q:Q),15,19)=0,"",OFFSET(_xlfn.XLOOKUP(B2,Kuponger!E:E,Kuponger!Q:Q),15,19)),"")</f>
        <v>40</v>
      </c>
      <c r="E2">
        <f ca="1">IFERROR(IF(OFFSET(_xlfn.XLOOKUP(B2,Kuponger!E:E,Kuponger!Q:Q),15,20)=0,"",OFFSET(_xlfn.XLOOKUP(B2,Kuponger!E:E,Kuponger!Q:Q),15,20)),"")</f>
        <v>130</v>
      </c>
      <c r="F2" t="str">
        <f ca="1">IFERROR(IF(OFFSET(_xlfn.XLOOKUP(B2,Kuponger!E:E,Kuponger!Q:Q),1,20)=0,"",OFFSET(_xlfn.XLOOKUP(B2,Kuponger!E:E,Kuponger!Q:Q),1,20))*-1,"")</f>
        <v/>
      </c>
      <c r="G2">
        <f t="shared" ref="G2:G42" ca="1" si="0">IF(SUMIF(C2:F2,"&lt;&gt;""")=0,"",SUMIF(C2:F2,"&lt;&gt;"""))</f>
        <v>500</v>
      </c>
      <c r="H2">
        <f ca="1">IFERROR(IF(OFFSET(_xlfn.XLOOKUP(B2,Kuponger!E:E,Kuponger!Q:Q),1,19)="","",OFFSET(_xlfn.XLOOKUP(B2,Kuponger!E:E,Kuponger!Q:Q),1,19)),"")</f>
        <v>3</v>
      </c>
      <c r="I2" t="str">
        <f ca="1">IFERROR(t_eb[[#This Row],[tp]]-G1,"")</f>
        <v/>
      </c>
      <c r="K2" s="801" t="s">
        <v>36</v>
      </c>
      <c r="L2">
        <f>COUNTIF(Kuponger!$AI:$AI,f_eb!L$1)</f>
        <v>98</v>
      </c>
      <c r="M2">
        <f>COUNTIF(Kuponger!$AI:$AI,f_eb!M$1)</f>
        <v>44</v>
      </c>
      <c r="N2">
        <f>COUNTIF(Kuponger!$AI:$AI,f_eb!N$1)</f>
        <v>33</v>
      </c>
      <c r="O2">
        <f>COUNTIF(Kuponger!$AI:$AI,f_eb!O$1)</f>
        <v>27</v>
      </c>
      <c r="P2">
        <f>COUNTIF(Kuponger!$AI:$AI,f_eb!P$1)</f>
        <v>47</v>
      </c>
      <c r="Q2">
        <f>COUNTIF(Kuponger!$AI:$AI,f_eb!Q$1)</f>
        <v>53</v>
      </c>
      <c r="R2">
        <f>COUNTIF(Kuponger!$AI:$AI,f_eb!R$1)</f>
        <v>46</v>
      </c>
      <c r="S2">
        <f>COUNTIF(Kuponger!$AI:$AI,f_eb!S$1)</f>
        <v>36</v>
      </c>
      <c r="T2">
        <f>COUNTIF(Kuponger!$AI:$AI,f_eb!T$1)</f>
        <v>0</v>
      </c>
      <c r="W2" s="3"/>
      <c r="X2" s="3"/>
      <c r="Y2" s="3"/>
      <c r="Z2" s="3"/>
      <c r="AA2" s="3"/>
    </row>
    <row r="3" spans="1:27" x14ac:dyDescent="0.2">
      <c r="A3">
        <v>2</v>
      </c>
      <c r="B3" s="22">
        <f ca="1">Data!AL2</f>
        <v>45892</v>
      </c>
      <c r="C3">
        <f ca="1">IFERROR(IF(OFFSET(_xlfn.XLOOKUP(B3,Kuponger!E:E,Kuponger!Q:Q),15,18)=0,"",OFFSET(_xlfn.XLOOKUP(B3,Kuponger!E:E,Kuponger!Q:Q),15,18)),"")</f>
        <v>300</v>
      </c>
      <c r="D3">
        <f ca="1">IFERROR(IF(OFFSET(_xlfn.XLOOKUP(B3,Kuponger!E:E,Kuponger!Q:Q),15,19)=0,"",OFFSET(_xlfn.XLOOKUP(B3,Kuponger!E:E,Kuponger!Q:Q),15,19)),"")</f>
        <v>40</v>
      </c>
      <c r="E3">
        <f ca="1">IFERROR(IF(OFFSET(_xlfn.XLOOKUP(B3,Kuponger!E:E,Kuponger!Q:Q),15,20)=0,"",OFFSET(_xlfn.XLOOKUP(B3,Kuponger!E:E,Kuponger!Q:Q),15,20)),"")</f>
        <v>170</v>
      </c>
      <c r="F3" t="str">
        <f ca="1">IFERROR(IF(OFFSET(_xlfn.XLOOKUP(B3,Kuponger!E:E,Kuponger!Q:Q),1,20)=0,"",OFFSET(_xlfn.XLOOKUP(B3,Kuponger!E:E,Kuponger!Q:Q),1,20))*-1,"")</f>
        <v/>
      </c>
      <c r="G3">
        <f t="shared" ca="1" si="0"/>
        <v>510</v>
      </c>
      <c r="H3">
        <f ca="1">IFERROR(IF(OFFSET(_xlfn.XLOOKUP(B3,Kuponger!E:E,Kuponger!Q:Q),1,19)="","",OFFSET(_xlfn.XLOOKUP(B3,Kuponger!E:E,Kuponger!Q:Q),1,19)),"")</f>
        <v>8</v>
      </c>
      <c r="I3" s="3">
        <f ca="1">IFERROR(t_eb[[#This Row],[tp]]-G2,"")</f>
        <v>10</v>
      </c>
      <c r="K3" s="801" t="s">
        <v>37</v>
      </c>
      <c r="L3">
        <f>COUNTIF(Kuponger!$AJ:$AJ,f_eb!L$1)</f>
        <v>3</v>
      </c>
      <c r="M3">
        <f>COUNTIF(Kuponger!$AJ:$AJ,f_eb!M$1)</f>
        <v>2</v>
      </c>
      <c r="N3">
        <f>COUNTIF(Kuponger!$AJ:$AJ,f_eb!N$1)</f>
        <v>8</v>
      </c>
      <c r="O3">
        <f>COUNTIF(Kuponger!$AJ:$AJ,f_eb!O$1)</f>
        <v>10</v>
      </c>
      <c r="P3">
        <f>COUNTIF(Kuponger!$AJ:$AJ,f_eb!P$1)</f>
        <v>45</v>
      </c>
      <c r="Q3">
        <f>COUNTIF(Kuponger!$AJ:$AJ,f_eb!Q$1)</f>
        <v>69</v>
      </c>
      <c r="R3">
        <f>COUNTIF(Kuponger!$AJ:$AJ,f_eb!R$1)</f>
        <v>133</v>
      </c>
      <c r="S3">
        <f>COUNTIF(Kuponger!$AJ:$AJ,f_eb!S$1)</f>
        <v>139</v>
      </c>
      <c r="T3">
        <f>COUNTIF(Kuponger!$AJ:$AJ,f_eb!T$1)</f>
        <v>0</v>
      </c>
    </row>
    <row r="4" spans="1:27" x14ac:dyDescent="0.2">
      <c r="A4">
        <v>3</v>
      </c>
      <c r="B4" s="22">
        <f ca="1">Data!AL3</f>
        <v>45920</v>
      </c>
      <c r="C4">
        <f ca="1">IFERROR(IF(OFFSET(_xlfn.XLOOKUP(B4,Kuponger!E:E,Kuponger!Q:Q),15,18)=0,"",OFFSET(_xlfn.XLOOKUP(B4,Kuponger!E:E,Kuponger!Q:Q),15,18)),"")</f>
        <v>230</v>
      </c>
      <c r="D4">
        <f ca="1">IFERROR(IF(OFFSET(_xlfn.XLOOKUP(B4,Kuponger!E:E,Kuponger!Q:Q),15,19)=0,"",OFFSET(_xlfn.XLOOKUP(B4,Kuponger!E:E,Kuponger!Q:Q),15,19)),"")</f>
        <v>40</v>
      </c>
      <c r="E4">
        <f ca="1">IFERROR(IF(OFFSET(_xlfn.XLOOKUP(B4,Kuponger!E:E,Kuponger!Q:Q),15,20)=0,"",OFFSET(_xlfn.XLOOKUP(B4,Kuponger!E:E,Kuponger!Q:Q),15,20)),"")</f>
        <v>180</v>
      </c>
      <c r="F4" t="str">
        <f ca="1">IFERROR(IF(OFFSET(_xlfn.XLOOKUP(B4,Kuponger!E:E,Kuponger!Q:Q),1,20)=0,"",OFFSET(_xlfn.XLOOKUP(B4,Kuponger!E:E,Kuponger!Q:Q),1,20))*-1,"")</f>
        <v/>
      </c>
      <c r="G4">
        <f t="shared" ca="1" si="0"/>
        <v>450</v>
      </c>
      <c r="H4">
        <f ca="1">IFERROR(IF(OFFSET(_xlfn.XLOOKUP(B4,Kuponger!E:E,Kuponger!Q:Q),1,19)="","",OFFSET(_xlfn.XLOOKUP(B4,Kuponger!E:E,Kuponger!Q:Q),1,19)),"")</f>
        <v>6</v>
      </c>
      <c r="I4" s="3">
        <f ca="1">IFERROR(t_eb[[#This Row],[tp]]-G3,"")</f>
        <v>-60</v>
      </c>
      <c r="K4" s="801" t="s">
        <v>38</v>
      </c>
      <c r="L4">
        <f>COUNTIF(Kuponger!$AK:$AK,f_eb!L$1)</f>
        <v>28</v>
      </c>
      <c r="M4">
        <f>COUNTIF(Kuponger!$AK:$AK,f_eb!M$1)</f>
        <v>11</v>
      </c>
      <c r="N4">
        <f>COUNTIF(Kuponger!$AK:$AK,f_eb!N$1)</f>
        <v>23</v>
      </c>
      <c r="O4">
        <f>COUNTIF(Kuponger!$AK:$AK,f_eb!O$1)</f>
        <v>24</v>
      </c>
      <c r="P4">
        <f>COUNTIF(Kuponger!$AK:$AK,f_eb!P$1)</f>
        <v>51</v>
      </c>
      <c r="Q4">
        <f>COUNTIF(Kuponger!$AK:$AK,f_eb!Q$1)</f>
        <v>41</v>
      </c>
      <c r="R4">
        <f>COUNTIF(Kuponger!$AK:$AK,f_eb!R$1)</f>
        <v>76</v>
      </c>
      <c r="S4">
        <f>COUNTIF(Kuponger!$AK:$AK,f_eb!S$1)</f>
        <v>137</v>
      </c>
      <c r="T4">
        <f>COUNTIF(Kuponger!$AK:$AK,f_eb!T$1)</f>
        <v>0</v>
      </c>
    </row>
    <row r="5" spans="1:27" x14ac:dyDescent="0.2">
      <c r="A5">
        <v>4</v>
      </c>
      <c r="B5" s="22">
        <f ca="1">Data!AL4</f>
        <v>45927</v>
      </c>
      <c r="C5">
        <f ca="1">IFERROR(IF(OFFSET(_xlfn.XLOOKUP(B5,Kuponger!E:E,Kuponger!Q:Q),15,18)=0,"",OFFSET(_xlfn.XLOOKUP(B5,Kuponger!E:E,Kuponger!Q:Q),15,18)),"")</f>
        <v>160</v>
      </c>
      <c r="D5">
        <f ca="1">IFERROR(IF(OFFSET(_xlfn.XLOOKUP(B5,Kuponger!E:E,Kuponger!Q:Q),15,19)=0,"",OFFSET(_xlfn.XLOOKUP(B5,Kuponger!E:E,Kuponger!Q:Q),15,19)),"")</f>
        <v>110</v>
      </c>
      <c r="E5">
        <f ca="1">IFERROR(IF(OFFSET(_xlfn.XLOOKUP(B5,Kuponger!E:E,Kuponger!Q:Q),15,20)=0,"",OFFSET(_xlfn.XLOOKUP(B5,Kuponger!E:E,Kuponger!Q:Q),15,20)),"")</f>
        <v>20</v>
      </c>
      <c r="F5" t="str">
        <f ca="1">IFERROR(IF(OFFSET(_xlfn.XLOOKUP(B5,Kuponger!E:E,Kuponger!Q:Q),1,20)=0,"",OFFSET(_xlfn.XLOOKUP(B5,Kuponger!E:E,Kuponger!Q:Q),1,20))*-1,"")</f>
        <v/>
      </c>
      <c r="G5">
        <f t="shared" ca="1" si="0"/>
        <v>290</v>
      </c>
      <c r="H5">
        <f ca="1">IFERROR(IF(OFFSET(_xlfn.XLOOKUP(B5,Kuponger!E:E,Kuponger!Q:Q),1,19)="","",OFFSET(_xlfn.XLOOKUP(B5,Kuponger!E:E,Kuponger!Q:Q),1,19)),"")</f>
        <v>9</v>
      </c>
      <c r="I5" s="3">
        <f ca="1">IFERROR(t_eb[[#This Row],[tp]]-G4,"")</f>
        <v>-160</v>
      </c>
      <c r="K5" s="801" t="str">
        <f>K1</f>
        <v>Antall Leverte</v>
      </c>
      <c r="L5">
        <f>SUM(L2:L4)</f>
        <v>129</v>
      </c>
      <c r="M5">
        <f t="shared" ref="M5:S5" si="1">SUM(M2:M4)</f>
        <v>57</v>
      </c>
      <c r="N5">
        <f t="shared" si="1"/>
        <v>64</v>
      </c>
      <c r="O5">
        <f t="shared" si="1"/>
        <v>61</v>
      </c>
      <c r="P5">
        <f t="shared" si="1"/>
        <v>143</v>
      </c>
      <c r="Q5">
        <f t="shared" si="1"/>
        <v>163</v>
      </c>
      <c r="R5">
        <f t="shared" si="1"/>
        <v>255</v>
      </c>
      <c r="S5">
        <f t="shared" si="1"/>
        <v>312</v>
      </c>
      <c r="T5">
        <f>SUM(L$5:S$5)</f>
        <v>1184</v>
      </c>
    </row>
    <row r="6" spans="1:27" x14ac:dyDescent="0.2">
      <c r="A6">
        <v>5</v>
      </c>
      <c r="B6" s="22">
        <f ca="1">Data!AL5</f>
        <v>45934</v>
      </c>
      <c r="C6">
        <f ca="1">IFERROR(IF(OFFSET(_xlfn.XLOOKUP(B6,Kuponger!E:E,Kuponger!Q:Q),15,18)=0,"",OFFSET(_xlfn.XLOOKUP(B6,Kuponger!E:E,Kuponger!Q:Q),15,18)),"")</f>
        <v>540</v>
      </c>
      <c r="D6">
        <f ca="1">IFERROR(IF(OFFSET(_xlfn.XLOOKUP(B6,Kuponger!E:E,Kuponger!Q:Q),15,19)=0,"",OFFSET(_xlfn.XLOOKUP(B6,Kuponger!E:E,Kuponger!Q:Q),15,19)),"")</f>
        <v>40</v>
      </c>
      <c r="E6">
        <f ca="1">IFERROR(IF(OFFSET(_xlfn.XLOOKUP(B6,Kuponger!E:E,Kuponger!Q:Q),15,20)=0,"",OFFSET(_xlfn.XLOOKUP(B6,Kuponger!E:E,Kuponger!Q:Q),15,20)),"")</f>
        <v>100</v>
      </c>
      <c r="F6" t="str">
        <f ca="1">IFERROR(IF(OFFSET(_xlfn.XLOOKUP(B6,Kuponger!E:E,Kuponger!Q:Q),1,20)=0,"",OFFSET(_xlfn.XLOOKUP(B6,Kuponger!E:E,Kuponger!Q:Q),1,20))*-1,"")</f>
        <v/>
      </c>
      <c r="G6">
        <f t="shared" ca="1" si="0"/>
        <v>680</v>
      </c>
      <c r="H6">
        <f ca="1">IFERROR(IF(OFFSET(_xlfn.XLOOKUP(B6,Kuponger!E:E,Kuponger!Q:Q),1,19)="","",OFFSET(_xlfn.XLOOKUP(B6,Kuponger!E:E,Kuponger!Q:Q),1,19)),"")</f>
        <v>2</v>
      </c>
      <c r="I6" s="3">
        <f ca="1">IFERROR(t_eb[[#This Row],[tp]]-G5,"")</f>
        <v>390</v>
      </c>
    </row>
    <row r="7" spans="1:27" ht="15" x14ac:dyDescent="0.25">
      <c r="A7">
        <v>6</v>
      </c>
      <c r="B7" s="22">
        <f ca="1">Data!AL6</f>
        <v>45941</v>
      </c>
      <c r="C7">
        <f ca="1">IFERROR(IF(OFFSET(_xlfn.XLOOKUP(B7,Kuponger!E:E,Kuponger!Q:Q),15,18)=0,"",OFFSET(_xlfn.XLOOKUP(B7,Kuponger!E:E,Kuponger!Q:Q),15,18)),"")</f>
        <v>370</v>
      </c>
      <c r="D7">
        <f ca="1">IFERROR(IF(OFFSET(_xlfn.XLOOKUP(B7,Kuponger!E:E,Kuponger!Q:Q),15,19)=0,"",OFFSET(_xlfn.XLOOKUP(B7,Kuponger!E:E,Kuponger!Q:Q),15,19)),"")</f>
        <v>20</v>
      </c>
      <c r="E7">
        <f ca="1">IFERROR(IF(OFFSET(_xlfn.XLOOKUP(B7,Kuponger!E:E,Kuponger!Q:Q),15,20)=0,"",OFFSET(_xlfn.XLOOKUP(B7,Kuponger!E:E,Kuponger!Q:Q),15,20)),"")</f>
        <v>230</v>
      </c>
      <c r="F7" t="str">
        <f ca="1">IFERROR(IF(OFFSET(_xlfn.XLOOKUP(B7,Kuponger!E:E,Kuponger!Q:Q),1,20)=0,"",OFFSET(_xlfn.XLOOKUP(B7,Kuponger!E:E,Kuponger!Q:Q),1,20))*-1,"")</f>
        <v/>
      </c>
      <c r="G7">
        <f t="shared" ca="1" si="0"/>
        <v>620</v>
      </c>
      <c r="H7">
        <f ca="1">IFERROR(IF(OFFSET(_xlfn.XLOOKUP(B7,Kuponger!E:E,Kuponger!Q:Q),1,19)="","",OFFSET(_xlfn.XLOOKUP(B7,Kuponger!E:E,Kuponger!Q:Q),1,19)),"")</f>
        <v>4</v>
      </c>
      <c r="I7" s="3">
        <f ca="1">IFERROR(t_eb[[#This Row],[tp]]-G6,"")</f>
        <v>-60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IFERROR(IF(OFFSET(_xlfn.XLOOKUP(B8,Kuponger!E:E,Kuponger!Q:Q),15,18)=0,"",OFFSET(_xlfn.XLOOKUP(B8,Kuponger!E:E,Kuponger!Q:Q),15,18)),"")</f>
        <v>280</v>
      </c>
      <c r="D8">
        <f ca="1">IFERROR(IF(OFFSET(_xlfn.XLOOKUP(B8,Kuponger!E:E,Kuponger!Q:Q),15,19)=0,"",OFFSET(_xlfn.XLOOKUP(B8,Kuponger!E:E,Kuponger!Q:Q),15,19)),"")</f>
        <v>130</v>
      </c>
      <c r="E8">
        <f ca="1">IFERROR(IF(OFFSET(_xlfn.XLOOKUP(B8,Kuponger!E:E,Kuponger!Q:Q),15,20)=0,"",OFFSET(_xlfn.XLOOKUP(B8,Kuponger!E:E,Kuponger!Q:Q),15,20)),"")</f>
        <v>170</v>
      </c>
      <c r="F8" t="str">
        <f ca="1">IFERROR(IF(OFFSET(_xlfn.XLOOKUP(B8,Kuponger!E:E,Kuponger!Q:Q),1,20)=0,"",OFFSET(_xlfn.XLOOKUP(B8,Kuponger!E:E,Kuponger!Q:Q),1,20))*-1,"")</f>
        <v/>
      </c>
      <c r="G8">
        <f t="shared" ca="1" si="0"/>
        <v>580</v>
      </c>
      <c r="H8">
        <f ca="1">IFERROR(IF(OFFSET(_xlfn.XLOOKUP(B8,Kuponger!E:E,Kuponger!Q:Q),1,19)="","",OFFSET(_xlfn.XLOOKUP(B8,Kuponger!E:E,Kuponger!Q:Q),1,19)),"")</f>
        <v>8</v>
      </c>
      <c r="I8" s="3">
        <f ca="1">IFERROR(t_eb[[#This Row],[tp]]-G7,"")</f>
        <v>-40</v>
      </c>
      <c r="K8" s="801" t="s">
        <v>36</v>
      </c>
      <c r="L8">
        <f>COUNTIF(Kuponger!$AM:$AM,L$7)</f>
        <v>66</v>
      </c>
      <c r="M8">
        <f>COUNTIF(Kuponger!$AM:$AM,M$7)</f>
        <v>21</v>
      </c>
      <c r="N8">
        <f>COUNTIF(Kuponger!$AM:$AM,N$7)</f>
        <v>15</v>
      </c>
      <c r="O8">
        <f>COUNTIF(Kuponger!$AM:$AM,O$7)</f>
        <v>9</v>
      </c>
      <c r="P8">
        <f>COUNTIF(Kuponger!$AM:$AM,P$7)</f>
        <v>17</v>
      </c>
      <c r="Q8">
        <f>COUNTIF(Kuponger!$AM:$AM,Q$7)</f>
        <v>18</v>
      </c>
      <c r="R8">
        <f>COUNTIF(Kuponger!$AM:$AM,R$7)</f>
        <v>17</v>
      </c>
      <c r="S8">
        <f>COUNTIF(Kuponger!$AM:$AM,S$7)</f>
        <v>13</v>
      </c>
      <c r="T8">
        <f>SUM(L$8:S$8)</f>
        <v>176</v>
      </c>
    </row>
    <row r="9" spans="1:27" x14ac:dyDescent="0.2">
      <c r="A9">
        <v>8</v>
      </c>
      <c r="B9" s="22">
        <f ca="1">Data!AL8</f>
        <v>45955</v>
      </c>
      <c r="C9">
        <f ca="1">IFERROR(IF(OFFSET(_xlfn.XLOOKUP(B9,Kuponger!E:E,Kuponger!Q:Q),15,18)=0,"",OFFSET(_xlfn.XLOOKUP(B9,Kuponger!E:E,Kuponger!Q:Q),15,18)),"")</f>
        <v>400</v>
      </c>
      <c r="D9">
        <f ca="1">IFERROR(IF(OFFSET(_xlfn.XLOOKUP(B9,Kuponger!E:E,Kuponger!Q:Q),15,19)=0,"",OFFSET(_xlfn.XLOOKUP(B9,Kuponger!E:E,Kuponger!Q:Q),15,19)),"")</f>
        <v>50</v>
      </c>
      <c r="E9">
        <f ca="1">IFERROR(IF(OFFSET(_xlfn.XLOOKUP(B9,Kuponger!E:E,Kuponger!Q:Q),15,20)=0,"",OFFSET(_xlfn.XLOOKUP(B9,Kuponger!E:E,Kuponger!Q:Q),15,20)),"")</f>
        <v>120</v>
      </c>
      <c r="F9" t="str">
        <f ca="1">IFERROR(IF(OFFSET(_xlfn.XLOOKUP(B9,Kuponger!E:E,Kuponger!Q:Q),1,20)=0,"",OFFSET(_xlfn.XLOOKUP(B9,Kuponger!E:E,Kuponger!Q:Q),1,20))*-1,"")</f>
        <v/>
      </c>
      <c r="G9">
        <f t="shared" ca="1" si="0"/>
        <v>570</v>
      </c>
      <c r="H9">
        <f ca="1">IFERROR(IF(OFFSET(_xlfn.XLOOKUP(B9,Kuponger!E:E,Kuponger!Q:Q),1,19)="","",OFFSET(_xlfn.XLOOKUP(B9,Kuponger!E:E,Kuponger!Q:Q),1,19)),"")</f>
        <v>1</v>
      </c>
      <c r="I9" s="3">
        <f ca="1">IFERROR(t_eb[[#This Row],[tp]]-G8,"")</f>
        <v>-10</v>
      </c>
      <c r="K9" s="801" t="s">
        <v>37</v>
      </c>
      <c r="L9">
        <f>COUNTIF(Kuponger!$AN:$AN,L$7)</f>
        <v>0</v>
      </c>
      <c r="M9">
        <f>COUNTIF(Kuponger!$AN:$AN,M$7)</f>
        <v>0</v>
      </c>
      <c r="N9">
        <f>COUNTIF(Kuponger!$AN:$AN,N$7)</f>
        <v>0</v>
      </c>
      <c r="O9">
        <f>COUNTIF(Kuponger!$AN:$AN,O$7)</f>
        <v>1</v>
      </c>
      <c r="P9">
        <f>COUNTIF(Kuponger!$AN:$AN,P$7)</f>
        <v>11</v>
      </c>
      <c r="Q9">
        <f>COUNTIF(Kuponger!$AN:$AN,Q$7)</f>
        <v>14</v>
      </c>
      <c r="R9">
        <f>COUNTIF(Kuponger!$AN:$AN,R$7)</f>
        <v>35</v>
      </c>
      <c r="S9">
        <f>COUNTIF(Kuponger!$AN:$AN,S$7)</f>
        <v>28</v>
      </c>
      <c r="T9">
        <f>SUM(L$9:S$9)</f>
        <v>89</v>
      </c>
    </row>
    <row r="10" spans="1:27" x14ac:dyDescent="0.2">
      <c r="A10">
        <v>9</v>
      </c>
      <c r="B10" s="22">
        <f ca="1">Data!AL9</f>
        <v>45962</v>
      </c>
      <c r="C10">
        <f ca="1">IFERROR(IF(OFFSET(_xlfn.XLOOKUP(B10,Kuponger!E:E,Kuponger!Q:Q),15,18)=0,"",OFFSET(_xlfn.XLOOKUP(B10,Kuponger!E:E,Kuponger!Q:Q),15,18)),"")</f>
        <v>500</v>
      </c>
      <c r="D10">
        <f ca="1">IFERROR(IF(OFFSET(_xlfn.XLOOKUP(B10,Kuponger!E:E,Kuponger!Q:Q),15,19)=0,"",OFFSET(_xlfn.XLOOKUP(B10,Kuponger!E:E,Kuponger!Q:Q),15,19)),"")</f>
        <v>20</v>
      </c>
      <c r="E10">
        <f ca="1">IFERROR(IF(OFFSET(_xlfn.XLOOKUP(B10,Kuponger!E:E,Kuponger!Q:Q),15,20)=0,"",OFFSET(_xlfn.XLOOKUP(B10,Kuponger!E:E,Kuponger!Q:Q),15,20)),"")</f>
        <v>140</v>
      </c>
      <c r="F10" t="str">
        <f ca="1">IFERROR(IF(OFFSET(_xlfn.XLOOKUP(B10,Kuponger!E:E,Kuponger!Q:Q),1,20)=0,"",OFFSET(_xlfn.XLOOKUP(B10,Kuponger!E:E,Kuponger!Q:Q),1,20))*-1,"")</f>
        <v/>
      </c>
      <c r="G10">
        <f t="shared" ca="1" si="0"/>
        <v>660</v>
      </c>
      <c r="H10">
        <f ca="1">IFERROR(IF(OFFSET(_xlfn.XLOOKUP(B10,Kuponger!E:E,Kuponger!Q:Q),1,19)="","",OFFSET(_xlfn.XLOOKUP(B10,Kuponger!E:E,Kuponger!Q:Q),1,19)),"")</f>
        <v>4</v>
      </c>
      <c r="I10" s="3">
        <f ca="1">IFERROR(t_eb[[#This Row],[tp]]-G9,"")</f>
        <v>90</v>
      </c>
      <c r="K10" s="801" t="s">
        <v>38</v>
      </c>
      <c r="L10">
        <f>COUNTIF(Kuponger!$AO:$AO,L$7)</f>
        <v>12</v>
      </c>
      <c r="M10">
        <f>COUNTIF(Kuponger!$AO:$AO,M$7)</f>
        <v>2</v>
      </c>
      <c r="N10">
        <f>COUNTIF(Kuponger!$AO:$AO,N$7)</f>
        <v>9</v>
      </c>
      <c r="O10">
        <f>COUNTIF(Kuponger!$AO:$AO,O$7)</f>
        <v>12</v>
      </c>
      <c r="P10">
        <f>COUNTIF(Kuponger!$AO:$AO,P$7)</f>
        <v>19</v>
      </c>
      <c r="Q10">
        <f>COUNTIF(Kuponger!$AO:$AO,Q$7)</f>
        <v>18</v>
      </c>
      <c r="R10">
        <f>COUNTIF(Kuponger!$AO:$AO,R$7)</f>
        <v>23</v>
      </c>
      <c r="S10">
        <f>COUNTIF(Kuponger!$AO:$AO,S$7)</f>
        <v>24</v>
      </c>
      <c r="T10">
        <f>SUM(L$10:S$10)</f>
        <v>119</v>
      </c>
    </row>
    <row r="11" spans="1:27" x14ac:dyDescent="0.2">
      <c r="A11">
        <v>10</v>
      </c>
      <c r="B11" s="22">
        <f ca="1">Data!AL10</f>
        <v>45969</v>
      </c>
      <c r="C11">
        <f ca="1">IFERROR(IF(OFFSET(_xlfn.XLOOKUP(B11,Kuponger!E:E,Kuponger!Q:Q),15,18)=0,"",OFFSET(_xlfn.XLOOKUP(B11,Kuponger!E:E,Kuponger!Q:Q),15,18)),"")</f>
        <v>340</v>
      </c>
      <c r="D11">
        <f ca="1">IFERROR(IF(OFFSET(_xlfn.XLOOKUP(B11,Kuponger!E:E,Kuponger!Q:Q),15,19)=0,"",OFFSET(_xlfn.XLOOKUP(B11,Kuponger!E:E,Kuponger!Q:Q),15,19)),"")</f>
        <v>60</v>
      </c>
      <c r="E11">
        <f ca="1">IFERROR(IF(OFFSET(_xlfn.XLOOKUP(B11,Kuponger!E:E,Kuponger!Q:Q),15,20)=0,"",OFFSET(_xlfn.XLOOKUP(B11,Kuponger!E:E,Kuponger!Q:Q),15,20)),"")</f>
        <v>150</v>
      </c>
      <c r="F11" t="str">
        <f ca="1">IFERROR(IF(OFFSET(_xlfn.XLOOKUP(B11,Kuponger!E:E,Kuponger!Q:Q),1,20)=0,"",OFFSET(_xlfn.XLOOKUP(B11,Kuponger!E:E,Kuponger!Q:Q),1,20))*-1,"")</f>
        <v/>
      </c>
      <c r="G11">
        <f t="shared" ca="1" si="0"/>
        <v>550</v>
      </c>
      <c r="H11">
        <f ca="1">IFERROR(IF(OFFSET(_xlfn.XLOOKUP(B11,Kuponger!E:E,Kuponger!Q:Q),1,19)="","",OFFSET(_xlfn.XLOOKUP(B11,Kuponger!E:E,Kuponger!Q:Q),1,19)),"")</f>
        <v>7</v>
      </c>
      <c r="I11" s="3">
        <f ca="1">IFERROR(t_eb[[#This Row],[tp]]-G10,"")</f>
        <v>-110</v>
      </c>
      <c r="K11" s="801" t="str">
        <f>K7</f>
        <v>Antall Treff</v>
      </c>
      <c r="L11">
        <f>SUM(L$8:L$10)</f>
        <v>78</v>
      </c>
      <c r="M11">
        <f t="shared" ref="M11:S11" si="3">SUM(M$8:M$10)</f>
        <v>23</v>
      </c>
      <c r="N11">
        <f t="shared" si="3"/>
        <v>24</v>
      </c>
      <c r="O11">
        <f t="shared" si="3"/>
        <v>22</v>
      </c>
      <c r="P11">
        <f>SUM(P$8:P$10)</f>
        <v>47</v>
      </c>
      <c r="Q11">
        <f t="shared" si="3"/>
        <v>50</v>
      </c>
      <c r="R11">
        <f t="shared" si="3"/>
        <v>75</v>
      </c>
      <c r="S11">
        <f t="shared" si="3"/>
        <v>65</v>
      </c>
      <c r="T11">
        <f>SUM(L$11:S$11)</f>
        <v>384</v>
      </c>
    </row>
    <row r="12" spans="1:27" x14ac:dyDescent="0.2">
      <c r="A12">
        <v>11</v>
      </c>
      <c r="B12" s="22">
        <f ca="1">Data!AL11</f>
        <v>45976</v>
      </c>
      <c r="C12">
        <f ca="1">IFERROR(IF(OFFSET(_xlfn.XLOOKUP(B12,Kuponger!E:E,Kuponger!Q:Q),15,18)=0,"",OFFSET(_xlfn.XLOOKUP(B12,Kuponger!E:E,Kuponger!Q:Q),15,18)),"")</f>
        <v>240</v>
      </c>
      <c r="D12">
        <f ca="1">IFERROR(IF(OFFSET(_xlfn.XLOOKUP(B12,Kuponger!E:E,Kuponger!Q:Q),15,19)=0,"",OFFSET(_xlfn.XLOOKUP(B12,Kuponger!E:E,Kuponger!Q:Q),15,19)),"")</f>
        <v>80</v>
      </c>
      <c r="E12">
        <f ca="1">IFERROR(IF(OFFSET(_xlfn.XLOOKUP(B12,Kuponger!E:E,Kuponger!Q:Q),15,20)=0,"",OFFSET(_xlfn.XLOOKUP(B12,Kuponger!E:E,Kuponger!Q:Q),15,20)),"")</f>
        <v>190</v>
      </c>
      <c r="F12" t="str">
        <f ca="1">IFERROR(IF(OFFSET(_xlfn.XLOOKUP(B12,Kuponger!E:E,Kuponger!Q:Q),1,20)=0,"",OFFSET(_xlfn.XLOOKUP(B12,Kuponger!E:E,Kuponger!Q:Q),1,20))*-1,"")</f>
        <v/>
      </c>
      <c r="G12">
        <f t="shared" ca="1" si="0"/>
        <v>510</v>
      </c>
      <c r="H12">
        <f ca="1">IFERROR(IF(OFFSET(_xlfn.XLOOKUP(B12,Kuponger!E:E,Kuponger!Q:Q),1,19)="","",OFFSET(_xlfn.XLOOKUP(B12,Kuponger!E:E,Kuponger!Q:Q),1,19)),"")</f>
        <v>8</v>
      </c>
      <c r="I12" s="3">
        <f ca="1">IFERROR(t_eb[[#This Row],[tp]]-G11,"")</f>
        <v>-40</v>
      </c>
    </row>
    <row r="13" spans="1:27" ht="15" x14ac:dyDescent="0.25">
      <c r="A13">
        <v>12</v>
      </c>
      <c r="B13" s="22">
        <f ca="1">Data!AL12</f>
        <v>45983</v>
      </c>
      <c r="C13">
        <f ca="1">IFERROR(IF(OFFSET(_xlfn.XLOOKUP(B13,Kuponger!E:E,Kuponger!Q:Q),15,18)=0,"",OFFSET(_xlfn.XLOOKUP(B13,Kuponger!E:E,Kuponger!Q:Q),15,18)),"")</f>
        <v>180</v>
      </c>
      <c r="D13">
        <f ca="1">IFERROR(IF(OFFSET(_xlfn.XLOOKUP(B13,Kuponger!E:E,Kuponger!Q:Q),15,19)=0,"",OFFSET(_xlfn.XLOOKUP(B13,Kuponger!E:E,Kuponger!Q:Q),15,19)),"")</f>
        <v>40</v>
      </c>
      <c r="E13">
        <f ca="1">IFERROR(IF(OFFSET(_xlfn.XLOOKUP(B13,Kuponger!E:E,Kuponger!Q:Q),15,20)=0,"",OFFSET(_xlfn.XLOOKUP(B13,Kuponger!E:E,Kuponger!Q:Q),15,20)),"")</f>
        <v>140</v>
      </c>
      <c r="F13" t="str">
        <f ca="1">IFERROR(IF(OFFSET(_xlfn.XLOOKUP(B13,Kuponger!E:E,Kuponger!Q:Q),1,20)=0,"",OFFSET(_xlfn.XLOOKUP(B13,Kuponger!E:E,Kuponger!Q:Q),1,20))*-1,"")</f>
        <v/>
      </c>
      <c r="G13">
        <f t="shared" ca="1" si="0"/>
        <v>360</v>
      </c>
      <c r="H13">
        <f ca="1">IFERROR(IF(OFFSET(_xlfn.XLOOKUP(B13,Kuponger!E:E,Kuponger!Q:Q),1,19)="","",OFFSET(_xlfn.XLOOKUP(B13,Kuponger!E:E,Kuponger!Q:Q),1,19)),"")</f>
        <v>8</v>
      </c>
      <c r="I13" s="3">
        <f ca="1">IFERROR(t_eb[[#This Row],[tp]]-G12,"")</f>
        <v>-150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IFERROR(IF(OFFSET(_xlfn.XLOOKUP(B14,Kuponger!E:E,Kuponger!Q:Q),15,18)=0,"",OFFSET(_xlfn.XLOOKUP(B14,Kuponger!E:E,Kuponger!Q:Q),15,18)),"")</f>
        <v>490</v>
      </c>
      <c r="D14">
        <f ca="1">IFERROR(IF(OFFSET(_xlfn.XLOOKUP(B14,Kuponger!E:E,Kuponger!Q:Q),15,19)=0,"",OFFSET(_xlfn.XLOOKUP(B14,Kuponger!E:E,Kuponger!Q:Q),15,19)),"")</f>
        <v>40</v>
      </c>
      <c r="E14">
        <f ca="1">IFERROR(IF(OFFSET(_xlfn.XLOOKUP(B14,Kuponger!E:E,Kuponger!Q:Q),15,20)=0,"",OFFSET(_xlfn.XLOOKUP(B14,Kuponger!E:E,Kuponger!Q:Q),15,20)),"")</f>
        <v>60</v>
      </c>
      <c r="F14" t="str">
        <f ca="1">IFERROR(IF(OFFSET(_xlfn.XLOOKUP(B14,Kuponger!E:E,Kuponger!Q:Q),1,20)=0,"",OFFSET(_xlfn.XLOOKUP(B14,Kuponger!E:E,Kuponger!Q:Q),1,20))*-1,"")</f>
        <v/>
      </c>
      <c r="G14">
        <f t="shared" ca="1" si="0"/>
        <v>590</v>
      </c>
      <c r="H14">
        <f ca="1">IFERROR(IF(OFFSET(_xlfn.XLOOKUP(B14,Kuponger!E:E,Kuponger!Q:Q),1,19)="","",OFFSET(_xlfn.XLOOKUP(B14,Kuponger!E:E,Kuponger!Q:Q),1,19)),"")</f>
        <v>4</v>
      </c>
      <c r="I14" s="3">
        <f ca="1">IFERROR(t_eb[[#This Row],[tp]]-G13,"")</f>
        <v>230</v>
      </c>
      <c r="K14" s="801" t="str">
        <f>K8</f>
        <v>Hjemme</v>
      </c>
      <c r="L14">
        <f>L2-L8</f>
        <v>32</v>
      </c>
      <c r="M14">
        <f t="shared" ref="M14:S16" si="5">M2-M8</f>
        <v>23</v>
      </c>
      <c r="N14">
        <f t="shared" si="5"/>
        <v>18</v>
      </c>
      <c r="O14">
        <f t="shared" si="5"/>
        <v>18</v>
      </c>
      <c r="P14">
        <f t="shared" si="5"/>
        <v>30</v>
      </c>
      <c r="Q14">
        <f t="shared" si="5"/>
        <v>35</v>
      </c>
      <c r="R14">
        <f t="shared" si="5"/>
        <v>29</v>
      </c>
      <c r="S14">
        <f t="shared" si="5"/>
        <v>23</v>
      </c>
      <c r="T14">
        <f>SUM(L$14:S$14)</f>
        <v>208</v>
      </c>
    </row>
    <row r="15" spans="1:27" x14ac:dyDescent="0.2">
      <c r="A15">
        <v>14</v>
      </c>
      <c r="B15" s="22">
        <f ca="1">Data!AL14</f>
        <v>45997</v>
      </c>
      <c r="C15">
        <f ca="1">IFERROR(IF(OFFSET(_xlfn.XLOOKUP(B15,Kuponger!E:E,Kuponger!Q:Q),15,18)=0,"",OFFSET(_xlfn.XLOOKUP(B15,Kuponger!E:E,Kuponger!Q:Q),15,18)),"")</f>
        <v>410</v>
      </c>
      <c r="D15">
        <f ca="1">IFERROR(IF(OFFSET(_xlfn.XLOOKUP(B15,Kuponger!E:E,Kuponger!Q:Q),15,19)=0,"",OFFSET(_xlfn.XLOOKUP(B15,Kuponger!E:E,Kuponger!Q:Q),15,19)),"")</f>
        <v>90</v>
      </c>
      <c r="E15" t="str">
        <f ca="1">IFERROR(IF(OFFSET(_xlfn.XLOOKUP(B15,Kuponger!E:E,Kuponger!Q:Q),15,20)=0,"",OFFSET(_xlfn.XLOOKUP(B15,Kuponger!E:E,Kuponger!Q:Q),15,20)),"")</f>
        <v/>
      </c>
      <c r="F15" t="str">
        <f ca="1">IFERROR(IF(OFFSET(_xlfn.XLOOKUP(B15,Kuponger!E:E,Kuponger!Q:Q),1,20)=0,"",OFFSET(_xlfn.XLOOKUP(B15,Kuponger!E:E,Kuponger!Q:Q),1,20))*-1,"")</f>
        <v/>
      </c>
      <c r="G15">
        <f t="shared" ca="1" si="0"/>
        <v>500</v>
      </c>
      <c r="H15">
        <f ca="1">IFERROR(IF(OFFSET(_xlfn.XLOOKUP(B15,Kuponger!E:E,Kuponger!Q:Q),1,19)="","",OFFSET(_xlfn.XLOOKUP(B15,Kuponger!E:E,Kuponger!Q:Q),1,19)),"")</f>
        <v>7</v>
      </c>
      <c r="I15" s="3">
        <f ca="1">IFERROR(t_eb[[#This Row],[tp]]-G14,"")</f>
        <v>-90</v>
      </c>
      <c r="K15" s="801" t="str">
        <f>K9</f>
        <v>Uavgjort</v>
      </c>
      <c r="L15">
        <f>L3-L9</f>
        <v>3</v>
      </c>
      <c r="M15">
        <f t="shared" si="5"/>
        <v>2</v>
      </c>
      <c r="N15">
        <f t="shared" si="5"/>
        <v>8</v>
      </c>
      <c r="O15">
        <f t="shared" si="5"/>
        <v>9</v>
      </c>
      <c r="P15">
        <f t="shared" si="5"/>
        <v>34</v>
      </c>
      <c r="Q15">
        <f t="shared" si="5"/>
        <v>55</v>
      </c>
      <c r="R15">
        <f t="shared" si="5"/>
        <v>98</v>
      </c>
      <c r="S15">
        <f t="shared" si="5"/>
        <v>111</v>
      </c>
      <c r="T15">
        <f>SUM(L$15:S$15)</f>
        <v>320</v>
      </c>
    </row>
    <row r="16" spans="1:27" x14ac:dyDescent="0.2">
      <c r="A16">
        <v>15</v>
      </c>
      <c r="B16" s="22">
        <f ca="1">Data!AL15</f>
        <v>46004</v>
      </c>
      <c r="C16">
        <f ca="1">IFERROR(IF(OFFSET(_xlfn.XLOOKUP(B16,Kuponger!E:E,Kuponger!Q:Q),15,18)=0,"",OFFSET(_xlfn.XLOOKUP(B16,Kuponger!E:E,Kuponger!Q:Q),15,18)),"")</f>
        <v>460</v>
      </c>
      <c r="D16">
        <f ca="1">IFERROR(IF(OFFSET(_xlfn.XLOOKUP(B16,Kuponger!E:E,Kuponger!Q:Q),15,19)=0,"",OFFSET(_xlfn.XLOOKUP(B16,Kuponger!E:E,Kuponger!Q:Q),15,19)),"")</f>
        <v>40</v>
      </c>
      <c r="E16">
        <f ca="1">IFERROR(IF(OFFSET(_xlfn.XLOOKUP(B16,Kuponger!E:E,Kuponger!Q:Q),15,20)=0,"",OFFSET(_xlfn.XLOOKUP(B16,Kuponger!E:E,Kuponger!Q:Q),15,20)),"")</f>
        <v>40</v>
      </c>
      <c r="F16" t="str">
        <f ca="1">IFERROR(IF(OFFSET(_xlfn.XLOOKUP(B16,Kuponger!E:E,Kuponger!Q:Q),1,20)=0,"",OFFSET(_xlfn.XLOOKUP(B16,Kuponger!E:E,Kuponger!Q:Q),1,20))*-1,"")</f>
        <v/>
      </c>
      <c r="G16">
        <f t="shared" ca="1" si="0"/>
        <v>540</v>
      </c>
      <c r="H16">
        <f ca="1">IFERROR(IF(OFFSET(_xlfn.XLOOKUP(B16,Kuponger!E:E,Kuponger!Q:Q),1,19)="","",OFFSET(_xlfn.XLOOKUP(B16,Kuponger!E:E,Kuponger!Q:Q),1,19)),"")</f>
        <v>7</v>
      </c>
      <c r="I16" s="3">
        <f ca="1">IFERROR(t_eb[[#This Row],[tp]]-G15,"")</f>
        <v>40</v>
      </c>
      <c r="K16" s="801" t="str">
        <f>K10</f>
        <v>Borte</v>
      </c>
      <c r="L16">
        <f>L4-L10</f>
        <v>16</v>
      </c>
      <c r="M16">
        <f t="shared" si="5"/>
        <v>9</v>
      </c>
      <c r="N16">
        <f t="shared" si="5"/>
        <v>14</v>
      </c>
      <c r="O16">
        <f t="shared" si="5"/>
        <v>12</v>
      </c>
      <c r="P16">
        <f t="shared" si="5"/>
        <v>32</v>
      </c>
      <c r="Q16">
        <f t="shared" si="5"/>
        <v>23</v>
      </c>
      <c r="R16">
        <f t="shared" si="5"/>
        <v>53</v>
      </c>
      <c r="S16">
        <f t="shared" si="5"/>
        <v>113</v>
      </c>
      <c r="T16">
        <f>SUM(L$16:S$16)</f>
        <v>272</v>
      </c>
    </row>
    <row r="17" spans="1:20" x14ac:dyDescent="0.2">
      <c r="A17">
        <v>16</v>
      </c>
      <c r="B17" s="22">
        <f ca="1">Data!AL16</f>
        <v>46032</v>
      </c>
      <c r="C17">
        <f ca="1">IFERROR(IF(OFFSET(_xlfn.XLOOKUP(B17,Kuponger!E:E,Kuponger!Q:Q),15,18)=0,"",OFFSET(_xlfn.XLOOKUP(B17,Kuponger!E:E,Kuponger!Q:Q),15,18)),"")</f>
        <v>380</v>
      </c>
      <c r="D17">
        <f ca="1">IFERROR(IF(OFFSET(_xlfn.XLOOKUP(B17,Kuponger!E:E,Kuponger!Q:Q),15,19)=0,"",OFFSET(_xlfn.XLOOKUP(B17,Kuponger!E:E,Kuponger!Q:Q),15,19)),"")</f>
        <v>50</v>
      </c>
      <c r="E17">
        <f ca="1">IFERROR(IF(OFFSET(_xlfn.XLOOKUP(B17,Kuponger!E:E,Kuponger!Q:Q),15,20)=0,"",OFFSET(_xlfn.XLOOKUP(B17,Kuponger!E:E,Kuponger!Q:Q),15,20)),"")</f>
        <v>210</v>
      </c>
      <c r="F17" t="str">
        <f ca="1">IFERROR(IF(OFFSET(_xlfn.XLOOKUP(B17,Kuponger!E:E,Kuponger!Q:Q),1,20)=0,"",OFFSET(_xlfn.XLOOKUP(B17,Kuponger!E:E,Kuponger!Q:Q),1,20))*-1,"")</f>
        <v/>
      </c>
      <c r="G17">
        <f t="shared" ca="1" si="0"/>
        <v>640</v>
      </c>
      <c r="H17">
        <f ca="1">IFERROR(IF(OFFSET(_xlfn.XLOOKUP(B17,Kuponger!E:E,Kuponger!Q:Q),1,19)="","",OFFSET(_xlfn.XLOOKUP(B17,Kuponger!E:E,Kuponger!Q:Q),1,19)),"")</f>
        <v>3</v>
      </c>
      <c r="I17" s="3">
        <f ca="1">IFERROR(t_eb[[#This Row],[tp]]-G16,"")</f>
        <v>100</v>
      </c>
      <c r="K17" s="801" t="str">
        <f>K13</f>
        <v>Antall misser</v>
      </c>
      <c r="L17">
        <f>SUM(L$14:L$16)</f>
        <v>51</v>
      </c>
      <c r="M17">
        <f t="shared" ref="M17:S17" si="6">SUM(M$14:M$16)</f>
        <v>34</v>
      </c>
      <c r="N17">
        <f t="shared" si="6"/>
        <v>40</v>
      </c>
      <c r="O17">
        <f t="shared" si="6"/>
        <v>39</v>
      </c>
      <c r="P17">
        <f t="shared" si="6"/>
        <v>96</v>
      </c>
      <c r="Q17">
        <f t="shared" si="6"/>
        <v>113</v>
      </c>
      <c r="R17">
        <f t="shared" si="6"/>
        <v>180</v>
      </c>
      <c r="S17">
        <f t="shared" si="6"/>
        <v>247</v>
      </c>
      <c r="T17">
        <f>SUM(L$17:S$17)</f>
        <v>800</v>
      </c>
    </row>
    <row r="18" spans="1:20" x14ac:dyDescent="0.2">
      <c r="A18">
        <v>17</v>
      </c>
      <c r="B18" s="22">
        <f ca="1">Data!AL17</f>
        <v>46039</v>
      </c>
      <c r="C18">
        <f ca="1">IFERROR(IF(OFFSET(_xlfn.XLOOKUP(B18,Kuponger!E:E,Kuponger!Q:Q),15,18)=0,"",OFFSET(_xlfn.XLOOKUP(B18,Kuponger!E:E,Kuponger!Q:Q),15,18)),"")</f>
        <v>240</v>
      </c>
      <c r="D18">
        <f ca="1">IFERROR(IF(OFFSET(_xlfn.XLOOKUP(B18,Kuponger!E:E,Kuponger!Q:Q),15,19)=0,"",OFFSET(_xlfn.XLOOKUP(B18,Kuponger!E:E,Kuponger!Q:Q),15,19)),"")</f>
        <v>60</v>
      </c>
      <c r="E18">
        <f ca="1">IFERROR(IF(OFFSET(_xlfn.XLOOKUP(B18,Kuponger!E:E,Kuponger!Q:Q),15,20)=0,"",OFFSET(_xlfn.XLOOKUP(B18,Kuponger!E:E,Kuponger!Q:Q),15,20)),"")</f>
        <v>110</v>
      </c>
      <c r="F18" t="str">
        <f ca="1">IFERROR(IF(OFFSET(_xlfn.XLOOKUP(B18,Kuponger!E:E,Kuponger!Q:Q),1,20)=0,"",OFFSET(_xlfn.XLOOKUP(B18,Kuponger!E:E,Kuponger!Q:Q),1,20))*-1,"")</f>
        <v/>
      </c>
      <c r="G18">
        <f t="shared" ca="1" si="0"/>
        <v>410</v>
      </c>
      <c r="H18">
        <f ca="1">IFERROR(IF(OFFSET(_xlfn.XLOOKUP(B18,Kuponger!E:E,Kuponger!Q:Q),1,19)="","",OFFSET(_xlfn.XLOOKUP(B18,Kuponger!E:E,Kuponger!Q:Q),1,19)),"")</f>
        <v>4</v>
      </c>
      <c r="I18" s="3">
        <f ca="1">IFERROR(t_eb[[#This Row],[tp]]-G17,"")</f>
        <v>-230</v>
      </c>
      <c r="K18" s="4"/>
    </row>
    <row r="19" spans="1:20" x14ac:dyDescent="0.2">
      <c r="A19">
        <v>18</v>
      </c>
      <c r="B19" s="22">
        <f ca="1">Data!AL18</f>
        <v>46046</v>
      </c>
      <c r="C19">
        <f ca="1">IFERROR(IF(OFFSET(_xlfn.XLOOKUP(B19,Kuponger!E:E,Kuponger!Q:Q),15,18)=0,"",OFFSET(_xlfn.XLOOKUP(B19,Kuponger!E:E,Kuponger!Q:Q),15,18)),"")</f>
        <v>360</v>
      </c>
      <c r="D19">
        <f ca="1">IFERROR(IF(OFFSET(_xlfn.XLOOKUP(B19,Kuponger!E:E,Kuponger!Q:Q),15,19)=0,"",OFFSET(_xlfn.XLOOKUP(B19,Kuponger!E:E,Kuponger!Q:Q),15,19)),"")</f>
        <v>100</v>
      </c>
      <c r="E19">
        <f ca="1">IFERROR(IF(OFFSET(_xlfn.XLOOKUP(B19,Kuponger!E:E,Kuponger!Q:Q),15,20)=0,"",OFFSET(_xlfn.XLOOKUP(B19,Kuponger!E:E,Kuponger!Q:Q),15,20)),"")</f>
        <v>40</v>
      </c>
      <c r="F19" t="str">
        <f ca="1">IFERROR(IF(OFFSET(_xlfn.XLOOKUP(B19,Kuponger!E:E,Kuponger!Q:Q),1,20)=0,"",OFFSET(_xlfn.XLOOKUP(B19,Kuponger!E:E,Kuponger!Q:Q),1,20))*-1,"")</f>
        <v/>
      </c>
      <c r="G19">
        <f t="shared" ca="1" si="0"/>
        <v>500</v>
      </c>
      <c r="H19">
        <f ca="1">IFERROR(IF(OFFSET(_xlfn.XLOOKUP(B19,Kuponger!E:E,Kuponger!Q:Q),1,19)="","",OFFSET(_xlfn.XLOOKUP(B19,Kuponger!E:E,Kuponger!Q:Q),1,19)),"")</f>
        <v>2</v>
      </c>
      <c r="I19" s="3">
        <f ca="1">IFERROR(t_eb[[#This Row],[tp]]-G18,"")</f>
        <v>90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IFERROR(IF(OFFSET(_xlfn.XLOOKUP(B20,Kuponger!E:E,Kuponger!Q:Q),15,18)=0,"",OFFSET(_xlfn.XLOOKUP(B20,Kuponger!E:E,Kuponger!Q:Q),15,18)),"")</f>
        <v>270</v>
      </c>
      <c r="D20">
        <f ca="1">IFERROR(IF(OFFSET(_xlfn.XLOOKUP(B20,Kuponger!E:E,Kuponger!Q:Q),15,19)=0,"",OFFSET(_xlfn.XLOOKUP(B20,Kuponger!E:E,Kuponger!Q:Q),15,19)),"")</f>
        <v>60</v>
      </c>
      <c r="E20">
        <f ca="1">IFERROR(IF(OFFSET(_xlfn.XLOOKUP(B20,Kuponger!E:E,Kuponger!Q:Q),15,20)=0,"",OFFSET(_xlfn.XLOOKUP(B20,Kuponger!E:E,Kuponger!Q:Q),15,20)),"")</f>
        <v>150</v>
      </c>
      <c r="F20" t="str">
        <f ca="1">IFERROR(IF(OFFSET(_xlfn.XLOOKUP(B20,Kuponger!E:E,Kuponger!Q:Q),1,20)=0,"",OFFSET(_xlfn.XLOOKUP(B20,Kuponger!E:E,Kuponger!Q:Q),1,20))*-1,"")</f>
        <v/>
      </c>
      <c r="G20">
        <f t="shared" ca="1" si="0"/>
        <v>480</v>
      </c>
      <c r="H20">
        <f ca="1">IFERROR(IF(OFFSET(_xlfn.XLOOKUP(B20,Kuponger!E:E,Kuponger!Q:Q),1,19)="","",OFFSET(_xlfn.XLOOKUP(B20,Kuponger!E:E,Kuponger!Q:Q),1,19)),"")</f>
        <v>6</v>
      </c>
      <c r="I20" s="3">
        <f ca="1">IFERROR(t_eb[[#This Row],[tp]]-G19,"")</f>
        <v>-20</v>
      </c>
      <c r="K20" s="801" t="str">
        <f>K8</f>
        <v>Hjemme</v>
      </c>
      <c r="L20">
        <f>L$8*L$19</f>
        <v>5280</v>
      </c>
      <c r="M20">
        <f t="shared" ref="M20:S20" si="8">M$8*M$19</f>
        <v>1470</v>
      </c>
      <c r="N20">
        <f t="shared" si="8"/>
        <v>900</v>
      </c>
      <c r="O20">
        <f t="shared" si="8"/>
        <v>450</v>
      </c>
      <c r="P20">
        <f t="shared" si="8"/>
        <v>680</v>
      </c>
      <c r="Q20">
        <f t="shared" si="8"/>
        <v>540</v>
      </c>
      <c r="R20">
        <f t="shared" si="8"/>
        <v>340</v>
      </c>
      <c r="S20">
        <f t="shared" si="8"/>
        <v>130</v>
      </c>
      <c r="T20">
        <f>SUM(L$20:S$20)</f>
        <v>9790</v>
      </c>
    </row>
    <row r="21" spans="1:20" x14ac:dyDescent="0.2">
      <c r="A21">
        <v>20</v>
      </c>
      <c r="B21" s="22">
        <f ca="1">Data!AL20</f>
        <v>46060</v>
      </c>
      <c r="C21">
        <f ca="1">IFERROR(IF(OFFSET(_xlfn.XLOOKUP(B21,Kuponger!E:E,Kuponger!Q:Q),15,18)=0,"",OFFSET(_xlfn.XLOOKUP(B21,Kuponger!E:E,Kuponger!Q:Q),15,18)),"")</f>
        <v>230</v>
      </c>
      <c r="D21">
        <f ca="1">IFERROR(IF(OFFSET(_xlfn.XLOOKUP(B21,Kuponger!E:E,Kuponger!Q:Q),15,19)=0,"",OFFSET(_xlfn.XLOOKUP(B21,Kuponger!E:E,Kuponger!Q:Q),15,19)),"")</f>
        <v>90</v>
      </c>
      <c r="E21">
        <f ca="1">IFERROR(IF(OFFSET(_xlfn.XLOOKUP(B21,Kuponger!E:E,Kuponger!Q:Q),15,20)=0,"",OFFSET(_xlfn.XLOOKUP(B21,Kuponger!E:E,Kuponger!Q:Q),15,20)),"")</f>
        <v>230</v>
      </c>
      <c r="F21" t="str">
        <f ca="1">IFERROR(IF(OFFSET(_xlfn.XLOOKUP(B21,Kuponger!E:E,Kuponger!Q:Q),1,20)=0,"",OFFSET(_xlfn.XLOOKUP(B21,Kuponger!E:E,Kuponger!Q:Q),1,20))*-1,"")</f>
        <v/>
      </c>
      <c r="G21">
        <f t="shared" ca="1" si="0"/>
        <v>550</v>
      </c>
      <c r="H21">
        <f ca="1">IFERROR(IF(OFFSET(_xlfn.XLOOKUP(B21,Kuponger!E:E,Kuponger!Q:Q),1,19)="","",OFFSET(_xlfn.XLOOKUP(B21,Kuponger!E:E,Kuponger!Q:Q),1,19)),"")</f>
        <v>1</v>
      </c>
      <c r="I21" s="3">
        <f ca="1">IFERROR(t_eb[[#This Row],[tp]]-G20,"")</f>
        <v>70</v>
      </c>
      <c r="K21" s="801" t="str">
        <f>K9</f>
        <v>Uavgjort</v>
      </c>
      <c r="L21">
        <f>L$9*L$19</f>
        <v>0</v>
      </c>
      <c r="M21">
        <f t="shared" ref="M21:S21" si="9">M$9*M$19</f>
        <v>0</v>
      </c>
      <c r="N21">
        <f t="shared" si="9"/>
        <v>0</v>
      </c>
      <c r="O21">
        <f t="shared" si="9"/>
        <v>50</v>
      </c>
      <c r="P21">
        <f t="shared" si="9"/>
        <v>440</v>
      </c>
      <c r="Q21">
        <f t="shared" si="9"/>
        <v>420</v>
      </c>
      <c r="R21">
        <f t="shared" si="9"/>
        <v>700</v>
      </c>
      <c r="S21">
        <f t="shared" si="9"/>
        <v>280</v>
      </c>
      <c r="T21">
        <f>SUM(L$21:S$21)</f>
        <v>1890</v>
      </c>
    </row>
    <row r="22" spans="1:20" x14ac:dyDescent="0.2">
      <c r="A22">
        <v>21</v>
      </c>
      <c r="B22" s="22">
        <f ca="1">Data!AL21</f>
        <v>46067</v>
      </c>
      <c r="C22">
        <f ca="1">IFERROR(IF(OFFSET(_xlfn.XLOOKUP(B22,Kuponger!E:E,Kuponger!Q:Q),15,18)=0,"",OFFSET(_xlfn.XLOOKUP(B22,Kuponger!E:E,Kuponger!Q:Q),15,18)),"")</f>
        <v>340</v>
      </c>
      <c r="D22">
        <f ca="1">IFERROR(IF(OFFSET(_xlfn.XLOOKUP(B22,Kuponger!E:E,Kuponger!Q:Q),15,19)=0,"",OFFSET(_xlfn.XLOOKUP(B22,Kuponger!E:E,Kuponger!Q:Q),15,19)),"")</f>
        <v>70</v>
      </c>
      <c r="E22">
        <f ca="1">IFERROR(IF(OFFSET(_xlfn.XLOOKUP(B22,Kuponger!E:E,Kuponger!Q:Q),15,20)=0,"",OFFSET(_xlfn.XLOOKUP(B22,Kuponger!E:E,Kuponger!Q:Q),15,20)),"")</f>
        <v>60</v>
      </c>
      <c r="F22" t="str">
        <f ca="1">IFERROR(IF(OFFSET(_xlfn.XLOOKUP(B22,Kuponger!E:E,Kuponger!Q:Q),1,20)=0,"",OFFSET(_xlfn.XLOOKUP(B22,Kuponger!E:E,Kuponger!Q:Q),1,20))*-1,"")</f>
        <v/>
      </c>
      <c r="G22">
        <f t="shared" ca="1" si="0"/>
        <v>470</v>
      </c>
      <c r="H22">
        <f ca="1">IFERROR(IF(OFFSET(_xlfn.XLOOKUP(B22,Kuponger!E:E,Kuponger!Q:Q),1,19)="","",OFFSET(_xlfn.XLOOKUP(B22,Kuponger!E:E,Kuponger!Q:Q),1,19)),"")</f>
        <v>3</v>
      </c>
      <c r="I22" s="3">
        <f ca="1">IFERROR(t_eb[[#This Row],[tp]]-G21,"")</f>
        <v>-80</v>
      </c>
      <c r="K22" s="801" t="str">
        <f>K10</f>
        <v>Borte</v>
      </c>
      <c r="L22">
        <f>L$10*L$19</f>
        <v>960</v>
      </c>
      <c r="M22">
        <f t="shared" ref="M22:S22" si="10">M$10*M$19</f>
        <v>140</v>
      </c>
      <c r="N22">
        <f t="shared" si="10"/>
        <v>540</v>
      </c>
      <c r="O22">
        <f t="shared" si="10"/>
        <v>600</v>
      </c>
      <c r="P22">
        <f t="shared" si="10"/>
        <v>760</v>
      </c>
      <c r="Q22">
        <f t="shared" si="10"/>
        <v>540</v>
      </c>
      <c r="R22">
        <f t="shared" si="10"/>
        <v>460</v>
      </c>
      <c r="S22">
        <f t="shared" si="10"/>
        <v>240</v>
      </c>
      <c r="T22">
        <f>SUM(L$22:S$22)</f>
        <v>4240</v>
      </c>
    </row>
    <row r="23" spans="1:20" x14ac:dyDescent="0.2">
      <c r="A23">
        <v>22</v>
      </c>
      <c r="B23" s="22">
        <f ca="1">Data!AL22</f>
        <v>46074</v>
      </c>
      <c r="C23">
        <f ca="1">IFERROR(IF(OFFSET(_xlfn.XLOOKUP(B23,Kuponger!E:E,Kuponger!Q:Q),15,18)=0,"",OFFSET(_xlfn.XLOOKUP(B23,Kuponger!E:E,Kuponger!Q:Q),15,18)),"")</f>
        <v>140</v>
      </c>
      <c r="D23">
        <f ca="1">IFERROR(IF(OFFSET(_xlfn.XLOOKUP(B23,Kuponger!E:E,Kuponger!Q:Q),15,19)=0,"",OFFSET(_xlfn.XLOOKUP(B23,Kuponger!E:E,Kuponger!Q:Q),15,19)),"")</f>
        <v>100</v>
      </c>
      <c r="E23">
        <f ca="1">IFERROR(IF(OFFSET(_xlfn.XLOOKUP(B23,Kuponger!E:E,Kuponger!Q:Q),15,20)=0,"",OFFSET(_xlfn.XLOOKUP(B23,Kuponger!E:E,Kuponger!Q:Q),15,20)),"")</f>
        <v>70</v>
      </c>
      <c r="F23" t="str">
        <f ca="1">IFERROR(IF(OFFSET(_xlfn.XLOOKUP(B23,Kuponger!E:E,Kuponger!Q:Q),1,20)=0,"",OFFSET(_xlfn.XLOOKUP(B23,Kuponger!E:E,Kuponger!Q:Q),1,20))*-1,"")</f>
        <v/>
      </c>
      <c r="G23">
        <f t="shared" ca="1" si="0"/>
        <v>310</v>
      </c>
      <c r="H23">
        <f ca="1">IFERROR(IF(OFFSET(_xlfn.XLOOKUP(B23,Kuponger!E:E,Kuponger!Q:Q),1,19)="","",OFFSET(_xlfn.XLOOKUP(B23,Kuponger!E:E,Kuponger!Q:Q),1,19)),"")</f>
        <v>7</v>
      </c>
      <c r="I23" s="3">
        <f ca="1">IFERROR(t_eb[[#This Row],[tp]]-G22,"")</f>
        <v>-160</v>
      </c>
      <c r="K23" s="801" t="str">
        <f>K19</f>
        <v>Treff poeng</v>
      </c>
      <c r="L23">
        <f>SUM(L20:L22)</f>
        <v>6240</v>
      </c>
      <c r="M23">
        <f t="shared" ref="M23:S23" si="11">SUM(M20:M22)</f>
        <v>1610</v>
      </c>
      <c r="N23">
        <f t="shared" si="11"/>
        <v>1440</v>
      </c>
      <c r="O23">
        <f t="shared" si="11"/>
        <v>1100</v>
      </c>
      <c r="P23">
        <f t="shared" si="11"/>
        <v>1880</v>
      </c>
      <c r="Q23">
        <f t="shared" si="11"/>
        <v>1500</v>
      </c>
      <c r="R23">
        <f t="shared" si="11"/>
        <v>1500</v>
      </c>
      <c r="S23">
        <f t="shared" si="11"/>
        <v>650</v>
      </c>
      <c r="T23">
        <f>SUM(L$23:S$23)</f>
        <v>15920</v>
      </c>
    </row>
    <row r="24" spans="1:20" x14ac:dyDescent="0.2">
      <c r="A24">
        <v>23</v>
      </c>
      <c r="B24" s="22">
        <f ca="1">Data!AL23</f>
        <v>46081</v>
      </c>
      <c r="C24">
        <f ca="1">IFERROR(IF(OFFSET(_xlfn.XLOOKUP(B24,Kuponger!E:E,Kuponger!Q:Q),15,18)=0,"",OFFSET(_xlfn.XLOOKUP(B24,Kuponger!E:E,Kuponger!Q:Q),15,18)),"")</f>
        <v>370</v>
      </c>
      <c r="D24" t="str">
        <f ca="1">IFERROR(IF(OFFSET(_xlfn.XLOOKUP(B24,Kuponger!E:E,Kuponger!Q:Q),15,19)=0,"",OFFSET(_xlfn.XLOOKUP(B24,Kuponger!E:E,Kuponger!Q:Q),15,19)),"")</f>
        <v/>
      </c>
      <c r="E24">
        <f ca="1">IFERROR(IF(OFFSET(_xlfn.XLOOKUP(B24,Kuponger!E:E,Kuponger!Q:Q),15,20)=0,"",OFFSET(_xlfn.XLOOKUP(B24,Kuponger!E:E,Kuponger!Q:Q),15,20)),"")</f>
        <v>230</v>
      </c>
      <c r="F24" t="str">
        <f ca="1">IFERROR(IF(OFFSET(_xlfn.XLOOKUP(B24,Kuponger!E:E,Kuponger!Q:Q),1,20)=0,"",OFFSET(_xlfn.XLOOKUP(B24,Kuponger!E:E,Kuponger!Q:Q),1,20))*-1,"")</f>
        <v/>
      </c>
      <c r="G24">
        <f t="shared" ca="1" si="0"/>
        <v>600</v>
      </c>
      <c r="H24">
        <f ca="1">IFERROR(IF(OFFSET(_xlfn.XLOOKUP(B24,Kuponger!E:E,Kuponger!Q:Q),1,19)="","",OFFSET(_xlfn.XLOOKUP(B24,Kuponger!E:E,Kuponger!Q:Q),1,19)),"")</f>
        <v>5</v>
      </c>
      <c r="I24" s="3">
        <f ca="1">IFERROR(t_eb[[#This Row],[tp]]-G23,"")</f>
        <v>290</v>
      </c>
      <c r="K24" s="4"/>
    </row>
    <row r="25" spans="1:20" x14ac:dyDescent="0.2">
      <c r="A25">
        <v>24</v>
      </c>
      <c r="B25" s="22">
        <f ca="1">Data!AL24</f>
        <v>46088</v>
      </c>
      <c r="C25">
        <f ca="1">IFERROR(IF(OFFSET(_xlfn.XLOOKUP(B25,Kuponger!E:E,Kuponger!Q:Q),15,18)=0,"",OFFSET(_xlfn.XLOOKUP(B25,Kuponger!E:E,Kuponger!Q:Q),15,18)),"")</f>
        <v>170</v>
      </c>
      <c r="D25">
        <f ca="1">IFERROR(IF(OFFSET(_xlfn.XLOOKUP(B25,Kuponger!E:E,Kuponger!Q:Q),15,19)=0,"",OFFSET(_xlfn.XLOOKUP(B25,Kuponger!E:E,Kuponger!Q:Q),15,19)),"")</f>
        <v>50</v>
      </c>
      <c r="E25">
        <f ca="1">IFERROR(IF(OFFSET(_xlfn.XLOOKUP(B25,Kuponger!E:E,Kuponger!Q:Q),15,20)=0,"",OFFSET(_xlfn.XLOOKUP(B25,Kuponger!E:E,Kuponger!Q:Q),15,20)),"")</f>
        <v>200</v>
      </c>
      <c r="F25" t="str">
        <f ca="1">IFERROR(IF(OFFSET(_xlfn.XLOOKUP(B25,Kuponger!E:E,Kuponger!Q:Q),1,20)=0,"",OFFSET(_xlfn.XLOOKUP(B25,Kuponger!E:E,Kuponger!Q:Q),1,20))*-1,"")</f>
        <v/>
      </c>
      <c r="G25">
        <f t="shared" ca="1" si="0"/>
        <v>420</v>
      </c>
      <c r="H25">
        <f ca="1">IFERROR(IF(OFFSET(_xlfn.XLOOKUP(B25,Kuponger!E:E,Kuponger!Q:Q),1,19)="","",OFFSET(_xlfn.XLOOKUP(B25,Kuponger!E:E,Kuponger!Q:Q),1,19)),"")</f>
        <v>9</v>
      </c>
      <c r="I25" s="3">
        <f ca="1">IFERROR(t_eb[[#This Row],[tp]]-G24,"")</f>
        <v>-180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IFERROR(IF(OFFSET(_xlfn.XLOOKUP(B26,Kuponger!E:E,Kuponger!Q:Q),15,18)=0,"",OFFSET(_xlfn.XLOOKUP(B26,Kuponger!E:E,Kuponger!Q:Q),15,18)),"")</f>
        <v>230</v>
      </c>
      <c r="D26">
        <f ca="1">IFERROR(IF(OFFSET(_xlfn.XLOOKUP(B26,Kuponger!E:E,Kuponger!Q:Q),15,19)=0,"",OFFSET(_xlfn.XLOOKUP(B26,Kuponger!E:E,Kuponger!Q:Q),15,19)),"")</f>
        <v>70</v>
      </c>
      <c r="E26">
        <f ca="1">IFERROR(IF(OFFSET(_xlfn.XLOOKUP(B26,Kuponger!E:E,Kuponger!Q:Q),15,20)=0,"",OFFSET(_xlfn.XLOOKUP(B26,Kuponger!E:E,Kuponger!Q:Q),15,20)),"")</f>
        <v>70</v>
      </c>
      <c r="F26" t="str">
        <f ca="1">IFERROR(IF(OFFSET(_xlfn.XLOOKUP(B26,Kuponger!E:E,Kuponger!Q:Q),1,20)=0,"",OFFSET(_xlfn.XLOOKUP(B26,Kuponger!E:E,Kuponger!Q:Q),1,20))*-1,"")</f>
        <v/>
      </c>
      <c r="G26">
        <f t="shared" ca="1" si="0"/>
        <v>370</v>
      </c>
      <c r="H26">
        <f ca="1">IFERROR(IF(OFFSET(_xlfn.XLOOKUP(B26,Kuponger!E:E,Kuponger!Q:Q),1,19)="","",OFFSET(_xlfn.XLOOKUP(B26,Kuponger!E:E,Kuponger!Q:Q),1,19)),"")</f>
        <v>6</v>
      </c>
      <c r="I26" s="3">
        <f ca="1">IFERROR(t_eb[[#This Row],[tp]]-G25,"")</f>
        <v>-50</v>
      </c>
      <c r="K26" s="801" t="str">
        <f>K8</f>
        <v>Hjemme</v>
      </c>
      <c r="L26">
        <f>L$14*L$25</f>
        <v>2560</v>
      </c>
      <c r="M26">
        <f t="shared" ref="M26:S26" si="13">M$14*M$25</f>
        <v>1610</v>
      </c>
      <c r="N26">
        <f t="shared" si="13"/>
        <v>1080</v>
      </c>
      <c r="O26">
        <f t="shared" si="13"/>
        <v>900</v>
      </c>
      <c r="P26">
        <f t="shared" si="13"/>
        <v>1200</v>
      </c>
      <c r="Q26">
        <f t="shared" si="13"/>
        <v>1050</v>
      </c>
      <c r="R26">
        <f t="shared" si="13"/>
        <v>580</v>
      </c>
      <c r="S26">
        <f t="shared" si="13"/>
        <v>230</v>
      </c>
      <c r="T26">
        <f>SUM(L$26:S$26)</f>
        <v>9210</v>
      </c>
    </row>
    <row r="27" spans="1:20" x14ac:dyDescent="0.2">
      <c r="A27">
        <v>26</v>
      </c>
      <c r="B27" s="22">
        <f ca="1">Data!AL26</f>
        <v>46102</v>
      </c>
      <c r="C27">
        <f ca="1">IFERROR(IF(OFFSET(_xlfn.XLOOKUP(B27,Kuponger!E:E,Kuponger!Q:Q),15,18)=0,"",OFFSET(_xlfn.XLOOKUP(B27,Kuponger!E:E,Kuponger!Q:Q),15,18)),"")</f>
        <v>240</v>
      </c>
      <c r="D27">
        <f ca="1">IFERROR(IF(OFFSET(_xlfn.XLOOKUP(B27,Kuponger!E:E,Kuponger!Q:Q),15,19)=0,"",OFFSET(_xlfn.XLOOKUP(B27,Kuponger!E:E,Kuponger!Q:Q),15,19)),"")</f>
        <v>50</v>
      </c>
      <c r="E27">
        <f ca="1">IFERROR(IF(OFFSET(_xlfn.XLOOKUP(B27,Kuponger!E:E,Kuponger!Q:Q),15,20)=0,"",OFFSET(_xlfn.XLOOKUP(B27,Kuponger!E:E,Kuponger!Q:Q),15,20)),"")</f>
        <v>90</v>
      </c>
      <c r="F27" t="str">
        <f ca="1">IFERROR(IF(OFFSET(_xlfn.XLOOKUP(B27,Kuponger!E:E,Kuponger!Q:Q),1,20)=0,"",OFFSET(_xlfn.XLOOKUP(B27,Kuponger!E:E,Kuponger!Q:Q),1,20))*-1,"")</f>
        <v/>
      </c>
      <c r="G27">
        <f t="shared" ca="1" si="0"/>
        <v>380</v>
      </c>
      <c r="H27">
        <f ca="1">IFERROR(IF(OFFSET(_xlfn.XLOOKUP(B27,Kuponger!E:E,Kuponger!Q:Q),1,19)="","",OFFSET(_xlfn.XLOOKUP(B27,Kuponger!E:E,Kuponger!Q:Q),1,19)),"")</f>
        <v>8</v>
      </c>
      <c r="I27" s="3">
        <f ca="1">IFERROR(t_eb[[#This Row],[tp]]-G26,"")</f>
        <v>10</v>
      </c>
      <c r="K27" s="801" t="str">
        <f>K9</f>
        <v>Uavgjort</v>
      </c>
      <c r="L27">
        <f>L$25*L$15</f>
        <v>240</v>
      </c>
      <c r="M27">
        <f t="shared" ref="M27:S27" si="14">M$25*M$15</f>
        <v>140</v>
      </c>
      <c r="N27">
        <f t="shared" si="14"/>
        <v>480</v>
      </c>
      <c r="O27">
        <f t="shared" si="14"/>
        <v>450</v>
      </c>
      <c r="P27">
        <f t="shared" si="14"/>
        <v>1360</v>
      </c>
      <c r="Q27">
        <f t="shared" si="14"/>
        <v>1650</v>
      </c>
      <c r="R27">
        <f t="shared" si="14"/>
        <v>1960</v>
      </c>
      <c r="S27">
        <f t="shared" si="14"/>
        <v>1110</v>
      </c>
      <c r="T27">
        <f>SUM(L$27:S$27)</f>
        <v>7390</v>
      </c>
    </row>
    <row r="28" spans="1:20" x14ac:dyDescent="0.2">
      <c r="A28">
        <v>27</v>
      </c>
      <c r="B28" s="22">
        <f ca="1">Data!AL27</f>
        <v>46109</v>
      </c>
      <c r="C28">
        <f ca="1">IFERROR(IF(OFFSET(_xlfn.XLOOKUP(B28,Kuponger!E:E,Kuponger!Q:Q),15,18)=0,"",OFFSET(_xlfn.XLOOKUP(B28,Kuponger!E:E,Kuponger!Q:Q),15,18)),"")</f>
        <v>400</v>
      </c>
      <c r="D28">
        <f ca="1">IFERROR(IF(OFFSET(_xlfn.XLOOKUP(B28,Kuponger!E:E,Kuponger!Q:Q),15,19)=0,"",OFFSET(_xlfn.XLOOKUP(B28,Kuponger!E:E,Kuponger!Q:Q),15,19)),"")</f>
        <v>80</v>
      </c>
      <c r="E28" t="str">
        <f ca="1">IFERROR(IF(OFFSET(_xlfn.XLOOKUP(B28,Kuponger!E:E,Kuponger!Q:Q),15,20)=0,"",OFFSET(_xlfn.XLOOKUP(B28,Kuponger!E:E,Kuponger!Q:Q),15,20)),"")</f>
        <v/>
      </c>
      <c r="F28" t="str">
        <f ca="1">IFERROR(IF(OFFSET(_xlfn.XLOOKUP(B28,Kuponger!E:E,Kuponger!Q:Q),1,20)=0,"",OFFSET(_xlfn.XLOOKUP(B28,Kuponger!E:E,Kuponger!Q:Q),1,20))*-1,"")</f>
        <v/>
      </c>
      <c r="G28">
        <f t="shared" ca="1" si="0"/>
        <v>480</v>
      </c>
      <c r="H28">
        <f ca="1">IFERROR(IF(OFFSET(_xlfn.XLOOKUP(B28,Kuponger!E:E,Kuponger!Q:Q),1,19)="","",OFFSET(_xlfn.XLOOKUP(B28,Kuponger!E:E,Kuponger!Q:Q),1,19)),"")</f>
        <v>5</v>
      </c>
      <c r="I28" s="3">
        <f ca="1">IFERROR(t_eb[[#This Row],[tp]]-G27,"")</f>
        <v>100</v>
      </c>
      <c r="K28" s="801" t="str">
        <f>K10</f>
        <v>Borte</v>
      </c>
      <c r="L28">
        <f>L$25*L$16</f>
        <v>1280</v>
      </c>
      <c r="M28">
        <f t="shared" ref="M28:S28" si="15">M$25*M$16</f>
        <v>630</v>
      </c>
      <c r="N28">
        <f t="shared" si="15"/>
        <v>840</v>
      </c>
      <c r="O28">
        <f t="shared" si="15"/>
        <v>600</v>
      </c>
      <c r="P28">
        <f t="shared" si="15"/>
        <v>1280</v>
      </c>
      <c r="Q28">
        <f t="shared" si="15"/>
        <v>690</v>
      </c>
      <c r="R28">
        <f t="shared" si="15"/>
        <v>1060</v>
      </c>
      <c r="S28">
        <f t="shared" si="15"/>
        <v>1130</v>
      </c>
      <c r="T28">
        <f>SUM(L$28:S$28)</f>
        <v>7510</v>
      </c>
    </row>
    <row r="29" spans="1:20" x14ac:dyDescent="0.2">
      <c r="A29">
        <v>28</v>
      </c>
      <c r="B29" s="22">
        <f ca="1">Data!AL28</f>
        <v>46123</v>
      </c>
      <c r="C29">
        <f ca="1">IFERROR(IF(OFFSET(_xlfn.XLOOKUP(B29,Kuponger!E:E,Kuponger!Q:Q),15,18)=0,"",OFFSET(_xlfn.XLOOKUP(B29,Kuponger!E:E,Kuponger!Q:Q),15,18)),"")</f>
        <v>270</v>
      </c>
      <c r="D29">
        <f ca="1">IFERROR(IF(OFFSET(_xlfn.XLOOKUP(B29,Kuponger!E:E,Kuponger!Q:Q),15,19)=0,"",OFFSET(_xlfn.XLOOKUP(B29,Kuponger!E:E,Kuponger!Q:Q),15,19)),"")</f>
        <v>60</v>
      </c>
      <c r="E29">
        <f ca="1">IFERROR(IF(OFFSET(_xlfn.XLOOKUP(B29,Kuponger!E:E,Kuponger!Q:Q),15,20)=0,"",OFFSET(_xlfn.XLOOKUP(B29,Kuponger!E:E,Kuponger!Q:Q),15,20)),"")</f>
        <v>120</v>
      </c>
      <c r="F29" t="str">
        <f ca="1">IFERROR(IF(OFFSET(_xlfn.XLOOKUP(B29,Kuponger!E:E,Kuponger!Q:Q),1,20)=0,"",OFFSET(_xlfn.XLOOKUP(B29,Kuponger!E:E,Kuponger!Q:Q),1,20))*-1,"")</f>
        <v/>
      </c>
      <c r="G29">
        <f t="shared" ca="1" si="0"/>
        <v>450</v>
      </c>
      <c r="H29">
        <f ca="1">IFERROR(IF(OFFSET(_xlfn.XLOOKUP(B29,Kuponger!E:E,Kuponger!Q:Q),1,19)="","",OFFSET(_xlfn.XLOOKUP(B29,Kuponger!E:E,Kuponger!Q:Q),1,19)),"")</f>
        <v>8</v>
      </c>
      <c r="I29" s="3">
        <f ca="1">IFERROR(t_eb[[#This Row],[tp]]-G28,"")</f>
        <v>-30</v>
      </c>
      <c r="K29" s="801" t="str">
        <f>K25</f>
        <v>Misset poeng</v>
      </c>
      <c r="L29">
        <f>SUM(L26:L28)</f>
        <v>4080</v>
      </c>
      <c r="M29">
        <f t="shared" ref="M29:S29" si="16">SUM(M26:M28)</f>
        <v>2380</v>
      </c>
      <c r="N29">
        <f t="shared" si="16"/>
        <v>2400</v>
      </c>
      <c r="O29">
        <f t="shared" si="16"/>
        <v>1950</v>
      </c>
      <c r="P29">
        <f t="shared" si="16"/>
        <v>3840</v>
      </c>
      <c r="Q29">
        <f t="shared" si="16"/>
        <v>3390</v>
      </c>
      <c r="R29">
        <f t="shared" si="16"/>
        <v>3600</v>
      </c>
      <c r="S29">
        <f t="shared" si="16"/>
        <v>2470</v>
      </c>
      <c r="T29">
        <f>SUM(L$29:S$29)</f>
        <v>24110</v>
      </c>
    </row>
    <row r="30" spans="1:20" x14ac:dyDescent="0.2">
      <c r="A30">
        <v>29</v>
      </c>
      <c r="B30" s="22">
        <f ca="1">Data!AL29</f>
        <v>46130</v>
      </c>
      <c r="C30">
        <f ca="1">IFERROR(IF(OFFSET(_xlfn.XLOOKUP(B30,Kuponger!E:E,Kuponger!Q:Q),15,18)=0,"",OFFSET(_xlfn.XLOOKUP(B30,Kuponger!E:E,Kuponger!Q:Q),15,18)),"")</f>
        <v>180</v>
      </c>
      <c r="D30">
        <f ca="1">IFERROR(IF(OFFSET(_xlfn.XLOOKUP(B30,Kuponger!E:E,Kuponger!Q:Q),15,19)=0,"",OFFSET(_xlfn.XLOOKUP(B30,Kuponger!E:E,Kuponger!Q:Q),15,19)),"")</f>
        <v>60</v>
      </c>
      <c r="E30">
        <f ca="1">IFERROR(IF(OFFSET(_xlfn.XLOOKUP(B30,Kuponger!E:E,Kuponger!Q:Q),15,20)=0,"",OFFSET(_xlfn.XLOOKUP(B30,Kuponger!E:E,Kuponger!Q:Q),15,20)),"")</f>
        <v>180</v>
      </c>
      <c r="F30" t="str">
        <f ca="1">IFERROR(IF(OFFSET(_xlfn.XLOOKUP(B30,Kuponger!E:E,Kuponger!Q:Q),1,20)=0,"",OFFSET(_xlfn.XLOOKUP(B30,Kuponger!E:E,Kuponger!Q:Q),1,20))*-1,"")</f>
        <v/>
      </c>
      <c r="G30">
        <f t="shared" ca="1" si="0"/>
        <v>420</v>
      </c>
      <c r="H30">
        <f ca="1">IFERROR(IF(OFFSET(_xlfn.XLOOKUP(B30,Kuponger!E:E,Kuponger!Q:Q),1,19)="","",OFFSET(_xlfn.XLOOKUP(B30,Kuponger!E:E,Kuponger!Q:Q),1,19)),"")</f>
        <v>4</v>
      </c>
      <c r="I30" s="3">
        <f ca="1">IFERROR(t_eb[[#This Row],[tp]]-G29,"")</f>
        <v>-30</v>
      </c>
    </row>
    <row r="31" spans="1:20" x14ac:dyDescent="0.2">
      <c r="A31">
        <v>30</v>
      </c>
      <c r="B31" s="22">
        <f ca="1">Data!AL30</f>
        <v>46137</v>
      </c>
      <c r="C31">
        <f ca="1">IFERROR(IF(OFFSET(_xlfn.XLOOKUP(B31,Kuponger!E:E,Kuponger!Q:Q),15,18)=0,"",OFFSET(_xlfn.XLOOKUP(B31,Kuponger!E:E,Kuponger!Q:Q),15,18)),"")</f>
        <v>270</v>
      </c>
      <c r="D31">
        <f ca="1">IFERROR(IF(OFFSET(_xlfn.XLOOKUP(B31,Kuponger!E:E,Kuponger!Q:Q),15,19)=0,"",OFFSET(_xlfn.XLOOKUP(B31,Kuponger!E:E,Kuponger!Q:Q),15,19)),"")</f>
        <v>50</v>
      </c>
      <c r="E31">
        <f ca="1">IFERROR(IF(OFFSET(_xlfn.XLOOKUP(B31,Kuponger!E:E,Kuponger!Q:Q),15,20)=0,"",OFFSET(_xlfn.XLOOKUP(B31,Kuponger!E:E,Kuponger!Q:Q),15,20)),"")</f>
        <v>220</v>
      </c>
      <c r="F31" t="str">
        <f ca="1">IFERROR(IF(OFFSET(_xlfn.XLOOKUP(B31,Kuponger!E:E,Kuponger!Q:Q),1,20)=0,"",OFFSET(_xlfn.XLOOKUP(B31,Kuponger!E:E,Kuponger!Q:Q),1,20))*-1,"")</f>
        <v/>
      </c>
      <c r="G31">
        <f t="shared" ca="1" si="0"/>
        <v>540</v>
      </c>
      <c r="H31">
        <f ca="1">IFERROR(IF(OFFSET(_xlfn.XLOOKUP(B31,Kuponger!E:E,Kuponger!Q:Q),1,19)="","",OFFSET(_xlfn.XLOOKUP(B31,Kuponger!E:E,Kuponger!Q:Q),1,19)),"")</f>
        <v>7</v>
      </c>
      <c r="I31" s="3">
        <f ca="1">IFERROR(t_eb[[#This Row],[tp]]-G30,"")</f>
        <v>120</v>
      </c>
      <c r="K31" t="s">
        <v>856</v>
      </c>
    </row>
    <row r="32" spans="1:20" x14ac:dyDescent="0.2">
      <c r="A32">
        <v>31</v>
      </c>
      <c r="B32" s="22">
        <f ca="1">Data!AL31</f>
        <v>46144</v>
      </c>
      <c r="C32">
        <f ca="1">IFERROR(IF(OFFSET(_xlfn.XLOOKUP(B32,Kuponger!E:E,Kuponger!Q:Q),15,18)=0,"",OFFSET(_xlfn.XLOOKUP(B32,Kuponger!E:E,Kuponger!Q:Q),15,18)),"")</f>
        <v>260</v>
      </c>
      <c r="D32">
        <f ca="1">IFERROR(IF(OFFSET(_xlfn.XLOOKUP(B32,Kuponger!E:E,Kuponger!Q:Q),15,19)=0,"",OFFSET(_xlfn.XLOOKUP(B32,Kuponger!E:E,Kuponger!Q:Q),15,19)),"")</f>
        <v>20</v>
      </c>
      <c r="E32">
        <f ca="1">IFERROR(IF(OFFSET(_xlfn.XLOOKUP(B32,Kuponger!E:E,Kuponger!Q:Q),15,20)=0,"",OFFSET(_xlfn.XLOOKUP(B32,Kuponger!E:E,Kuponger!Q:Q),15,20)),"")</f>
        <v>150</v>
      </c>
      <c r="F32" t="str">
        <f ca="1">IFERROR(IF(OFFSET(_xlfn.XLOOKUP(B32,Kuponger!E:E,Kuponger!Q:Q),1,20)=0,"",OFFSET(_xlfn.XLOOKUP(B32,Kuponger!E:E,Kuponger!Q:Q),1,20))*-1,"")</f>
        <v/>
      </c>
      <c r="G32">
        <f t="shared" ca="1" si="0"/>
        <v>430</v>
      </c>
      <c r="H32">
        <f ca="1">IFERROR(IF(OFFSET(_xlfn.XLOOKUP(B32,Kuponger!E:E,Kuponger!Q:Q),1,19)="","",OFFSET(_xlfn.XLOOKUP(B32,Kuponger!E:E,Kuponger!Q:Q),1,19)),"")</f>
        <v>7</v>
      </c>
      <c r="I32" s="3">
        <f ca="1">IFERROR(t_eb[[#This Row],[tp]]-G31,"")</f>
        <v>-110</v>
      </c>
      <c r="K32">
        <f>SUM(Kuponger!AP:AP)</f>
        <v>193</v>
      </c>
    </row>
    <row r="33" spans="1:14" x14ac:dyDescent="0.2">
      <c r="A33">
        <v>32</v>
      </c>
      <c r="B33" s="22">
        <f ca="1">Data!AL32</f>
        <v>46151</v>
      </c>
      <c r="C33">
        <f ca="1">IFERROR(IF(OFFSET(_xlfn.XLOOKUP(B33,Kuponger!E:E,Kuponger!Q:Q),15,18)=0,"",OFFSET(_xlfn.XLOOKUP(B33,Kuponger!E:E,Kuponger!Q:Q),15,18)),"")</f>
        <v>210</v>
      </c>
      <c r="D33">
        <f ca="1">IFERROR(IF(OFFSET(_xlfn.XLOOKUP(B33,Kuponger!E:E,Kuponger!Q:Q),15,19)=0,"",OFFSET(_xlfn.XLOOKUP(B33,Kuponger!E:E,Kuponger!Q:Q),15,19)),"")</f>
        <v>80</v>
      </c>
      <c r="E33">
        <f ca="1">IFERROR(IF(OFFSET(_xlfn.XLOOKUP(B33,Kuponger!E:E,Kuponger!Q:Q),15,20)=0,"",OFFSET(_xlfn.XLOOKUP(B33,Kuponger!E:E,Kuponger!Q:Q),15,20)),"")</f>
        <v>270</v>
      </c>
      <c r="F33" t="str">
        <f ca="1">IFERROR(IF(OFFSET(_xlfn.XLOOKUP(B33,Kuponger!E:E,Kuponger!Q:Q),1,20)=0,"",OFFSET(_xlfn.XLOOKUP(B33,Kuponger!E:E,Kuponger!Q:Q),1,20))*-1,"")</f>
        <v/>
      </c>
      <c r="G33">
        <f t="shared" ca="1" si="0"/>
        <v>560</v>
      </c>
      <c r="H33">
        <f ca="1">IFERROR(IF(OFFSET(_xlfn.XLOOKUP(B33,Kuponger!E:E,Kuponger!Q:Q),1,19)="","",OFFSET(_xlfn.XLOOKUP(B33,Kuponger!E:E,Kuponger!Q:Q),1,19)),"")</f>
        <v>5</v>
      </c>
      <c r="I33" s="3">
        <f ca="1">IFERROR(t_eb[[#This Row],[tp]]-G32,"")</f>
        <v>130</v>
      </c>
    </row>
    <row r="34" spans="1:14" x14ac:dyDescent="0.2">
      <c r="A34">
        <v>33</v>
      </c>
      <c r="B34" s="22" t="str">
        <f ca="1">Data!AL33</f>
        <v/>
      </c>
      <c r="C34" t="str">
        <f ca="1">IFERROR(IF(OFFSET(_xlfn.XLOOKUP(B34,Kuponger!E:E,Kuponger!Q:Q),15,18)=0,"",OFFSET(_xlfn.XLOOKUP(B34,Kuponger!E:E,Kuponger!Q:Q),15,18)),"")</f>
        <v/>
      </c>
      <c r="D34" t="str">
        <f ca="1">IFERROR(IF(OFFSET(_xlfn.XLOOKUP(B34,Kuponger!E:E,Kuponger!Q:Q),15,19)=0,"",OFFSET(_xlfn.XLOOKUP(B34,Kuponger!E:E,Kuponger!Q:Q),15,19)),"")</f>
        <v/>
      </c>
      <c r="E34" t="str">
        <f ca="1">IFERROR(IF(OFFSET(_xlfn.XLOOKUP(B34,Kuponger!E:E,Kuponger!Q:Q),15,20)=0,"",OFFSET(_xlfn.XLOOKUP(B34,Kuponger!E:E,Kuponger!Q:Q),15,20)),"")</f>
        <v/>
      </c>
      <c r="F34" t="str">
        <f ca="1">IFERROR(IF(OFFSET(_xlfn.XLOOKUP(B34,Kuponger!E:E,Kuponger!Q:Q),1,20)=0,"",OFFSET(_xlfn.XLOOKUP(B34,Kuponger!E:E,Kuponger!Q:Q),1,20))*-1,"")</f>
        <v/>
      </c>
      <c r="G34" t="str">
        <f t="shared" ca="1" si="0"/>
        <v/>
      </c>
      <c r="H34" t="str">
        <f ca="1">IFERROR(IF(OFFSET(_xlfn.XLOOKUP(B34,Kuponger!E:E,Kuponger!Q:Q),1,19)="","",OFFSET(_xlfn.XLOOKUP(B34,Kuponger!E:E,Kuponger!Q:Q),1,19)),"")</f>
        <v/>
      </c>
      <c r="I34" s="3" t="str">
        <f ca="1">IFERROR(t_eb[[#This Row],[tp]]-G33,"")</f>
        <v/>
      </c>
    </row>
    <row r="35" spans="1:14" x14ac:dyDescent="0.2">
      <c r="A35">
        <v>34</v>
      </c>
      <c r="B35" s="22" t="str">
        <f ca="1">Data!AL34</f>
        <v/>
      </c>
      <c r="C35" t="str">
        <f ca="1">IFERROR(IF(OFFSET(_xlfn.XLOOKUP(B35,Kuponger!E:E,Kuponger!Q:Q),15,18)=0,"",OFFSET(_xlfn.XLOOKUP(B35,Kuponger!E:E,Kuponger!Q:Q),15,18)),"")</f>
        <v/>
      </c>
      <c r="D35" t="str">
        <f ca="1">IFERROR(IF(OFFSET(_xlfn.XLOOKUP(B35,Kuponger!E:E,Kuponger!Q:Q),15,19)=0,"",OFFSET(_xlfn.XLOOKUP(B35,Kuponger!E:E,Kuponger!Q:Q),15,19)),"")</f>
        <v/>
      </c>
      <c r="E35" t="str">
        <f ca="1">IFERROR(IF(OFFSET(_xlfn.XLOOKUP(B35,Kuponger!E:E,Kuponger!Q:Q),15,20)=0,"",OFFSET(_xlfn.XLOOKUP(B35,Kuponger!E:E,Kuponger!Q:Q),15,20)),"")</f>
        <v/>
      </c>
      <c r="F35" t="str">
        <f ca="1">IFERROR(IF(OFFSET(_xlfn.XLOOKUP(B35,Kuponger!E:E,Kuponger!Q:Q),1,20)=0,"",OFFSET(_xlfn.XLOOKUP(B35,Kuponger!E:E,Kuponger!Q:Q),1,20))*-1,"")</f>
        <v/>
      </c>
      <c r="G35" t="str">
        <f t="shared" ca="1" si="0"/>
        <v/>
      </c>
      <c r="H35" t="str">
        <f ca="1">IFERROR(IF(OFFSET(_xlfn.XLOOKUP(B35,Kuponger!E:E,Kuponger!Q:Q),1,19)="","",OFFSET(_xlfn.XLOOKUP(B35,Kuponger!E:E,Kuponger!Q:Q),1,19)),"")</f>
        <v/>
      </c>
      <c r="I35" s="3" t="str">
        <f ca="1">IFERROR(t_eb[[#This Row],[tp]]-G34,"")</f>
        <v/>
      </c>
      <c r="K35" s="2" t="s">
        <v>21</v>
      </c>
    </row>
    <row r="36" spans="1:14" x14ac:dyDescent="0.2">
      <c r="A36">
        <v>35</v>
      </c>
      <c r="B36" s="22" t="str">
        <f ca="1">Data!AL35</f>
        <v/>
      </c>
      <c r="C36" t="str">
        <f ca="1">IFERROR(IF(OFFSET(_xlfn.XLOOKUP(B36,Kuponger!E:E,Kuponger!Q:Q),15,18)=0,"",OFFSET(_xlfn.XLOOKUP(B36,Kuponger!E:E,Kuponger!Q:Q),15,18)),"")</f>
        <v/>
      </c>
      <c r="D36" t="str">
        <f ca="1">IFERROR(IF(OFFSET(_xlfn.XLOOKUP(B36,Kuponger!E:E,Kuponger!Q:Q),15,19)=0,"",OFFSET(_xlfn.XLOOKUP(B36,Kuponger!E:E,Kuponger!Q:Q),15,19)),"")</f>
        <v/>
      </c>
      <c r="E36" t="str">
        <f ca="1">IFERROR(IF(OFFSET(_xlfn.XLOOKUP(B36,Kuponger!E:E,Kuponger!Q:Q),15,20)=0,"",OFFSET(_xlfn.XLOOKUP(B36,Kuponger!E:E,Kuponger!Q:Q),15,20)),"")</f>
        <v/>
      </c>
      <c r="F36" t="str">
        <f ca="1">IFERROR(IF(OFFSET(_xlfn.XLOOKUP(B36,Kuponger!E:E,Kuponger!Q:Q),1,20)=0,"",OFFSET(_xlfn.XLOOKUP(B36,Kuponger!E:E,Kuponger!Q:Q),1,20))*-1,"")</f>
        <v/>
      </c>
      <c r="G36" t="str">
        <f t="shared" ca="1" si="0"/>
        <v/>
      </c>
      <c r="H36" t="str">
        <f ca="1">IFERROR(IF(OFFSET(_xlfn.XLOOKUP(B36,Kuponger!E:E,Kuponger!Q:Q),1,19)="","",OFFSET(_xlfn.XLOOKUP(B36,Kuponger!E:E,Kuponger!Q:Q),1,19)),"")</f>
        <v/>
      </c>
      <c r="I36" s="3" t="str">
        <f ca="1">IFERROR(t_eb[[#This Row],[tp]]-G35,"")</f>
        <v/>
      </c>
      <c r="K36" s="4" t="s">
        <v>857</v>
      </c>
      <c r="L36" s="3">
        <v>80</v>
      </c>
      <c r="M36" s="3">
        <v>70</v>
      </c>
      <c r="N36" s="3">
        <v>60</v>
      </c>
    </row>
    <row r="37" spans="1:14" x14ac:dyDescent="0.2">
      <c r="A37">
        <v>36</v>
      </c>
      <c r="B37" s="22" t="str">
        <f ca="1">Data!AL36</f>
        <v/>
      </c>
      <c r="C37" t="str">
        <f ca="1">IFERROR(IF(OFFSET(_xlfn.XLOOKUP(B37,Kuponger!E:E,Kuponger!Q:Q),15,18)=0,"",OFFSET(_xlfn.XLOOKUP(B37,Kuponger!E:E,Kuponger!Q:Q),15,18)),"")</f>
        <v/>
      </c>
      <c r="D37" t="str">
        <f ca="1">IFERROR(IF(OFFSET(_xlfn.XLOOKUP(B37,Kuponger!E:E,Kuponger!Q:Q),15,19)=0,"",OFFSET(_xlfn.XLOOKUP(B37,Kuponger!E:E,Kuponger!Q:Q),15,19)),"")</f>
        <v/>
      </c>
      <c r="E37" t="str">
        <f ca="1">IFERROR(IF(OFFSET(_xlfn.XLOOKUP(B37,Kuponger!E:E,Kuponger!Q:Q),15,20)=0,"",OFFSET(_xlfn.XLOOKUP(B37,Kuponger!E:E,Kuponger!Q:Q),15,20)),"")</f>
        <v/>
      </c>
      <c r="F37" t="str">
        <f ca="1">IFERROR(IF(OFFSET(_xlfn.XLOOKUP(B37,Kuponger!E:E,Kuponger!Q:Q),1,20)=0,"",OFFSET(_xlfn.XLOOKUP(B37,Kuponger!E:E,Kuponger!Q:Q),1,20))*-1,"")</f>
        <v/>
      </c>
      <c r="G37" t="str">
        <f t="shared" ca="1" si="0"/>
        <v/>
      </c>
      <c r="H37" t="str">
        <f ca="1">IFERROR(IF(OFFSET(_xlfn.XLOOKUP(B37,Kuponger!E:E,Kuponger!Q:Q),1,19)="","",OFFSET(_xlfn.XLOOKUP(B37,Kuponger!E:E,Kuponger!Q:Q),1,19)),"")</f>
        <v/>
      </c>
      <c r="I37" s="3" t="str">
        <f ca="1">IFERROR(t_eb[[#This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IFERROR(IF(OFFSET(_xlfn.XLOOKUP(B38,Kuponger!E:E,Kuponger!Q:Q),15,18)=0,"",OFFSET(_xlfn.XLOOKUP(B38,Kuponger!E:E,Kuponger!Q:Q),15,18)),"")</f>
        <v/>
      </c>
      <c r="D38" t="str">
        <f ca="1">IFERROR(IF(OFFSET(_xlfn.XLOOKUP(B38,Kuponger!E:E,Kuponger!Q:Q),15,19)=0,"",OFFSET(_xlfn.XLOOKUP(B38,Kuponger!E:E,Kuponger!Q:Q),15,19)),"")</f>
        <v/>
      </c>
      <c r="E38" t="str">
        <f ca="1">IFERROR(IF(OFFSET(_xlfn.XLOOKUP(B38,Kuponger!E:E,Kuponger!Q:Q),15,20)=0,"",OFFSET(_xlfn.XLOOKUP(B38,Kuponger!E:E,Kuponger!Q:Q),15,20)),"")</f>
        <v/>
      </c>
      <c r="F38" t="str">
        <f ca="1">IFERROR(IF(OFFSET(_xlfn.XLOOKUP(B38,Kuponger!E:E,Kuponger!Q:Q),1,20)=0,"",OFFSET(_xlfn.XLOOKUP(B38,Kuponger!E:E,Kuponger!Q:Q),1,20))*-1,"")</f>
        <v/>
      </c>
      <c r="G38" t="str">
        <f t="shared" ca="1" si="0"/>
        <v/>
      </c>
      <c r="H38" t="str">
        <f ca="1">IFERROR(IF(OFFSET(_xlfn.XLOOKUP(B38,Kuponger!E:E,Kuponger!Q:Q),1,19)="","",OFFSET(_xlfn.XLOOKUP(B38,Kuponger!E:E,Kuponger!Q:Q),1,19)),"")</f>
        <v/>
      </c>
      <c r="I38" s="3" t="str">
        <f ca="1">IFERROR(t_eb[[#This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IFERROR(IF(OFFSET(_xlfn.XLOOKUP(B39,Kuponger!E:E,Kuponger!Q:Q),15,18)=0,"",OFFSET(_xlfn.XLOOKUP(B39,Kuponger!E:E,Kuponger!Q:Q),15,18)),"")</f>
        <v/>
      </c>
      <c r="D39" t="str">
        <f ca="1">IFERROR(IF(OFFSET(_xlfn.XLOOKUP(B39,Kuponger!E:E,Kuponger!Q:Q),15,19)=0,"",OFFSET(_xlfn.XLOOKUP(B39,Kuponger!E:E,Kuponger!Q:Q),15,19)),"")</f>
        <v/>
      </c>
      <c r="E39" t="str">
        <f ca="1">IFERROR(IF(OFFSET(_xlfn.XLOOKUP(B39,Kuponger!E:E,Kuponger!Q:Q),15,20)=0,"",OFFSET(_xlfn.XLOOKUP(B39,Kuponger!E:E,Kuponger!Q:Q),15,20)),"")</f>
        <v/>
      </c>
      <c r="F39" t="str">
        <f ca="1">IFERROR(IF(OFFSET(_xlfn.XLOOKUP(B39,Kuponger!E:E,Kuponger!Q:Q),1,20)=0,"",OFFSET(_xlfn.XLOOKUP(B39,Kuponger!E:E,Kuponger!Q:Q),1,20))*-1,"")</f>
        <v/>
      </c>
      <c r="G39" t="str">
        <f t="shared" ca="1" si="0"/>
        <v/>
      </c>
      <c r="H39" t="str">
        <f ca="1">IFERROR(IF(OFFSET(_xlfn.XLOOKUP(B39,Kuponger!E:E,Kuponger!Q:Q),1,19)="","",OFFSET(_xlfn.XLOOKUP(B39,Kuponger!E:E,Kuponger!Q:Q),1,19)),"")</f>
        <v/>
      </c>
      <c r="I39" s="3" t="str">
        <f ca="1">IFERROR(t_eb[[#This Row],[tp]]-G38,"")</f>
        <v/>
      </c>
      <c r="K39" s="4" t="s">
        <v>860</v>
      </c>
      <c r="L39" t="str">
        <f>_xlfn.XLOOKUP(LARGE(L$14:L$16,1),L$14:L$16,$K$14:$K$16)</f>
        <v>Hjemme</v>
      </c>
      <c r="M39" t="str">
        <f>_xlfn.XLOOKUP(LARGE(M$14:M$16,1),M$14:M$16,$K$14:$K$16)</f>
        <v>Hjemme</v>
      </c>
      <c r="N39" t="str">
        <f>_xlfn.XLOOKUP(LARGE(N$14:N$16,1),N$14:N$16,$K$14:$K$16)</f>
        <v>Hjemme</v>
      </c>
    </row>
    <row r="40" spans="1:14" x14ac:dyDescent="0.2">
      <c r="A40">
        <v>39</v>
      </c>
      <c r="B40" s="22" t="str">
        <f ca="1">Data!AL39</f>
        <v/>
      </c>
      <c r="C40" t="str">
        <f ca="1">IFERROR(IF(OFFSET(_xlfn.XLOOKUP(B40,Kuponger!E:E,Kuponger!Q:Q),15,18)=0,"",OFFSET(_xlfn.XLOOKUP(B40,Kuponger!E:E,Kuponger!Q:Q),15,18)),"")</f>
        <v/>
      </c>
      <c r="D40" t="str">
        <f ca="1">IFERROR(IF(OFFSET(_xlfn.XLOOKUP(B40,Kuponger!E:E,Kuponger!Q:Q),15,19)=0,"",OFFSET(_xlfn.XLOOKUP(B40,Kuponger!E:E,Kuponger!Q:Q),15,19)),"")</f>
        <v/>
      </c>
      <c r="E40" t="str">
        <f ca="1">IFERROR(IF(OFFSET(_xlfn.XLOOKUP(B40,Kuponger!E:E,Kuponger!Q:Q),15,20)=0,"",OFFSET(_xlfn.XLOOKUP(B40,Kuponger!E:E,Kuponger!Q:Q),15,20)),"")</f>
        <v/>
      </c>
      <c r="F40" t="str">
        <f ca="1">IFERROR(IF(OFFSET(_xlfn.XLOOKUP(B40,Kuponger!E:E,Kuponger!Q:Q),1,20)=0,"",OFFSET(_xlfn.XLOOKUP(B40,Kuponger!E:E,Kuponger!Q:Q),1,20))*-1,"")</f>
        <v/>
      </c>
      <c r="G40" t="str">
        <f t="shared" ca="1" si="0"/>
        <v/>
      </c>
      <c r="H40" t="str">
        <f ca="1">IFERROR(IF(OFFSET(_xlfn.XLOOKUP(B40,Kuponger!E:E,Kuponger!Q:Q),1,19)="","",OFFSET(_xlfn.XLOOKUP(B40,Kuponger!E:E,Kuponger!Q:Q),1,19)),"")</f>
        <v/>
      </c>
      <c r="I40" s="3" t="str">
        <f ca="1">IFERROR(t_eb[[#This Row],[tp]]-G39,"")</f>
        <v/>
      </c>
    </row>
    <row r="41" spans="1:14" x14ac:dyDescent="0.2">
      <c r="A41">
        <v>40</v>
      </c>
      <c r="B41" s="22" t="str">
        <f ca="1">Data!AL40</f>
        <v/>
      </c>
      <c r="C41" t="str">
        <f ca="1">IFERROR(IF(OFFSET(_xlfn.XLOOKUP(B41,Kuponger!E:E,Kuponger!Q:Q),15,18)=0,"",OFFSET(_xlfn.XLOOKUP(B41,Kuponger!E:E,Kuponger!Q:Q),15,18)),"")</f>
        <v/>
      </c>
      <c r="D41" t="str">
        <f ca="1">IFERROR(IF(OFFSET(_xlfn.XLOOKUP(B41,Kuponger!E:E,Kuponger!Q:Q),15,19)=0,"",OFFSET(_xlfn.XLOOKUP(B41,Kuponger!E:E,Kuponger!Q:Q),15,19)),"")</f>
        <v/>
      </c>
      <c r="E41" t="str">
        <f ca="1">IFERROR(IF(OFFSET(_xlfn.XLOOKUP(B41,Kuponger!E:E,Kuponger!Q:Q),15,20)=0,"",OFFSET(_xlfn.XLOOKUP(B41,Kuponger!E:E,Kuponger!Q:Q),15,20)),"")</f>
        <v/>
      </c>
      <c r="F41" t="str">
        <f ca="1">IFERROR(IF(OFFSET(_xlfn.XLOOKUP(B41,Kuponger!E:E,Kuponger!Q:Q),1,20)=0,"",OFFSET(_xlfn.XLOOKUP(B41,Kuponger!E:E,Kuponger!Q:Q),1,20))*-1,"")</f>
        <v/>
      </c>
      <c r="G41" t="str">
        <f t="shared" ca="1" si="0"/>
        <v/>
      </c>
      <c r="H41" t="str">
        <f ca="1">IFERROR(IF(OFFSET(_xlfn.XLOOKUP(B41,Kuponger!E:E,Kuponger!Q:Q),1,19)="","",OFFSET(_xlfn.XLOOKUP(B41,Kuponger!E:E,Kuponger!Q:Q),1,19)),"")</f>
        <v/>
      </c>
      <c r="I41" s="3" t="str">
        <f ca="1">IFERROR(t_eb[[#This Row],[tp]]-G40,"")</f>
        <v/>
      </c>
      <c r="K41" s="4" t="s">
        <v>861</v>
      </c>
      <c r="L41" s="811">
        <f ca="1">IFERROR(AVERAGE(H:H),"")</f>
        <v>5.5</v>
      </c>
      <c r="N41" t="str">
        <f>K35&amp;" treffer på "&amp;TEXT((S11/S5)*100,"00,0")&amp;"% av sine 10-poengere, dvs. han bommer"</f>
        <v>EB treffer på 20,8% av sine 10-poengere, dvs. han bommer</v>
      </c>
    </row>
    <row r="42" spans="1:14" x14ac:dyDescent="0.2">
      <c r="A42">
        <v>41</v>
      </c>
      <c r="B42" s="22" t="str">
        <f ca="1">Data!AL41</f>
        <v/>
      </c>
      <c r="C42" t="str">
        <f ca="1">IFERROR(IF(OFFSET(_xlfn.XLOOKUP(B42,Kuponger!E:E,Kuponger!Q:Q),15,18)=0,"",OFFSET(_xlfn.XLOOKUP(B42,Kuponger!E:E,Kuponger!Q:Q),15,18)),"")</f>
        <v/>
      </c>
      <c r="D42" t="str">
        <f ca="1">IFERROR(IF(OFFSET(_xlfn.XLOOKUP(B42,Kuponger!E:E,Kuponger!Q:Q),15,19)=0,"",OFFSET(_xlfn.XLOOKUP(B42,Kuponger!E:E,Kuponger!Q:Q),15,19)),"")</f>
        <v/>
      </c>
      <c r="E42" t="str">
        <f ca="1">IFERROR(IF(OFFSET(_xlfn.XLOOKUP(B42,Kuponger!E:E,Kuponger!Q:Q),15,20)=0,"",OFFSET(_xlfn.XLOOKUP(B42,Kuponger!E:E,Kuponger!Q:Q),15,20)),"")</f>
        <v/>
      </c>
      <c r="F42" t="str">
        <f ca="1">IFERROR(IF(OFFSET(_xlfn.XLOOKUP(B42,Kuponger!E:E,Kuponger!Q:Q),1,20)=0,"",OFFSET(_xlfn.XLOOKUP(B42,Kuponger!E:E,Kuponger!Q:Q),1,20))*-1,"")</f>
        <v/>
      </c>
      <c r="G42" t="str">
        <f t="shared" ca="1" si="0"/>
        <v/>
      </c>
      <c r="H42" t="str">
        <f ca="1">IFERROR(IF(OFFSET(_xlfn.XLOOKUP(B42,Kuponger!E:E,Kuponger!Q:Q),1,19)="","",OFFSET(_xlfn.XLOOKUP(B42,Kuponger!E:E,Kuponger!Q:Q),1,19)),"")</f>
        <v/>
      </c>
      <c r="I42" s="3" t="str">
        <f ca="1">IFERROR(t_eb[[#This Row],[tp]]-G41,"")</f>
        <v/>
      </c>
      <c r="K42" s="4" t="s">
        <v>862</v>
      </c>
      <c r="L42" s="811">
        <f ca="1">IFERROR(AVERAGE(C:C),"")</f>
        <v>305.9375</v>
      </c>
      <c r="N42" t="str">
        <f>K35&amp;" treffer på "&amp;TEXT((L11/L5)*100,"00,0")&amp;"% av sine 80-poengere"</f>
        <v>EB treffer på 60,5% av sine 80-poengere</v>
      </c>
    </row>
    <row r="43" spans="1:14" x14ac:dyDescent="0.2">
      <c r="K43" s="4" t="s">
        <v>863</v>
      </c>
      <c r="L43" s="811">
        <f ca="1">IFERROR(AVERAGE(D:D),"")</f>
        <v>60.967741935483872</v>
      </c>
      <c r="N43" t="str">
        <f>K35&amp;" har tatt "&amp;T23&amp;" poeng så langt, men samtidig gått glipp av "&amp;T29&amp;" poeng, noe som gir en poengandel på "&amp;TEXT(L48,"0,0%")</f>
        <v>EB har tatt 15920 poeng så langt, men samtidig gått glipp av 24110 poeng, noe som gir en poengandel på 66,0%</v>
      </c>
    </row>
    <row r="44" spans="1:14" x14ac:dyDescent="0.2">
      <c r="K44" s="4" t="s">
        <v>864</v>
      </c>
      <c r="L44" s="811">
        <f ca="1">IFERROR(AVERAGE(E:E),"")</f>
        <v>141.33333333333334</v>
      </c>
    </row>
    <row r="45" spans="1:14" x14ac:dyDescent="0.2">
      <c r="K45" s="4" t="s">
        <v>865</v>
      </c>
      <c r="L45" s="810">
        <f ca="1">IFERROR(COUNTIF(F:F,"&lt;0")/COUNTIF(C:C,"&gt;0"),"")</f>
        <v>0</v>
      </c>
    </row>
    <row r="46" spans="1:14" x14ac:dyDescent="0.2">
      <c r="K46" s="4" t="s">
        <v>866</v>
      </c>
      <c r="L46" s="811">
        <f ca="1">IFERROR(AVERAGE(G:G),"")</f>
        <v>497.5</v>
      </c>
    </row>
    <row r="48" spans="1:14" x14ac:dyDescent="0.2">
      <c r="K48" s="4" t="s">
        <v>867</v>
      </c>
      <c r="L48" s="812">
        <f>(T23/T29)</f>
        <v>0.6603069265864786</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A594D-2DF8-4521-B72F-A92B32CE14F8}">
  <sheetPr codeName="Ark23"/>
  <dimension ref="A1:AA68"/>
  <sheetViews>
    <sheetView showGridLines="0" topLeftCell="T1" workbookViewId="0">
      <pane ySplit="1" topLeftCell="A37"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11" max="11" width="14.57031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IFERROR(IF(OFFSET(_xlfn.XLOOKUP(B2,Kuponger!E:E,Kuponger!Q:Q),15,27)=0,"",OFFSET(_xlfn.XLOOKUP(B2,Kuponger!E:E,Kuponger!Q:Q),15,27)),"")</f>
        <v>220</v>
      </c>
      <c r="D2">
        <f ca="1">IFERROR(IF(OFFSET(_xlfn.XLOOKUP(B2,Kuponger!E:E,Kuponger!Q:Q),15,28)=0,"",OFFSET(_xlfn.XLOOKUP(B2,Kuponger!E:E,Kuponger!Q:Q),15,28)),"")</f>
        <v>50</v>
      </c>
      <c r="E2">
        <f ca="1">IFERROR(IF(OFFSET(_xlfn.XLOOKUP(B2,Kuponger!E:E,Kuponger!Q:Q),15,29)=0,"",OFFSET(_xlfn.XLOOKUP(B2,Kuponger!E:E,Kuponger!Q:Q),15,29)),"")</f>
        <v>200</v>
      </c>
      <c r="F2" t="str">
        <f ca="1">IFERROR(IF(OFFSET(_xlfn.XLOOKUP(B2,Kuponger!E:E,Kuponger!Q:Q),1,29)=0,"",OFFSET(_xlfn.XLOOKUP(B2,Kuponger!E:E,Kuponger!Q:Q),1,29))*-1,"")</f>
        <v/>
      </c>
      <c r="G2">
        <f t="shared" ref="G2:G42" ca="1" si="0">IF(SUMIF(C2:F2,"&lt;&gt;""")=0,"",SUMIF(C2:F2,"&lt;&gt;"""))</f>
        <v>470</v>
      </c>
      <c r="H2">
        <f ca="1">IFERROR(IF(OFFSET(_xlfn.XLOOKUP(B2,Kuponger!E:E,Kuponger!Q:Q),1,28)="","",OFFSET(_xlfn.XLOOKUP(B2,Kuponger!E:E,Kuponger!Q:Q),1,28)),"")</f>
        <v>6</v>
      </c>
      <c r="I2" t="str">
        <f ca="1">IFERROR(t_kaf[[#This Row],[tp]]-G1,"")</f>
        <v/>
      </c>
      <c r="K2" s="801" t="s">
        <v>36</v>
      </c>
      <c r="L2">
        <f>COUNTIF(Kuponger!$AR:$AR,f_kaf!L$1)</f>
        <v>79</v>
      </c>
      <c r="M2">
        <f>COUNTIF(Kuponger!$AR:$AR,f_kaf!M$1)</f>
        <v>6</v>
      </c>
      <c r="N2">
        <f>COUNTIF(Kuponger!$AR:$AR,f_kaf!N$1)</f>
        <v>84</v>
      </c>
      <c r="O2">
        <f>COUNTIF(Kuponger!$AR:$AR,f_kaf!O$1)</f>
        <v>35</v>
      </c>
      <c r="P2">
        <f>COUNTIF(Kuponger!$AR:$AR,f_kaf!P$1)</f>
        <v>20</v>
      </c>
      <c r="Q2">
        <f>COUNTIF(Kuponger!$AR:$AR,f_kaf!Q$1)</f>
        <v>35</v>
      </c>
      <c r="R2">
        <f>COUNTIF(Kuponger!$AR:$AR,f_kaf!R$1)</f>
        <v>30</v>
      </c>
      <c r="S2">
        <f>COUNTIF(Kuponger!$AR:$AR,f_kaf!S$1)</f>
        <v>95</v>
      </c>
      <c r="T2">
        <f>COUNTIF(Kuponger!$AR:$AR,f_kaf!T$1)</f>
        <v>0</v>
      </c>
      <c r="W2" s="3"/>
      <c r="X2" s="3"/>
      <c r="Y2" s="3"/>
      <c r="Z2" s="3"/>
      <c r="AA2" s="3"/>
    </row>
    <row r="3" spans="1:27" x14ac:dyDescent="0.2">
      <c r="A3">
        <v>2</v>
      </c>
      <c r="B3" s="22">
        <f ca="1">Data!AL2</f>
        <v>45892</v>
      </c>
      <c r="C3">
        <f ca="1">IFERROR(IF(OFFSET(_xlfn.XLOOKUP(B3,Kuponger!E:E,Kuponger!Q:Q),15,27)=0,"",OFFSET(_xlfn.XLOOKUP(B3,Kuponger!E:E,Kuponger!Q:Q),15,27)),"")</f>
        <v>290</v>
      </c>
      <c r="D3">
        <f ca="1">IFERROR(IF(OFFSET(_xlfn.XLOOKUP(B3,Kuponger!E:E,Kuponger!Q:Q),15,28)=0,"",OFFSET(_xlfn.XLOOKUP(B3,Kuponger!E:E,Kuponger!Q:Q),15,28)),"")</f>
        <v>80</v>
      </c>
      <c r="E3">
        <f ca="1">IFERROR(IF(OFFSET(_xlfn.XLOOKUP(B3,Kuponger!E:E,Kuponger!Q:Q),15,29)=0,"",OFFSET(_xlfn.XLOOKUP(B3,Kuponger!E:E,Kuponger!Q:Q),15,29)),"")</f>
        <v>200</v>
      </c>
      <c r="F3" t="str">
        <f ca="1">IFERROR(IF(OFFSET(_xlfn.XLOOKUP(B3,Kuponger!E:E,Kuponger!Q:Q),1,29)=0,"",OFFSET(_xlfn.XLOOKUP(B3,Kuponger!E:E,Kuponger!Q:Q),1,29))*-1,"")</f>
        <v/>
      </c>
      <c r="G3">
        <f t="shared" ca="1" si="0"/>
        <v>570</v>
      </c>
      <c r="H3">
        <f ca="1">IFERROR(IF(OFFSET(_xlfn.XLOOKUP(B3,Kuponger!E:E,Kuponger!Q:Q),1,28)="","",OFFSET(_xlfn.XLOOKUP(B3,Kuponger!E:E,Kuponger!Q:Q),1,28)),"")</f>
        <v>5</v>
      </c>
      <c r="I3" s="3">
        <f ca="1">IFERROR(t_kaf[[#This Row],[tp]]-G2,"")</f>
        <v>100</v>
      </c>
      <c r="K3" s="801" t="s">
        <v>37</v>
      </c>
      <c r="L3">
        <f>COUNTIF(Kuponger!$AS:$AS,f_kaf!L$1)</f>
        <v>3</v>
      </c>
      <c r="M3">
        <f>COUNTIF(Kuponger!$AS:$AS,f_kaf!M$1)</f>
        <v>5</v>
      </c>
      <c r="N3">
        <f>COUNTIF(Kuponger!$AS:$AS,f_kaf!N$1)</f>
        <v>4</v>
      </c>
      <c r="O3">
        <f>COUNTIF(Kuponger!$AS:$AS,f_kaf!O$1)</f>
        <v>17</v>
      </c>
      <c r="P3">
        <f>COUNTIF(Kuponger!$AS:$AS,f_kaf!P$1)</f>
        <v>45</v>
      </c>
      <c r="Q3">
        <f>COUNTIF(Kuponger!$AS:$AS,f_kaf!Q$1)</f>
        <v>178</v>
      </c>
      <c r="R3">
        <f>COUNTIF(Kuponger!$AS:$AS,f_kaf!R$1)</f>
        <v>33</v>
      </c>
      <c r="S3">
        <f>COUNTIF(Kuponger!$AS:$AS,f_kaf!S$1)</f>
        <v>121</v>
      </c>
      <c r="T3">
        <f>COUNTIF(Kuponger!$AS:$AS,f_kaf!T$1)</f>
        <v>0</v>
      </c>
    </row>
    <row r="4" spans="1:27" x14ac:dyDescent="0.2">
      <c r="A4">
        <v>3</v>
      </c>
      <c r="B4" s="22">
        <f ca="1">Data!AL3</f>
        <v>45920</v>
      </c>
      <c r="C4">
        <f ca="1">IFERROR(IF(OFFSET(_xlfn.XLOOKUP(B4,Kuponger!E:E,Kuponger!Q:Q),15,27)=0,"",OFFSET(_xlfn.XLOOKUP(B4,Kuponger!E:E,Kuponger!Q:Q),15,27)),"")</f>
        <v>250</v>
      </c>
      <c r="D4">
        <f ca="1">IFERROR(IF(OFFSET(_xlfn.XLOOKUP(B4,Kuponger!E:E,Kuponger!Q:Q),15,28)=0,"",OFFSET(_xlfn.XLOOKUP(B4,Kuponger!E:E,Kuponger!Q:Q),15,28)),"")</f>
        <v>60</v>
      </c>
      <c r="E4">
        <f ca="1">IFERROR(IF(OFFSET(_xlfn.XLOOKUP(B4,Kuponger!E:E,Kuponger!Q:Q),15,29)=0,"",OFFSET(_xlfn.XLOOKUP(B4,Kuponger!E:E,Kuponger!Q:Q),15,29)),"")</f>
        <v>200</v>
      </c>
      <c r="F4" t="str">
        <f ca="1">IFERROR(IF(OFFSET(_xlfn.XLOOKUP(B4,Kuponger!E:E,Kuponger!Q:Q),1,29)=0,"",OFFSET(_xlfn.XLOOKUP(B4,Kuponger!E:E,Kuponger!Q:Q),1,29))*-1,"")</f>
        <v/>
      </c>
      <c r="G4">
        <f t="shared" ca="1" si="0"/>
        <v>510</v>
      </c>
      <c r="H4">
        <f ca="1">IFERROR(IF(OFFSET(_xlfn.XLOOKUP(B4,Kuponger!E:E,Kuponger!Q:Q),1,28)="","",OFFSET(_xlfn.XLOOKUP(B4,Kuponger!E:E,Kuponger!Q:Q),1,28)),"")</f>
        <v>3</v>
      </c>
      <c r="I4" s="3">
        <f ca="1">IFERROR(t_kaf[[#This Row],[tp]]-G3,"")</f>
        <v>-60</v>
      </c>
      <c r="K4" s="801" t="s">
        <v>38</v>
      </c>
      <c r="L4">
        <f>COUNTIF(Kuponger!$AT:$AT,f_kaf!L$1)</f>
        <v>33</v>
      </c>
      <c r="M4">
        <f>COUNTIF(Kuponger!$AT:$AT,f_kaf!M$1)</f>
        <v>7</v>
      </c>
      <c r="N4">
        <f>COUNTIF(Kuponger!$AT:$AT,f_kaf!N$1)</f>
        <v>56</v>
      </c>
      <c r="O4">
        <f>COUNTIF(Kuponger!$AT:$AT,f_kaf!O$1)</f>
        <v>39</v>
      </c>
      <c r="P4">
        <f>COUNTIF(Kuponger!$AT:$AT,f_kaf!P$1)</f>
        <v>21</v>
      </c>
      <c r="Q4">
        <f>COUNTIF(Kuponger!$AT:$AT,f_kaf!Q$1)</f>
        <v>28</v>
      </c>
      <c r="R4">
        <f>COUNTIF(Kuponger!$AT:$AT,f_kaf!R$1)</f>
        <v>25</v>
      </c>
      <c r="S4">
        <f>COUNTIF(Kuponger!$AT:$AT,f_kaf!S$1)</f>
        <v>184</v>
      </c>
      <c r="T4">
        <f>COUNTIF(Kuponger!$AT:$AT,f_kaf!T$1)</f>
        <v>0</v>
      </c>
    </row>
    <row r="5" spans="1:27" x14ac:dyDescent="0.2">
      <c r="A5">
        <v>4</v>
      </c>
      <c r="B5" s="22">
        <f ca="1">Data!AL4</f>
        <v>45927</v>
      </c>
      <c r="C5">
        <f ca="1">IFERROR(IF(OFFSET(_xlfn.XLOOKUP(B5,Kuponger!E:E,Kuponger!Q:Q),15,27)=0,"",OFFSET(_xlfn.XLOOKUP(B5,Kuponger!E:E,Kuponger!Q:Q),15,27)),"")</f>
        <v>160</v>
      </c>
      <c r="D5">
        <f ca="1">IFERROR(IF(OFFSET(_xlfn.XLOOKUP(B5,Kuponger!E:E,Kuponger!Q:Q),15,28)=0,"",OFFSET(_xlfn.XLOOKUP(B5,Kuponger!E:E,Kuponger!Q:Q),15,28)),"")</f>
        <v>150</v>
      </c>
      <c r="E5">
        <f ca="1">IFERROR(IF(OFFSET(_xlfn.XLOOKUP(B5,Kuponger!E:E,Kuponger!Q:Q),15,29)=0,"",OFFSET(_xlfn.XLOOKUP(B5,Kuponger!E:E,Kuponger!Q:Q),15,29)),"")</f>
        <v>70</v>
      </c>
      <c r="F5" t="str">
        <f ca="1">IFERROR(IF(OFFSET(_xlfn.XLOOKUP(B5,Kuponger!E:E,Kuponger!Q:Q),1,29)=0,"",OFFSET(_xlfn.XLOOKUP(B5,Kuponger!E:E,Kuponger!Q:Q),1,29))*-1,"")</f>
        <v/>
      </c>
      <c r="G5">
        <f t="shared" ca="1" si="0"/>
        <v>380</v>
      </c>
      <c r="H5">
        <f ca="1">IFERROR(IF(OFFSET(_xlfn.XLOOKUP(B5,Kuponger!E:E,Kuponger!Q:Q),1,28)="","",OFFSET(_xlfn.XLOOKUP(B5,Kuponger!E:E,Kuponger!Q:Q),1,28)),"")</f>
        <v>2</v>
      </c>
      <c r="I5" s="3">
        <f ca="1">IFERROR(t_kaf[[#This Row],[tp]]-G4,"")</f>
        <v>-130</v>
      </c>
      <c r="K5" s="801" t="str">
        <f>K1</f>
        <v>Antall Leverte</v>
      </c>
      <c r="L5">
        <f>SUM(L2:L4)</f>
        <v>115</v>
      </c>
      <c r="M5">
        <f t="shared" ref="M5:S5" si="1">SUM(M2:M4)</f>
        <v>18</v>
      </c>
      <c r="N5">
        <f t="shared" si="1"/>
        <v>144</v>
      </c>
      <c r="O5">
        <f t="shared" si="1"/>
        <v>91</v>
      </c>
      <c r="P5">
        <f t="shared" si="1"/>
        <v>86</v>
      </c>
      <c r="Q5">
        <f t="shared" si="1"/>
        <v>241</v>
      </c>
      <c r="R5">
        <f t="shared" si="1"/>
        <v>88</v>
      </c>
      <c r="S5">
        <f t="shared" si="1"/>
        <v>400</v>
      </c>
      <c r="T5">
        <f>SUM(L$5:S$5)</f>
        <v>1183</v>
      </c>
    </row>
    <row r="6" spans="1:27" x14ac:dyDescent="0.2">
      <c r="A6">
        <v>5</v>
      </c>
      <c r="B6" s="22">
        <f ca="1">Data!AL5</f>
        <v>45934</v>
      </c>
      <c r="C6">
        <f ca="1">IFERROR(IF(OFFSET(_xlfn.XLOOKUP(B6,Kuponger!E:E,Kuponger!Q:Q),15,27)=0,"",OFFSET(_xlfn.XLOOKUP(B6,Kuponger!E:E,Kuponger!Q:Q),15,27)),"")</f>
        <v>540</v>
      </c>
      <c r="D6">
        <f ca="1">IFERROR(IF(OFFSET(_xlfn.XLOOKUP(B6,Kuponger!E:E,Kuponger!Q:Q),15,28)=0,"",OFFSET(_xlfn.XLOOKUP(B6,Kuponger!E:E,Kuponger!Q:Q),15,28)),"")</f>
        <v>30</v>
      </c>
      <c r="E6">
        <f ca="1">IFERROR(IF(OFFSET(_xlfn.XLOOKUP(B6,Kuponger!E:E,Kuponger!Q:Q),15,29)=0,"",OFFSET(_xlfn.XLOOKUP(B6,Kuponger!E:E,Kuponger!Q:Q),15,29)),"")</f>
        <v>60</v>
      </c>
      <c r="F6">
        <f ca="1">IFERROR(IF(OFFSET(_xlfn.XLOOKUP(B6,Kuponger!E:E,Kuponger!Q:Q),1,29)=0,"",OFFSET(_xlfn.XLOOKUP(B6,Kuponger!E:E,Kuponger!Q:Q),1,29))*-1,"")</f>
        <v>-50</v>
      </c>
      <c r="G6">
        <f t="shared" ca="1" si="0"/>
        <v>580</v>
      </c>
      <c r="H6">
        <f ca="1">IFERROR(IF(OFFSET(_xlfn.XLOOKUP(B6,Kuponger!E:E,Kuponger!Q:Q),1,28)="","",OFFSET(_xlfn.XLOOKUP(B6,Kuponger!E:E,Kuponger!Q:Q),1,28)),"")</f>
        <v>9</v>
      </c>
      <c r="I6" s="3">
        <f ca="1">IFERROR(t_kaf[[#This Row],[tp]]-G5,"")</f>
        <v>200</v>
      </c>
    </row>
    <row r="7" spans="1:27" ht="15" x14ac:dyDescent="0.25">
      <c r="A7">
        <v>6</v>
      </c>
      <c r="B7" s="22">
        <f ca="1">Data!AL6</f>
        <v>45941</v>
      </c>
      <c r="C7">
        <f ca="1">IFERROR(IF(OFFSET(_xlfn.XLOOKUP(B7,Kuponger!E:E,Kuponger!Q:Q),15,27)=0,"",OFFSET(_xlfn.XLOOKUP(B7,Kuponger!E:E,Kuponger!Q:Q),15,27)),"")</f>
        <v>390</v>
      </c>
      <c r="D7">
        <f ca="1">IFERROR(IF(OFFSET(_xlfn.XLOOKUP(B7,Kuponger!E:E,Kuponger!Q:Q),15,28)=0,"",OFFSET(_xlfn.XLOOKUP(B7,Kuponger!E:E,Kuponger!Q:Q),15,28)),"")</f>
        <v>30</v>
      </c>
      <c r="E7">
        <f ca="1">IFERROR(IF(OFFSET(_xlfn.XLOOKUP(B7,Kuponger!E:E,Kuponger!Q:Q),15,29)=0,"",OFFSET(_xlfn.XLOOKUP(B7,Kuponger!E:E,Kuponger!Q:Q),15,29)),"")</f>
        <v>210</v>
      </c>
      <c r="F7" t="str">
        <f ca="1">IFERROR(IF(OFFSET(_xlfn.XLOOKUP(B7,Kuponger!E:E,Kuponger!Q:Q),1,29)=0,"",OFFSET(_xlfn.XLOOKUP(B7,Kuponger!E:E,Kuponger!Q:Q),1,29))*-1,"")</f>
        <v/>
      </c>
      <c r="G7">
        <f t="shared" ca="1" si="0"/>
        <v>630</v>
      </c>
      <c r="H7">
        <f ca="1">IFERROR(IF(OFFSET(_xlfn.XLOOKUP(B7,Kuponger!E:E,Kuponger!Q:Q),1,28)="","",OFFSET(_xlfn.XLOOKUP(B7,Kuponger!E:E,Kuponger!Q:Q),1,28)),"")</f>
        <v>2</v>
      </c>
      <c r="I7" s="3">
        <f ca="1">IFERROR(t_kaf[[#This Row],[tp]]-G6,"")</f>
        <v>50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IFERROR(IF(OFFSET(_xlfn.XLOOKUP(B8,Kuponger!E:E,Kuponger!Q:Q),15,27)=0,"",OFFSET(_xlfn.XLOOKUP(B8,Kuponger!E:E,Kuponger!Q:Q),15,27)),"")</f>
        <v>270</v>
      </c>
      <c r="D8">
        <f ca="1">IFERROR(IF(OFFSET(_xlfn.XLOOKUP(B8,Kuponger!E:E,Kuponger!Q:Q),15,28)=0,"",OFFSET(_xlfn.XLOOKUP(B8,Kuponger!E:E,Kuponger!Q:Q),15,28)),"")</f>
        <v>150</v>
      </c>
      <c r="E8">
        <f ca="1">IFERROR(IF(OFFSET(_xlfn.XLOOKUP(B8,Kuponger!E:E,Kuponger!Q:Q),15,29)=0,"",OFFSET(_xlfn.XLOOKUP(B8,Kuponger!E:E,Kuponger!Q:Q),15,29)),"")</f>
        <v>220</v>
      </c>
      <c r="F8" t="str">
        <f ca="1">IFERROR(IF(OFFSET(_xlfn.XLOOKUP(B8,Kuponger!E:E,Kuponger!Q:Q),1,29)=0,"",OFFSET(_xlfn.XLOOKUP(B8,Kuponger!E:E,Kuponger!Q:Q),1,29))*-1,"")</f>
        <v/>
      </c>
      <c r="G8">
        <f t="shared" ca="1" si="0"/>
        <v>640</v>
      </c>
      <c r="H8">
        <f ca="1">IFERROR(IF(OFFSET(_xlfn.XLOOKUP(B8,Kuponger!E:E,Kuponger!Q:Q),1,28)="","",OFFSET(_xlfn.XLOOKUP(B8,Kuponger!E:E,Kuponger!Q:Q),1,28)),"")</f>
        <v>3</v>
      </c>
      <c r="I8" s="3">
        <f ca="1">IFERROR(t_kaf[[#This Row],[tp]]-G7,"")</f>
        <v>10</v>
      </c>
      <c r="K8" s="801" t="s">
        <v>36</v>
      </c>
      <c r="L8">
        <f>COUNTIF(Kuponger!$AV:$AV,L$7)</f>
        <v>57</v>
      </c>
      <c r="M8">
        <f>COUNTIF(Kuponger!$AV:$AV,M$7)</f>
        <v>3</v>
      </c>
      <c r="N8">
        <f>COUNTIF(Kuponger!$AV:$AV,N$7)</f>
        <v>39</v>
      </c>
      <c r="O8">
        <f>COUNTIF(Kuponger!$AV:$AV,O$7)</f>
        <v>13</v>
      </c>
      <c r="P8">
        <f>COUNTIF(Kuponger!$AV:$AV,P$7)</f>
        <v>12</v>
      </c>
      <c r="Q8">
        <f>COUNTIF(Kuponger!$AV:$AV,Q$7)</f>
        <v>14</v>
      </c>
      <c r="R8">
        <f>COUNTIF(Kuponger!$AV:$AV,R$7)</f>
        <v>15</v>
      </c>
      <c r="S8">
        <f>COUNTIF(Kuponger!$AV:$AV,S$7)</f>
        <v>23</v>
      </c>
      <c r="T8">
        <f>SUM(L$8:S$8)</f>
        <v>176</v>
      </c>
    </row>
    <row r="9" spans="1:27" x14ac:dyDescent="0.2">
      <c r="A9">
        <v>8</v>
      </c>
      <c r="B9" s="22">
        <f ca="1">Data!AL8</f>
        <v>45955</v>
      </c>
      <c r="C9">
        <f ca="1">IFERROR(IF(OFFSET(_xlfn.XLOOKUP(B9,Kuponger!E:E,Kuponger!Q:Q),15,27)=0,"",OFFSET(_xlfn.XLOOKUP(B9,Kuponger!E:E,Kuponger!Q:Q),15,27)),"")</f>
        <v>370</v>
      </c>
      <c r="D9">
        <f ca="1">IFERROR(IF(OFFSET(_xlfn.XLOOKUP(B9,Kuponger!E:E,Kuponger!Q:Q),15,28)=0,"",OFFSET(_xlfn.XLOOKUP(B9,Kuponger!E:E,Kuponger!Q:Q),15,28)),"")</f>
        <v>50</v>
      </c>
      <c r="E9">
        <f ca="1">IFERROR(IF(OFFSET(_xlfn.XLOOKUP(B9,Kuponger!E:E,Kuponger!Q:Q),15,29)=0,"",OFFSET(_xlfn.XLOOKUP(B9,Kuponger!E:E,Kuponger!Q:Q),15,29)),"")</f>
        <v>130</v>
      </c>
      <c r="F9" t="str">
        <f ca="1">IFERROR(IF(OFFSET(_xlfn.XLOOKUP(B9,Kuponger!E:E,Kuponger!Q:Q),1,29)=0,"",OFFSET(_xlfn.XLOOKUP(B9,Kuponger!E:E,Kuponger!Q:Q),1,29))*-1,"")</f>
        <v/>
      </c>
      <c r="G9">
        <f t="shared" ca="1" si="0"/>
        <v>550</v>
      </c>
      <c r="H9">
        <f ca="1">IFERROR(IF(OFFSET(_xlfn.XLOOKUP(B9,Kuponger!E:E,Kuponger!Q:Q),1,28)="","",OFFSET(_xlfn.XLOOKUP(B9,Kuponger!E:E,Kuponger!Q:Q),1,28)),"")</f>
        <v>3</v>
      </c>
      <c r="I9" s="3">
        <f ca="1">IFERROR(t_kaf[[#This Row],[tp]]-G8,"")</f>
        <v>-90</v>
      </c>
      <c r="K9" s="801" t="s">
        <v>37</v>
      </c>
      <c r="L9">
        <f>COUNTIF(Kuponger!$AW:$AW,L$7)</f>
        <v>0</v>
      </c>
      <c r="M9">
        <f>COUNTIF(Kuponger!$AW:$AW,M$7)</f>
        <v>0</v>
      </c>
      <c r="N9">
        <f>COUNTIF(Kuponger!$AW:$AW,N$7)</f>
        <v>0</v>
      </c>
      <c r="O9">
        <f>COUNTIF(Kuponger!$AW:$AW,O$7)</f>
        <v>3</v>
      </c>
      <c r="P9">
        <f>COUNTIF(Kuponger!$AW:$AW,P$7)</f>
        <v>6</v>
      </c>
      <c r="Q9">
        <f>COUNTIF(Kuponger!$AW:$AW,Q$7)</f>
        <v>47</v>
      </c>
      <c r="R9">
        <f>COUNTIF(Kuponger!$AW:$AW,R$7)</f>
        <v>7</v>
      </c>
      <c r="S9">
        <f>COUNTIF(Kuponger!$AW:$AW,S$7)</f>
        <v>26</v>
      </c>
      <c r="T9">
        <f>SUM(L$9:S$9)</f>
        <v>89</v>
      </c>
    </row>
    <row r="10" spans="1:27" x14ac:dyDescent="0.2">
      <c r="A10">
        <v>9</v>
      </c>
      <c r="B10" s="22">
        <f ca="1">Data!AL9</f>
        <v>45962</v>
      </c>
      <c r="C10">
        <f ca="1">IFERROR(IF(OFFSET(_xlfn.XLOOKUP(B10,Kuponger!E:E,Kuponger!Q:Q),15,27)=0,"",OFFSET(_xlfn.XLOOKUP(B10,Kuponger!E:E,Kuponger!Q:Q),15,27)),"")</f>
        <v>450</v>
      </c>
      <c r="D10">
        <f ca="1">IFERROR(IF(OFFSET(_xlfn.XLOOKUP(B10,Kuponger!E:E,Kuponger!Q:Q),15,28)=0,"",OFFSET(_xlfn.XLOOKUP(B10,Kuponger!E:E,Kuponger!Q:Q),15,28)),"")</f>
        <v>30</v>
      </c>
      <c r="E10">
        <f ca="1">IFERROR(IF(OFFSET(_xlfn.XLOOKUP(B10,Kuponger!E:E,Kuponger!Q:Q),15,29)=0,"",OFFSET(_xlfn.XLOOKUP(B10,Kuponger!E:E,Kuponger!Q:Q),15,29)),"")</f>
        <v>160</v>
      </c>
      <c r="F10" t="str">
        <f ca="1">IFERROR(IF(OFFSET(_xlfn.XLOOKUP(B10,Kuponger!E:E,Kuponger!Q:Q),1,29)=0,"",OFFSET(_xlfn.XLOOKUP(B10,Kuponger!E:E,Kuponger!Q:Q),1,29))*-1,"")</f>
        <v/>
      </c>
      <c r="G10">
        <f t="shared" ca="1" si="0"/>
        <v>640</v>
      </c>
      <c r="H10">
        <f ca="1">IFERROR(IF(OFFSET(_xlfn.XLOOKUP(B10,Kuponger!E:E,Kuponger!Q:Q),1,28)="","",OFFSET(_xlfn.XLOOKUP(B10,Kuponger!E:E,Kuponger!Q:Q),1,28)),"")</f>
        <v>5</v>
      </c>
      <c r="I10" s="3">
        <f ca="1">IFERROR(t_kaf[[#This Row],[tp]]-G9,"")</f>
        <v>90</v>
      </c>
      <c r="K10" s="801" t="s">
        <v>38</v>
      </c>
      <c r="L10">
        <f>COUNTIF(Kuponger!$AX:$AX,L$7)</f>
        <v>21</v>
      </c>
      <c r="M10">
        <f>COUNTIF(Kuponger!$AX:$AX,M$7)</f>
        <v>1</v>
      </c>
      <c r="N10">
        <f>COUNTIF(Kuponger!$AX:$AX,N$7)</f>
        <v>27</v>
      </c>
      <c r="O10">
        <f>COUNTIF(Kuponger!$AX:$AX,O$7)</f>
        <v>11</v>
      </c>
      <c r="P10">
        <f>COUNTIF(Kuponger!$AX:$AX,P$7)</f>
        <v>8</v>
      </c>
      <c r="Q10">
        <f>COUNTIF(Kuponger!$AX:$AX,Q$7)</f>
        <v>5</v>
      </c>
      <c r="R10">
        <f>COUNTIF(Kuponger!$AX:$AX,R$7)</f>
        <v>4</v>
      </c>
      <c r="S10">
        <f>COUNTIF(Kuponger!$AX:$AX,S$7)</f>
        <v>42</v>
      </c>
      <c r="T10">
        <f>SUM(L$10:S$10)</f>
        <v>119</v>
      </c>
    </row>
    <row r="11" spans="1:27" x14ac:dyDescent="0.2">
      <c r="A11">
        <v>10</v>
      </c>
      <c r="B11" s="22">
        <f ca="1">Data!AL10</f>
        <v>45969</v>
      </c>
      <c r="C11">
        <f ca="1">IFERROR(IF(OFFSET(_xlfn.XLOOKUP(B11,Kuponger!E:E,Kuponger!Q:Q),15,27)=0,"",OFFSET(_xlfn.XLOOKUP(B11,Kuponger!E:E,Kuponger!Q:Q),15,27)),"")</f>
        <v>340</v>
      </c>
      <c r="D11">
        <f ca="1">IFERROR(IF(OFFSET(_xlfn.XLOOKUP(B11,Kuponger!E:E,Kuponger!Q:Q),15,28)=0,"",OFFSET(_xlfn.XLOOKUP(B11,Kuponger!E:E,Kuponger!Q:Q),15,28)),"")</f>
        <v>70</v>
      </c>
      <c r="E11">
        <f ca="1">IFERROR(IF(OFFSET(_xlfn.XLOOKUP(B11,Kuponger!E:E,Kuponger!Q:Q),15,29)=0,"",OFFSET(_xlfn.XLOOKUP(B11,Kuponger!E:E,Kuponger!Q:Q),15,29)),"")</f>
        <v>200</v>
      </c>
      <c r="F11" t="str">
        <f ca="1">IFERROR(IF(OFFSET(_xlfn.XLOOKUP(B11,Kuponger!E:E,Kuponger!Q:Q),1,29)=0,"",OFFSET(_xlfn.XLOOKUP(B11,Kuponger!E:E,Kuponger!Q:Q),1,29))*-1,"")</f>
        <v/>
      </c>
      <c r="G11">
        <f t="shared" ca="1" si="0"/>
        <v>610</v>
      </c>
      <c r="H11">
        <f ca="1">IFERROR(IF(OFFSET(_xlfn.XLOOKUP(B11,Kuponger!E:E,Kuponger!Q:Q),1,28)="","",OFFSET(_xlfn.XLOOKUP(B11,Kuponger!E:E,Kuponger!Q:Q),1,28)),"")</f>
        <v>2</v>
      </c>
      <c r="I11" s="3">
        <f ca="1">IFERROR(t_kaf[[#This Row],[tp]]-G10,"")</f>
        <v>-30</v>
      </c>
      <c r="K11" s="801" t="str">
        <f>K7</f>
        <v>Antall Treff</v>
      </c>
      <c r="L11">
        <f>SUM(L$8:L$10)</f>
        <v>78</v>
      </c>
      <c r="M11">
        <f t="shared" ref="M11:S11" si="3">SUM(M$8:M$10)</f>
        <v>4</v>
      </c>
      <c r="N11">
        <f t="shared" si="3"/>
        <v>66</v>
      </c>
      <c r="O11">
        <f t="shared" si="3"/>
        <v>27</v>
      </c>
      <c r="P11">
        <f>SUM(P$8:P$10)</f>
        <v>26</v>
      </c>
      <c r="Q11">
        <f t="shared" si="3"/>
        <v>66</v>
      </c>
      <c r="R11">
        <f t="shared" si="3"/>
        <v>26</v>
      </c>
      <c r="S11">
        <f t="shared" si="3"/>
        <v>91</v>
      </c>
      <c r="T11">
        <f>SUM(L$11:S$11)</f>
        <v>384</v>
      </c>
    </row>
    <row r="12" spans="1:27" x14ac:dyDescent="0.2">
      <c r="A12">
        <v>11</v>
      </c>
      <c r="B12" s="22">
        <f ca="1">Data!AL11</f>
        <v>45976</v>
      </c>
      <c r="C12">
        <f ca="1">IFERROR(IF(OFFSET(_xlfn.XLOOKUP(B12,Kuponger!E:E,Kuponger!Q:Q),15,27)=0,"",OFFSET(_xlfn.XLOOKUP(B12,Kuponger!E:E,Kuponger!Q:Q),15,27)),"")</f>
        <v>310</v>
      </c>
      <c r="D12">
        <f ca="1">IFERROR(IF(OFFSET(_xlfn.XLOOKUP(B12,Kuponger!E:E,Kuponger!Q:Q),15,28)=0,"",OFFSET(_xlfn.XLOOKUP(B12,Kuponger!E:E,Kuponger!Q:Q),15,28)),"")</f>
        <v>90</v>
      </c>
      <c r="E12">
        <f ca="1">IFERROR(IF(OFFSET(_xlfn.XLOOKUP(B12,Kuponger!E:E,Kuponger!Q:Q),15,29)=0,"",OFFSET(_xlfn.XLOOKUP(B12,Kuponger!E:E,Kuponger!Q:Q),15,29)),"")</f>
        <v>180</v>
      </c>
      <c r="F12" t="str">
        <f ca="1">IFERROR(IF(OFFSET(_xlfn.XLOOKUP(B12,Kuponger!E:E,Kuponger!Q:Q),1,29)=0,"",OFFSET(_xlfn.XLOOKUP(B12,Kuponger!E:E,Kuponger!Q:Q),1,29))*-1,"")</f>
        <v/>
      </c>
      <c r="G12">
        <f t="shared" ca="1" si="0"/>
        <v>580</v>
      </c>
      <c r="H12">
        <f ca="1">IFERROR(IF(OFFSET(_xlfn.XLOOKUP(B12,Kuponger!E:E,Kuponger!Q:Q),1,28)="","",OFFSET(_xlfn.XLOOKUP(B12,Kuponger!E:E,Kuponger!Q:Q),1,28)),"")</f>
        <v>3</v>
      </c>
      <c r="I12" s="3">
        <f ca="1">IFERROR(t_kaf[[#This Row],[tp]]-G11,"")</f>
        <v>-30</v>
      </c>
    </row>
    <row r="13" spans="1:27" ht="15" x14ac:dyDescent="0.25">
      <c r="A13">
        <v>12</v>
      </c>
      <c r="B13" s="22">
        <f ca="1">Data!AL12</f>
        <v>45983</v>
      </c>
      <c r="C13">
        <f ca="1">IFERROR(IF(OFFSET(_xlfn.XLOOKUP(B13,Kuponger!E:E,Kuponger!Q:Q),15,27)=0,"",OFFSET(_xlfn.XLOOKUP(B13,Kuponger!E:E,Kuponger!Q:Q),15,27)),"")</f>
        <v>160</v>
      </c>
      <c r="D13">
        <f ca="1">IFERROR(IF(OFFSET(_xlfn.XLOOKUP(B13,Kuponger!E:E,Kuponger!Q:Q),15,28)=0,"",OFFSET(_xlfn.XLOOKUP(B13,Kuponger!E:E,Kuponger!Q:Q),15,28)),"")</f>
        <v>50</v>
      </c>
      <c r="E13">
        <f ca="1">IFERROR(IF(OFFSET(_xlfn.XLOOKUP(B13,Kuponger!E:E,Kuponger!Q:Q),15,29)=0,"",OFFSET(_xlfn.XLOOKUP(B13,Kuponger!E:E,Kuponger!Q:Q),15,29)),"")</f>
        <v>150</v>
      </c>
      <c r="F13" t="str">
        <f ca="1">IFERROR(IF(OFFSET(_xlfn.XLOOKUP(B13,Kuponger!E:E,Kuponger!Q:Q),1,29)=0,"",OFFSET(_xlfn.XLOOKUP(B13,Kuponger!E:E,Kuponger!Q:Q),1,29))*-1,"")</f>
        <v/>
      </c>
      <c r="G13">
        <f t="shared" ca="1" si="0"/>
        <v>360</v>
      </c>
      <c r="H13">
        <f ca="1">IFERROR(IF(OFFSET(_xlfn.XLOOKUP(B13,Kuponger!E:E,Kuponger!Q:Q),1,28)="","",OFFSET(_xlfn.XLOOKUP(B13,Kuponger!E:E,Kuponger!Q:Q),1,28)),"")</f>
        <v>8</v>
      </c>
      <c r="I13" s="3">
        <f ca="1">IFERROR(t_kaf[[#This Row],[tp]]-G12,"")</f>
        <v>-220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IFERROR(IF(OFFSET(_xlfn.XLOOKUP(B14,Kuponger!E:E,Kuponger!Q:Q),15,27)=0,"",OFFSET(_xlfn.XLOOKUP(B14,Kuponger!E:E,Kuponger!Q:Q),15,27)),"")</f>
        <v>440</v>
      </c>
      <c r="D14">
        <f ca="1">IFERROR(IF(OFFSET(_xlfn.XLOOKUP(B14,Kuponger!E:E,Kuponger!Q:Q),15,28)=0,"",OFFSET(_xlfn.XLOOKUP(B14,Kuponger!E:E,Kuponger!Q:Q),15,28)),"")</f>
        <v>30</v>
      </c>
      <c r="E14">
        <f ca="1">IFERROR(IF(OFFSET(_xlfn.XLOOKUP(B14,Kuponger!E:E,Kuponger!Q:Q),15,29)=0,"",OFFSET(_xlfn.XLOOKUP(B14,Kuponger!E:E,Kuponger!Q:Q),15,29)),"")</f>
        <v>110</v>
      </c>
      <c r="F14" t="str">
        <f ca="1">IFERROR(IF(OFFSET(_xlfn.XLOOKUP(B14,Kuponger!E:E,Kuponger!Q:Q),1,29)=0,"",OFFSET(_xlfn.XLOOKUP(B14,Kuponger!E:E,Kuponger!Q:Q),1,29))*-1,"")</f>
        <v/>
      </c>
      <c r="G14">
        <f t="shared" ca="1" si="0"/>
        <v>580</v>
      </c>
      <c r="H14">
        <f ca="1">IFERROR(IF(OFFSET(_xlfn.XLOOKUP(B14,Kuponger!E:E,Kuponger!Q:Q),1,28)="","",OFFSET(_xlfn.XLOOKUP(B14,Kuponger!E:E,Kuponger!Q:Q),1,28)),"")</f>
        <v>5</v>
      </c>
      <c r="I14" s="3">
        <f ca="1">IFERROR(t_kaf[[#This Row],[tp]]-G13,"")</f>
        <v>220</v>
      </c>
      <c r="K14" s="801" t="str">
        <f>K8</f>
        <v>Hjemme</v>
      </c>
      <c r="L14">
        <f>L2-L8</f>
        <v>22</v>
      </c>
      <c r="M14">
        <f t="shared" ref="M14:S16" si="5">M2-M8</f>
        <v>3</v>
      </c>
      <c r="N14">
        <f t="shared" si="5"/>
        <v>45</v>
      </c>
      <c r="O14">
        <f t="shared" si="5"/>
        <v>22</v>
      </c>
      <c r="P14">
        <f t="shared" si="5"/>
        <v>8</v>
      </c>
      <c r="Q14">
        <f t="shared" si="5"/>
        <v>21</v>
      </c>
      <c r="R14">
        <f t="shared" si="5"/>
        <v>15</v>
      </c>
      <c r="S14">
        <f t="shared" si="5"/>
        <v>72</v>
      </c>
      <c r="T14">
        <f>SUM(L$14:S$14)</f>
        <v>208</v>
      </c>
    </row>
    <row r="15" spans="1:27" x14ac:dyDescent="0.2">
      <c r="A15">
        <v>14</v>
      </c>
      <c r="B15" s="22">
        <f ca="1">Data!AL14</f>
        <v>45997</v>
      </c>
      <c r="C15">
        <f ca="1">IFERROR(IF(OFFSET(_xlfn.XLOOKUP(B15,Kuponger!E:E,Kuponger!Q:Q),15,27)=0,"",OFFSET(_xlfn.XLOOKUP(B15,Kuponger!E:E,Kuponger!Q:Q),15,27)),"")</f>
        <v>500</v>
      </c>
      <c r="D15">
        <f ca="1">IFERROR(IF(OFFSET(_xlfn.XLOOKUP(B15,Kuponger!E:E,Kuponger!Q:Q),15,28)=0,"",OFFSET(_xlfn.XLOOKUP(B15,Kuponger!E:E,Kuponger!Q:Q),15,28)),"")</f>
        <v>50</v>
      </c>
      <c r="E15" t="str">
        <f ca="1">IFERROR(IF(OFFSET(_xlfn.XLOOKUP(B15,Kuponger!E:E,Kuponger!Q:Q),15,29)=0,"",OFFSET(_xlfn.XLOOKUP(B15,Kuponger!E:E,Kuponger!Q:Q),15,29)),"")</f>
        <v/>
      </c>
      <c r="F15" t="str">
        <f ca="1">IFERROR(IF(OFFSET(_xlfn.XLOOKUP(B15,Kuponger!E:E,Kuponger!Q:Q),1,29)=0,"",OFFSET(_xlfn.XLOOKUP(B15,Kuponger!E:E,Kuponger!Q:Q),1,29))*-1,"")</f>
        <v/>
      </c>
      <c r="G15">
        <f t="shared" ca="1" si="0"/>
        <v>550</v>
      </c>
      <c r="H15">
        <f ca="1">IFERROR(IF(OFFSET(_xlfn.XLOOKUP(B15,Kuponger!E:E,Kuponger!Q:Q),1,28)="","",OFFSET(_xlfn.XLOOKUP(B15,Kuponger!E:E,Kuponger!Q:Q),1,28)),"")</f>
        <v>6</v>
      </c>
      <c r="I15" s="3">
        <f ca="1">IFERROR(t_kaf[[#This Row],[tp]]-G14,"")</f>
        <v>-30</v>
      </c>
      <c r="K15" s="801" t="str">
        <f>K9</f>
        <v>Uavgjort</v>
      </c>
      <c r="L15">
        <f>L3-L9</f>
        <v>3</v>
      </c>
      <c r="M15">
        <f t="shared" si="5"/>
        <v>5</v>
      </c>
      <c r="N15">
        <f t="shared" si="5"/>
        <v>4</v>
      </c>
      <c r="O15">
        <f t="shared" si="5"/>
        <v>14</v>
      </c>
      <c r="P15">
        <f t="shared" si="5"/>
        <v>39</v>
      </c>
      <c r="Q15">
        <f t="shared" si="5"/>
        <v>131</v>
      </c>
      <c r="R15">
        <f t="shared" si="5"/>
        <v>26</v>
      </c>
      <c r="S15">
        <f t="shared" si="5"/>
        <v>95</v>
      </c>
      <c r="T15">
        <f>SUM(L$15:S$15)</f>
        <v>317</v>
      </c>
    </row>
    <row r="16" spans="1:27" x14ac:dyDescent="0.2">
      <c r="A16">
        <v>15</v>
      </c>
      <c r="B16" s="22">
        <f ca="1">Data!AL15</f>
        <v>46004</v>
      </c>
      <c r="C16">
        <f ca="1">IFERROR(IF(OFFSET(_xlfn.XLOOKUP(B16,Kuponger!E:E,Kuponger!Q:Q),15,27)=0,"",OFFSET(_xlfn.XLOOKUP(B16,Kuponger!E:E,Kuponger!Q:Q),15,27)),"")</f>
        <v>510</v>
      </c>
      <c r="D16">
        <f ca="1">IFERROR(IF(OFFSET(_xlfn.XLOOKUP(B16,Kuponger!E:E,Kuponger!Q:Q),15,28)=0,"",OFFSET(_xlfn.XLOOKUP(B16,Kuponger!E:E,Kuponger!Q:Q),15,28)),"")</f>
        <v>50</v>
      </c>
      <c r="E16">
        <f ca="1">IFERROR(IF(OFFSET(_xlfn.XLOOKUP(B16,Kuponger!E:E,Kuponger!Q:Q),15,29)=0,"",OFFSET(_xlfn.XLOOKUP(B16,Kuponger!E:E,Kuponger!Q:Q),15,29)),"")</f>
        <v>70</v>
      </c>
      <c r="F16" t="str">
        <f ca="1">IFERROR(IF(OFFSET(_xlfn.XLOOKUP(B16,Kuponger!E:E,Kuponger!Q:Q),1,29)=0,"",OFFSET(_xlfn.XLOOKUP(B16,Kuponger!E:E,Kuponger!Q:Q),1,29))*-1,"")</f>
        <v/>
      </c>
      <c r="G16">
        <f t="shared" ca="1" si="0"/>
        <v>630</v>
      </c>
      <c r="H16">
        <f ca="1">IFERROR(IF(OFFSET(_xlfn.XLOOKUP(B16,Kuponger!E:E,Kuponger!Q:Q),1,28)="","",OFFSET(_xlfn.XLOOKUP(B16,Kuponger!E:E,Kuponger!Q:Q),1,28)),"")</f>
        <v>2</v>
      </c>
      <c r="I16" s="3">
        <f ca="1">IFERROR(t_kaf[[#This Row],[tp]]-G15,"")</f>
        <v>80</v>
      </c>
      <c r="K16" s="801" t="str">
        <f>K10</f>
        <v>Borte</v>
      </c>
      <c r="L16">
        <f>L4-L10</f>
        <v>12</v>
      </c>
      <c r="M16">
        <f t="shared" si="5"/>
        <v>6</v>
      </c>
      <c r="N16">
        <f t="shared" si="5"/>
        <v>29</v>
      </c>
      <c r="O16">
        <f t="shared" si="5"/>
        <v>28</v>
      </c>
      <c r="P16">
        <f t="shared" si="5"/>
        <v>13</v>
      </c>
      <c r="Q16">
        <f t="shared" si="5"/>
        <v>23</v>
      </c>
      <c r="R16">
        <f t="shared" si="5"/>
        <v>21</v>
      </c>
      <c r="S16">
        <f t="shared" si="5"/>
        <v>142</v>
      </c>
      <c r="T16">
        <f>SUM(L$16:S$16)</f>
        <v>274</v>
      </c>
    </row>
    <row r="17" spans="1:20" x14ac:dyDescent="0.2">
      <c r="A17">
        <v>16</v>
      </c>
      <c r="B17" s="22">
        <f ca="1">Data!AL16</f>
        <v>46032</v>
      </c>
      <c r="C17">
        <f ca="1">IFERROR(IF(OFFSET(_xlfn.XLOOKUP(B17,Kuponger!E:E,Kuponger!Q:Q),15,27)=0,"",OFFSET(_xlfn.XLOOKUP(B17,Kuponger!E:E,Kuponger!Q:Q),15,27)),"")</f>
        <v>320</v>
      </c>
      <c r="D17">
        <f ca="1">IFERROR(IF(OFFSET(_xlfn.XLOOKUP(B17,Kuponger!E:E,Kuponger!Q:Q),15,28)=0,"",OFFSET(_xlfn.XLOOKUP(B17,Kuponger!E:E,Kuponger!Q:Q),15,28)),"")</f>
        <v>60</v>
      </c>
      <c r="E17">
        <f ca="1">IFERROR(IF(OFFSET(_xlfn.XLOOKUP(B17,Kuponger!E:E,Kuponger!Q:Q),15,29)=0,"",OFFSET(_xlfn.XLOOKUP(B17,Kuponger!E:E,Kuponger!Q:Q),15,29)),"")</f>
        <v>260</v>
      </c>
      <c r="F17" t="str">
        <f ca="1">IFERROR(IF(OFFSET(_xlfn.XLOOKUP(B17,Kuponger!E:E,Kuponger!Q:Q),1,29)=0,"",OFFSET(_xlfn.XLOOKUP(B17,Kuponger!E:E,Kuponger!Q:Q),1,29))*-1,"")</f>
        <v/>
      </c>
      <c r="G17">
        <f t="shared" ca="1" si="0"/>
        <v>640</v>
      </c>
      <c r="H17">
        <f ca="1">IFERROR(IF(OFFSET(_xlfn.XLOOKUP(B17,Kuponger!E:E,Kuponger!Q:Q),1,28)="","",OFFSET(_xlfn.XLOOKUP(B17,Kuponger!E:E,Kuponger!Q:Q),1,28)),"")</f>
        <v>3</v>
      </c>
      <c r="I17" s="3">
        <f ca="1">IFERROR(t_kaf[[#This Row],[tp]]-G16,"")</f>
        <v>10</v>
      </c>
      <c r="K17" s="801" t="str">
        <f>K13</f>
        <v>Antall misser</v>
      </c>
      <c r="L17">
        <f>SUM(L$14:L$16)</f>
        <v>37</v>
      </c>
      <c r="M17">
        <f t="shared" ref="M17:S17" si="6">SUM(M$14:M$16)</f>
        <v>14</v>
      </c>
      <c r="N17">
        <f t="shared" si="6"/>
        <v>78</v>
      </c>
      <c r="O17">
        <f t="shared" si="6"/>
        <v>64</v>
      </c>
      <c r="P17">
        <f t="shared" si="6"/>
        <v>60</v>
      </c>
      <c r="Q17">
        <f t="shared" si="6"/>
        <v>175</v>
      </c>
      <c r="R17">
        <f t="shared" si="6"/>
        <v>62</v>
      </c>
      <c r="S17">
        <f t="shared" si="6"/>
        <v>309</v>
      </c>
      <c r="T17">
        <f>SUM(L$17:S$17)</f>
        <v>799</v>
      </c>
    </row>
    <row r="18" spans="1:20" x14ac:dyDescent="0.2">
      <c r="A18">
        <v>17</v>
      </c>
      <c r="B18" s="22">
        <f ca="1">Data!AL17</f>
        <v>46039</v>
      </c>
      <c r="C18">
        <f ca="1">IFERROR(IF(OFFSET(_xlfn.XLOOKUP(B18,Kuponger!E:E,Kuponger!Q:Q),15,27)=0,"",OFFSET(_xlfn.XLOOKUP(B18,Kuponger!E:E,Kuponger!Q:Q),15,27)),"")</f>
        <v>90</v>
      </c>
      <c r="D18">
        <f ca="1">IFERROR(IF(OFFSET(_xlfn.XLOOKUP(B18,Kuponger!E:E,Kuponger!Q:Q),15,28)=0,"",OFFSET(_xlfn.XLOOKUP(B18,Kuponger!E:E,Kuponger!Q:Q),15,28)),"")</f>
        <v>90</v>
      </c>
      <c r="E18">
        <f ca="1">IFERROR(IF(OFFSET(_xlfn.XLOOKUP(B18,Kuponger!E:E,Kuponger!Q:Q),15,29)=0,"",OFFSET(_xlfn.XLOOKUP(B18,Kuponger!E:E,Kuponger!Q:Q),15,29)),"")</f>
        <v>30</v>
      </c>
      <c r="F18" t="str">
        <f ca="1">IFERROR(IF(OFFSET(_xlfn.XLOOKUP(B18,Kuponger!E:E,Kuponger!Q:Q),1,29)=0,"",OFFSET(_xlfn.XLOOKUP(B18,Kuponger!E:E,Kuponger!Q:Q),1,29))*-1,"")</f>
        <v/>
      </c>
      <c r="G18">
        <f t="shared" ca="1" si="0"/>
        <v>210</v>
      </c>
      <c r="H18">
        <f ca="1">IFERROR(IF(OFFSET(_xlfn.XLOOKUP(B18,Kuponger!E:E,Kuponger!Q:Q),1,28)="","",OFFSET(_xlfn.XLOOKUP(B18,Kuponger!E:E,Kuponger!Q:Q),1,28)),"")</f>
        <v>9</v>
      </c>
      <c r="I18" s="3">
        <f ca="1">IFERROR(t_kaf[[#This Row],[tp]]-G17,"")</f>
        <v>-430</v>
      </c>
      <c r="K18" s="4"/>
    </row>
    <row r="19" spans="1:20" x14ac:dyDescent="0.2">
      <c r="A19">
        <v>18</v>
      </c>
      <c r="B19" s="22">
        <f ca="1">Data!AL18</f>
        <v>46046</v>
      </c>
      <c r="C19">
        <f ca="1">IFERROR(IF(OFFSET(_xlfn.XLOOKUP(B19,Kuponger!E:E,Kuponger!Q:Q),15,27)=0,"",OFFSET(_xlfn.XLOOKUP(B19,Kuponger!E:E,Kuponger!Q:Q),15,27)),"")</f>
        <v>270</v>
      </c>
      <c r="D19">
        <f ca="1">IFERROR(IF(OFFSET(_xlfn.XLOOKUP(B19,Kuponger!E:E,Kuponger!Q:Q),15,28)=0,"",OFFSET(_xlfn.XLOOKUP(B19,Kuponger!E:E,Kuponger!Q:Q),15,28)),"")</f>
        <v>100</v>
      </c>
      <c r="E19">
        <f ca="1">IFERROR(IF(OFFSET(_xlfn.XLOOKUP(B19,Kuponger!E:E,Kuponger!Q:Q),15,29)=0,"",OFFSET(_xlfn.XLOOKUP(B19,Kuponger!E:E,Kuponger!Q:Q),15,29)),"")</f>
        <v>40</v>
      </c>
      <c r="F19" t="str">
        <f ca="1">IFERROR(IF(OFFSET(_xlfn.XLOOKUP(B19,Kuponger!E:E,Kuponger!Q:Q),1,29)=0,"",OFFSET(_xlfn.XLOOKUP(B19,Kuponger!E:E,Kuponger!Q:Q),1,29))*-1,"")</f>
        <v/>
      </c>
      <c r="G19">
        <f t="shared" ca="1" si="0"/>
        <v>410</v>
      </c>
      <c r="H19">
        <f ca="1">IFERROR(IF(OFFSET(_xlfn.XLOOKUP(B19,Kuponger!E:E,Kuponger!Q:Q),1,28)="","",OFFSET(_xlfn.XLOOKUP(B19,Kuponger!E:E,Kuponger!Q:Q),1,28)),"")</f>
        <v>6</v>
      </c>
      <c r="I19" s="3">
        <f ca="1">IFERROR(t_kaf[[#This Row],[tp]]-G18,"")</f>
        <v>200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IFERROR(IF(OFFSET(_xlfn.XLOOKUP(B20,Kuponger!E:E,Kuponger!Q:Q),15,27)=0,"",OFFSET(_xlfn.XLOOKUP(B20,Kuponger!E:E,Kuponger!Q:Q),15,27)),"")</f>
        <v>160</v>
      </c>
      <c r="D20">
        <f ca="1">IFERROR(IF(OFFSET(_xlfn.XLOOKUP(B20,Kuponger!E:E,Kuponger!Q:Q),15,28)=0,"",OFFSET(_xlfn.XLOOKUP(B20,Kuponger!E:E,Kuponger!Q:Q),15,28)),"")</f>
        <v>50</v>
      </c>
      <c r="E20">
        <f ca="1">IFERROR(IF(OFFSET(_xlfn.XLOOKUP(B20,Kuponger!E:E,Kuponger!Q:Q),15,29)=0,"",OFFSET(_xlfn.XLOOKUP(B20,Kuponger!E:E,Kuponger!Q:Q),15,29)),"")</f>
        <v>200</v>
      </c>
      <c r="F20" t="str">
        <f ca="1">IFERROR(IF(OFFSET(_xlfn.XLOOKUP(B20,Kuponger!E:E,Kuponger!Q:Q),1,29)=0,"",OFFSET(_xlfn.XLOOKUP(B20,Kuponger!E:E,Kuponger!Q:Q),1,29))*-1,"")</f>
        <v/>
      </c>
      <c r="G20">
        <f t="shared" ca="1" si="0"/>
        <v>410</v>
      </c>
      <c r="H20">
        <f ca="1">IFERROR(IF(OFFSET(_xlfn.XLOOKUP(B20,Kuponger!E:E,Kuponger!Q:Q),1,28)="","",OFFSET(_xlfn.XLOOKUP(B20,Kuponger!E:E,Kuponger!Q:Q),1,28)),"")</f>
        <v>9</v>
      </c>
      <c r="I20" s="3">
        <f ca="1">IFERROR(t_kaf[[#This Row],[tp]]-G19,"")</f>
        <v>0</v>
      </c>
      <c r="K20" s="801" t="str">
        <f>K8</f>
        <v>Hjemme</v>
      </c>
      <c r="L20">
        <f>L$8*L$19</f>
        <v>4560</v>
      </c>
      <c r="M20">
        <f t="shared" ref="M20:S20" si="8">M$8*M$19</f>
        <v>210</v>
      </c>
      <c r="N20">
        <f t="shared" si="8"/>
        <v>2340</v>
      </c>
      <c r="O20">
        <f t="shared" si="8"/>
        <v>650</v>
      </c>
      <c r="P20">
        <f t="shared" si="8"/>
        <v>480</v>
      </c>
      <c r="Q20">
        <f t="shared" si="8"/>
        <v>420</v>
      </c>
      <c r="R20">
        <f t="shared" si="8"/>
        <v>300</v>
      </c>
      <c r="S20">
        <f t="shared" si="8"/>
        <v>230</v>
      </c>
      <c r="T20">
        <f>SUM(L$20:S$20)</f>
        <v>9190</v>
      </c>
    </row>
    <row r="21" spans="1:20" x14ac:dyDescent="0.2">
      <c r="A21">
        <v>20</v>
      </c>
      <c r="B21" s="22">
        <f ca="1">Data!AL20</f>
        <v>46060</v>
      </c>
      <c r="C21">
        <f ca="1">IFERROR(IF(OFFSET(_xlfn.XLOOKUP(B21,Kuponger!E:E,Kuponger!Q:Q),15,27)=0,"",OFFSET(_xlfn.XLOOKUP(B21,Kuponger!E:E,Kuponger!Q:Q),15,27)),"")</f>
        <v>180</v>
      </c>
      <c r="D21">
        <f ca="1">IFERROR(IF(OFFSET(_xlfn.XLOOKUP(B21,Kuponger!E:E,Kuponger!Q:Q),15,28)=0,"",OFFSET(_xlfn.XLOOKUP(B21,Kuponger!E:E,Kuponger!Q:Q),15,28)),"")</f>
        <v>70</v>
      </c>
      <c r="E21">
        <f ca="1">IFERROR(IF(OFFSET(_xlfn.XLOOKUP(B21,Kuponger!E:E,Kuponger!Q:Q),15,29)=0,"",OFFSET(_xlfn.XLOOKUP(B21,Kuponger!E:E,Kuponger!Q:Q),15,29)),"")</f>
        <v>180</v>
      </c>
      <c r="F21" t="str">
        <f ca="1">IFERROR(IF(OFFSET(_xlfn.XLOOKUP(B21,Kuponger!E:E,Kuponger!Q:Q),1,29)=0,"",OFFSET(_xlfn.XLOOKUP(B21,Kuponger!E:E,Kuponger!Q:Q),1,29))*-1,"")</f>
        <v/>
      </c>
      <c r="G21">
        <f t="shared" ca="1" si="0"/>
        <v>430</v>
      </c>
      <c r="H21">
        <f ca="1">IFERROR(IF(OFFSET(_xlfn.XLOOKUP(B21,Kuponger!E:E,Kuponger!Q:Q),1,28)="","",OFFSET(_xlfn.XLOOKUP(B21,Kuponger!E:E,Kuponger!Q:Q),1,28)),"")</f>
        <v>8</v>
      </c>
      <c r="I21" s="3">
        <f ca="1">IFERROR(t_kaf[[#This Row],[tp]]-G20,"")</f>
        <v>20</v>
      </c>
      <c r="K21" s="801" t="str">
        <f>K9</f>
        <v>Uavgjort</v>
      </c>
      <c r="L21">
        <f>L$9*L$19</f>
        <v>0</v>
      </c>
      <c r="M21">
        <f t="shared" ref="M21:S21" si="9">M$9*M$19</f>
        <v>0</v>
      </c>
      <c r="N21">
        <f t="shared" si="9"/>
        <v>0</v>
      </c>
      <c r="O21">
        <f t="shared" si="9"/>
        <v>150</v>
      </c>
      <c r="P21">
        <f t="shared" si="9"/>
        <v>240</v>
      </c>
      <c r="Q21">
        <f t="shared" si="9"/>
        <v>1410</v>
      </c>
      <c r="R21">
        <f t="shared" si="9"/>
        <v>140</v>
      </c>
      <c r="S21">
        <f t="shared" si="9"/>
        <v>260</v>
      </c>
      <c r="T21">
        <f>SUM(L$21:S$21)</f>
        <v>2200</v>
      </c>
    </row>
    <row r="22" spans="1:20" x14ac:dyDescent="0.2">
      <c r="A22">
        <v>21</v>
      </c>
      <c r="B22" s="22">
        <f ca="1">Data!AL21</f>
        <v>46067</v>
      </c>
      <c r="C22">
        <f ca="1">IFERROR(IF(OFFSET(_xlfn.XLOOKUP(B22,Kuponger!E:E,Kuponger!Q:Q),15,27)=0,"",OFFSET(_xlfn.XLOOKUP(B22,Kuponger!E:E,Kuponger!Q:Q),15,27)),"")</f>
        <v>310</v>
      </c>
      <c r="D22">
        <f ca="1">IFERROR(IF(OFFSET(_xlfn.XLOOKUP(B22,Kuponger!E:E,Kuponger!Q:Q),15,28)=0,"",OFFSET(_xlfn.XLOOKUP(B22,Kuponger!E:E,Kuponger!Q:Q),15,28)),"")</f>
        <v>90</v>
      </c>
      <c r="E22">
        <f ca="1">IFERROR(IF(OFFSET(_xlfn.XLOOKUP(B22,Kuponger!E:E,Kuponger!Q:Q),15,29)=0,"",OFFSET(_xlfn.XLOOKUP(B22,Kuponger!E:E,Kuponger!Q:Q),15,29)),"")</f>
        <v>30</v>
      </c>
      <c r="F22" t="str">
        <f ca="1">IFERROR(IF(OFFSET(_xlfn.XLOOKUP(B22,Kuponger!E:E,Kuponger!Q:Q),1,29)=0,"",OFFSET(_xlfn.XLOOKUP(B22,Kuponger!E:E,Kuponger!Q:Q),1,29))*-1,"")</f>
        <v/>
      </c>
      <c r="G22">
        <f t="shared" ca="1" si="0"/>
        <v>430</v>
      </c>
      <c r="H22">
        <f ca="1">IFERROR(IF(OFFSET(_xlfn.XLOOKUP(B22,Kuponger!E:E,Kuponger!Q:Q),1,28)="","",OFFSET(_xlfn.XLOOKUP(B22,Kuponger!E:E,Kuponger!Q:Q),1,28)),"")</f>
        <v>8</v>
      </c>
      <c r="I22" s="3">
        <f ca="1">IFERROR(t_kaf[[#This Row],[tp]]-G21,"")</f>
        <v>0</v>
      </c>
      <c r="K22" s="801" t="str">
        <f>K10</f>
        <v>Borte</v>
      </c>
      <c r="L22">
        <f>L$10*L$19</f>
        <v>1680</v>
      </c>
      <c r="M22">
        <f t="shared" ref="M22:S22" si="10">M$10*M$19</f>
        <v>70</v>
      </c>
      <c r="N22">
        <f t="shared" si="10"/>
        <v>1620</v>
      </c>
      <c r="O22">
        <f t="shared" si="10"/>
        <v>550</v>
      </c>
      <c r="P22">
        <f t="shared" si="10"/>
        <v>320</v>
      </c>
      <c r="Q22">
        <f t="shared" si="10"/>
        <v>150</v>
      </c>
      <c r="R22">
        <f t="shared" si="10"/>
        <v>80</v>
      </c>
      <c r="S22">
        <f t="shared" si="10"/>
        <v>420</v>
      </c>
      <c r="T22">
        <f>SUM(L$22:S$22)</f>
        <v>4890</v>
      </c>
    </row>
    <row r="23" spans="1:20" x14ac:dyDescent="0.2">
      <c r="A23">
        <v>22</v>
      </c>
      <c r="B23" s="22">
        <f ca="1">Data!AL22</f>
        <v>46074</v>
      </c>
      <c r="C23">
        <f ca="1">IFERROR(IF(OFFSET(_xlfn.XLOOKUP(B23,Kuponger!E:E,Kuponger!Q:Q),15,27)=0,"",OFFSET(_xlfn.XLOOKUP(B23,Kuponger!E:E,Kuponger!Q:Q),15,27)),"")</f>
        <v>180</v>
      </c>
      <c r="D23">
        <f ca="1">IFERROR(IF(OFFSET(_xlfn.XLOOKUP(B23,Kuponger!E:E,Kuponger!Q:Q),15,28)=0,"",OFFSET(_xlfn.XLOOKUP(B23,Kuponger!E:E,Kuponger!Q:Q),15,28)),"")</f>
        <v>120</v>
      </c>
      <c r="E23">
        <f ca="1">IFERROR(IF(OFFSET(_xlfn.XLOOKUP(B23,Kuponger!E:E,Kuponger!Q:Q),15,29)=0,"",OFFSET(_xlfn.XLOOKUP(B23,Kuponger!E:E,Kuponger!Q:Q),15,29)),"")</f>
        <v>30</v>
      </c>
      <c r="F23" t="str">
        <f ca="1">IFERROR(IF(OFFSET(_xlfn.XLOOKUP(B23,Kuponger!E:E,Kuponger!Q:Q),1,29)=0,"",OFFSET(_xlfn.XLOOKUP(B23,Kuponger!E:E,Kuponger!Q:Q),1,29))*-1,"")</f>
        <v/>
      </c>
      <c r="G23">
        <f t="shared" ca="1" si="0"/>
        <v>330</v>
      </c>
      <c r="H23">
        <f ca="1">IFERROR(IF(OFFSET(_xlfn.XLOOKUP(B23,Kuponger!E:E,Kuponger!Q:Q),1,28)="","",OFFSET(_xlfn.XLOOKUP(B23,Kuponger!E:E,Kuponger!Q:Q),1,28)),"")</f>
        <v>4</v>
      </c>
      <c r="I23" s="3">
        <f ca="1">IFERROR(t_kaf[[#This Row],[tp]]-G22,"")</f>
        <v>-100</v>
      </c>
      <c r="K23" s="801" t="str">
        <f>K19</f>
        <v>Treff poeng</v>
      </c>
      <c r="L23">
        <f>SUM(L20:L22)</f>
        <v>6240</v>
      </c>
      <c r="M23">
        <f t="shared" ref="M23:S23" si="11">SUM(M20:M22)</f>
        <v>280</v>
      </c>
      <c r="N23">
        <f t="shared" si="11"/>
        <v>3960</v>
      </c>
      <c r="O23">
        <f t="shared" si="11"/>
        <v>1350</v>
      </c>
      <c r="P23">
        <f t="shared" si="11"/>
        <v>1040</v>
      </c>
      <c r="Q23">
        <f t="shared" si="11"/>
        <v>1980</v>
      </c>
      <c r="R23">
        <f t="shared" si="11"/>
        <v>520</v>
      </c>
      <c r="S23">
        <f t="shared" si="11"/>
        <v>910</v>
      </c>
      <c r="T23">
        <f>SUM(L$23:S$23)</f>
        <v>16280</v>
      </c>
    </row>
    <row r="24" spans="1:20" x14ac:dyDescent="0.2">
      <c r="A24">
        <v>23</v>
      </c>
      <c r="B24" s="22">
        <f ca="1">Data!AL23</f>
        <v>46081</v>
      </c>
      <c r="C24">
        <f ca="1">IFERROR(IF(OFFSET(_xlfn.XLOOKUP(B24,Kuponger!E:E,Kuponger!Q:Q),15,27)=0,"",OFFSET(_xlfn.XLOOKUP(B24,Kuponger!E:E,Kuponger!Q:Q),15,27)),"")</f>
        <v>260</v>
      </c>
      <c r="D24" t="str">
        <f ca="1">IFERROR(IF(OFFSET(_xlfn.XLOOKUP(B24,Kuponger!E:E,Kuponger!Q:Q),15,28)=0,"",OFFSET(_xlfn.XLOOKUP(B24,Kuponger!E:E,Kuponger!Q:Q),15,28)),"")</f>
        <v/>
      </c>
      <c r="E24">
        <f ca="1">IFERROR(IF(OFFSET(_xlfn.XLOOKUP(B24,Kuponger!E:E,Kuponger!Q:Q),15,29)=0,"",OFFSET(_xlfn.XLOOKUP(B24,Kuponger!E:E,Kuponger!Q:Q),15,29)),"")</f>
        <v>320</v>
      </c>
      <c r="F24" t="str">
        <f ca="1">IFERROR(IF(OFFSET(_xlfn.XLOOKUP(B24,Kuponger!E:E,Kuponger!Q:Q),1,29)=0,"",OFFSET(_xlfn.XLOOKUP(B24,Kuponger!E:E,Kuponger!Q:Q),1,29))*-1,"")</f>
        <v/>
      </c>
      <c r="G24">
        <f t="shared" ca="1" si="0"/>
        <v>580</v>
      </c>
      <c r="H24">
        <f ca="1">IFERROR(IF(OFFSET(_xlfn.XLOOKUP(B24,Kuponger!E:E,Kuponger!Q:Q),1,28)="","",OFFSET(_xlfn.XLOOKUP(B24,Kuponger!E:E,Kuponger!Q:Q),1,28)),"")</f>
        <v>6</v>
      </c>
      <c r="I24" s="3">
        <f ca="1">IFERROR(t_kaf[[#This Row],[tp]]-G23,"")</f>
        <v>250</v>
      </c>
      <c r="K24" s="4"/>
    </row>
    <row r="25" spans="1:20" x14ac:dyDescent="0.2">
      <c r="A25">
        <v>24</v>
      </c>
      <c r="B25" s="22">
        <f ca="1">Data!AL24</f>
        <v>46088</v>
      </c>
      <c r="C25">
        <f ca="1">IFERROR(IF(OFFSET(_xlfn.XLOOKUP(B25,Kuponger!E:E,Kuponger!Q:Q),15,27)=0,"",OFFSET(_xlfn.XLOOKUP(B25,Kuponger!E:E,Kuponger!Q:Q),15,27)),"")</f>
        <v>140</v>
      </c>
      <c r="D25">
        <f ca="1">IFERROR(IF(OFFSET(_xlfn.XLOOKUP(B25,Kuponger!E:E,Kuponger!Q:Q),15,28)=0,"",OFFSET(_xlfn.XLOOKUP(B25,Kuponger!E:E,Kuponger!Q:Q),15,28)),"")</f>
        <v>70</v>
      </c>
      <c r="E25">
        <f ca="1">IFERROR(IF(OFFSET(_xlfn.XLOOKUP(B25,Kuponger!E:E,Kuponger!Q:Q),15,29)=0,"",OFFSET(_xlfn.XLOOKUP(B25,Kuponger!E:E,Kuponger!Q:Q),15,29)),"")</f>
        <v>260</v>
      </c>
      <c r="F25" t="str">
        <f ca="1">IFERROR(IF(OFFSET(_xlfn.XLOOKUP(B25,Kuponger!E:E,Kuponger!Q:Q),1,29)=0,"",OFFSET(_xlfn.XLOOKUP(B25,Kuponger!E:E,Kuponger!Q:Q),1,29))*-1,"")</f>
        <v/>
      </c>
      <c r="G25">
        <f t="shared" ca="1" si="0"/>
        <v>470</v>
      </c>
      <c r="H25">
        <f ca="1">IFERROR(IF(OFFSET(_xlfn.XLOOKUP(B25,Kuponger!E:E,Kuponger!Q:Q),1,28)="","",OFFSET(_xlfn.XLOOKUP(B25,Kuponger!E:E,Kuponger!Q:Q),1,28)),"")</f>
        <v>5</v>
      </c>
      <c r="I25" s="3">
        <f ca="1">IFERROR(t_kaf[[#This Row],[tp]]-G24,"")</f>
        <v>-110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IFERROR(IF(OFFSET(_xlfn.XLOOKUP(B26,Kuponger!E:E,Kuponger!Q:Q),15,27)=0,"",OFFSET(_xlfn.XLOOKUP(B26,Kuponger!E:E,Kuponger!Q:Q),15,27)),"")</f>
        <v>200</v>
      </c>
      <c r="D26">
        <f ca="1">IFERROR(IF(OFFSET(_xlfn.XLOOKUP(B26,Kuponger!E:E,Kuponger!Q:Q),15,28)=0,"",OFFSET(_xlfn.XLOOKUP(B26,Kuponger!E:E,Kuponger!Q:Q),15,28)),"")</f>
        <v>70</v>
      </c>
      <c r="E26">
        <f ca="1">IFERROR(IF(OFFSET(_xlfn.XLOOKUP(B26,Kuponger!E:E,Kuponger!Q:Q),15,29)=0,"",OFFSET(_xlfn.XLOOKUP(B26,Kuponger!E:E,Kuponger!Q:Q),15,29)),"")</f>
        <v>70</v>
      </c>
      <c r="F26" t="str">
        <f ca="1">IFERROR(IF(OFFSET(_xlfn.XLOOKUP(B26,Kuponger!E:E,Kuponger!Q:Q),1,29)=0,"",OFFSET(_xlfn.XLOOKUP(B26,Kuponger!E:E,Kuponger!Q:Q),1,29))*-1,"")</f>
        <v/>
      </c>
      <c r="G26">
        <f t="shared" ca="1" si="0"/>
        <v>340</v>
      </c>
      <c r="H26">
        <f ca="1">IFERROR(IF(OFFSET(_xlfn.XLOOKUP(B26,Kuponger!E:E,Kuponger!Q:Q),1,28)="","",OFFSET(_xlfn.XLOOKUP(B26,Kuponger!E:E,Kuponger!Q:Q),1,28)),"")</f>
        <v>8</v>
      </c>
      <c r="I26" s="3">
        <f ca="1">IFERROR(t_kaf[[#This Row],[tp]]-G25,"")</f>
        <v>-130</v>
      </c>
      <c r="K26" s="801" t="str">
        <f>K8</f>
        <v>Hjemme</v>
      </c>
      <c r="L26">
        <f>L$14*L$25</f>
        <v>1760</v>
      </c>
      <c r="M26">
        <f t="shared" ref="M26:S26" si="13">M$14*M$25</f>
        <v>210</v>
      </c>
      <c r="N26">
        <f t="shared" si="13"/>
        <v>2700</v>
      </c>
      <c r="O26">
        <f t="shared" si="13"/>
        <v>1100</v>
      </c>
      <c r="P26">
        <f t="shared" si="13"/>
        <v>320</v>
      </c>
      <c r="Q26">
        <f t="shared" si="13"/>
        <v>630</v>
      </c>
      <c r="R26">
        <f t="shared" si="13"/>
        <v>300</v>
      </c>
      <c r="S26">
        <f t="shared" si="13"/>
        <v>720</v>
      </c>
      <c r="T26">
        <f>SUM(L$26:S$26)</f>
        <v>7740</v>
      </c>
    </row>
    <row r="27" spans="1:20" x14ac:dyDescent="0.2">
      <c r="A27">
        <v>26</v>
      </c>
      <c r="B27" s="22">
        <f ca="1">Data!AL26</f>
        <v>46102</v>
      </c>
      <c r="C27">
        <f ca="1">IFERROR(IF(OFFSET(_xlfn.XLOOKUP(B27,Kuponger!E:E,Kuponger!Q:Q),15,27)=0,"",OFFSET(_xlfn.XLOOKUP(B27,Kuponger!E:E,Kuponger!Q:Q),15,27)),"")</f>
        <v>290</v>
      </c>
      <c r="D27">
        <f ca="1">IFERROR(IF(OFFSET(_xlfn.XLOOKUP(B27,Kuponger!E:E,Kuponger!Q:Q),15,28)=0,"",OFFSET(_xlfn.XLOOKUP(B27,Kuponger!E:E,Kuponger!Q:Q),15,28)),"")</f>
        <v>70</v>
      </c>
      <c r="E27">
        <f ca="1">IFERROR(IF(OFFSET(_xlfn.XLOOKUP(B27,Kuponger!E:E,Kuponger!Q:Q),15,29)=0,"",OFFSET(_xlfn.XLOOKUP(B27,Kuponger!E:E,Kuponger!Q:Q),15,29)),"")</f>
        <v>150</v>
      </c>
      <c r="F27" t="str">
        <f ca="1">IFERROR(IF(OFFSET(_xlfn.XLOOKUP(B27,Kuponger!E:E,Kuponger!Q:Q),1,29)=0,"",OFFSET(_xlfn.XLOOKUP(B27,Kuponger!E:E,Kuponger!Q:Q),1,29))*-1,"")</f>
        <v/>
      </c>
      <c r="G27">
        <f t="shared" ca="1" si="0"/>
        <v>510</v>
      </c>
      <c r="H27">
        <f ca="1">IFERROR(IF(OFFSET(_xlfn.XLOOKUP(B27,Kuponger!E:E,Kuponger!Q:Q),1,28)="","",OFFSET(_xlfn.XLOOKUP(B27,Kuponger!E:E,Kuponger!Q:Q),1,28)),"")</f>
        <v>2</v>
      </c>
      <c r="I27" s="3">
        <f ca="1">IFERROR(t_kaf[[#This Row],[tp]]-G26,"")</f>
        <v>170</v>
      </c>
      <c r="K27" s="801" t="str">
        <f>K9</f>
        <v>Uavgjort</v>
      </c>
      <c r="L27">
        <f>L$25*L$15</f>
        <v>240</v>
      </c>
      <c r="M27">
        <f t="shared" ref="M27:S27" si="14">M$25*M$15</f>
        <v>350</v>
      </c>
      <c r="N27">
        <f t="shared" si="14"/>
        <v>240</v>
      </c>
      <c r="O27">
        <f t="shared" si="14"/>
        <v>700</v>
      </c>
      <c r="P27">
        <f t="shared" si="14"/>
        <v>1560</v>
      </c>
      <c r="Q27">
        <f t="shared" si="14"/>
        <v>3930</v>
      </c>
      <c r="R27">
        <f t="shared" si="14"/>
        <v>520</v>
      </c>
      <c r="S27">
        <f t="shared" si="14"/>
        <v>950</v>
      </c>
      <c r="T27">
        <f>SUM(L$27:S$27)</f>
        <v>8490</v>
      </c>
    </row>
    <row r="28" spans="1:20" x14ac:dyDescent="0.2">
      <c r="A28">
        <v>27</v>
      </c>
      <c r="B28" s="22">
        <f ca="1">Data!AL27</f>
        <v>46109</v>
      </c>
      <c r="C28">
        <f ca="1">IFERROR(IF(OFFSET(_xlfn.XLOOKUP(B28,Kuponger!E:E,Kuponger!Q:Q),15,27)=0,"",OFFSET(_xlfn.XLOOKUP(B28,Kuponger!E:E,Kuponger!Q:Q),15,27)),"")</f>
        <v>350</v>
      </c>
      <c r="D28">
        <f ca="1">IFERROR(IF(OFFSET(_xlfn.XLOOKUP(B28,Kuponger!E:E,Kuponger!Q:Q),15,28)=0,"",OFFSET(_xlfn.XLOOKUP(B28,Kuponger!E:E,Kuponger!Q:Q),15,28)),"")</f>
        <v>90</v>
      </c>
      <c r="E28" t="str">
        <f ca="1">IFERROR(IF(OFFSET(_xlfn.XLOOKUP(B28,Kuponger!E:E,Kuponger!Q:Q),15,29)=0,"",OFFSET(_xlfn.XLOOKUP(B28,Kuponger!E:E,Kuponger!Q:Q),15,29)),"")</f>
        <v/>
      </c>
      <c r="F28" t="str">
        <f ca="1">IFERROR(IF(OFFSET(_xlfn.XLOOKUP(B28,Kuponger!E:E,Kuponger!Q:Q),1,29)=0,"",OFFSET(_xlfn.XLOOKUP(B28,Kuponger!E:E,Kuponger!Q:Q),1,29))*-1,"")</f>
        <v/>
      </c>
      <c r="G28">
        <f t="shared" ca="1" si="0"/>
        <v>440</v>
      </c>
      <c r="H28">
        <f ca="1">IFERROR(IF(OFFSET(_xlfn.XLOOKUP(B28,Kuponger!E:E,Kuponger!Q:Q),1,28)="","",OFFSET(_xlfn.XLOOKUP(B28,Kuponger!E:E,Kuponger!Q:Q),1,28)),"")</f>
        <v>8</v>
      </c>
      <c r="I28" s="3">
        <f ca="1">IFERROR(t_kaf[[#This Row],[tp]]-G27,"")</f>
        <v>-70</v>
      </c>
      <c r="K28" s="801" t="str">
        <f>K10</f>
        <v>Borte</v>
      </c>
      <c r="L28">
        <f>L$25*L$16</f>
        <v>960</v>
      </c>
      <c r="M28">
        <f t="shared" ref="M28:S28" si="15">M$25*M$16</f>
        <v>420</v>
      </c>
      <c r="N28">
        <f t="shared" si="15"/>
        <v>1740</v>
      </c>
      <c r="O28">
        <f t="shared" si="15"/>
        <v>1400</v>
      </c>
      <c r="P28">
        <f t="shared" si="15"/>
        <v>520</v>
      </c>
      <c r="Q28">
        <f t="shared" si="15"/>
        <v>690</v>
      </c>
      <c r="R28">
        <f t="shared" si="15"/>
        <v>420</v>
      </c>
      <c r="S28">
        <f t="shared" si="15"/>
        <v>1420</v>
      </c>
      <c r="T28">
        <f>SUM(L$28:S$28)</f>
        <v>7570</v>
      </c>
    </row>
    <row r="29" spans="1:20" x14ac:dyDescent="0.2">
      <c r="A29">
        <v>28</v>
      </c>
      <c r="B29" s="22">
        <f ca="1">Data!AL28</f>
        <v>46123</v>
      </c>
      <c r="C29">
        <f ca="1">IFERROR(IF(OFFSET(_xlfn.XLOOKUP(B29,Kuponger!E:E,Kuponger!Q:Q),15,27)=0,"",OFFSET(_xlfn.XLOOKUP(B29,Kuponger!E:E,Kuponger!Q:Q),15,27)),"")</f>
        <v>270</v>
      </c>
      <c r="D29">
        <f ca="1">IFERROR(IF(OFFSET(_xlfn.XLOOKUP(B29,Kuponger!E:E,Kuponger!Q:Q),15,28)=0,"",OFFSET(_xlfn.XLOOKUP(B29,Kuponger!E:E,Kuponger!Q:Q),15,28)),"")</f>
        <v>80</v>
      </c>
      <c r="E29">
        <f ca="1">IFERROR(IF(OFFSET(_xlfn.XLOOKUP(B29,Kuponger!E:E,Kuponger!Q:Q),15,29)=0,"",OFFSET(_xlfn.XLOOKUP(B29,Kuponger!E:E,Kuponger!Q:Q),15,29)),"")</f>
        <v>140</v>
      </c>
      <c r="F29" t="str">
        <f ca="1">IFERROR(IF(OFFSET(_xlfn.XLOOKUP(B29,Kuponger!E:E,Kuponger!Q:Q),1,29)=0,"",OFFSET(_xlfn.XLOOKUP(B29,Kuponger!E:E,Kuponger!Q:Q),1,29))*-1,"")</f>
        <v/>
      </c>
      <c r="G29">
        <f t="shared" ca="1" si="0"/>
        <v>490</v>
      </c>
      <c r="H29">
        <f ca="1">IFERROR(IF(OFFSET(_xlfn.XLOOKUP(B29,Kuponger!E:E,Kuponger!Q:Q),1,28)="","",OFFSET(_xlfn.XLOOKUP(B29,Kuponger!E:E,Kuponger!Q:Q),1,28)),"")</f>
        <v>5</v>
      </c>
      <c r="I29" s="3">
        <f ca="1">IFERROR(t_kaf[[#This Row],[tp]]-G28,"")</f>
        <v>50</v>
      </c>
      <c r="K29" s="801" t="str">
        <f>K25</f>
        <v>Misset poeng</v>
      </c>
      <c r="L29">
        <f>SUM(L26:L28)</f>
        <v>2960</v>
      </c>
      <c r="M29">
        <f t="shared" ref="M29:S29" si="16">SUM(M26:M28)</f>
        <v>980</v>
      </c>
      <c r="N29">
        <f t="shared" si="16"/>
        <v>4680</v>
      </c>
      <c r="O29">
        <f t="shared" si="16"/>
        <v>3200</v>
      </c>
      <c r="P29">
        <f t="shared" si="16"/>
        <v>2400</v>
      </c>
      <c r="Q29">
        <f t="shared" si="16"/>
        <v>5250</v>
      </c>
      <c r="R29">
        <f t="shared" si="16"/>
        <v>1240</v>
      </c>
      <c r="S29">
        <f t="shared" si="16"/>
        <v>3090</v>
      </c>
      <c r="T29">
        <f>SUM(L$29:S$29)</f>
        <v>23800</v>
      </c>
    </row>
    <row r="30" spans="1:20" x14ac:dyDescent="0.2">
      <c r="A30">
        <v>29</v>
      </c>
      <c r="B30" s="22">
        <f ca="1">Data!AL29</f>
        <v>46130</v>
      </c>
      <c r="C30">
        <f ca="1">IFERROR(IF(OFFSET(_xlfn.XLOOKUP(B30,Kuponger!E:E,Kuponger!Q:Q),15,27)=0,"",OFFSET(_xlfn.XLOOKUP(B30,Kuponger!E:E,Kuponger!Q:Q),15,27)),"")</f>
        <v>220</v>
      </c>
      <c r="D30">
        <f ca="1">IFERROR(IF(OFFSET(_xlfn.XLOOKUP(B30,Kuponger!E:E,Kuponger!Q:Q),15,28)=0,"",OFFSET(_xlfn.XLOOKUP(B30,Kuponger!E:E,Kuponger!Q:Q),15,28)),"")</f>
        <v>90</v>
      </c>
      <c r="E30">
        <f ca="1">IFERROR(IF(OFFSET(_xlfn.XLOOKUP(B30,Kuponger!E:E,Kuponger!Q:Q),15,29)=0,"",OFFSET(_xlfn.XLOOKUP(B30,Kuponger!E:E,Kuponger!Q:Q),15,29)),"")</f>
        <v>240</v>
      </c>
      <c r="F30" t="str">
        <f ca="1">IFERROR(IF(OFFSET(_xlfn.XLOOKUP(B30,Kuponger!E:E,Kuponger!Q:Q),1,29)=0,"",OFFSET(_xlfn.XLOOKUP(B30,Kuponger!E:E,Kuponger!Q:Q),1,29))*-1,"")</f>
        <v/>
      </c>
      <c r="G30">
        <f t="shared" ca="1" si="0"/>
        <v>550</v>
      </c>
      <c r="H30">
        <f ca="1">IFERROR(IF(OFFSET(_xlfn.XLOOKUP(B30,Kuponger!E:E,Kuponger!Q:Q),1,28)="","",OFFSET(_xlfn.XLOOKUP(B30,Kuponger!E:E,Kuponger!Q:Q),1,28)),"")</f>
        <v>1</v>
      </c>
      <c r="I30" s="3">
        <f ca="1">IFERROR(t_kaf[[#This Row],[tp]]-G29,"")</f>
        <v>60</v>
      </c>
    </row>
    <row r="31" spans="1:20" x14ac:dyDescent="0.2">
      <c r="A31">
        <v>30</v>
      </c>
      <c r="B31" s="22">
        <f ca="1">Data!AL30</f>
        <v>46137</v>
      </c>
      <c r="C31">
        <f ca="1">IFERROR(IF(OFFSET(_xlfn.XLOOKUP(B31,Kuponger!E:E,Kuponger!Q:Q),15,27)=0,"",OFFSET(_xlfn.XLOOKUP(B31,Kuponger!E:E,Kuponger!Q:Q),15,27)),"")</f>
        <v>300</v>
      </c>
      <c r="D31">
        <f ca="1">IFERROR(IF(OFFSET(_xlfn.XLOOKUP(B31,Kuponger!E:E,Kuponger!Q:Q),15,28)=0,"",OFFSET(_xlfn.XLOOKUP(B31,Kuponger!E:E,Kuponger!Q:Q),15,28)),"")</f>
        <v>50</v>
      </c>
      <c r="E31">
        <f ca="1">IFERROR(IF(OFFSET(_xlfn.XLOOKUP(B31,Kuponger!E:E,Kuponger!Q:Q),15,29)=0,"",OFFSET(_xlfn.XLOOKUP(B31,Kuponger!E:E,Kuponger!Q:Q),15,29)),"")</f>
        <v>250</v>
      </c>
      <c r="F31" t="str">
        <f ca="1">IFERROR(IF(OFFSET(_xlfn.XLOOKUP(B31,Kuponger!E:E,Kuponger!Q:Q),1,29)=0,"",OFFSET(_xlfn.XLOOKUP(B31,Kuponger!E:E,Kuponger!Q:Q),1,29))*-1,"")</f>
        <v/>
      </c>
      <c r="G31">
        <f t="shared" ca="1" si="0"/>
        <v>600</v>
      </c>
      <c r="H31">
        <f ca="1">IFERROR(IF(OFFSET(_xlfn.XLOOKUP(B31,Kuponger!E:E,Kuponger!Q:Q),1,28)="","",OFFSET(_xlfn.XLOOKUP(B31,Kuponger!E:E,Kuponger!Q:Q),1,28)),"")</f>
        <v>3</v>
      </c>
      <c r="I31" s="3">
        <f ca="1">IFERROR(t_kaf[[#This Row],[tp]]-G30,"")</f>
        <v>50</v>
      </c>
      <c r="K31" t="s">
        <v>856</v>
      </c>
    </row>
    <row r="32" spans="1:20" x14ac:dyDescent="0.2">
      <c r="A32">
        <v>31</v>
      </c>
      <c r="B32" s="22">
        <f ca="1">Data!AL31</f>
        <v>46144</v>
      </c>
      <c r="C32">
        <f ca="1">IFERROR(IF(OFFSET(_xlfn.XLOOKUP(B32,Kuponger!E:E,Kuponger!Q:Q),15,27)=0,"",OFFSET(_xlfn.XLOOKUP(B32,Kuponger!E:E,Kuponger!Q:Q),15,27)),"")</f>
        <v>260</v>
      </c>
      <c r="D32">
        <f ca="1">IFERROR(IF(OFFSET(_xlfn.XLOOKUP(B32,Kuponger!E:E,Kuponger!Q:Q),15,28)=0,"",OFFSET(_xlfn.XLOOKUP(B32,Kuponger!E:E,Kuponger!Q:Q),15,28)),"")</f>
        <v>80</v>
      </c>
      <c r="E32">
        <f ca="1">IFERROR(IF(OFFSET(_xlfn.XLOOKUP(B32,Kuponger!E:E,Kuponger!Q:Q),15,29)=0,"",OFFSET(_xlfn.XLOOKUP(B32,Kuponger!E:E,Kuponger!Q:Q),15,29)),"")</f>
        <v>210</v>
      </c>
      <c r="F32" t="str">
        <f ca="1">IFERROR(IF(OFFSET(_xlfn.XLOOKUP(B32,Kuponger!E:E,Kuponger!Q:Q),1,29)=0,"",OFFSET(_xlfn.XLOOKUP(B32,Kuponger!E:E,Kuponger!Q:Q),1,29))*-1,"")</f>
        <v/>
      </c>
      <c r="G32">
        <f t="shared" ca="1" si="0"/>
        <v>550</v>
      </c>
      <c r="H32">
        <f ca="1">IFERROR(IF(OFFSET(_xlfn.XLOOKUP(B32,Kuponger!E:E,Kuponger!Q:Q),1,28)="","",OFFSET(_xlfn.XLOOKUP(B32,Kuponger!E:E,Kuponger!Q:Q),1,28)),"")</f>
        <v>2</v>
      </c>
      <c r="I32" s="3">
        <f ca="1">IFERROR(t_kaf[[#This Row],[tp]]-G31,"")</f>
        <v>-50</v>
      </c>
      <c r="K32">
        <f>SUM(Kuponger!AY:AY)</f>
        <v>194</v>
      </c>
    </row>
    <row r="33" spans="1:14" x14ac:dyDescent="0.2">
      <c r="A33">
        <v>32</v>
      </c>
      <c r="B33" s="22">
        <f ca="1">Data!AL32</f>
        <v>46151</v>
      </c>
      <c r="C33">
        <f ca="1">IFERROR(IF(OFFSET(_xlfn.XLOOKUP(B33,Kuponger!E:E,Kuponger!Q:Q),15,27)=0,"",OFFSET(_xlfn.XLOOKUP(B33,Kuponger!E:E,Kuponger!Q:Q),15,27)),"")</f>
        <v>190</v>
      </c>
      <c r="D33">
        <f ca="1">IFERROR(IF(OFFSET(_xlfn.XLOOKUP(B33,Kuponger!E:E,Kuponger!Q:Q),15,28)=0,"",OFFSET(_xlfn.XLOOKUP(B33,Kuponger!E:E,Kuponger!Q:Q),15,28)),"")</f>
        <v>50</v>
      </c>
      <c r="E33">
        <f ca="1">IFERROR(IF(OFFSET(_xlfn.XLOOKUP(B33,Kuponger!E:E,Kuponger!Q:Q),15,29)=0,"",OFFSET(_xlfn.XLOOKUP(B33,Kuponger!E:E,Kuponger!Q:Q),15,29)),"")</f>
        <v>320</v>
      </c>
      <c r="F33" t="str">
        <f ca="1">IFERROR(IF(OFFSET(_xlfn.XLOOKUP(B33,Kuponger!E:E,Kuponger!Q:Q),1,29)=0,"",OFFSET(_xlfn.XLOOKUP(B33,Kuponger!E:E,Kuponger!Q:Q),1,29))*-1,"")</f>
        <v/>
      </c>
      <c r="G33">
        <f t="shared" ca="1" si="0"/>
        <v>560</v>
      </c>
      <c r="H33">
        <f ca="1">IFERROR(IF(OFFSET(_xlfn.XLOOKUP(B33,Kuponger!E:E,Kuponger!Q:Q),1,28)="","",OFFSET(_xlfn.XLOOKUP(B33,Kuponger!E:E,Kuponger!Q:Q),1,28)),"")</f>
        <v>5</v>
      </c>
      <c r="I33" s="3">
        <f ca="1">IFERROR(t_kaf[[#This Row],[tp]]-G32,"")</f>
        <v>10</v>
      </c>
    </row>
    <row r="34" spans="1:14" x14ac:dyDescent="0.2">
      <c r="A34">
        <v>33</v>
      </c>
      <c r="B34" s="22" t="str">
        <f ca="1">Data!AL33</f>
        <v/>
      </c>
      <c r="C34" t="str">
        <f ca="1">IFERROR(IF(OFFSET(_xlfn.XLOOKUP(B34,Kuponger!E:E,Kuponger!Q:Q),15,27)=0,"",OFFSET(_xlfn.XLOOKUP(B34,Kuponger!E:E,Kuponger!Q:Q),15,27)),"")</f>
        <v/>
      </c>
      <c r="D34" t="str">
        <f ca="1">IFERROR(IF(OFFSET(_xlfn.XLOOKUP(B34,Kuponger!E:E,Kuponger!Q:Q),15,28)=0,"",OFFSET(_xlfn.XLOOKUP(B34,Kuponger!E:E,Kuponger!Q:Q),15,28)),"")</f>
        <v/>
      </c>
      <c r="E34" t="str">
        <f ca="1">IFERROR(IF(OFFSET(_xlfn.XLOOKUP(B34,Kuponger!E:E,Kuponger!Q:Q),15,29)=0,"",OFFSET(_xlfn.XLOOKUP(B34,Kuponger!E:E,Kuponger!Q:Q),15,29)),"")</f>
        <v/>
      </c>
      <c r="F34" t="str">
        <f ca="1">IFERROR(IF(OFFSET(_xlfn.XLOOKUP(B34,Kuponger!E:E,Kuponger!Q:Q),1,29)=0,"",OFFSET(_xlfn.XLOOKUP(B34,Kuponger!E:E,Kuponger!Q:Q),1,29))*-1,"")</f>
        <v/>
      </c>
      <c r="G34" t="str">
        <f t="shared" ca="1" si="0"/>
        <v/>
      </c>
      <c r="H34" t="str">
        <f ca="1">IFERROR(IF(OFFSET(_xlfn.XLOOKUP(B34,Kuponger!E:E,Kuponger!Q:Q),1,28)="","",OFFSET(_xlfn.XLOOKUP(B34,Kuponger!E:E,Kuponger!Q:Q),1,28)),"")</f>
        <v/>
      </c>
      <c r="I34" s="3" t="str">
        <f ca="1">IFERROR(t_kaf[[#This Row],[tp]]-G33,"")</f>
        <v/>
      </c>
    </row>
    <row r="35" spans="1:14" x14ac:dyDescent="0.2">
      <c r="A35">
        <v>34</v>
      </c>
      <c r="B35" s="22" t="str">
        <f ca="1">Data!AL34</f>
        <v/>
      </c>
      <c r="C35" t="str">
        <f ca="1">IFERROR(IF(OFFSET(_xlfn.XLOOKUP(B35,Kuponger!E:E,Kuponger!Q:Q),15,27)=0,"",OFFSET(_xlfn.XLOOKUP(B35,Kuponger!E:E,Kuponger!Q:Q),15,27)),"")</f>
        <v/>
      </c>
      <c r="D35" t="str">
        <f ca="1">IFERROR(IF(OFFSET(_xlfn.XLOOKUP(B35,Kuponger!E:E,Kuponger!Q:Q),15,28)=0,"",OFFSET(_xlfn.XLOOKUP(B35,Kuponger!E:E,Kuponger!Q:Q),15,28)),"")</f>
        <v/>
      </c>
      <c r="E35" t="str">
        <f ca="1">IFERROR(IF(OFFSET(_xlfn.XLOOKUP(B35,Kuponger!E:E,Kuponger!Q:Q),15,29)=0,"",OFFSET(_xlfn.XLOOKUP(B35,Kuponger!E:E,Kuponger!Q:Q),15,29)),"")</f>
        <v/>
      </c>
      <c r="F35" t="str">
        <f ca="1">IFERROR(IF(OFFSET(_xlfn.XLOOKUP(B35,Kuponger!E:E,Kuponger!Q:Q),1,29)=0,"",OFFSET(_xlfn.XLOOKUP(B35,Kuponger!E:E,Kuponger!Q:Q),1,29))*-1,"")</f>
        <v/>
      </c>
      <c r="G35" t="str">
        <f t="shared" ca="1" si="0"/>
        <v/>
      </c>
      <c r="H35" t="str">
        <f ca="1">IFERROR(IF(OFFSET(_xlfn.XLOOKUP(B35,Kuponger!E:E,Kuponger!Q:Q),1,28)="","",OFFSET(_xlfn.XLOOKUP(B35,Kuponger!E:E,Kuponger!Q:Q),1,28)),"")</f>
        <v/>
      </c>
      <c r="I35" s="3" t="str">
        <f ca="1">IFERROR(t_kaf[[#This Row],[tp]]-G34,"")</f>
        <v/>
      </c>
      <c r="K35" s="2" t="s">
        <v>22</v>
      </c>
    </row>
    <row r="36" spans="1:14" x14ac:dyDescent="0.2">
      <c r="A36">
        <v>35</v>
      </c>
      <c r="B36" s="22" t="str">
        <f ca="1">Data!AL35</f>
        <v/>
      </c>
      <c r="C36" t="str">
        <f ca="1">IFERROR(IF(OFFSET(_xlfn.XLOOKUP(B36,Kuponger!E:E,Kuponger!Q:Q),15,27)=0,"",OFFSET(_xlfn.XLOOKUP(B36,Kuponger!E:E,Kuponger!Q:Q),15,27)),"")</f>
        <v/>
      </c>
      <c r="D36" t="str">
        <f ca="1">IFERROR(IF(OFFSET(_xlfn.XLOOKUP(B36,Kuponger!E:E,Kuponger!Q:Q),15,28)=0,"",OFFSET(_xlfn.XLOOKUP(B36,Kuponger!E:E,Kuponger!Q:Q),15,28)),"")</f>
        <v/>
      </c>
      <c r="E36" t="str">
        <f ca="1">IFERROR(IF(OFFSET(_xlfn.XLOOKUP(B36,Kuponger!E:E,Kuponger!Q:Q),15,29)=0,"",OFFSET(_xlfn.XLOOKUP(B36,Kuponger!E:E,Kuponger!Q:Q),15,29)),"")</f>
        <v/>
      </c>
      <c r="F36" t="str">
        <f ca="1">IFERROR(IF(OFFSET(_xlfn.XLOOKUP(B36,Kuponger!E:E,Kuponger!Q:Q),1,29)=0,"",OFFSET(_xlfn.XLOOKUP(B36,Kuponger!E:E,Kuponger!Q:Q),1,29))*-1,"")</f>
        <v/>
      </c>
      <c r="G36" t="str">
        <f t="shared" ca="1" si="0"/>
        <v/>
      </c>
      <c r="H36" t="str">
        <f ca="1">IFERROR(IF(OFFSET(_xlfn.XLOOKUP(B36,Kuponger!E:E,Kuponger!Q:Q),1,28)="","",OFFSET(_xlfn.XLOOKUP(B36,Kuponger!E:E,Kuponger!Q:Q),1,28)),"")</f>
        <v/>
      </c>
      <c r="I36" s="3" t="str">
        <f ca="1">IFERROR(t_kaf[[#This Row],[tp]]-G35,"")</f>
        <v/>
      </c>
      <c r="K36" s="4" t="s">
        <v>857</v>
      </c>
      <c r="L36" s="3">
        <v>80</v>
      </c>
      <c r="M36" s="3">
        <v>70</v>
      </c>
      <c r="N36" s="3">
        <v>60</v>
      </c>
    </row>
    <row r="37" spans="1:14" x14ac:dyDescent="0.2">
      <c r="A37">
        <v>36</v>
      </c>
      <c r="B37" s="22" t="str">
        <f ca="1">Data!AL36</f>
        <v/>
      </c>
      <c r="C37" t="str">
        <f ca="1">IFERROR(IF(OFFSET(_xlfn.XLOOKUP(B37,Kuponger!E:E,Kuponger!Q:Q),15,27)=0,"",OFFSET(_xlfn.XLOOKUP(B37,Kuponger!E:E,Kuponger!Q:Q),15,27)),"")</f>
        <v/>
      </c>
      <c r="D37" t="str">
        <f ca="1">IFERROR(IF(OFFSET(_xlfn.XLOOKUP(B37,Kuponger!E:E,Kuponger!Q:Q),15,28)=0,"",OFFSET(_xlfn.XLOOKUP(B37,Kuponger!E:E,Kuponger!Q:Q),15,28)),"")</f>
        <v/>
      </c>
      <c r="E37" t="str">
        <f ca="1">IFERROR(IF(OFFSET(_xlfn.XLOOKUP(B37,Kuponger!E:E,Kuponger!Q:Q),15,29)=0,"",OFFSET(_xlfn.XLOOKUP(B37,Kuponger!E:E,Kuponger!Q:Q),15,29)),"")</f>
        <v/>
      </c>
      <c r="F37" t="str">
        <f ca="1">IFERROR(IF(OFFSET(_xlfn.XLOOKUP(B37,Kuponger!E:E,Kuponger!Q:Q),1,29)=0,"",OFFSET(_xlfn.XLOOKUP(B37,Kuponger!E:E,Kuponger!Q:Q),1,29))*-1,"")</f>
        <v/>
      </c>
      <c r="G37" t="str">
        <f t="shared" ca="1" si="0"/>
        <v/>
      </c>
      <c r="H37" t="str">
        <f ca="1">IFERROR(IF(OFFSET(_xlfn.XLOOKUP(B37,Kuponger!E:E,Kuponger!Q:Q),1,28)="","",OFFSET(_xlfn.XLOOKUP(B37,Kuponger!E:E,Kuponger!Q:Q),1,28)),"")</f>
        <v/>
      </c>
      <c r="I37" s="3" t="str">
        <f ca="1">IFERROR(t_kaf[[#This Row],[tp]]-G36,"")</f>
        <v/>
      </c>
      <c r="K37" s="4" t="s">
        <v>858</v>
      </c>
      <c r="L37" t="str">
        <f>_xlfn.XLOOKUP(LARGE(L$2:L$4,1),L$2:L$4,$K$2:$K$4)</f>
        <v>Hjemme</v>
      </c>
      <c r="M37" t="str">
        <f>_xlfn.XLOOKUP(LARGE(M$2:M$4,1),M$2:M$4,$K$2:$K$4)</f>
        <v>Borte</v>
      </c>
      <c r="N37" t="str">
        <f>_xlfn.XLOOKUP(LARGE(N$2:N$4,1),N$2:N$4,$K$2:$K$4)</f>
        <v>Hjemme</v>
      </c>
    </row>
    <row r="38" spans="1:14" x14ac:dyDescent="0.2">
      <c r="A38">
        <v>37</v>
      </c>
      <c r="B38" s="22" t="str">
        <f ca="1">Data!AL37</f>
        <v/>
      </c>
      <c r="C38" t="str">
        <f ca="1">IFERROR(IF(OFFSET(_xlfn.XLOOKUP(B38,Kuponger!E:E,Kuponger!Q:Q),15,27)=0,"",OFFSET(_xlfn.XLOOKUP(B38,Kuponger!E:E,Kuponger!Q:Q),15,27)),"")</f>
        <v/>
      </c>
      <c r="D38" t="str">
        <f ca="1">IFERROR(IF(OFFSET(_xlfn.XLOOKUP(B38,Kuponger!E:E,Kuponger!Q:Q),15,28)=0,"",OFFSET(_xlfn.XLOOKUP(B38,Kuponger!E:E,Kuponger!Q:Q),15,28)),"")</f>
        <v/>
      </c>
      <c r="E38" t="str">
        <f ca="1">IFERROR(IF(OFFSET(_xlfn.XLOOKUP(B38,Kuponger!E:E,Kuponger!Q:Q),15,29)=0,"",OFFSET(_xlfn.XLOOKUP(B38,Kuponger!E:E,Kuponger!Q:Q),15,29)),"")</f>
        <v/>
      </c>
      <c r="F38" t="str">
        <f ca="1">IFERROR(IF(OFFSET(_xlfn.XLOOKUP(B38,Kuponger!E:E,Kuponger!Q:Q),1,29)=0,"",OFFSET(_xlfn.XLOOKUP(B38,Kuponger!E:E,Kuponger!Q:Q),1,29))*-1,"")</f>
        <v/>
      </c>
      <c r="G38" t="str">
        <f t="shared" ca="1" si="0"/>
        <v/>
      </c>
      <c r="H38" t="str">
        <f ca="1">IFERROR(IF(OFFSET(_xlfn.XLOOKUP(B38,Kuponger!E:E,Kuponger!Q:Q),1,28)="","",OFFSET(_xlfn.XLOOKUP(B38,Kuponger!E:E,Kuponger!Q:Q),1,28)),"")</f>
        <v/>
      </c>
      <c r="I38" s="3" t="str">
        <f ca="1">IFERROR(t_kaf[[#This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IFERROR(IF(OFFSET(_xlfn.XLOOKUP(B39,Kuponger!E:E,Kuponger!Q:Q),15,27)=0,"",OFFSET(_xlfn.XLOOKUP(B39,Kuponger!E:E,Kuponger!Q:Q),15,27)),"")</f>
        <v/>
      </c>
      <c r="D39" t="str">
        <f ca="1">IFERROR(IF(OFFSET(_xlfn.XLOOKUP(B39,Kuponger!E:E,Kuponger!Q:Q),15,28)=0,"",OFFSET(_xlfn.XLOOKUP(B39,Kuponger!E:E,Kuponger!Q:Q),15,28)),"")</f>
        <v/>
      </c>
      <c r="E39" t="str">
        <f ca="1">IFERROR(IF(OFFSET(_xlfn.XLOOKUP(B39,Kuponger!E:E,Kuponger!Q:Q),15,29)=0,"",OFFSET(_xlfn.XLOOKUP(B39,Kuponger!E:E,Kuponger!Q:Q),15,29)),"")</f>
        <v/>
      </c>
      <c r="F39" t="str">
        <f ca="1">IFERROR(IF(OFFSET(_xlfn.XLOOKUP(B39,Kuponger!E:E,Kuponger!Q:Q),1,29)=0,"",OFFSET(_xlfn.XLOOKUP(B39,Kuponger!E:E,Kuponger!Q:Q),1,29))*-1,"")</f>
        <v/>
      </c>
      <c r="G39" t="str">
        <f t="shared" ca="1" si="0"/>
        <v/>
      </c>
      <c r="H39" t="str">
        <f ca="1">IFERROR(IF(OFFSET(_xlfn.XLOOKUP(B39,Kuponger!E:E,Kuponger!Q:Q),1,28)="","",OFFSET(_xlfn.XLOOKUP(B39,Kuponger!E:E,Kuponger!Q:Q),1,28)),"")</f>
        <v/>
      </c>
      <c r="I39" s="3" t="str">
        <f ca="1">IFERROR(t_kaf[[#This Row],[tp]]-G38,"")</f>
        <v/>
      </c>
      <c r="K39" s="4" t="s">
        <v>860</v>
      </c>
      <c r="L39" t="str">
        <f>_xlfn.XLOOKUP(LARGE(L$14:L$16,1),L$14:L$16,$K$14:$K$16)</f>
        <v>Hjemme</v>
      </c>
      <c r="M39" t="str">
        <f>_xlfn.XLOOKUP(LARGE(M$14:M$16,1),M$14:M$16,$K$14:$K$16)</f>
        <v>Borte</v>
      </c>
      <c r="N39" t="str">
        <f>_xlfn.XLOOKUP(LARGE(N$14:N$16,1),N$14:N$16,$K$14:$K$16)</f>
        <v>Hjemme</v>
      </c>
    </row>
    <row r="40" spans="1:14" x14ac:dyDescent="0.2">
      <c r="A40">
        <v>39</v>
      </c>
      <c r="B40" s="22" t="str">
        <f ca="1">Data!AL39</f>
        <v/>
      </c>
      <c r="C40" t="str">
        <f ca="1">IFERROR(IF(OFFSET(_xlfn.XLOOKUP(B40,Kuponger!E:E,Kuponger!Q:Q),15,27)=0,"",OFFSET(_xlfn.XLOOKUP(B40,Kuponger!E:E,Kuponger!Q:Q),15,27)),"")</f>
        <v/>
      </c>
      <c r="D40" t="str">
        <f ca="1">IFERROR(IF(OFFSET(_xlfn.XLOOKUP(B40,Kuponger!E:E,Kuponger!Q:Q),15,28)=0,"",OFFSET(_xlfn.XLOOKUP(B40,Kuponger!E:E,Kuponger!Q:Q),15,28)),"")</f>
        <v/>
      </c>
      <c r="E40" t="str">
        <f ca="1">IFERROR(IF(OFFSET(_xlfn.XLOOKUP(B40,Kuponger!E:E,Kuponger!Q:Q),15,29)=0,"",OFFSET(_xlfn.XLOOKUP(B40,Kuponger!E:E,Kuponger!Q:Q),15,29)),"")</f>
        <v/>
      </c>
      <c r="F40" t="str">
        <f ca="1">IFERROR(IF(OFFSET(_xlfn.XLOOKUP(B40,Kuponger!E:E,Kuponger!Q:Q),1,29)=0,"",OFFSET(_xlfn.XLOOKUP(B40,Kuponger!E:E,Kuponger!Q:Q),1,29))*-1,"")</f>
        <v/>
      </c>
      <c r="G40" t="str">
        <f t="shared" ca="1" si="0"/>
        <v/>
      </c>
      <c r="H40" t="str">
        <f ca="1">IFERROR(IF(OFFSET(_xlfn.XLOOKUP(B40,Kuponger!E:E,Kuponger!Q:Q),1,28)="","",OFFSET(_xlfn.XLOOKUP(B40,Kuponger!E:E,Kuponger!Q:Q),1,28)),"")</f>
        <v/>
      </c>
      <c r="I40" s="3" t="str">
        <f ca="1">IFERROR(t_kaf[[#This Row],[tp]]-G39,"")</f>
        <v/>
      </c>
    </row>
    <row r="41" spans="1:14" x14ac:dyDescent="0.2">
      <c r="A41">
        <v>40</v>
      </c>
      <c r="B41" s="22" t="str">
        <f ca="1">Data!AL40</f>
        <v/>
      </c>
      <c r="C41" t="str">
        <f ca="1">IFERROR(IF(OFFSET(_xlfn.XLOOKUP(B41,Kuponger!E:E,Kuponger!Q:Q),15,27)=0,"",OFFSET(_xlfn.XLOOKUP(B41,Kuponger!E:E,Kuponger!Q:Q),15,27)),"")</f>
        <v/>
      </c>
      <c r="D41" t="str">
        <f ca="1">IFERROR(IF(OFFSET(_xlfn.XLOOKUP(B41,Kuponger!E:E,Kuponger!Q:Q),15,28)=0,"",OFFSET(_xlfn.XLOOKUP(B41,Kuponger!E:E,Kuponger!Q:Q),15,28)),"")</f>
        <v/>
      </c>
      <c r="E41" t="str">
        <f ca="1">IFERROR(IF(OFFSET(_xlfn.XLOOKUP(B41,Kuponger!E:E,Kuponger!Q:Q),15,29)=0,"",OFFSET(_xlfn.XLOOKUP(B41,Kuponger!E:E,Kuponger!Q:Q),15,29)),"")</f>
        <v/>
      </c>
      <c r="F41" t="str">
        <f ca="1">IFERROR(IF(OFFSET(_xlfn.XLOOKUP(B41,Kuponger!E:E,Kuponger!Q:Q),1,29)=0,"",OFFSET(_xlfn.XLOOKUP(B41,Kuponger!E:E,Kuponger!Q:Q),1,29))*-1,"")</f>
        <v/>
      </c>
      <c r="G41" t="str">
        <f t="shared" ca="1" si="0"/>
        <v/>
      </c>
      <c r="H41" t="str">
        <f ca="1">IFERROR(IF(OFFSET(_xlfn.XLOOKUP(B41,Kuponger!E:E,Kuponger!Q:Q),1,28)="","",OFFSET(_xlfn.XLOOKUP(B41,Kuponger!E:E,Kuponger!Q:Q),1,28)),"")</f>
        <v/>
      </c>
      <c r="I41" s="3" t="str">
        <f ca="1">IFERROR(t_kaf[[#This Row],[tp]]-G40,"")</f>
        <v/>
      </c>
      <c r="K41" s="4" t="s">
        <v>861</v>
      </c>
      <c r="L41" s="811">
        <f ca="1">IFERROR(AVERAGE(H:H),"")</f>
        <v>4.875</v>
      </c>
      <c r="N41" t="str">
        <f>K35&amp;" treffer på "&amp;TEXT((S11/S5)*100,"00,0")&amp;"% av sine 10-poengere, dvs. han bommer"</f>
        <v>KAF treffer på 22,8% av sine 10-poengere, dvs. han bommer</v>
      </c>
    </row>
    <row r="42" spans="1:14" x14ac:dyDescent="0.2">
      <c r="A42">
        <v>41</v>
      </c>
      <c r="B42" s="22" t="str">
        <f ca="1">Data!AL41</f>
        <v/>
      </c>
      <c r="C42" t="str">
        <f ca="1">IFERROR(IF(OFFSET(_xlfn.XLOOKUP(B42,Kuponger!E:E,Kuponger!Q:Q),15,27)=0,"",OFFSET(_xlfn.XLOOKUP(B42,Kuponger!E:E,Kuponger!Q:Q),15,27)),"")</f>
        <v/>
      </c>
      <c r="D42" t="str">
        <f ca="1">IFERROR(IF(OFFSET(_xlfn.XLOOKUP(B42,Kuponger!E:E,Kuponger!Q:Q),15,28)=0,"",OFFSET(_xlfn.XLOOKUP(B42,Kuponger!E:E,Kuponger!Q:Q),15,28)),"")</f>
        <v/>
      </c>
      <c r="E42" t="str">
        <f ca="1">IFERROR(IF(OFFSET(_xlfn.XLOOKUP(B42,Kuponger!E:E,Kuponger!Q:Q),15,29)=0,"",OFFSET(_xlfn.XLOOKUP(B42,Kuponger!E:E,Kuponger!Q:Q),15,29)),"")</f>
        <v/>
      </c>
      <c r="F42" t="str">
        <f ca="1">IFERROR(IF(OFFSET(_xlfn.XLOOKUP(B42,Kuponger!E:E,Kuponger!Q:Q),1,29)=0,"",OFFSET(_xlfn.XLOOKUP(B42,Kuponger!E:E,Kuponger!Q:Q),1,29))*-1,"")</f>
        <v/>
      </c>
      <c r="G42" t="str">
        <f t="shared" ca="1" si="0"/>
        <v/>
      </c>
      <c r="H42" t="str">
        <f ca="1">IFERROR(IF(OFFSET(_xlfn.XLOOKUP(B42,Kuponger!E:E,Kuponger!Q:Q),1,28)="","",OFFSET(_xlfn.XLOOKUP(B42,Kuponger!E:E,Kuponger!Q:Q),1,28)),"")</f>
        <v/>
      </c>
      <c r="I42" s="3" t="str">
        <f ca="1">IFERROR(t_kaf[[#This Row],[tp]]-G41,"")</f>
        <v/>
      </c>
      <c r="K42" s="4" t="s">
        <v>862</v>
      </c>
      <c r="L42" s="811">
        <f ca="1">IFERROR(AVERAGE(C:C),"")</f>
        <v>287.1875</v>
      </c>
      <c r="N42" t="str">
        <f>K35&amp;" treffer på "&amp;TEXT((L11/L5)*100,"00,0")&amp;"% av sine 80-poengere"</f>
        <v>KAF treffer på 67,8% av sine 80-poengere</v>
      </c>
    </row>
    <row r="43" spans="1:14" x14ac:dyDescent="0.2">
      <c r="K43" s="4" t="s">
        <v>863</v>
      </c>
      <c r="L43" s="811">
        <f ca="1">IFERROR(AVERAGE(D:D),"")</f>
        <v>70.967741935483872</v>
      </c>
      <c r="N43" t="str">
        <f>K35&amp;" har tatt "&amp;T23&amp;" poeng så langt, men samtidig gått glipp av "&amp;T29&amp;" poeng, noe som gir en poengandel på "&amp;TEXT(L48,"0,0%")</f>
        <v>KAF har tatt 16280 poeng så langt, men samtidig gått glipp av 23800 poeng, noe som gir en poengandel på 68,4%</v>
      </c>
    </row>
    <row r="44" spans="1:14" x14ac:dyDescent="0.2">
      <c r="K44" s="4" t="s">
        <v>864</v>
      </c>
      <c r="L44" s="811">
        <f ca="1">IFERROR(AVERAGE(E:E),"")</f>
        <v>163</v>
      </c>
    </row>
    <row r="45" spans="1:14" x14ac:dyDescent="0.2">
      <c r="K45" s="4" t="s">
        <v>865</v>
      </c>
      <c r="L45" s="810">
        <f ca="1">IFERROR(COUNTIF(F:F,"&lt;0")/COUNTIF(C:C,"&gt;0"),"")</f>
        <v>3.125E-2</v>
      </c>
    </row>
    <row r="46" spans="1:14" x14ac:dyDescent="0.2">
      <c r="K46" s="4" t="s">
        <v>866</v>
      </c>
      <c r="L46" s="811">
        <f ca="1">IFERROR(AVERAGE(G:G),"")</f>
        <v>507.1875</v>
      </c>
    </row>
    <row r="48" spans="1:14" x14ac:dyDescent="0.2">
      <c r="K48" s="4" t="s">
        <v>867</v>
      </c>
      <c r="L48" s="812">
        <f>(T23/T29)</f>
        <v>0.68403361344537816</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DE2D3-A973-4FE7-ACCA-A62A52465017}">
  <sheetPr codeName="Ark24"/>
  <dimension ref="A1:AA68"/>
  <sheetViews>
    <sheetView showGridLines="0" topLeftCell="R1" workbookViewId="0">
      <pane ySplit="1" topLeftCell="A37" activePane="bottomLeft" state="frozen"/>
      <selection activeCell="AO1" sqref="AO1"/>
      <selection pane="bottomLeft" activeCell="B5" sqref="B5"/>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IFERROR(IF(OFFSET(_xlfn.XLOOKUP(B2,Kuponger!E:E,Kuponger!Q:Q),15,36)=0,"",OFFSET(_xlfn.XLOOKUP(B2,Kuponger!E:E,Kuponger!Q:Q),15,36)),"")</f>
        <v>220</v>
      </c>
      <c r="D2">
        <f ca="1">IFERROR(IF(OFFSET(_xlfn.XLOOKUP(B2,Kuponger!E:E,Kuponger!Q:Q),15,37)=0,"",OFFSET(_xlfn.XLOOKUP(B2,Kuponger!E:E,Kuponger!Q:Q),15,37)),"")</f>
        <v>20</v>
      </c>
      <c r="E2">
        <f ca="1">IFERROR(IF(OFFSET(_xlfn.XLOOKUP(B2,Kuponger!E:E,Kuponger!Q:Q),15,38)=0,"",OFFSET(_xlfn.XLOOKUP(B2,Kuponger!E:E,Kuponger!Q:Q),15,38)),"")</f>
        <v>250</v>
      </c>
      <c r="F2" t="str">
        <f ca="1">IFERROR(IF(OFFSET(_xlfn.XLOOKUP(B2,Kuponger!E:E,Kuponger!Q:Q),1,38)=0,"",OFFSET(_xlfn.XLOOKUP(B2,Kuponger!E:E,Kuponger!Q:Q),1,38))*-1,"")</f>
        <v/>
      </c>
      <c r="G2">
        <f t="shared" ref="G2:G42" ca="1" si="0">IF(SUMIF(C2:F2,"&lt;&gt;""")=0,"",SUMIF(C2:F2,"&lt;&gt;"""))</f>
        <v>490</v>
      </c>
      <c r="H2">
        <f ca="1">IFERROR(IF(OFFSET(_xlfn.XLOOKUP(B2,Kuponger!E:E,Kuponger!Q:Q),1,37)="","",OFFSET(_xlfn.XLOOKUP(B2,Kuponger!E:E,Kuponger!Q:Q),1,37)),"")</f>
        <v>4</v>
      </c>
      <c r="I2" t="str">
        <f ca="1">IFERROR(t_øg[[#This Row],[tp]]-G1,"")</f>
        <v/>
      </c>
      <c r="K2" s="801" t="s">
        <v>36</v>
      </c>
      <c r="L2">
        <f>COUNTIF(Kuponger!$BA:$BA,f_øg!L$1)</f>
        <v>245</v>
      </c>
      <c r="M2">
        <f>COUNTIF(Kuponger!$BA:$BA,f_øg!M$1)</f>
        <v>0</v>
      </c>
      <c r="N2">
        <f>COUNTIF(Kuponger!$BA:$BA,f_øg!N$1)</f>
        <v>4</v>
      </c>
      <c r="O2">
        <f>COUNTIF(Kuponger!$BA:$BA,f_øg!O$1)</f>
        <v>8</v>
      </c>
      <c r="P2">
        <f>COUNTIF(Kuponger!$BA:$BA,f_øg!P$1)</f>
        <v>5</v>
      </c>
      <c r="Q2">
        <f>COUNTIF(Kuponger!$BA:$BA,f_øg!Q$1)</f>
        <v>0</v>
      </c>
      <c r="R2">
        <f>COUNTIF(Kuponger!$BA:$BA,f_øg!R$1)</f>
        <v>2</v>
      </c>
      <c r="S2">
        <f>COUNTIF(Kuponger!$BA:$BA,f_øg!S$1)</f>
        <v>120</v>
      </c>
      <c r="T2">
        <f>SUM(L$2:S$2)</f>
        <v>384</v>
      </c>
      <c r="W2" s="3"/>
      <c r="X2" s="3"/>
      <c r="Y2" s="3"/>
      <c r="Z2" s="3"/>
      <c r="AA2" s="3"/>
    </row>
    <row r="3" spans="1:27" x14ac:dyDescent="0.2">
      <c r="A3">
        <v>2</v>
      </c>
      <c r="B3" s="22">
        <f ca="1">Data!AL2</f>
        <v>45892</v>
      </c>
      <c r="C3">
        <f ca="1">IFERROR(IF(OFFSET(_xlfn.XLOOKUP(B3,Kuponger!E:E,Kuponger!Q:Q),15,36)=0,"",OFFSET(_xlfn.XLOOKUP(B3,Kuponger!E:E,Kuponger!Q:Q),15,36)),"")</f>
        <v>480</v>
      </c>
      <c r="D3">
        <f ca="1">IFERROR(IF(OFFSET(_xlfn.XLOOKUP(B3,Kuponger!E:E,Kuponger!Q:Q),15,37)=0,"",OFFSET(_xlfn.XLOOKUP(B3,Kuponger!E:E,Kuponger!Q:Q),15,37)),"")</f>
        <v>30</v>
      </c>
      <c r="E3">
        <f ca="1">IFERROR(IF(OFFSET(_xlfn.XLOOKUP(B3,Kuponger!E:E,Kuponger!Q:Q),15,38)=0,"",OFFSET(_xlfn.XLOOKUP(B3,Kuponger!E:E,Kuponger!Q:Q),15,38)),"")</f>
        <v>170</v>
      </c>
      <c r="F3" t="str">
        <f ca="1">IFERROR(IF(OFFSET(_xlfn.XLOOKUP(B3,Kuponger!E:E,Kuponger!Q:Q),1,38)=0,"",OFFSET(_xlfn.XLOOKUP(B3,Kuponger!E:E,Kuponger!Q:Q),1,38))*-1,"")</f>
        <v/>
      </c>
      <c r="G3">
        <f t="shared" ca="1" si="0"/>
        <v>680</v>
      </c>
      <c r="H3">
        <f ca="1">IFERROR(IF(OFFSET(_xlfn.XLOOKUP(B3,Kuponger!E:E,Kuponger!Q:Q),1,37)="","",OFFSET(_xlfn.XLOOKUP(B3,Kuponger!E:E,Kuponger!Q:Q),1,37)),"")</f>
        <v>1</v>
      </c>
      <c r="I3" s="3">
        <f ca="1">IFERROR(t_øg[[#This Row],[tp]]-G2,"")</f>
        <v>190</v>
      </c>
      <c r="K3" s="801" t="s">
        <v>37</v>
      </c>
      <c r="L3">
        <f>COUNTIF(Kuponger!$BB:$BB,f_øg!L$1)</f>
        <v>2</v>
      </c>
      <c r="M3">
        <f>COUNTIF(Kuponger!$BB:$BB,f_øg!M$1)</f>
        <v>0</v>
      </c>
      <c r="N3">
        <f>COUNTIF(Kuponger!$BB:$BB,f_øg!N$1)</f>
        <v>2</v>
      </c>
      <c r="O3">
        <f>COUNTIF(Kuponger!$BB:$BB,f_øg!O$1)</f>
        <v>2</v>
      </c>
      <c r="P3">
        <f>COUNTIF(Kuponger!$BB:$BB,f_øg!P$1)</f>
        <v>15</v>
      </c>
      <c r="Q3">
        <f>COUNTIF(Kuponger!$BB:$BB,f_øg!Q$1)</f>
        <v>23</v>
      </c>
      <c r="R3">
        <f>COUNTIF(Kuponger!$BB:$BB,f_øg!R$1)</f>
        <v>8</v>
      </c>
      <c r="S3">
        <f>COUNTIF(Kuponger!$BB:$BB,f_øg!S$1)</f>
        <v>361</v>
      </c>
      <c r="T3">
        <f>SUM(L$3:S$3)</f>
        <v>413</v>
      </c>
    </row>
    <row r="4" spans="1:27" x14ac:dyDescent="0.2">
      <c r="A4">
        <v>3</v>
      </c>
      <c r="B4" s="22">
        <f ca="1">Data!AL3</f>
        <v>45920</v>
      </c>
      <c r="C4">
        <f ca="1">IFERROR(IF(OFFSET(_xlfn.XLOOKUP(B4,Kuponger!E:E,Kuponger!Q:Q),15,36)=0,"",OFFSET(_xlfn.XLOOKUP(B4,Kuponger!E:E,Kuponger!Q:Q),15,36)),"")</f>
        <v>250</v>
      </c>
      <c r="D4">
        <f ca="1">IFERROR(IF(OFFSET(_xlfn.XLOOKUP(B4,Kuponger!E:E,Kuponger!Q:Q),15,37)=0,"",OFFSET(_xlfn.XLOOKUP(B4,Kuponger!E:E,Kuponger!Q:Q),15,37)),"")</f>
        <v>30</v>
      </c>
      <c r="E4">
        <f ca="1">IFERROR(IF(OFFSET(_xlfn.XLOOKUP(B4,Kuponger!E:E,Kuponger!Q:Q),15,38)=0,"",OFFSET(_xlfn.XLOOKUP(B4,Kuponger!E:E,Kuponger!Q:Q),15,38)),"")</f>
        <v>120</v>
      </c>
      <c r="F4" t="str">
        <f ca="1">IFERROR(IF(OFFSET(_xlfn.XLOOKUP(B4,Kuponger!E:E,Kuponger!Q:Q),1,38)=0,"",OFFSET(_xlfn.XLOOKUP(B4,Kuponger!E:E,Kuponger!Q:Q),1,38))*-1,"")</f>
        <v/>
      </c>
      <c r="G4">
        <f t="shared" ca="1" si="0"/>
        <v>400</v>
      </c>
      <c r="H4">
        <f ca="1">IFERROR(IF(OFFSET(_xlfn.XLOOKUP(B4,Kuponger!E:E,Kuponger!Q:Q),1,37)="","",OFFSET(_xlfn.XLOOKUP(B4,Kuponger!E:E,Kuponger!Q:Q),1,37)),"")</f>
        <v>8</v>
      </c>
      <c r="I4" s="3">
        <f ca="1">IFERROR(t_øg[[#This Row],[tp]]-G3,"")</f>
        <v>-280</v>
      </c>
      <c r="K4" s="801" t="s">
        <v>38</v>
      </c>
      <c r="L4">
        <f>COUNTIF(Kuponger!$BC:$BC,f_øg!L$1)</f>
        <v>109</v>
      </c>
      <c r="M4">
        <f>COUNTIF(Kuponger!$BC:$BC,f_øg!M$1)</f>
        <v>1</v>
      </c>
      <c r="N4">
        <f>COUNTIF(Kuponger!$BC:$BC,f_øg!N$1)</f>
        <v>6</v>
      </c>
      <c r="O4">
        <f>COUNTIF(Kuponger!$BC:$BC,f_øg!O$1)</f>
        <v>4</v>
      </c>
      <c r="P4">
        <f>COUNTIF(Kuponger!$BC:$BC,f_øg!P$1)</f>
        <v>4</v>
      </c>
      <c r="Q4">
        <f>COUNTIF(Kuponger!$BC:$BC,f_øg!Q$1)</f>
        <v>4</v>
      </c>
      <c r="R4">
        <f>COUNTIF(Kuponger!$BC:$BC,f_øg!R$1)</f>
        <v>8</v>
      </c>
      <c r="S4">
        <f>COUNTIF(Kuponger!$BC:$BC,f_øg!S$1)</f>
        <v>258</v>
      </c>
      <c r="T4">
        <f>SUM(L$4:S$4)</f>
        <v>394</v>
      </c>
    </row>
    <row r="5" spans="1:27" x14ac:dyDescent="0.2">
      <c r="A5">
        <v>4</v>
      </c>
      <c r="B5" s="22">
        <f ca="1">Data!AL4</f>
        <v>45927</v>
      </c>
      <c r="C5">
        <f ca="1">IFERROR(IF(OFFSET(_xlfn.XLOOKUP(B5,Kuponger!E:E,Kuponger!Q:Q),15,36)=0,"",OFFSET(_xlfn.XLOOKUP(B5,Kuponger!E:E,Kuponger!Q:Q),15,36)),"")</f>
        <v>180</v>
      </c>
      <c r="D5">
        <f ca="1">IFERROR(IF(OFFSET(_xlfn.XLOOKUP(B5,Kuponger!E:E,Kuponger!Q:Q),15,37)=0,"",OFFSET(_xlfn.XLOOKUP(B5,Kuponger!E:E,Kuponger!Q:Q),15,37)),"")</f>
        <v>110</v>
      </c>
      <c r="E5">
        <f ca="1">IFERROR(IF(OFFSET(_xlfn.XLOOKUP(B5,Kuponger!E:E,Kuponger!Q:Q),15,38)=0,"",OFFSET(_xlfn.XLOOKUP(B5,Kuponger!E:E,Kuponger!Q:Q),15,38)),"")</f>
        <v>20</v>
      </c>
      <c r="F5" t="str">
        <f ca="1">IFERROR(IF(OFFSET(_xlfn.XLOOKUP(B5,Kuponger!E:E,Kuponger!Q:Q),1,38)=0,"",OFFSET(_xlfn.XLOOKUP(B5,Kuponger!E:E,Kuponger!Q:Q),1,38))*-1,"")</f>
        <v/>
      </c>
      <c r="G5">
        <f t="shared" ca="1" si="0"/>
        <v>310</v>
      </c>
      <c r="H5">
        <f ca="1">IFERROR(IF(OFFSET(_xlfn.XLOOKUP(B5,Kuponger!E:E,Kuponger!Q:Q),1,37)="","",OFFSET(_xlfn.XLOOKUP(B5,Kuponger!E:E,Kuponger!Q:Q),1,37)),"")</f>
        <v>7</v>
      </c>
      <c r="I5" s="3">
        <f ca="1">IFERROR(t_øg[[#This Row],[tp]]-G4,"")</f>
        <v>-90</v>
      </c>
      <c r="K5" s="801" t="str">
        <f>K1</f>
        <v>Antall Leverte</v>
      </c>
      <c r="L5">
        <f>SUM(L2:L4)</f>
        <v>356</v>
      </c>
      <c r="M5">
        <f t="shared" ref="M5:S5" si="1">SUM(M2:M4)</f>
        <v>1</v>
      </c>
      <c r="N5">
        <f t="shared" si="1"/>
        <v>12</v>
      </c>
      <c r="O5">
        <f t="shared" si="1"/>
        <v>14</v>
      </c>
      <c r="P5">
        <f t="shared" si="1"/>
        <v>24</v>
      </c>
      <c r="Q5">
        <f t="shared" si="1"/>
        <v>27</v>
      </c>
      <c r="R5">
        <f t="shared" si="1"/>
        <v>18</v>
      </c>
      <c r="S5">
        <f t="shared" si="1"/>
        <v>739</v>
      </c>
      <c r="T5">
        <f>SUM(L$5:S$5)</f>
        <v>1191</v>
      </c>
    </row>
    <row r="6" spans="1:27" x14ac:dyDescent="0.2">
      <c r="A6">
        <v>5</v>
      </c>
      <c r="B6" s="22">
        <f ca="1">Data!AL5</f>
        <v>45934</v>
      </c>
      <c r="C6">
        <f ca="1">IFERROR(IF(OFFSET(_xlfn.XLOOKUP(B6,Kuponger!E:E,Kuponger!Q:Q),15,36)=0,"",OFFSET(_xlfn.XLOOKUP(B6,Kuponger!E:E,Kuponger!Q:Q),15,36)),"")</f>
        <v>570</v>
      </c>
      <c r="D6">
        <f ca="1">IFERROR(IF(OFFSET(_xlfn.XLOOKUP(B6,Kuponger!E:E,Kuponger!Q:Q),15,37)=0,"",OFFSET(_xlfn.XLOOKUP(B6,Kuponger!E:E,Kuponger!Q:Q),15,37)),"")</f>
        <v>10</v>
      </c>
      <c r="E6">
        <f ca="1">IFERROR(IF(OFFSET(_xlfn.XLOOKUP(B6,Kuponger!E:E,Kuponger!Q:Q),15,38)=0,"",OFFSET(_xlfn.XLOOKUP(B6,Kuponger!E:E,Kuponger!Q:Q),15,38)),"")</f>
        <v>70</v>
      </c>
      <c r="F6" t="str">
        <f ca="1">IFERROR(IF(OFFSET(_xlfn.XLOOKUP(B6,Kuponger!E:E,Kuponger!Q:Q),1,38)=0,"",OFFSET(_xlfn.XLOOKUP(B6,Kuponger!E:E,Kuponger!Q:Q),1,38))*-1,"")</f>
        <v/>
      </c>
      <c r="G6">
        <f t="shared" ca="1" si="0"/>
        <v>650</v>
      </c>
      <c r="H6">
        <f ca="1">IFERROR(IF(OFFSET(_xlfn.XLOOKUP(B6,Kuponger!E:E,Kuponger!Q:Q),1,37)="","",OFFSET(_xlfn.XLOOKUP(B6,Kuponger!E:E,Kuponger!Q:Q),1,37)),"")</f>
        <v>5</v>
      </c>
      <c r="I6" s="3">
        <f ca="1">IFERROR(t_øg[[#This Row],[tp]]-G5,"")</f>
        <v>340</v>
      </c>
    </row>
    <row r="7" spans="1:27" ht="15" x14ac:dyDescent="0.25">
      <c r="A7">
        <v>6</v>
      </c>
      <c r="B7" s="22">
        <f ca="1">Data!AL6</f>
        <v>45941</v>
      </c>
      <c r="C7">
        <f ca="1">IFERROR(IF(OFFSET(_xlfn.XLOOKUP(B7,Kuponger!E:E,Kuponger!Q:Q),15,36)=0,"",OFFSET(_xlfn.XLOOKUP(B7,Kuponger!E:E,Kuponger!Q:Q),15,36)),"")</f>
        <v>410</v>
      </c>
      <c r="D7">
        <f ca="1">IFERROR(IF(OFFSET(_xlfn.XLOOKUP(B7,Kuponger!E:E,Kuponger!Q:Q),15,37)=0,"",OFFSET(_xlfn.XLOOKUP(B7,Kuponger!E:E,Kuponger!Q:Q),15,37)),"")</f>
        <v>10</v>
      </c>
      <c r="E7">
        <f ca="1">IFERROR(IF(OFFSET(_xlfn.XLOOKUP(B7,Kuponger!E:E,Kuponger!Q:Q),15,38)=0,"",OFFSET(_xlfn.XLOOKUP(B7,Kuponger!E:E,Kuponger!Q:Q),15,38)),"")</f>
        <v>260</v>
      </c>
      <c r="F7" t="str">
        <f ca="1">IFERROR(IF(OFFSET(_xlfn.XLOOKUP(B7,Kuponger!E:E,Kuponger!Q:Q),1,38)=0,"",OFFSET(_xlfn.XLOOKUP(B7,Kuponger!E:E,Kuponger!Q:Q),1,38))*-1,"")</f>
        <v/>
      </c>
      <c r="G7">
        <f t="shared" ca="1" si="0"/>
        <v>680</v>
      </c>
      <c r="H7">
        <f ca="1">IFERROR(IF(OFFSET(_xlfn.XLOOKUP(B7,Kuponger!E:E,Kuponger!Q:Q),1,37)="","",OFFSET(_xlfn.XLOOKUP(B7,Kuponger!E:E,Kuponger!Q:Q),1,37)),"")</f>
        <v>1</v>
      </c>
      <c r="I7" s="3">
        <f ca="1">IFERROR(t_øg[[#This Row],[tp]]-G6,"")</f>
        <v>30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IFERROR(IF(OFFSET(_xlfn.XLOOKUP(B8,Kuponger!E:E,Kuponger!Q:Q),15,36)=0,"",OFFSET(_xlfn.XLOOKUP(B8,Kuponger!E:E,Kuponger!Q:Q),15,36)),"")</f>
        <v>400</v>
      </c>
      <c r="D8">
        <f ca="1">IFERROR(IF(OFFSET(_xlfn.XLOOKUP(B8,Kuponger!E:E,Kuponger!Q:Q),15,37)=0,"",OFFSET(_xlfn.XLOOKUP(B8,Kuponger!E:E,Kuponger!Q:Q),15,37)),"")</f>
        <v>40</v>
      </c>
      <c r="E8">
        <f ca="1">IFERROR(IF(OFFSET(_xlfn.XLOOKUP(B8,Kuponger!E:E,Kuponger!Q:Q),15,38)=0,"",OFFSET(_xlfn.XLOOKUP(B8,Kuponger!E:E,Kuponger!Q:Q),15,38)),"")</f>
        <v>170</v>
      </c>
      <c r="F8" t="str">
        <f ca="1">IFERROR(IF(OFFSET(_xlfn.XLOOKUP(B8,Kuponger!E:E,Kuponger!Q:Q),1,38)=0,"",OFFSET(_xlfn.XLOOKUP(B8,Kuponger!E:E,Kuponger!Q:Q),1,38))*-1,"")</f>
        <v/>
      </c>
      <c r="G8">
        <f t="shared" ca="1" si="0"/>
        <v>610</v>
      </c>
      <c r="H8">
        <f ca="1">IFERROR(IF(OFFSET(_xlfn.XLOOKUP(B8,Kuponger!E:E,Kuponger!Q:Q),1,37)="","",OFFSET(_xlfn.XLOOKUP(B8,Kuponger!E:E,Kuponger!Q:Q),1,37)),"")</f>
        <v>5</v>
      </c>
      <c r="I8" s="3">
        <f ca="1">IFERROR(t_øg[[#This Row],[tp]]-G7,"")</f>
        <v>-70</v>
      </c>
      <c r="K8" s="801" t="s">
        <v>36</v>
      </c>
      <c r="L8">
        <f>COUNTIF(Kuponger!$BE:$BE,L$7)</f>
        <v>130</v>
      </c>
      <c r="M8">
        <f>COUNTIF(Kuponger!$BE:$BE,M$7)</f>
        <v>0</v>
      </c>
      <c r="N8">
        <f>COUNTIF(Kuponger!$BE:$BE,N$7)</f>
        <v>2</v>
      </c>
      <c r="O8">
        <f>COUNTIF(Kuponger!$BE:$BE,O$7)</f>
        <v>3</v>
      </c>
      <c r="P8">
        <f>COUNTIF(Kuponger!$BE:$BE,P$7)</f>
        <v>5</v>
      </c>
      <c r="Q8">
        <f>COUNTIF(Kuponger!$BE:$BE,Q$7)</f>
        <v>0</v>
      </c>
      <c r="R8">
        <f>COUNTIF(Kuponger!$BE:$BE,R$7)</f>
        <v>1</v>
      </c>
      <c r="S8">
        <f>COUNTIF(Kuponger!$BE:$BE,S$7)</f>
        <v>35</v>
      </c>
      <c r="T8">
        <f>SUM(L$8:S$8)</f>
        <v>176</v>
      </c>
    </row>
    <row r="9" spans="1:27" x14ac:dyDescent="0.2">
      <c r="A9">
        <v>8</v>
      </c>
      <c r="B9" s="22">
        <f ca="1">Data!AL8</f>
        <v>45955</v>
      </c>
      <c r="C9">
        <f ca="1">IFERROR(IF(OFFSET(_xlfn.XLOOKUP(B9,Kuponger!E:E,Kuponger!Q:Q),15,36)=0,"",OFFSET(_xlfn.XLOOKUP(B9,Kuponger!E:E,Kuponger!Q:Q),15,36)),"")</f>
        <v>320</v>
      </c>
      <c r="D9">
        <f ca="1">IFERROR(IF(OFFSET(_xlfn.XLOOKUP(B9,Kuponger!E:E,Kuponger!Q:Q),15,37)=0,"",OFFSET(_xlfn.XLOOKUP(B9,Kuponger!E:E,Kuponger!Q:Q),15,37)),"")</f>
        <v>20</v>
      </c>
      <c r="E9">
        <f ca="1">IFERROR(IF(OFFSET(_xlfn.XLOOKUP(B9,Kuponger!E:E,Kuponger!Q:Q),15,38)=0,"",OFFSET(_xlfn.XLOOKUP(B9,Kuponger!E:E,Kuponger!Q:Q),15,38)),"")</f>
        <v>180</v>
      </c>
      <c r="F9" t="str">
        <f ca="1">IFERROR(IF(OFFSET(_xlfn.XLOOKUP(B9,Kuponger!E:E,Kuponger!Q:Q),1,38)=0,"",OFFSET(_xlfn.XLOOKUP(B9,Kuponger!E:E,Kuponger!Q:Q),1,38))*-1,"")</f>
        <v/>
      </c>
      <c r="G9">
        <f t="shared" ca="1" si="0"/>
        <v>520</v>
      </c>
      <c r="H9">
        <f ca="1">IFERROR(IF(OFFSET(_xlfn.XLOOKUP(B9,Kuponger!E:E,Kuponger!Q:Q),1,37)="","",OFFSET(_xlfn.XLOOKUP(B9,Kuponger!E:E,Kuponger!Q:Q),1,37)),"")</f>
        <v>4</v>
      </c>
      <c r="I9" s="3">
        <f ca="1">IFERROR(t_øg[[#This Row],[tp]]-G8,"")</f>
        <v>-90</v>
      </c>
      <c r="K9" s="801" t="s">
        <v>37</v>
      </c>
      <c r="L9">
        <f>COUNTIF(Kuponger!$BF:$BF,L$7)</f>
        <v>0</v>
      </c>
      <c r="M9">
        <f>COUNTIF(Kuponger!$BF:$BF,M$7)</f>
        <v>0</v>
      </c>
      <c r="N9">
        <f>COUNTIF(Kuponger!$BF:$BF,N$7)</f>
        <v>0</v>
      </c>
      <c r="O9">
        <f>COUNTIF(Kuponger!$BF:$BF,O$7)</f>
        <v>0</v>
      </c>
      <c r="P9">
        <f>COUNTIF(Kuponger!$BF:$BF,P$7)</f>
        <v>3</v>
      </c>
      <c r="Q9">
        <f>COUNTIF(Kuponger!$BF:$BF,Q$7)</f>
        <v>1</v>
      </c>
      <c r="R9">
        <f>COUNTIF(Kuponger!$BF:$BF,R$7)</f>
        <v>0</v>
      </c>
      <c r="S9">
        <f>COUNTIF(Kuponger!$BF:$BF,S$7)</f>
        <v>85</v>
      </c>
      <c r="T9">
        <f>SUM(L$9:S$9)</f>
        <v>89</v>
      </c>
    </row>
    <row r="10" spans="1:27" x14ac:dyDescent="0.2">
      <c r="A10">
        <v>9</v>
      </c>
      <c r="B10" s="22">
        <f ca="1">Data!AL9</f>
        <v>45962</v>
      </c>
      <c r="C10">
        <f ca="1">IFERROR(IF(OFFSET(_xlfn.XLOOKUP(B10,Kuponger!E:E,Kuponger!Q:Q),15,36)=0,"",OFFSET(_xlfn.XLOOKUP(B10,Kuponger!E:E,Kuponger!Q:Q),15,36)),"")</f>
        <v>550</v>
      </c>
      <c r="D10">
        <f ca="1">IFERROR(IF(OFFSET(_xlfn.XLOOKUP(B10,Kuponger!E:E,Kuponger!Q:Q),15,37)=0,"",OFFSET(_xlfn.XLOOKUP(B10,Kuponger!E:E,Kuponger!Q:Q),15,37)),"")</f>
        <v>10</v>
      </c>
      <c r="E10">
        <f ca="1">IFERROR(IF(OFFSET(_xlfn.XLOOKUP(B10,Kuponger!E:E,Kuponger!Q:Q),15,38)=0,"",OFFSET(_xlfn.XLOOKUP(B10,Kuponger!E:E,Kuponger!Q:Q),15,38)),"")</f>
        <v>200</v>
      </c>
      <c r="F10" t="str">
        <f ca="1">IFERROR(IF(OFFSET(_xlfn.XLOOKUP(B10,Kuponger!E:E,Kuponger!Q:Q),1,38)=0,"",OFFSET(_xlfn.XLOOKUP(B10,Kuponger!E:E,Kuponger!Q:Q),1,38))*-1,"")</f>
        <v/>
      </c>
      <c r="G10">
        <f t="shared" ca="1" si="0"/>
        <v>760</v>
      </c>
      <c r="H10">
        <f ca="1">IFERROR(IF(OFFSET(_xlfn.XLOOKUP(B10,Kuponger!E:E,Kuponger!Q:Q),1,37)="","",OFFSET(_xlfn.XLOOKUP(B10,Kuponger!E:E,Kuponger!Q:Q),1,37)),"")</f>
        <v>1</v>
      </c>
      <c r="I10" s="3">
        <f ca="1">IFERROR(t_øg[[#This Row],[tp]]-G9,"")</f>
        <v>240</v>
      </c>
      <c r="K10" s="801" t="s">
        <v>38</v>
      </c>
      <c r="L10">
        <f>COUNTIF(Kuponger!$BG:$BG,L$7)</f>
        <v>49</v>
      </c>
      <c r="M10">
        <f>COUNTIF(Kuponger!$BG:$BG,M$7)</f>
        <v>0</v>
      </c>
      <c r="N10">
        <f>COUNTIF(Kuponger!$BG:$BG,N$7)</f>
        <v>3</v>
      </c>
      <c r="O10">
        <f>COUNTIF(Kuponger!$BG:$BG,O$7)</f>
        <v>1</v>
      </c>
      <c r="P10">
        <f>COUNTIF(Kuponger!$BG:$BG,P$7)</f>
        <v>1</v>
      </c>
      <c r="Q10">
        <f>COUNTIF(Kuponger!$BG:$BG,Q$7)</f>
        <v>1</v>
      </c>
      <c r="R10">
        <f>COUNTIF(Kuponger!$BG:$BG,R$7)</f>
        <v>0</v>
      </c>
      <c r="S10">
        <f>COUNTIF(Kuponger!$BG:$BG,S$7)</f>
        <v>64</v>
      </c>
      <c r="T10">
        <f>SUM(L$10:S$10)</f>
        <v>119</v>
      </c>
    </row>
    <row r="11" spans="1:27" x14ac:dyDescent="0.2">
      <c r="A11">
        <v>10</v>
      </c>
      <c r="B11" s="22">
        <f ca="1">Data!AL10</f>
        <v>45969</v>
      </c>
      <c r="C11">
        <f ca="1">IFERROR(IF(OFFSET(_xlfn.XLOOKUP(B11,Kuponger!E:E,Kuponger!Q:Q),15,36)=0,"",OFFSET(_xlfn.XLOOKUP(B11,Kuponger!E:E,Kuponger!Q:Q),15,36)),"")</f>
        <v>330</v>
      </c>
      <c r="D11">
        <f ca="1">IFERROR(IF(OFFSET(_xlfn.XLOOKUP(B11,Kuponger!E:E,Kuponger!Q:Q),15,37)=0,"",OFFSET(_xlfn.XLOOKUP(B11,Kuponger!E:E,Kuponger!Q:Q),15,37)),"")</f>
        <v>30</v>
      </c>
      <c r="E11">
        <f ca="1">IFERROR(IF(OFFSET(_xlfn.XLOOKUP(B11,Kuponger!E:E,Kuponger!Q:Q),15,38)=0,"",OFFSET(_xlfn.XLOOKUP(B11,Kuponger!E:E,Kuponger!Q:Q),15,38)),"")</f>
        <v>250</v>
      </c>
      <c r="F11" t="str">
        <f ca="1">IFERROR(IF(OFFSET(_xlfn.XLOOKUP(B11,Kuponger!E:E,Kuponger!Q:Q),1,38)=0,"",OFFSET(_xlfn.XLOOKUP(B11,Kuponger!E:E,Kuponger!Q:Q),1,38))*-1,"")</f>
        <v/>
      </c>
      <c r="G11">
        <f t="shared" ca="1" si="0"/>
        <v>610</v>
      </c>
      <c r="H11">
        <f ca="1">IFERROR(IF(OFFSET(_xlfn.XLOOKUP(B11,Kuponger!E:E,Kuponger!Q:Q),1,37)="","",OFFSET(_xlfn.XLOOKUP(B11,Kuponger!E:E,Kuponger!Q:Q),1,37)),"")</f>
        <v>2</v>
      </c>
      <c r="I11" s="3">
        <f ca="1">IFERROR(t_øg[[#This Row],[tp]]-G10,"")</f>
        <v>-150</v>
      </c>
      <c r="K11" s="801" t="str">
        <f>K7</f>
        <v>Antall Treff</v>
      </c>
      <c r="L11">
        <f>SUM(L$8:L$10)</f>
        <v>179</v>
      </c>
      <c r="M11">
        <f t="shared" ref="M11:S11" si="3">SUM(M$8:M$10)</f>
        <v>0</v>
      </c>
      <c r="N11">
        <f t="shared" si="3"/>
        <v>5</v>
      </c>
      <c r="O11">
        <f t="shared" si="3"/>
        <v>4</v>
      </c>
      <c r="P11">
        <f>SUM(P$8:P$10)</f>
        <v>9</v>
      </c>
      <c r="Q11">
        <f t="shared" si="3"/>
        <v>2</v>
      </c>
      <c r="R11">
        <f t="shared" si="3"/>
        <v>1</v>
      </c>
      <c r="S11">
        <f t="shared" si="3"/>
        <v>184</v>
      </c>
      <c r="T11">
        <f>SUM(L$11:S$11)</f>
        <v>384</v>
      </c>
    </row>
    <row r="12" spans="1:27" x14ac:dyDescent="0.2">
      <c r="A12">
        <v>11</v>
      </c>
      <c r="B12" s="22">
        <f ca="1">Data!AL11</f>
        <v>45976</v>
      </c>
      <c r="C12">
        <f ca="1">IFERROR(IF(OFFSET(_xlfn.XLOOKUP(B12,Kuponger!E:E,Kuponger!Q:Q),15,36)=0,"",OFFSET(_xlfn.XLOOKUP(B12,Kuponger!E:E,Kuponger!Q:Q),15,36)),"")</f>
        <v>330</v>
      </c>
      <c r="D12">
        <f ca="1">IFERROR(IF(OFFSET(_xlfn.XLOOKUP(B12,Kuponger!E:E,Kuponger!Q:Q),15,37)=0,"",OFFSET(_xlfn.XLOOKUP(B12,Kuponger!E:E,Kuponger!Q:Q),15,37)),"")</f>
        <v>30</v>
      </c>
      <c r="E12">
        <f ca="1">IFERROR(IF(OFFSET(_xlfn.XLOOKUP(B12,Kuponger!E:E,Kuponger!Q:Q),15,38)=0,"",OFFSET(_xlfn.XLOOKUP(B12,Kuponger!E:E,Kuponger!Q:Q),15,38)),"")</f>
        <v>250</v>
      </c>
      <c r="F12" t="str">
        <f ca="1">IFERROR(IF(OFFSET(_xlfn.XLOOKUP(B12,Kuponger!E:E,Kuponger!Q:Q),1,38)=0,"",OFFSET(_xlfn.XLOOKUP(B12,Kuponger!E:E,Kuponger!Q:Q),1,38))*-1,"")</f>
        <v/>
      </c>
      <c r="G12">
        <f t="shared" ca="1" si="0"/>
        <v>610</v>
      </c>
      <c r="H12">
        <f ca="1">IFERROR(IF(OFFSET(_xlfn.XLOOKUP(B12,Kuponger!E:E,Kuponger!Q:Q),1,37)="","",OFFSET(_xlfn.XLOOKUP(B12,Kuponger!E:E,Kuponger!Q:Q),1,37)),"")</f>
        <v>1</v>
      </c>
      <c r="I12" s="3">
        <f ca="1">IFERROR(t_øg[[#This Row],[tp]]-G11,"")</f>
        <v>0</v>
      </c>
    </row>
    <row r="13" spans="1:27" ht="15" x14ac:dyDescent="0.25">
      <c r="A13">
        <v>12</v>
      </c>
      <c r="B13" s="22">
        <f ca="1">Data!AL12</f>
        <v>45983</v>
      </c>
      <c r="C13">
        <f ca="1">IFERROR(IF(OFFSET(_xlfn.XLOOKUP(B13,Kuponger!E:E,Kuponger!Q:Q),15,36)=0,"",OFFSET(_xlfn.XLOOKUP(B13,Kuponger!E:E,Kuponger!Q:Q),15,36)),"")</f>
        <v>270</v>
      </c>
      <c r="D13">
        <f ca="1">IFERROR(IF(OFFSET(_xlfn.XLOOKUP(B13,Kuponger!E:E,Kuponger!Q:Q),15,37)=0,"",OFFSET(_xlfn.XLOOKUP(B13,Kuponger!E:E,Kuponger!Q:Q),15,37)),"")</f>
        <v>30</v>
      </c>
      <c r="E13">
        <f ca="1">IFERROR(IF(OFFSET(_xlfn.XLOOKUP(B13,Kuponger!E:E,Kuponger!Q:Q),15,38)=0,"",OFFSET(_xlfn.XLOOKUP(B13,Kuponger!E:E,Kuponger!Q:Q),15,38)),"")</f>
        <v>170</v>
      </c>
      <c r="F13" t="str">
        <f ca="1">IFERROR(IF(OFFSET(_xlfn.XLOOKUP(B13,Kuponger!E:E,Kuponger!Q:Q),1,38)=0,"",OFFSET(_xlfn.XLOOKUP(B13,Kuponger!E:E,Kuponger!Q:Q),1,38))*-1,"")</f>
        <v/>
      </c>
      <c r="G13">
        <f t="shared" ca="1" si="0"/>
        <v>470</v>
      </c>
      <c r="H13">
        <f ca="1">IFERROR(IF(OFFSET(_xlfn.XLOOKUP(B13,Kuponger!E:E,Kuponger!Q:Q),1,37)="","",OFFSET(_xlfn.XLOOKUP(B13,Kuponger!E:E,Kuponger!Q:Q),1,37)),"")</f>
        <v>2</v>
      </c>
      <c r="I13" s="3">
        <f ca="1">IFERROR(t_øg[[#This Row],[tp]]-G12,"")</f>
        <v>-140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IFERROR(IF(OFFSET(_xlfn.XLOOKUP(B14,Kuponger!E:E,Kuponger!Q:Q),15,36)=0,"",OFFSET(_xlfn.XLOOKUP(B14,Kuponger!E:E,Kuponger!Q:Q),15,36)),"")</f>
        <v>530</v>
      </c>
      <c r="D14">
        <f ca="1">IFERROR(IF(OFFSET(_xlfn.XLOOKUP(B14,Kuponger!E:E,Kuponger!Q:Q),15,37)=0,"",OFFSET(_xlfn.XLOOKUP(B14,Kuponger!E:E,Kuponger!Q:Q),15,37)),"")</f>
        <v>10</v>
      </c>
      <c r="E14">
        <f ca="1">IFERROR(IF(OFFSET(_xlfn.XLOOKUP(B14,Kuponger!E:E,Kuponger!Q:Q),15,38)=0,"",OFFSET(_xlfn.XLOOKUP(B14,Kuponger!E:E,Kuponger!Q:Q),15,38)),"")</f>
        <v>100</v>
      </c>
      <c r="F14" t="str">
        <f ca="1">IFERROR(IF(OFFSET(_xlfn.XLOOKUP(B14,Kuponger!E:E,Kuponger!Q:Q),1,38)=0,"",OFFSET(_xlfn.XLOOKUP(B14,Kuponger!E:E,Kuponger!Q:Q),1,38))*-1,"")</f>
        <v/>
      </c>
      <c r="G14">
        <f t="shared" ca="1" si="0"/>
        <v>640</v>
      </c>
      <c r="H14">
        <f ca="1">IFERROR(IF(OFFSET(_xlfn.XLOOKUP(B14,Kuponger!E:E,Kuponger!Q:Q),1,37)="","",OFFSET(_xlfn.XLOOKUP(B14,Kuponger!E:E,Kuponger!Q:Q),1,37)),"")</f>
        <v>2</v>
      </c>
      <c r="I14" s="3">
        <f ca="1">IFERROR(t_øg[[#This Row],[tp]]-G13,"")</f>
        <v>170</v>
      </c>
      <c r="K14" s="801" t="str">
        <f>K8</f>
        <v>Hjemme</v>
      </c>
      <c r="L14">
        <f>L2-L8</f>
        <v>115</v>
      </c>
      <c r="M14">
        <f t="shared" ref="M14:S16" si="5">M2-M8</f>
        <v>0</v>
      </c>
      <c r="N14">
        <f t="shared" si="5"/>
        <v>2</v>
      </c>
      <c r="O14">
        <f t="shared" si="5"/>
        <v>5</v>
      </c>
      <c r="P14">
        <f t="shared" si="5"/>
        <v>0</v>
      </c>
      <c r="Q14">
        <f t="shared" si="5"/>
        <v>0</v>
      </c>
      <c r="R14">
        <f t="shared" si="5"/>
        <v>1</v>
      </c>
      <c r="S14">
        <f t="shared" si="5"/>
        <v>85</v>
      </c>
      <c r="T14">
        <f>SUM(L$14:S$14)</f>
        <v>208</v>
      </c>
    </row>
    <row r="15" spans="1:27" x14ac:dyDescent="0.2">
      <c r="A15">
        <v>14</v>
      </c>
      <c r="B15" s="22">
        <f ca="1">Data!AL14</f>
        <v>45997</v>
      </c>
      <c r="C15">
        <f ca="1">IFERROR(IF(OFFSET(_xlfn.XLOOKUP(B15,Kuponger!E:E,Kuponger!Q:Q),15,36)=0,"",OFFSET(_xlfn.XLOOKUP(B15,Kuponger!E:E,Kuponger!Q:Q),15,36)),"")</f>
        <v>550</v>
      </c>
      <c r="D15">
        <f ca="1">IFERROR(IF(OFFSET(_xlfn.XLOOKUP(B15,Kuponger!E:E,Kuponger!Q:Q),15,37)=0,"",OFFSET(_xlfn.XLOOKUP(B15,Kuponger!E:E,Kuponger!Q:Q),15,37)),"")</f>
        <v>30</v>
      </c>
      <c r="E15" t="str">
        <f ca="1">IFERROR(IF(OFFSET(_xlfn.XLOOKUP(B15,Kuponger!E:E,Kuponger!Q:Q),15,38)=0,"",OFFSET(_xlfn.XLOOKUP(B15,Kuponger!E:E,Kuponger!Q:Q),15,38)),"")</f>
        <v/>
      </c>
      <c r="F15" t="str">
        <f ca="1">IFERROR(IF(OFFSET(_xlfn.XLOOKUP(B15,Kuponger!E:E,Kuponger!Q:Q),1,38)=0,"",OFFSET(_xlfn.XLOOKUP(B15,Kuponger!E:E,Kuponger!Q:Q),1,38))*-1,"")</f>
        <v/>
      </c>
      <c r="G15">
        <f t="shared" ca="1" si="0"/>
        <v>580</v>
      </c>
      <c r="H15">
        <f ca="1">IFERROR(IF(OFFSET(_xlfn.XLOOKUP(B15,Kuponger!E:E,Kuponger!Q:Q),1,37)="","",OFFSET(_xlfn.XLOOKUP(B15,Kuponger!E:E,Kuponger!Q:Q),1,37)),"")</f>
        <v>3</v>
      </c>
      <c r="I15" s="3">
        <f ca="1">IFERROR(t_øg[[#This Row],[tp]]-G14,"")</f>
        <v>-60</v>
      </c>
      <c r="K15" s="801" t="str">
        <f>K9</f>
        <v>Uavgjort</v>
      </c>
      <c r="L15">
        <f>L3-L9</f>
        <v>2</v>
      </c>
      <c r="M15">
        <f t="shared" si="5"/>
        <v>0</v>
      </c>
      <c r="N15">
        <f t="shared" si="5"/>
        <v>2</v>
      </c>
      <c r="O15">
        <f t="shared" si="5"/>
        <v>2</v>
      </c>
      <c r="P15">
        <f t="shared" si="5"/>
        <v>12</v>
      </c>
      <c r="Q15">
        <f t="shared" si="5"/>
        <v>22</v>
      </c>
      <c r="R15">
        <f t="shared" si="5"/>
        <v>8</v>
      </c>
      <c r="S15">
        <f t="shared" si="5"/>
        <v>276</v>
      </c>
      <c r="T15">
        <f>SUM(L$15:S$15)</f>
        <v>324</v>
      </c>
    </row>
    <row r="16" spans="1:27" x14ac:dyDescent="0.2">
      <c r="A16">
        <v>15</v>
      </c>
      <c r="B16" s="22">
        <f ca="1">Data!AL15</f>
        <v>46004</v>
      </c>
      <c r="C16">
        <f ca="1">IFERROR(IF(OFFSET(_xlfn.XLOOKUP(B16,Kuponger!E:E,Kuponger!Q:Q),15,36)=0,"",OFFSET(_xlfn.XLOOKUP(B16,Kuponger!E:E,Kuponger!Q:Q),15,36)),"")</f>
        <v>500</v>
      </c>
      <c r="D16">
        <f ca="1">IFERROR(IF(OFFSET(_xlfn.XLOOKUP(B16,Kuponger!E:E,Kuponger!Q:Q),15,37)=0,"",OFFSET(_xlfn.XLOOKUP(B16,Kuponger!E:E,Kuponger!Q:Q),15,37)),"")</f>
        <v>20</v>
      </c>
      <c r="E16">
        <f ca="1">IFERROR(IF(OFFSET(_xlfn.XLOOKUP(B16,Kuponger!E:E,Kuponger!Q:Q),15,38)=0,"",OFFSET(_xlfn.XLOOKUP(B16,Kuponger!E:E,Kuponger!Q:Q),15,38)),"")</f>
        <v>20</v>
      </c>
      <c r="F16" t="str">
        <f ca="1">IFERROR(IF(OFFSET(_xlfn.XLOOKUP(B16,Kuponger!E:E,Kuponger!Q:Q),1,38)=0,"",OFFSET(_xlfn.XLOOKUP(B16,Kuponger!E:E,Kuponger!Q:Q),1,38))*-1,"")</f>
        <v/>
      </c>
      <c r="G16">
        <f t="shared" ca="1" si="0"/>
        <v>540</v>
      </c>
      <c r="H16">
        <f ca="1">IFERROR(IF(OFFSET(_xlfn.XLOOKUP(B16,Kuponger!E:E,Kuponger!Q:Q),1,37)="","",OFFSET(_xlfn.XLOOKUP(B16,Kuponger!E:E,Kuponger!Q:Q),1,37)),"")</f>
        <v>7</v>
      </c>
      <c r="I16" s="3">
        <f ca="1">IFERROR(t_øg[[#This Row],[tp]]-G15,"")</f>
        <v>-40</v>
      </c>
      <c r="K16" s="801" t="str">
        <f>K10</f>
        <v>Borte</v>
      </c>
      <c r="L16">
        <f>L4-L10</f>
        <v>60</v>
      </c>
      <c r="M16">
        <f t="shared" si="5"/>
        <v>1</v>
      </c>
      <c r="N16">
        <f t="shared" si="5"/>
        <v>3</v>
      </c>
      <c r="O16">
        <f t="shared" si="5"/>
        <v>3</v>
      </c>
      <c r="P16">
        <f t="shared" si="5"/>
        <v>3</v>
      </c>
      <c r="Q16">
        <f t="shared" si="5"/>
        <v>3</v>
      </c>
      <c r="R16">
        <f t="shared" si="5"/>
        <v>8</v>
      </c>
      <c r="S16">
        <f t="shared" si="5"/>
        <v>194</v>
      </c>
      <c r="T16">
        <f>SUM(L$16:S$16)</f>
        <v>275</v>
      </c>
    </row>
    <row r="17" spans="1:20" x14ac:dyDescent="0.2">
      <c r="A17">
        <v>16</v>
      </c>
      <c r="B17" s="22">
        <f ca="1">Data!AL16</f>
        <v>46032</v>
      </c>
      <c r="C17">
        <f ca="1">IFERROR(IF(OFFSET(_xlfn.XLOOKUP(B17,Kuponger!E:E,Kuponger!Q:Q),15,36)=0,"",OFFSET(_xlfn.XLOOKUP(B17,Kuponger!E:E,Kuponger!Q:Q),15,36)),"")</f>
        <v>410</v>
      </c>
      <c r="D17">
        <f ca="1">IFERROR(IF(OFFSET(_xlfn.XLOOKUP(B17,Kuponger!E:E,Kuponger!Q:Q),15,37)=0,"",OFFSET(_xlfn.XLOOKUP(B17,Kuponger!E:E,Kuponger!Q:Q),15,37)),"")</f>
        <v>20</v>
      </c>
      <c r="E17">
        <f ca="1">IFERROR(IF(OFFSET(_xlfn.XLOOKUP(B17,Kuponger!E:E,Kuponger!Q:Q),15,38)=0,"",OFFSET(_xlfn.XLOOKUP(B17,Kuponger!E:E,Kuponger!Q:Q),15,38)),"")</f>
        <v>250</v>
      </c>
      <c r="F17" t="str">
        <f ca="1">IFERROR(IF(OFFSET(_xlfn.XLOOKUP(B17,Kuponger!E:E,Kuponger!Q:Q),1,38)=0,"",OFFSET(_xlfn.XLOOKUP(B17,Kuponger!E:E,Kuponger!Q:Q),1,38))*-1,"")</f>
        <v/>
      </c>
      <c r="G17">
        <f t="shared" ca="1" si="0"/>
        <v>680</v>
      </c>
      <c r="H17">
        <f ca="1">IFERROR(IF(OFFSET(_xlfn.XLOOKUP(B17,Kuponger!E:E,Kuponger!Q:Q),1,37)="","",OFFSET(_xlfn.XLOOKUP(B17,Kuponger!E:E,Kuponger!Q:Q),1,37)),"")</f>
        <v>1</v>
      </c>
      <c r="I17" s="3">
        <f ca="1">IFERROR(t_øg[[#This Row],[tp]]-G16,"")</f>
        <v>140</v>
      </c>
      <c r="K17" s="801" t="str">
        <f>K13</f>
        <v>Antall misser</v>
      </c>
      <c r="L17">
        <f>SUM(L$14:L$16)</f>
        <v>177</v>
      </c>
      <c r="M17">
        <f t="shared" ref="M17:S17" si="6">SUM(M$14:M$16)</f>
        <v>1</v>
      </c>
      <c r="N17">
        <f t="shared" si="6"/>
        <v>7</v>
      </c>
      <c r="O17">
        <f t="shared" si="6"/>
        <v>10</v>
      </c>
      <c r="P17">
        <f t="shared" si="6"/>
        <v>15</v>
      </c>
      <c r="Q17">
        <f t="shared" si="6"/>
        <v>25</v>
      </c>
      <c r="R17">
        <f t="shared" si="6"/>
        <v>17</v>
      </c>
      <c r="S17">
        <f t="shared" si="6"/>
        <v>555</v>
      </c>
      <c r="T17">
        <f>SUM(L$17:S$17)</f>
        <v>807</v>
      </c>
    </row>
    <row r="18" spans="1:20" x14ac:dyDescent="0.2">
      <c r="A18">
        <v>17</v>
      </c>
      <c r="B18" s="22">
        <f ca="1">Data!AL17</f>
        <v>46039</v>
      </c>
      <c r="C18">
        <f ca="1">IFERROR(IF(OFFSET(_xlfn.XLOOKUP(B18,Kuponger!E:E,Kuponger!Q:Q),15,36)=0,"",OFFSET(_xlfn.XLOOKUP(B18,Kuponger!E:E,Kuponger!Q:Q),15,36)),"")</f>
        <v>320</v>
      </c>
      <c r="D18">
        <f ca="1">IFERROR(IF(OFFSET(_xlfn.XLOOKUP(B18,Kuponger!E:E,Kuponger!Q:Q),15,37)=0,"",OFFSET(_xlfn.XLOOKUP(B18,Kuponger!E:E,Kuponger!Q:Q),15,37)),"")</f>
        <v>50</v>
      </c>
      <c r="E18">
        <f ca="1">IFERROR(IF(OFFSET(_xlfn.XLOOKUP(B18,Kuponger!E:E,Kuponger!Q:Q),15,38)=0,"",OFFSET(_xlfn.XLOOKUP(B18,Kuponger!E:E,Kuponger!Q:Q),15,38)),"")</f>
        <v>130</v>
      </c>
      <c r="F18" t="str">
        <f ca="1">IFERROR(IF(OFFSET(_xlfn.XLOOKUP(B18,Kuponger!E:E,Kuponger!Q:Q),1,38)=0,"",OFFSET(_xlfn.XLOOKUP(B18,Kuponger!E:E,Kuponger!Q:Q),1,38))*-1,"")</f>
        <v/>
      </c>
      <c r="G18">
        <f t="shared" ca="1" si="0"/>
        <v>500</v>
      </c>
      <c r="H18">
        <f ca="1">IFERROR(IF(OFFSET(_xlfn.XLOOKUP(B18,Kuponger!E:E,Kuponger!Q:Q),1,37)="","",OFFSET(_xlfn.XLOOKUP(B18,Kuponger!E:E,Kuponger!Q:Q),1,37)),"")</f>
        <v>1</v>
      </c>
      <c r="I18" s="3">
        <f ca="1">IFERROR(t_øg[[#This Row],[tp]]-G17,"")</f>
        <v>-180</v>
      </c>
      <c r="K18" s="4"/>
    </row>
    <row r="19" spans="1:20" x14ac:dyDescent="0.2">
      <c r="A19">
        <v>18</v>
      </c>
      <c r="B19" s="22">
        <f ca="1">Data!AL18</f>
        <v>46046</v>
      </c>
      <c r="C19">
        <f ca="1">IFERROR(IF(OFFSET(_xlfn.XLOOKUP(B19,Kuponger!E:E,Kuponger!Q:Q),15,36)=0,"",OFFSET(_xlfn.XLOOKUP(B19,Kuponger!E:E,Kuponger!Q:Q),15,36)),"")</f>
        <v>340</v>
      </c>
      <c r="D19">
        <f ca="1">IFERROR(IF(OFFSET(_xlfn.XLOOKUP(B19,Kuponger!E:E,Kuponger!Q:Q),15,37)=0,"",OFFSET(_xlfn.XLOOKUP(B19,Kuponger!E:E,Kuponger!Q:Q),15,37)),"")</f>
        <v>40</v>
      </c>
      <c r="E19">
        <f ca="1">IFERROR(IF(OFFSET(_xlfn.XLOOKUP(B19,Kuponger!E:E,Kuponger!Q:Q),15,38)=0,"",OFFSET(_xlfn.XLOOKUP(B19,Kuponger!E:E,Kuponger!Q:Q),15,38)),"")</f>
        <v>20</v>
      </c>
      <c r="F19" t="str">
        <f ca="1">IFERROR(IF(OFFSET(_xlfn.XLOOKUP(B19,Kuponger!E:E,Kuponger!Q:Q),1,38)=0,"",OFFSET(_xlfn.XLOOKUP(B19,Kuponger!E:E,Kuponger!Q:Q),1,38))*-1,"")</f>
        <v/>
      </c>
      <c r="G19">
        <f t="shared" ca="1" si="0"/>
        <v>400</v>
      </c>
      <c r="H19">
        <f ca="1">IFERROR(IF(OFFSET(_xlfn.XLOOKUP(B19,Kuponger!E:E,Kuponger!Q:Q),1,37)="","",OFFSET(_xlfn.XLOOKUP(B19,Kuponger!E:E,Kuponger!Q:Q),1,37)),"")</f>
        <v>8</v>
      </c>
      <c r="I19" s="3">
        <f ca="1">IFERROR(t_øg[[#This Row],[tp]]-G18,"")</f>
        <v>-100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IFERROR(IF(OFFSET(_xlfn.XLOOKUP(B20,Kuponger!E:E,Kuponger!Q:Q),15,36)=0,"",OFFSET(_xlfn.XLOOKUP(B20,Kuponger!E:E,Kuponger!Q:Q),15,36)),"")</f>
        <v>330</v>
      </c>
      <c r="D20">
        <f ca="1">IFERROR(IF(OFFSET(_xlfn.XLOOKUP(B20,Kuponger!E:E,Kuponger!Q:Q),15,37)=0,"",OFFSET(_xlfn.XLOOKUP(B20,Kuponger!E:E,Kuponger!Q:Q),15,37)),"")</f>
        <v>30</v>
      </c>
      <c r="E20">
        <f ca="1">IFERROR(IF(OFFSET(_xlfn.XLOOKUP(B20,Kuponger!E:E,Kuponger!Q:Q),15,38)=0,"",OFFSET(_xlfn.XLOOKUP(B20,Kuponger!E:E,Kuponger!Q:Q),15,38)),"")</f>
        <v>250</v>
      </c>
      <c r="F20" t="str">
        <f ca="1">IFERROR(IF(OFFSET(_xlfn.XLOOKUP(B20,Kuponger!E:E,Kuponger!Q:Q),1,38)=0,"",OFFSET(_xlfn.XLOOKUP(B20,Kuponger!E:E,Kuponger!Q:Q),1,38))*-1,"")</f>
        <v/>
      </c>
      <c r="G20">
        <f t="shared" ca="1" si="0"/>
        <v>610</v>
      </c>
      <c r="H20">
        <f ca="1">IFERROR(IF(OFFSET(_xlfn.XLOOKUP(B20,Kuponger!E:E,Kuponger!Q:Q),1,37)="","",OFFSET(_xlfn.XLOOKUP(B20,Kuponger!E:E,Kuponger!Q:Q),1,37)),"")</f>
        <v>1</v>
      </c>
      <c r="I20" s="3">
        <f ca="1">IFERROR(t_øg[[#This Row],[tp]]-G19,"")</f>
        <v>210</v>
      </c>
      <c r="K20" s="801" t="str">
        <f>K8</f>
        <v>Hjemme</v>
      </c>
      <c r="L20">
        <f>L$8*L$19</f>
        <v>10400</v>
      </c>
      <c r="M20">
        <f t="shared" ref="M20:S20" si="8">M$8*M$19</f>
        <v>0</v>
      </c>
      <c r="N20">
        <f t="shared" si="8"/>
        <v>120</v>
      </c>
      <c r="O20">
        <f t="shared" si="8"/>
        <v>150</v>
      </c>
      <c r="P20">
        <f t="shared" si="8"/>
        <v>200</v>
      </c>
      <c r="Q20">
        <f t="shared" si="8"/>
        <v>0</v>
      </c>
      <c r="R20">
        <f t="shared" si="8"/>
        <v>20</v>
      </c>
      <c r="S20">
        <f t="shared" si="8"/>
        <v>350</v>
      </c>
      <c r="T20">
        <f>SUM(L$20:S$20)</f>
        <v>11240</v>
      </c>
    </row>
    <row r="21" spans="1:20" x14ac:dyDescent="0.2">
      <c r="A21">
        <v>20</v>
      </c>
      <c r="B21" s="22">
        <f ca="1">Data!AL20</f>
        <v>46060</v>
      </c>
      <c r="C21">
        <f ca="1">IFERROR(IF(OFFSET(_xlfn.XLOOKUP(B21,Kuponger!E:E,Kuponger!Q:Q),15,36)=0,"",OFFSET(_xlfn.XLOOKUP(B21,Kuponger!E:E,Kuponger!Q:Q),15,36)),"")</f>
        <v>240</v>
      </c>
      <c r="D21">
        <f ca="1">IFERROR(IF(OFFSET(_xlfn.XLOOKUP(B21,Kuponger!E:E,Kuponger!Q:Q),15,37)=0,"",OFFSET(_xlfn.XLOOKUP(B21,Kuponger!E:E,Kuponger!Q:Q),15,37)),"")</f>
        <v>30</v>
      </c>
      <c r="E21">
        <f ca="1">IFERROR(IF(OFFSET(_xlfn.XLOOKUP(B21,Kuponger!E:E,Kuponger!Q:Q),15,38)=0,"",OFFSET(_xlfn.XLOOKUP(B21,Kuponger!E:E,Kuponger!Q:Q),15,38)),"")</f>
        <v>200</v>
      </c>
      <c r="F21" t="str">
        <f ca="1">IFERROR(IF(OFFSET(_xlfn.XLOOKUP(B21,Kuponger!E:E,Kuponger!Q:Q),1,38)=0,"",OFFSET(_xlfn.XLOOKUP(B21,Kuponger!E:E,Kuponger!Q:Q),1,38))*-1,"")</f>
        <v/>
      </c>
      <c r="G21">
        <f t="shared" ca="1" si="0"/>
        <v>470</v>
      </c>
      <c r="H21">
        <f ca="1">IFERROR(IF(OFFSET(_xlfn.XLOOKUP(B21,Kuponger!E:E,Kuponger!Q:Q),1,37)="","",OFFSET(_xlfn.XLOOKUP(B21,Kuponger!E:E,Kuponger!Q:Q),1,37)),"")</f>
        <v>5</v>
      </c>
      <c r="I21" s="3">
        <f ca="1">IFERROR(t_øg[[#This Row],[tp]]-G20,"")</f>
        <v>-140</v>
      </c>
      <c r="K21" s="801" t="str">
        <f>K9</f>
        <v>Uavgjort</v>
      </c>
      <c r="L21">
        <f>L$9*L$19</f>
        <v>0</v>
      </c>
      <c r="M21">
        <f t="shared" ref="M21:S21" si="9">M$9*M$19</f>
        <v>0</v>
      </c>
      <c r="N21">
        <f t="shared" si="9"/>
        <v>0</v>
      </c>
      <c r="O21">
        <f t="shared" si="9"/>
        <v>0</v>
      </c>
      <c r="P21">
        <f t="shared" si="9"/>
        <v>120</v>
      </c>
      <c r="Q21">
        <f t="shared" si="9"/>
        <v>30</v>
      </c>
      <c r="R21">
        <f t="shared" si="9"/>
        <v>0</v>
      </c>
      <c r="S21">
        <f t="shared" si="9"/>
        <v>850</v>
      </c>
      <c r="T21">
        <f>SUM(L$21:S$21)</f>
        <v>1000</v>
      </c>
    </row>
    <row r="22" spans="1:20" x14ac:dyDescent="0.2">
      <c r="A22">
        <v>21</v>
      </c>
      <c r="B22" s="22">
        <f ca="1">Data!AL21</f>
        <v>46067</v>
      </c>
      <c r="C22">
        <f ca="1">IFERROR(IF(OFFSET(_xlfn.XLOOKUP(B22,Kuponger!E:E,Kuponger!Q:Q),15,36)=0,"",OFFSET(_xlfn.XLOOKUP(B22,Kuponger!E:E,Kuponger!Q:Q),15,36)),"")</f>
        <v>400</v>
      </c>
      <c r="D22">
        <f ca="1">IFERROR(IF(OFFSET(_xlfn.XLOOKUP(B22,Kuponger!E:E,Kuponger!Q:Q),15,37)=0,"",OFFSET(_xlfn.XLOOKUP(B22,Kuponger!E:E,Kuponger!Q:Q),15,37)),"")</f>
        <v>100</v>
      </c>
      <c r="E22">
        <f ca="1">IFERROR(IF(OFFSET(_xlfn.XLOOKUP(B22,Kuponger!E:E,Kuponger!Q:Q),15,38)=0,"",OFFSET(_xlfn.XLOOKUP(B22,Kuponger!E:E,Kuponger!Q:Q),15,38)),"")</f>
        <v>30</v>
      </c>
      <c r="F22" t="str">
        <f ca="1">IFERROR(IF(OFFSET(_xlfn.XLOOKUP(B22,Kuponger!E:E,Kuponger!Q:Q),1,38)=0,"",OFFSET(_xlfn.XLOOKUP(B22,Kuponger!E:E,Kuponger!Q:Q),1,38))*-1,"")</f>
        <v/>
      </c>
      <c r="G22">
        <f t="shared" ca="1" si="0"/>
        <v>530</v>
      </c>
      <c r="H22">
        <f ca="1">IFERROR(IF(OFFSET(_xlfn.XLOOKUP(B22,Kuponger!E:E,Kuponger!Q:Q),1,37)="","",OFFSET(_xlfn.XLOOKUP(B22,Kuponger!E:E,Kuponger!Q:Q),1,37)),"")</f>
        <v>1</v>
      </c>
      <c r="I22" s="3">
        <f ca="1">IFERROR(t_øg[[#This Row],[tp]]-G21,"")</f>
        <v>60</v>
      </c>
      <c r="K22" s="801" t="str">
        <f>K10</f>
        <v>Borte</v>
      </c>
      <c r="L22">
        <f>L$10*L$19</f>
        <v>3920</v>
      </c>
      <c r="M22">
        <f t="shared" ref="M22:S22" si="10">M$10*M$19</f>
        <v>0</v>
      </c>
      <c r="N22">
        <f t="shared" si="10"/>
        <v>180</v>
      </c>
      <c r="O22">
        <f t="shared" si="10"/>
        <v>50</v>
      </c>
      <c r="P22">
        <f t="shared" si="10"/>
        <v>40</v>
      </c>
      <c r="Q22">
        <f t="shared" si="10"/>
        <v>30</v>
      </c>
      <c r="R22">
        <f t="shared" si="10"/>
        <v>0</v>
      </c>
      <c r="S22">
        <f t="shared" si="10"/>
        <v>640</v>
      </c>
      <c r="T22">
        <f>SUM(L$22:S$22)</f>
        <v>4860</v>
      </c>
    </row>
    <row r="23" spans="1:20" x14ac:dyDescent="0.2">
      <c r="A23">
        <v>22</v>
      </c>
      <c r="B23" s="22">
        <f ca="1">Data!AL22</f>
        <v>46074</v>
      </c>
      <c r="C23">
        <f ca="1">IFERROR(IF(OFFSET(_xlfn.XLOOKUP(B23,Kuponger!E:E,Kuponger!Q:Q),15,36)=0,"",OFFSET(_xlfn.XLOOKUP(B23,Kuponger!E:E,Kuponger!Q:Q),15,36)),"")</f>
        <v>240</v>
      </c>
      <c r="D23">
        <f ca="1">IFERROR(IF(OFFSET(_xlfn.XLOOKUP(B23,Kuponger!E:E,Kuponger!Q:Q),15,37)=0,"",OFFSET(_xlfn.XLOOKUP(B23,Kuponger!E:E,Kuponger!Q:Q),15,37)),"")</f>
        <v>60</v>
      </c>
      <c r="E23">
        <f ca="1">IFERROR(IF(OFFSET(_xlfn.XLOOKUP(B23,Kuponger!E:E,Kuponger!Q:Q),15,38)=0,"",OFFSET(_xlfn.XLOOKUP(B23,Kuponger!E:E,Kuponger!Q:Q),15,38)),"")</f>
        <v>30</v>
      </c>
      <c r="F23" t="str">
        <f ca="1">IFERROR(IF(OFFSET(_xlfn.XLOOKUP(B23,Kuponger!E:E,Kuponger!Q:Q),1,38)=0,"",OFFSET(_xlfn.XLOOKUP(B23,Kuponger!E:E,Kuponger!Q:Q),1,38))*-1,"")</f>
        <v/>
      </c>
      <c r="G23">
        <f t="shared" ca="1" si="0"/>
        <v>330</v>
      </c>
      <c r="H23">
        <f ca="1">IFERROR(IF(OFFSET(_xlfn.XLOOKUP(B23,Kuponger!E:E,Kuponger!Q:Q),1,37)="","",OFFSET(_xlfn.XLOOKUP(B23,Kuponger!E:E,Kuponger!Q:Q),1,37)),"")</f>
        <v>4</v>
      </c>
      <c r="I23" s="3">
        <f ca="1">IFERROR(t_øg[[#This Row],[tp]]-G22,"")</f>
        <v>-200</v>
      </c>
      <c r="K23" s="801" t="str">
        <f>K19</f>
        <v>Treff poeng</v>
      </c>
      <c r="L23">
        <f>SUM(L20:L22)</f>
        <v>14320</v>
      </c>
      <c r="M23">
        <f t="shared" ref="M23:S23" si="11">SUM(M20:M22)</f>
        <v>0</v>
      </c>
      <c r="N23">
        <f t="shared" si="11"/>
        <v>300</v>
      </c>
      <c r="O23">
        <f t="shared" si="11"/>
        <v>200</v>
      </c>
      <c r="P23">
        <f t="shared" si="11"/>
        <v>360</v>
      </c>
      <c r="Q23">
        <f t="shared" si="11"/>
        <v>60</v>
      </c>
      <c r="R23">
        <f t="shared" si="11"/>
        <v>20</v>
      </c>
      <c r="S23">
        <f t="shared" si="11"/>
        <v>1840</v>
      </c>
      <c r="T23">
        <f>SUM(L$23:S$23)</f>
        <v>17100</v>
      </c>
    </row>
    <row r="24" spans="1:20" x14ac:dyDescent="0.2">
      <c r="A24">
        <v>23</v>
      </c>
      <c r="B24" s="22">
        <f ca="1">Data!AL23</f>
        <v>46081</v>
      </c>
      <c r="C24">
        <f ca="1">IFERROR(IF(OFFSET(_xlfn.XLOOKUP(B24,Kuponger!E:E,Kuponger!Q:Q),15,36)=0,"",OFFSET(_xlfn.XLOOKUP(B24,Kuponger!E:E,Kuponger!Q:Q),15,36)),"")</f>
        <v>400</v>
      </c>
      <c r="D24" t="str">
        <f ca="1">IFERROR(IF(OFFSET(_xlfn.XLOOKUP(B24,Kuponger!E:E,Kuponger!Q:Q),15,37)=0,"",OFFSET(_xlfn.XLOOKUP(B24,Kuponger!E:E,Kuponger!Q:Q),15,37)),"")</f>
        <v/>
      </c>
      <c r="E24">
        <f ca="1">IFERROR(IF(OFFSET(_xlfn.XLOOKUP(B24,Kuponger!E:E,Kuponger!Q:Q),15,38)=0,"",OFFSET(_xlfn.XLOOKUP(B24,Kuponger!E:E,Kuponger!Q:Q),15,38)),"")</f>
        <v>420</v>
      </c>
      <c r="F24" t="str">
        <f ca="1">IFERROR(IF(OFFSET(_xlfn.XLOOKUP(B24,Kuponger!E:E,Kuponger!Q:Q),1,38)=0,"",OFFSET(_xlfn.XLOOKUP(B24,Kuponger!E:E,Kuponger!Q:Q),1,38))*-1,"")</f>
        <v/>
      </c>
      <c r="G24">
        <f t="shared" ca="1" si="0"/>
        <v>820</v>
      </c>
      <c r="H24">
        <f ca="1">IFERROR(IF(OFFSET(_xlfn.XLOOKUP(B24,Kuponger!E:E,Kuponger!Q:Q),1,37)="","",OFFSET(_xlfn.XLOOKUP(B24,Kuponger!E:E,Kuponger!Q:Q),1,37)),"")</f>
        <v>1</v>
      </c>
      <c r="I24" s="3">
        <f ca="1">IFERROR(t_øg[[#This Row],[tp]]-G23,"")</f>
        <v>490</v>
      </c>
      <c r="K24" s="4"/>
    </row>
    <row r="25" spans="1:20" x14ac:dyDescent="0.2">
      <c r="A25">
        <v>24</v>
      </c>
      <c r="B25" s="22">
        <f ca="1">Data!AL24</f>
        <v>46088</v>
      </c>
      <c r="C25">
        <f ca="1">IFERROR(IF(OFFSET(_xlfn.XLOOKUP(B25,Kuponger!E:E,Kuponger!Q:Q),15,36)=0,"",OFFSET(_xlfn.XLOOKUP(B25,Kuponger!E:E,Kuponger!Q:Q),15,36)),"")</f>
        <v>250</v>
      </c>
      <c r="D25">
        <f ca="1">IFERROR(IF(OFFSET(_xlfn.XLOOKUP(B25,Kuponger!E:E,Kuponger!Q:Q),15,37)=0,"",OFFSET(_xlfn.XLOOKUP(B25,Kuponger!E:E,Kuponger!Q:Q),15,37)),"")</f>
        <v>30</v>
      </c>
      <c r="E25">
        <f ca="1">IFERROR(IF(OFFSET(_xlfn.XLOOKUP(B25,Kuponger!E:E,Kuponger!Q:Q),15,38)=0,"",OFFSET(_xlfn.XLOOKUP(B25,Kuponger!E:E,Kuponger!Q:Q),15,38)),"")</f>
        <v>190</v>
      </c>
      <c r="F25" t="str">
        <f ca="1">IFERROR(IF(OFFSET(_xlfn.XLOOKUP(B25,Kuponger!E:E,Kuponger!Q:Q),1,38)=0,"",OFFSET(_xlfn.XLOOKUP(B25,Kuponger!E:E,Kuponger!Q:Q),1,38))*-1,"")</f>
        <v/>
      </c>
      <c r="G25">
        <f t="shared" ca="1" si="0"/>
        <v>470</v>
      </c>
      <c r="H25">
        <f ca="1">IFERROR(IF(OFFSET(_xlfn.XLOOKUP(B25,Kuponger!E:E,Kuponger!Q:Q),1,37)="","",OFFSET(_xlfn.XLOOKUP(B25,Kuponger!E:E,Kuponger!Q:Q),1,37)),"")</f>
        <v>5</v>
      </c>
      <c r="I25" s="3">
        <f ca="1">IFERROR(t_øg[[#This Row],[tp]]-G24,"")</f>
        <v>-350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IFERROR(IF(OFFSET(_xlfn.XLOOKUP(B26,Kuponger!E:E,Kuponger!Q:Q),15,36)=0,"",OFFSET(_xlfn.XLOOKUP(B26,Kuponger!E:E,Kuponger!Q:Q),15,36)),"")</f>
        <v>200</v>
      </c>
      <c r="D26">
        <f ca="1">IFERROR(IF(OFFSET(_xlfn.XLOOKUP(B26,Kuponger!E:E,Kuponger!Q:Q),15,37)=0,"",OFFSET(_xlfn.XLOOKUP(B26,Kuponger!E:E,Kuponger!Q:Q),15,37)),"")</f>
        <v>30</v>
      </c>
      <c r="E26">
        <f ca="1">IFERROR(IF(OFFSET(_xlfn.XLOOKUP(B26,Kuponger!E:E,Kuponger!Q:Q),15,38)=0,"",OFFSET(_xlfn.XLOOKUP(B26,Kuponger!E:E,Kuponger!Q:Q),15,38)),"")</f>
        <v>40</v>
      </c>
      <c r="F26" t="str">
        <f ca="1">IFERROR(IF(OFFSET(_xlfn.XLOOKUP(B26,Kuponger!E:E,Kuponger!Q:Q),1,38)=0,"",OFFSET(_xlfn.XLOOKUP(B26,Kuponger!E:E,Kuponger!Q:Q),1,38))*-1,"")</f>
        <v/>
      </c>
      <c r="G26">
        <f t="shared" ca="1" si="0"/>
        <v>270</v>
      </c>
      <c r="H26">
        <f ca="1">IFERROR(IF(OFFSET(_xlfn.XLOOKUP(B26,Kuponger!E:E,Kuponger!Q:Q),1,37)="","",OFFSET(_xlfn.XLOOKUP(B26,Kuponger!E:E,Kuponger!Q:Q),1,37)),"")</f>
        <v>9</v>
      </c>
      <c r="I26" s="3">
        <f ca="1">IFERROR(t_øg[[#This Row],[tp]]-G25,"")</f>
        <v>-200</v>
      </c>
      <c r="K26" s="801" t="str">
        <f>K8</f>
        <v>Hjemme</v>
      </c>
      <c r="L26">
        <f>L$14*L$25</f>
        <v>9200</v>
      </c>
      <c r="M26">
        <f t="shared" ref="M26:S26" si="13">M$14*M$25</f>
        <v>0</v>
      </c>
      <c r="N26">
        <f t="shared" si="13"/>
        <v>120</v>
      </c>
      <c r="O26">
        <f t="shared" si="13"/>
        <v>250</v>
      </c>
      <c r="P26">
        <f t="shared" si="13"/>
        <v>0</v>
      </c>
      <c r="Q26">
        <f t="shared" si="13"/>
        <v>0</v>
      </c>
      <c r="R26">
        <f t="shared" si="13"/>
        <v>20</v>
      </c>
      <c r="S26">
        <f t="shared" si="13"/>
        <v>850</v>
      </c>
      <c r="T26">
        <f>SUM(L$26:S$26)</f>
        <v>10440</v>
      </c>
    </row>
    <row r="27" spans="1:20" x14ac:dyDescent="0.2">
      <c r="A27">
        <v>26</v>
      </c>
      <c r="B27" s="22">
        <f ca="1">Data!AL26</f>
        <v>46102</v>
      </c>
      <c r="C27">
        <f ca="1">IFERROR(IF(OFFSET(_xlfn.XLOOKUP(B27,Kuponger!E:E,Kuponger!Q:Q),15,36)=0,"",OFFSET(_xlfn.XLOOKUP(B27,Kuponger!E:E,Kuponger!Q:Q),15,36)),"")</f>
        <v>260</v>
      </c>
      <c r="D27">
        <f ca="1">IFERROR(IF(OFFSET(_xlfn.XLOOKUP(B27,Kuponger!E:E,Kuponger!Q:Q),15,37)=0,"",OFFSET(_xlfn.XLOOKUP(B27,Kuponger!E:E,Kuponger!Q:Q),15,37)),"")</f>
        <v>30</v>
      </c>
      <c r="E27">
        <f ca="1">IFERROR(IF(OFFSET(_xlfn.XLOOKUP(B27,Kuponger!E:E,Kuponger!Q:Q),15,38)=0,"",OFFSET(_xlfn.XLOOKUP(B27,Kuponger!E:E,Kuponger!Q:Q),15,38)),"")</f>
        <v>180</v>
      </c>
      <c r="F27" t="str">
        <f ca="1">IFERROR(IF(OFFSET(_xlfn.XLOOKUP(B27,Kuponger!E:E,Kuponger!Q:Q),1,38)=0,"",OFFSET(_xlfn.XLOOKUP(B27,Kuponger!E:E,Kuponger!Q:Q),1,38))*-1,"")</f>
        <v/>
      </c>
      <c r="G27">
        <f t="shared" ca="1" si="0"/>
        <v>470</v>
      </c>
      <c r="H27">
        <f ca="1">IFERROR(IF(OFFSET(_xlfn.XLOOKUP(B27,Kuponger!E:E,Kuponger!Q:Q),1,37)="","",OFFSET(_xlfn.XLOOKUP(B27,Kuponger!E:E,Kuponger!Q:Q),1,37)),"")</f>
        <v>5</v>
      </c>
      <c r="I27" s="3">
        <f ca="1">IFERROR(t_øg[[#This Row],[tp]]-G26,"")</f>
        <v>200</v>
      </c>
      <c r="K27" s="801" t="str">
        <f>K9</f>
        <v>Uavgjort</v>
      </c>
      <c r="L27">
        <f>L$25*L$15</f>
        <v>160</v>
      </c>
      <c r="M27">
        <f t="shared" ref="M27:S27" si="14">M$25*M$15</f>
        <v>0</v>
      </c>
      <c r="N27">
        <f t="shared" si="14"/>
        <v>120</v>
      </c>
      <c r="O27">
        <f t="shared" si="14"/>
        <v>100</v>
      </c>
      <c r="P27">
        <f t="shared" si="14"/>
        <v>480</v>
      </c>
      <c r="Q27">
        <f t="shared" si="14"/>
        <v>660</v>
      </c>
      <c r="R27">
        <f t="shared" si="14"/>
        <v>160</v>
      </c>
      <c r="S27">
        <f t="shared" si="14"/>
        <v>2760</v>
      </c>
      <c r="T27">
        <f>SUM(L$27:S$27)</f>
        <v>4440</v>
      </c>
    </row>
    <row r="28" spans="1:20" x14ac:dyDescent="0.2">
      <c r="A28">
        <v>27</v>
      </c>
      <c r="B28" s="22">
        <f ca="1">Data!AL27</f>
        <v>46109</v>
      </c>
      <c r="C28">
        <f ca="1">IFERROR(IF(OFFSET(_xlfn.XLOOKUP(B28,Kuponger!E:E,Kuponger!Q:Q),15,36)=0,"",OFFSET(_xlfn.XLOOKUP(B28,Kuponger!E:E,Kuponger!Q:Q),15,36)),"")</f>
        <v>440</v>
      </c>
      <c r="D28">
        <f ca="1">IFERROR(IF(OFFSET(_xlfn.XLOOKUP(B28,Kuponger!E:E,Kuponger!Q:Q),15,37)=0,"",OFFSET(_xlfn.XLOOKUP(B28,Kuponger!E:E,Kuponger!Q:Q),15,37)),"")</f>
        <v>30</v>
      </c>
      <c r="E28" t="str">
        <f ca="1">IFERROR(IF(OFFSET(_xlfn.XLOOKUP(B28,Kuponger!E:E,Kuponger!Q:Q),15,38)=0,"",OFFSET(_xlfn.XLOOKUP(B28,Kuponger!E:E,Kuponger!Q:Q),15,38)),"")</f>
        <v/>
      </c>
      <c r="F28" t="str">
        <f ca="1">IFERROR(IF(OFFSET(_xlfn.XLOOKUP(B28,Kuponger!E:E,Kuponger!Q:Q),1,38)=0,"",OFFSET(_xlfn.XLOOKUP(B28,Kuponger!E:E,Kuponger!Q:Q),1,38))*-1,"")</f>
        <v/>
      </c>
      <c r="G28">
        <f t="shared" ca="1" si="0"/>
        <v>470</v>
      </c>
      <c r="H28">
        <f ca="1">IFERROR(IF(OFFSET(_xlfn.XLOOKUP(B28,Kuponger!E:E,Kuponger!Q:Q),1,37)="","",OFFSET(_xlfn.XLOOKUP(B28,Kuponger!E:E,Kuponger!Q:Q),1,37)),"")</f>
        <v>7</v>
      </c>
      <c r="I28" s="3">
        <f ca="1">IFERROR(t_øg[[#This Row],[tp]]-G27,"")</f>
        <v>0</v>
      </c>
      <c r="K28" s="801" t="str">
        <f>K10</f>
        <v>Borte</v>
      </c>
      <c r="L28">
        <f>L$25*L$16</f>
        <v>4800</v>
      </c>
      <c r="M28">
        <f t="shared" ref="M28:S28" si="15">M$25*M$16</f>
        <v>70</v>
      </c>
      <c r="N28">
        <f t="shared" si="15"/>
        <v>180</v>
      </c>
      <c r="O28">
        <f t="shared" si="15"/>
        <v>150</v>
      </c>
      <c r="P28">
        <f t="shared" si="15"/>
        <v>120</v>
      </c>
      <c r="Q28">
        <f t="shared" si="15"/>
        <v>90</v>
      </c>
      <c r="R28">
        <f t="shared" si="15"/>
        <v>160</v>
      </c>
      <c r="S28">
        <f t="shared" si="15"/>
        <v>1940</v>
      </c>
      <c r="T28">
        <f>SUM(L$28:S$28)</f>
        <v>7510</v>
      </c>
    </row>
    <row r="29" spans="1:20" x14ac:dyDescent="0.2">
      <c r="A29">
        <v>28</v>
      </c>
      <c r="B29" s="22">
        <f ca="1">Data!AL28</f>
        <v>46123</v>
      </c>
      <c r="C29">
        <f ca="1">IFERROR(IF(OFFSET(_xlfn.XLOOKUP(B29,Kuponger!E:E,Kuponger!Q:Q),15,36)=0,"",OFFSET(_xlfn.XLOOKUP(B29,Kuponger!E:E,Kuponger!Q:Q),15,36)),"")</f>
        <v>450</v>
      </c>
      <c r="D29">
        <f ca="1">IFERROR(IF(OFFSET(_xlfn.XLOOKUP(B29,Kuponger!E:E,Kuponger!Q:Q),15,37)=0,"",OFFSET(_xlfn.XLOOKUP(B29,Kuponger!E:E,Kuponger!Q:Q),15,37)),"")</f>
        <v>20</v>
      </c>
      <c r="E29">
        <f ca="1">IFERROR(IF(OFFSET(_xlfn.XLOOKUP(B29,Kuponger!E:E,Kuponger!Q:Q),15,38)=0,"",OFFSET(_xlfn.XLOOKUP(B29,Kuponger!E:E,Kuponger!Q:Q),15,38)),"")</f>
        <v>110</v>
      </c>
      <c r="F29" t="str">
        <f ca="1">IFERROR(IF(OFFSET(_xlfn.XLOOKUP(B29,Kuponger!E:E,Kuponger!Q:Q),1,38)=0,"",OFFSET(_xlfn.XLOOKUP(B29,Kuponger!E:E,Kuponger!Q:Q),1,38))*-1,"")</f>
        <v/>
      </c>
      <c r="G29">
        <f t="shared" ca="1" si="0"/>
        <v>580</v>
      </c>
      <c r="H29">
        <f ca="1">IFERROR(IF(OFFSET(_xlfn.XLOOKUP(B29,Kuponger!E:E,Kuponger!Q:Q),1,37)="","",OFFSET(_xlfn.XLOOKUP(B29,Kuponger!E:E,Kuponger!Q:Q),1,37)),"")</f>
        <v>1</v>
      </c>
      <c r="I29" s="3">
        <f ca="1">IFERROR(t_øg[[#This Row],[tp]]-G28,"")</f>
        <v>110</v>
      </c>
      <c r="K29" s="801" t="str">
        <f>K25</f>
        <v>Misset poeng</v>
      </c>
      <c r="L29">
        <f>SUM(L26:L28)</f>
        <v>14160</v>
      </c>
      <c r="M29">
        <f t="shared" ref="M29:S29" si="16">SUM(M26:M28)</f>
        <v>70</v>
      </c>
      <c r="N29">
        <f t="shared" si="16"/>
        <v>420</v>
      </c>
      <c r="O29">
        <f t="shared" si="16"/>
        <v>500</v>
      </c>
      <c r="P29">
        <f t="shared" si="16"/>
        <v>600</v>
      </c>
      <c r="Q29">
        <f t="shared" si="16"/>
        <v>750</v>
      </c>
      <c r="R29">
        <f t="shared" si="16"/>
        <v>340</v>
      </c>
      <c r="S29">
        <f t="shared" si="16"/>
        <v>5550</v>
      </c>
      <c r="T29">
        <f>SUM(L$29:S$29)</f>
        <v>22390</v>
      </c>
    </row>
    <row r="30" spans="1:20" x14ac:dyDescent="0.2">
      <c r="A30">
        <v>29</v>
      </c>
      <c r="B30" s="22">
        <f ca="1">Data!AL29</f>
        <v>46130</v>
      </c>
      <c r="C30">
        <f ca="1">IFERROR(IF(OFFSET(_xlfn.XLOOKUP(B30,Kuponger!E:E,Kuponger!Q:Q),15,36)=0,"",OFFSET(_xlfn.XLOOKUP(B30,Kuponger!E:E,Kuponger!Q:Q),15,36)),"")</f>
        <v>240</v>
      </c>
      <c r="D30">
        <f ca="1">IFERROR(IF(OFFSET(_xlfn.XLOOKUP(B30,Kuponger!E:E,Kuponger!Q:Q),15,37)=0,"",OFFSET(_xlfn.XLOOKUP(B30,Kuponger!E:E,Kuponger!Q:Q),15,37)),"")</f>
        <v>30</v>
      </c>
      <c r="E30">
        <f ca="1">IFERROR(IF(OFFSET(_xlfn.XLOOKUP(B30,Kuponger!E:E,Kuponger!Q:Q),15,38)=0,"",OFFSET(_xlfn.XLOOKUP(B30,Kuponger!E:E,Kuponger!Q:Q),15,38)),"")</f>
        <v>130</v>
      </c>
      <c r="F30" t="str">
        <f ca="1">IFERROR(IF(OFFSET(_xlfn.XLOOKUP(B30,Kuponger!E:E,Kuponger!Q:Q),1,38)=0,"",OFFSET(_xlfn.XLOOKUP(B30,Kuponger!E:E,Kuponger!Q:Q),1,38))*-1,"")</f>
        <v/>
      </c>
      <c r="G30">
        <f t="shared" ca="1" si="0"/>
        <v>400</v>
      </c>
      <c r="H30">
        <f ca="1">IFERROR(IF(OFFSET(_xlfn.XLOOKUP(B30,Kuponger!E:E,Kuponger!Q:Q),1,37)="","",OFFSET(_xlfn.XLOOKUP(B30,Kuponger!E:E,Kuponger!Q:Q),1,37)),"")</f>
        <v>7</v>
      </c>
      <c r="I30" s="3">
        <f ca="1">IFERROR(t_øg[[#This Row],[tp]]-G29,"")</f>
        <v>-180</v>
      </c>
    </row>
    <row r="31" spans="1:20" x14ac:dyDescent="0.2">
      <c r="A31">
        <v>30</v>
      </c>
      <c r="B31" s="22">
        <f ca="1">Data!AL30</f>
        <v>46137</v>
      </c>
      <c r="C31">
        <f ca="1">IFERROR(IF(OFFSET(_xlfn.XLOOKUP(B31,Kuponger!E:E,Kuponger!Q:Q),15,36)=0,"",OFFSET(_xlfn.XLOOKUP(B31,Kuponger!E:E,Kuponger!Q:Q),15,36)),"")</f>
        <v>330</v>
      </c>
      <c r="D31">
        <f ca="1">IFERROR(IF(OFFSET(_xlfn.XLOOKUP(B31,Kuponger!E:E,Kuponger!Q:Q),15,37)=0,"",OFFSET(_xlfn.XLOOKUP(B31,Kuponger!E:E,Kuponger!Q:Q),15,37)),"")</f>
        <v>20</v>
      </c>
      <c r="E31">
        <f ca="1">IFERROR(IF(OFFSET(_xlfn.XLOOKUP(B31,Kuponger!E:E,Kuponger!Q:Q),15,38)=0,"",OFFSET(_xlfn.XLOOKUP(B31,Kuponger!E:E,Kuponger!Q:Q),15,38)),"")</f>
        <v>260</v>
      </c>
      <c r="F31" t="str">
        <f ca="1">IFERROR(IF(OFFSET(_xlfn.XLOOKUP(B31,Kuponger!E:E,Kuponger!Q:Q),1,38)=0,"",OFFSET(_xlfn.XLOOKUP(B31,Kuponger!E:E,Kuponger!Q:Q),1,38))*-1,"")</f>
        <v/>
      </c>
      <c r="G31">
        <f t="shared" ca="1" si="0"/>
        <v>610</v>
      </c>
      <c r="H31">
        <f ca="1">IFERROR(IF(OFFSET(_xlfn.XLOOKUP(B31,Kuponger!E:E,Kuponger!Q:Q),1,37)="","",OFFSET(_xlfn.XLOOKUP(B31,Kuponger!E:E,Kuponger!Q:Q),1,37)),"")</f>
        <v>1</v>
      </c>
      <c r="I31" s="3">
        <f ca="1">IFERROR(t_øg[[#This Row],[tp]]-G30,"")</f>
        <v>210</v>
      </c>
      <c r="K31" t="s">
        <v>856</v>
      </c>
    </row>
    <row r="32" spans="1:20" x14ac:dyDescent="0.2">
      <c r="A32">
        <v>31</v>
      </c>
      <c r="B32" s="22">
        <f ca="1">Data!AL31</f>
        <v>46144</v>
      </c>
      <c r="C32">
        <f ca="1">IFERROR(IF(OFFSET(_xlfn.XLOOKUP(B32,Kuponger!E:E,Kuponger!Q:Q),15,36)=0,"",OFFSET(_xlfn.XLOOKUP(B32,Kuponger!E:E,Kuponger!Q:Q),15,36)),"")</f>
        <v>330</v>
      </c>
      <c r="D32">
        <f ca="1">IFERROR(IF(OFFSET(_xlfn.XLOOKUP(B32,Kuponger!E:E,Kuponger!Q:Q),15,37)=0,"",OFFSET(_xlfn.XLOOKUP(B32,Kuponger!E:E,Kuponger!Q:Q),15,37)),"")</f>
        <v>20</v>
      </c>
      <c r="E32">
        <f ca="1">IFERROR(IF(OFFSET(_xlfn.XLOOKUP(B32,Kuponger!E:E,Kuponger!Q:Q),15,38)=0,"",OFFSET(_xlfn.XLOOKUP(B32,Kuponger!E:E,Kuponger!Q:Q),15,38)),"")</f>
        <v>120</v>
      </c>
      <c r="F32">
        <f ca="1">IFERROR(IF(OFFSET(_xlfn.XLOOKUP(B32,Kuponger!E:E,Kuponger!Q:Q),1,38)=0,"",OFFSET(_xlfn.XLOOKUP(B32,Kuponger!E:E,Kuponger!Q:Q),1,38))*-1,"")</f>
        <v>-50</v>
      </c>
      <c r="G32">
        <f t="shared" ca="1" si="0"/>
        <v>420</v>
      </c>
      <c r="H32">
        <f ca="1">IFERROR(IF(OFFSET(_xlfn.XLOOKUP(B32,Kuponger!E:E,Kuponger!Q:Q),1,37)="","",OFFSET(_xlfn.XLOOKUP(B32,Kuponger!E:E,Kuponger!Q:Q),1,37)),"")</f>
        <v>8</v>
      </c>
      <c r="I32" s="3">
        <f ca="1">IFERROR(t_øg[[#This Row],[tp]]-G31,"")</f>
        <v>-190</v>
      </c>
      <c r="K32">
        <f>SUM(Kuponger!BH:BH)</f>
        <v>193</v>
      </c>
    </row>
    <row r="33" spans="1:14" x14ac:dyDescent="0.2">
      <c r="A33">
        <v>32</v>
      </c>
      <c r="B33" s="22">
        <f ca="1">Data!AL32</f>
        <v>46151</v>
      </c>
      <c r="C33">
        <f ca="1">IFERROR(IF(OFFSET(_xlfn.XLOOKUP(B33,Kuponger!E:E,Kuponger!Q:Q),15,36)=0,"",OFFSET(_xlfn.XLOOKUP(B33,Kuponger!E:E,Kuponger!Q:Q),15,36)),"")</f>
        <v>170</v>
      </c>
      <c r="D33">
        <f ca="1">IFERROR(IF(OFFSET(_xlfn.XLOOKUP(B33,Kuponger!E:E,Kuponger!Q:Q),15,37)=0,"",OFFSET(_xlfn.XLOOKUP(B33,Kuponger!E:E,Kuponger!Q:Q),15,37)),"")</f>
        <v>30</v>
      </c>
      <c r="E33">
        <f ca="1">IFERROR(IF(OFFSET(_xlfn.XLOOKUP(B33,Kuponger!E:E,Kuponger!Q:Q),15,38)=0,"",OFFSET(_xlfn.XLOOKUP(B33,Kuponger!E:E,Kuponger!Q:Q),15,38)),"")</f>
        <v>270</v>
      </c>
      <c r="F33" t="str">
        <f ca="1">IFERROR(IF(OFFSET(_xlfn.XLOOKUP(B33,Kuponger!E:E,Kuponger!Q:Q),1,38)=0,"",OFFSET(_xlfn.XLOOKUP(B33,Kuponger!E:E,Kuponger!Q:Q),1,38))*-1,"")</f>
        <v/>
      </c>
      <c r="G33">
        <f t="shared" ca="1" si="0"/>
        <v>470</v>
      </c>
      <c r="H33">
        <f ca="1">IFERROR(IF(OFFSET(_xlfn.XLOOKUP(B33,Kuponger!E:E,Kuponger!Q:Q),1,37)="","",OFFSET(_xlfn.XLOOKUP(B33,Kuponger!E:E,Kuponger!Q:Q),1,37)),"")</f>
        <v>9</v>
      </c>
      <c r="I33" s="3">
        <f ca="1">IFERROR(t_øg[[#This Row],[tp]]-G32,"")</f>
        <v>50</v>
      </c>
    </row>
    <row r="34" spans="1:14" x14ac:dyDescent="0.2">
      <c r="A34">
        <v>33</v>
      </c>
      <c r="B34" s="22" t="str">
        <f ca="1">Data!AL33</f>
        <v/>
      </c>
      <c r="C34" t="str">
        <f ca="1">IFERROR(IF(OFFSET(_xlfn.XLOOKUP(B34,Kuponger!E:E,Kuponger!Q:Q),15,36)=0,"",OFFSET(_xlfn.XLOOKUP(B34,Kuponger!E:E,Kuponger!Q:Q),15,36)),"")</f>
        <v/>
      </c>
      <c r="D34" t="str">
        <f ca="1">IFERROR(IF(OFFSET(_xlfn.XLOOKUP(B34,Kuponger!E:E,Kuponger!Q:Q),15,37)=0,"",OFFSET(_xlfn.XLOOKUP(B34,Kuponger!E:E,Kuponger!Q:Q),15,37)),"")</f>
        <v/>
      </c>
      <c r="E34" t="str">
        <f ca="1">IFERROR(IF(OFFSET(_xlfn.XLOOKUP(B34,Kuponger!E:E,Kuponger!Q:Q),15,38)=0,"",OFFSET(_xlfn.XLOOKUP(B34,Kuponger!E:E,Kuponger!Q:Q),15,38)),"")</f>
        <v/>
      </c>
      <c r="F34" t="str">
        <f ca="1">IFERROR(IF(OFFSET(_xlfn.XLOOKUP(B34,Kuponger!E:E,Kuponger!Q:Q),1,38)=0,"",OFFSET(_xlfn.XLOOKUP(B34,Kuponger!E:E,Kuponger!Q:Q),1,38))*-1,"")</f>
        <v/>
      </c>
      <c r="G34" t="str">
        <f t="shared" ca="1" si="0"/>
        <v/>
      </c>
      <c r="H34" t="str">
        <f ca="1">IFERROR(IF(OFFSET(_xlfn.XLOOKUP(B34,Kuponger!E:E,Kuponger!Q:Q),1,37)="","",OFFSET(_xlfn.XLOOKUP(B34,Kuponger!E:E,Kuponger!Q:Q),1,37)),"")</f>
        <v/>
      </c>
      <c r="I34" s="3" t="str">
        <f ca="1">IFERROR(t_øg[[#This Row],[tp]]-G33,"")</f>
        <v/>
      </c>
    </row>
    <row r="35" spans="1:14" x14ac:dyDescent="0.2">
      <c r="A35">
        <v>34</v>
      </c>
      <c r="B35" s="22" t="str">
        <f ca="1">Data!AL34</f>
        <v/>
      </c>
      <c r="C35" t="str">
        <f ca="1">IFERROR(IF(OFFSET(_xlfn.XLOOKUP(B35,Kuponger!E:E,Kuponger!Q:Q),15,36)=0,"",OFFSET(_xlfn.XLOOKUP(B35,Kuponger!E:E,Kuponger!Q:Q),15,36)),"")</f>
        <v/>
      </c>
      <c r="D35" t="str">
        <f ca="1">IFERROR(IF(OFFSET(_xlfn.XLOOKUP(B35,Kuponger!E:E,Kuponger!Q:Q),15,37)=0,"",OFFSET(_xlfn.XLOOKUP(B35,Kuponger!E:E,Kuponger!Q:Q),15,37)),"")</f>
        <v/>
      </c>
      <c r="E35" t="str">
        <f ca="1">IFERROR(IF(OFFSET(_xlfn.XLOOKUP(B35,Kuponger!E:E,Kuponger!Q:Q),15,38)=0,"",OFFSET(_xlfn.XLOOKUP(B35,Kuponger!E:E,Kuponger!Q:Q),15,38)),"")</f>
        <v/>
      </c>
      <c r="F35" t="str">
        <f ca="1">IFERROR(IF(OFFSET(_xlfn.XLOOKUP(B35,Kuponger!E:E,Kuponger!Q:Q),1,38)=0,"",OFFSET(_xlfn.XLOOKUP(B35,Kuponger!E:E,Kuponger!Q:Q),1,38))*-1,"")</f>
        <v/>
      </c>
      <c r="G35" t="str">
        <f t="shared" ca="1" si="0"/>
        <v/>
      </c>
      <c r="H35" t="str">
        <f ca="1">IFERROR(IF(OFFSET(_xlfn.XLOOKUP(B35,Kuponger!E:E,Kuponger!Q:Q),1,37)="","",OFFSET(_xlfn.XLOOKUP(B35,Kuponger!E:E,Kuponger!Q:Q),1,37)),"")</f>
        <v/>
      </c>
      <c r="I35" s="3" t="str">
        <f ca="1">IFERROR(t_øg[[#This Row],[tp]]-G34,"")</f>
        <v/>
      </c>
      <c r="K35" s="2" t="s">
        <v>23</v>
      </c>
    </row>
    <row r="36" spans="1:14" x14ac:dyDescent="0.2">
      <c r="A36">
        <v>35</v>
      </c>
      <c r="B36" s="22" t="str">
        <f ca="1">Data!AL35</f>
        <v/>
      </c>
      <c r="C36" t="str">
        <f ca="1">IFERROR(IF(OFFSET(_xlfn.XLOOKUP(B36,Kuponger!E:E,Kuponger!Q:Q),15,36)=0,"",OFFSET(_xlfn.XLOOKUP(B36,Kuponger!E:E,Kuponger!Q:Q),15,36)),"")</f>
        <v/>
      </c>
      <c r="D36" t="str">
        <f ca="1">IFERROR(IF(OFFSET(_xlfn.XLOOKUP(B36,Kuponger!E:E,Kuponger!Q:Q),15,37)=0,"",OFFSET(_xlfn.XLOOKUP(B36,Kuponger!E:E,Kuponger!Q:Q),15,37)),"")</f>
        <v/>
      </c>
      <c r="E36" t="str">
        <f ca="1">IFERROR(IF(OFFSET(_xlfn.XLOOKUP(B36,Kuponger!E:E,Kuponger!Q:Q),15,38)=0,"",OFFSET(_xlfn.XLOOKUP(B36,Kuponger!E:E,Kuponger!Q:Q),15,38)),"")</f>
        <v/>
      </c>
      <c r="F36" t="str">
        <f ca="1">IFERROR(IF(OFFSET(_xlfn.XLOOKUP(B36,Kuponger!E:E,Kuponger!Q:Q),1,38)=0,"",OFFSET(_xlfn.XLOOKUP(B36,Kuponger!E:E,Kuponger!Q:Q),1,38))*-1,"")</f>
        <v/>
      </c>
      <c r="G36" t="str">
        <f t="shared" ca="1" si="0"/>
        <v/>
      </c>
      <c r="H36" t="str">
        <f ca="1">IFERROR(IF(OFFSET(_xlfn.XLOOKUP(B36,Kuponger!E:E,Kuponger!Q:Q),1,37)="","",OFFSET(_xlfn.XLOOKUP(B36,Kuponger!E:E,Kuponger!Q:Q),1,37)),"")</f>
        <v/>
      </c>
      <c r="I36" s="3" t="str">
        <f ca="1">IFERROR(t_øg[[#This Row],[tp]]-G35,"")</f>
        <v/>
      </c>
      <c r="K36" s="4" t="s">
        <v>857</v>
      </c>
      <c r="L36" s="3">
        <v>80</v>
      </c>
      <c r="M36" s="3">
        <v>70</v>
      </c>
      <c r="N36" s="3">
        <v>60</v>
      </c>
    </row>
    <row r="37" spans="1:14" x14ac:dyDescent="0.2">
      <c r="A37">
        <v>36</v>
      </c>
      <c r="B37" s="22" t="str">
        <f ca="1">Data!AL36</f>
        <v/>
      </c>
      <c r="C37" t="str">
        <f ca="1">IFERROR(IF(OFFSET(_xlfn.XLOOKUP(B37,Kuponger!E:E,Kuponger!Q:Q),15,36)=0,"",OFFSET(_xlfn.XLOOKUP(B37,Kuponger!E:E,Kuponger!Q:Q),15,36)),"")</f>
        <v/>
      </c>
      <c r="D37" t="str">
        <f ca="1">IFERROR(IF(OFFSET(_xlfn.XLOOKUP(B37,Kuponger!E:E,Kuponger!Q:Q),15,37)=0,"",OFFSET(_xlfn.XLOOKUP(B37,Kuponger!E:E,Kuponger!Q:Q),15,37)),"")</f>
        <v/>
      </c>
      <c r="E37" t="str">
        <f ca="1">IFERROR(IF(OFFSET(_xlfn.XLOOKUP(B37,Kuponger!E:E,Kuponger!Q:Q),15,38)=0,"",OFFSET(_xlfn.XLOOKUP(B37,Kuponger!E:E,Kuponger!Q:Q),15,38)),"")</f>
        <v/>
      </c>
      <c r="F37" t="str">
        <f ca="1">IFERROR(IF(OFFSET(_xlfn.XLOOKUP(B37,Kuponger!E:E,Kuponger!Q:Q),1,38)=0,"",OFFSET(_xlfn.XLOOKUP(B37,Kuponger!E:E,Kuponger!Q:Q),1,38))*-1,"")</f>
        <v/>
      </c>
      <c r="G37" t="str">
        <f t="shared" ca="1" si="0"/>
        <v/>
      </c>
      <c r="H37" t="str">
        <f ca="1">IFERROR(IF(OFFSET(_xlfn.XLOOKUP(B37,Kuponger!E:E,Kuponger!Q:Q),1,37)="","",OFFSET(_xlfn.XLOOKUP(B37,Kuponger!E:E,Kuponger!Q:Q),1,37)),"")</f>
        <v/>
      </c>
      <c r="I37" s="3" t="str">
        <f ca="1">IFERROR(t_øg[[#This Row],[tp]]-G36,"")</f>
        <v/>
      </c>
      <c r="K37" s="4" t="s">
        <v>858</v>
      </c>
      <c r="L37" t="str">
        <f>_xlfn.XLOOKUP(LARGE(L$2:L$4,1),L$2:L$4,$K$2:$K$4)</f>
        <v>Hjemme</v>
      </c>
      <c r="M37" t="str">
        <f>_xlfn.XLOOKUP(LARGE(M$2:M$4,1),M$2:M$4,$K$2:$K$4)</f>
        <v>Borte</v>
      </c>
      <c r="N37" t="str">
        <f>_xlfn.XLOOKUP(LARGE(N$2:N$4,1),N$2:N$4,$K$2:$K$4)</f>
        <v>Borte</v>
      </c>
    </row>
    <row r="38" spans="1:14" x14ac:dyDescent="0.2">
      <c r="A38">
        <v>37</v>
      </c>
      <c r="B38" s="22" t="str">
        <f ca="1">Data!AL37</f>
        <v/>
      </c>
      <c r="C38" t="str">
        <f ca="1">IFERROR(IF(OFFSET(_xlfn.XLOOKUP(B38,Kuponger!E:E,Kuponger!Q:Q),15,36)=0,"",OFFSET(_xlfn.XLOOKUP(B38,Kuponger!E:E,Kuponger!Q:Q),15,36)),"")</f>
        <v/>
      </c>
      <c r="D38" t="str">
        <f ca="1">IFERROR(IF(OFFSET(_xlfn.XLOOKUP(B38,Kuponger!E:E,Kuponger!Q:Q),15,37)=0,"",OFFSET(_xlfn.XLOOKUP(B38,Kuponger!E:E,Kuponger!Q:Q),15,37)),"")</f>
        <v/>
      </c>
      <c r="E38" t="str">
        <f ca="1">IFERROR(IF(OFFSET(_xlfn.XLOOKUP(B38,Kuponger!E:E,Kuponger!Q:Q),15,38)=0,"",OFFSET(_xlfn.XLOOKUP(B38,Kuponger!E:E,Kuponger!Q:Q),15,38)),"")</f>
        <v/>
      </c>
      <c r="F38" t="str">
        <f ca="1">IFERROR(IF(OFFSET(_xlfn.XLOOKUP(B38,Kuponger!E:E,Kuponger!Q:Q),1,38)=0,"",OFFSET(_xlfn.XLOOKUP(B38,Kuponger!E:E,Kuponger!Q:Q),1,38))*-1,"")</f>
        <v/>
      </c>
      <c r="G38" t="str">
        <f t="shared" ca="1" si="0"/>
        <v/>
      </c>
      <c r="H38" t="str">
        <f ca="1">IFERROR(IF(OFFSET(_xlfn.XLOOKUP(B38,Kuponger!E:E,Kuponger!Q:Q),1,37)="","",OFFSET(_xlfn.XLOOKUP(B38,Kuponger!E:E,Kuponger!Q:Q),1,37)),"")</f>
        <v/>
      </c>
      <c r="I38" s="3" t="str">
        <f ca="1">IFERROR(t_øg[[#This Row],[tp]]-G37,"")</f>
        <v/>
      </c>
      <c r="K38" s="4" t="s">
        <v>859</v>
      </c>
      <c r="L38" t="str">
        <f>_xlfn.XLOOKUP(LARGE(L$8:L$10,1),L$8:L$10,$K$8:$K$10)</f>
        <v>Hjemme</v>
      </c>
      <c r="M38" t="str">
        <f>_xlfn.XLOOKUP(LARGE(M$8:M$10,1),M$8:M$10,$K$8:$K$10)</f>
        <v>Hjemme</v>
      </c>
      <c r="N38" t="str">
        <f>_xlfn.XLOOKUP(LARGE(N$8:N$10,1),N$8:N$10,$K$8:$K$10)</f>
        <v>Borte</v>
      </c>
    </row>
    <row r="39" spans="1:14" x14ac:dyDescent="0.2">
      <c r="A39">
        <v>38</v>
      </c>
      <c r="B39" s="22" t="str">
        <f ca="1">Data!AL38</f>
        <v/>
      </c>
      <c r="C39" t="str">
        <f ca="1">IFERROR(IF(OFFSET(_xlfn.XLOOKUP(B39,Kuponger!E:E,Kuponger!Q:Q),15,36)=0,"",OFFSET(_xlfn.XLOOKUP(B39,Kuponger!E:E,Kuponger!Q:Q),15,36)),"")</f>
        <v/>
      </c>
      <c r="D39" t="str">
        <f ca="1">IFERROR(IF(OFFSET(_xlfn.XLOOKUP(B39,Kuponger!E:E,Kuponger!Q:Q),15,37)=0,"",OFFSET(_xlfn.XLOOKUP(B39,Kuponger!E:E,Kuponger!Q:Q),15,37)),"")</f>
        <v/>
      </c>
      <c r="E39" t="str">
        <f ca="1">IFERROR(IF(OFFSET(_xlfn.XLOOKUP(B39,Kuponger!E:E,Kuponger!Q:Q),15,38)=0,"",OFFSET(_xlfn.XLOOKUP(B39,Kuponger!E:E,Kuponger!Q:Q),15,38)),"")</f>
        <v/>
      </c>
      <c r="F39" t="str">
        <f ca="1">IFERROR(IF(OFFSET(_xlfn.XLOOKUP(B39,Kuponger!E:E,Kuponger!Q:Q),1,38)=0,"",OFFSET(_xlfn.XLOOKUP(B39,Kuponger!E:E,Kuponger!Q:Q),1,38))*-1,"")</f>
        <v/>
      </c>
      <c r="G39" t="str">
        <f t="shared" ca="1" si="0"/>
        <v/>
      </c>
      <c r="H39" t="str">
        <f ca="1">IFERROR(IF(OFFSET(_xlfn.XLOOKUP(B39,Kuponger!E:E,Kuponger!Q:Q),1,37)="","",OFFSET(_xlfn.XLOOKUP(B39,Kuponger!E:E,Kuponger!Q:Q),1,37)),"")</f>
        <v/>
      </c>
      <c r="I39" s="3" t="str">
        <f ca="1">IFERROR(t_øg[[#This Row],[tp]]-G38,"")</f>
        <v/>
      </c>
      <c r="K39" s="4" t="s">
        <v>860</v>
      </c>
      <c r="L39" t="str">
        <f>_xlfn.XLOOKUP(LARGE(L$14:L$16,1),L$14:L$16,$K$14:$K$16)</f>
        <v>Hjemme</v>
      </c>
      <c r="M39" t="str">
        <f>_xlfn.XLOOKUP(LARGE(M$14:M$16,1),M$14:M$16,$K$14:$K$16)</f>
        <v>Borte</v>
      </c>
      <c r="N39" t="str">
        <f>_xlfn.XLOOKUP(LARGE(N$14:N$16,1),N$14:N$16,$K$14:$K$16)</f>
        <v>Borte</v>
      </c>
    </row>
    <row r="40" spans="1:14" x14ac:dyDescent="0.2">
      <c r="A40">
        <v>39</v>
      </c>
      <c r="B40" s="22" t="str">
        <f ca="1">Data!AL39</f>
        <v/>
      </c>
      <c r="C40" t="str">
        <f ca="1">IFERROR(IF(OFFSET(_xlfn.XLOOKUP(B40,Kuponger!E:E,Kuponger!Q:Q),15,36)=0,"",OFFSET(_xlfn.XLOOKUP(B40,Kuponger!E:E,Kuponger!Q:Q),15,36)),"")</f>
        <v/>
      </c>
      <c r="D40" t="str">
        <f ca="1">IFERROR(IF(OFFSET(_xlfn.XLOOKUP(B40,Kuponger!E:E,Kuponger!Q:Q),15,37)=0,"",OFFSET(_xlfn.XLOOKUP(B40,Kuponger!E:E,Kuponger!Q:Q),15,37)),"")</f>
        <v/>
      </c>
      <c r="E40" t="str">
        <f ca="1">IFERROR(IF(OFFSET(_xlfn.XLOOKUP(B40,Kuponger!E:E,Kuponger!Q:Q),15,38)=0,"",OFFSET(_xlfn.XLOOKUP(B40,Kuponger!E:E,Kuponger!Q:Q),15,38)),"")</f>
        <v/>
      </c>
      <c r="F40" t="str">
        <f ca="1">IFERROR(IF(OFFSET(_xlfn.XLOOKUP(B40,Kuponger!E:E,Kuponger!Q:Q),1,38)=0,"",OFFSET(_xlfn.XLOOKUP(B40,Kuponger!E:E,Kuponger!Q:Q),1,38))*-1,"")</f>
        <v/>
      </c>
      <c r="G40" t="str">
        <f t="shared" ca="1" si="0"/>
        <v/>
      </c>
      <c r="H40" t="str">
        <f ca="1">IFERROR(IF(OFFSET(_xlfn.XLOOKUP(B40,Kuponger!E:E,Kuponger!Q:Q),1,37)="","",OFFSET(_xlfn.XLOOKUP(B40,Kuponger!E:E,Kuponger!Q:Q),1,37)),"")</f>
        <v/>
      </c>
      <c r="I40" s="3" t="str">
        <f ca="1">IFERROR(t_øg[[#This Row],[tp]]-G39,"")</f>
        <v/>
      </c>
    </row>
    <row r="41" spans="1:14" x14ac:dyDescent="0.2">
      <c r="A41">
        <v>40</v>
      </c>
      <c r="B41" s="22" t="str">
        <f ca="1">Data!AL40</f>
        <v/>
      </c>
      <c r="C41" t="str">
        <f ca="1">IFERROR(IF(OFFSET(_xlfn.XLOOKUP(B41,Kuponger!E:E,Kuponger!Q:Q),15,36)=0,"",OFFSET(_xlfn.XLOOKUP(B41,Kuponger!E:E,Kuponger!Q:Q),15,36)),"")</f>
        <v/>
      </c>
      <c r="D41" t="str">
        <f ca="1">IFERROR(IF(OFFSET(_xlfn.XLOOKUP(B41,Kuponger!E:E,Kuponger!Q:Q),15,37)=0,"",OFFSET(_xlfn.XLOOKUP(B41,Kuponger!E:E,Kuponger!Q:Q),15,37)),"")</f>
        <v/>
      </c>
      <c r="E41" t="str">
        <f ca="1">IFERROR(IF(OFFSET(_xlfn.XLOOKUP(B41,Kuponger!E:E,Kuponger!Q:Q),15,38)=0,"",OFFSET(_xlfn.XLOOKUP(B41,Kuponger!E:E,Kuponger!Q:Q),15,38)),"")</f>
        <v/>
      </c>
      <c r="F41" t="str">
        <f ca="1">IFERROR(IF(OFFSET(_xlfn.XLOOKUP(B41,Kuponger!E:E,Kuponger!Q:Q),1,38)=0,"",OFFSET(_xlfn.XLOOKUP(B41,Kuponger!E:E,Kuponger!Q:Q),1,38))*-1,"")</f>
        <v/>
      </c>
      <c r="G41" t="str">
        <f t="shared" ca="1" si="0"/>
        <v/>
      </c>
      <c r="H41" t="str">
        <f ca="1">IFERROR(IF(OFFSET(_xlfn.XLOOKUP(B41,Kuponger!E:E,Kuponger!Q:Q),1,37)="","",OFFSET(_xlfn.XLOOKUP(B41,Kuponger!E:E,Kuponger!Q:Q),1,37)),"")</f>
        <v/>
      </c>
      <c r="I41" s="3" t="str">
        <f ca="1">IFERROR(t_øg[[#This Row],[tp]]-G40,"")</f>
        <v/>
      </c>
      <c r="K41" s="4" t="s">
        <v>861</v>
      </c>
      <c r="L41" s="811">
        <f ca="1">IFERROR(AVERAGE(H:H),"")</f>
        <v>3.96875</v>
      </c>
      <c r="N41" t="str">
        <f>K35&amp;" treffer på "&amp;TEXT((S11/S5)*100,"00,0")&amp;"% av sine 10-poengere, dvs. han bommer"</f>
        <v>ØG treffer på 24,9% av sine 10-poengere, dvs. han bommer</v>
      </c>
    </row>
    <row r="42" spans="1:14" x14ac:dyDescent="0.2">
      <c r="A42">
        <v>41</v>
      </c>
      <c r="B42" s="22" t="str">
        <f ca="1">Data!AL41</f>
        <v/>
      </c>
      <c r="C42" t="str">
        <f ca="1">IFERROR(IF(OFFSET(_xlfn.XLOOKUP(B42,Kuponger!E:E,Kuponger!Q:Q),15,36)=0,"",OFFSET(_xlfn.XLOOKUP(B42,Kuponger!E:E,Kuponger!Q:Q),15,36)),"")</f>
        <v/>
      </c>
      <c r="D42" t="str">
        <f ca="1">IFERROR(IF(OFFSET(_xlfn.XLOOKUP(B42,Kuponger!E:E,Kuponger!Q:Q),15,37)=0,"",OFFSET(_xlfn.XLOOKUP(B42,Kuponger!E:E,Kuponger!Q:Q),15,37)),"")</f>
        <v/>
      </c>
      <c r="E42" t="str">
        <f ca="1">IFERROR(IF(OFFSET(_xlfn.XLOOKUP(B42,Kuponger!E:E,Kuponger!Q:Q),15,38)=0,"",OFFSET(_xlfn.XLOOKUP(B42,Kuponger!E:E,Kuponger!Q:Q),15,38)),"")</f>
        <v/>
      </c>
      <c r="F42" t="str">
        <f ca="1">IFERROR(IF(OFFSET(_xlfn.XLOOKUP(B42,Kuponger!E:E,Kuponger!Q:Q),1,38)=0,"",OFFSET(_xlfn.XLOOKUP(B42,Kuponger!E:E,Kuponger!Q:Q),1,38))*-1,"")</f>
        <v/>
      </c>
      <c r="G42" t="str">
        <f t="shared" ca="1" si="0"/>
        <v/>
      </c>
      <c r="H42" t="str">
        <f ca="1">IFERROR(IF(OFFSET(_xlfn.XLOOKUP(B42,Kuponger!E:E,Kuponger!Q:Q),1,37)="","",OFFSET(_xlfn.XLOOKUP(B42,Kuponger!E:E,Kuponger!Q:Q),1,37)),"")</f>
        <v/>
      </c>
      <c r="I42" s="3" t="str">
        <f ca="1">IFERROR(t_øg[[#This Row],[tp]]-G41,"")</f>
        <v/>
      </c>
      <c r="K42" s="4" t="s">
        <v>862</v>
      </c>
      <c r="L42" s="811">
        <f ca="1">IFERROR(AVERAGE(C:C),"")</f>
        <v>351.25</v>
      </c>
      <c r="N42" t="str">
        <f>K35&amp;" treffer på "&amp;TEXT((L11/L5)*100,"00,0")&amp;"% av sine 80-poengere"</f>
        <v>ØG treffer på 50,3% av sine 80-poengere</v>
      </c>
    </row>
    <row r="43" spans="1:14" x14ac:dyDescent="0.2">
      <c r="K43" s="4" t="s">
        <v>863</v>
      </c>
      <c r="L43" s="811">
        <f ca="1">IFERROR(AVERAGE(D:D),"")</f>
        <v>32.258064516129032</v>
      </c>
      <c r="N43" t="str">
        <f>K35&amp;" har tatt "&amp;T23&amp;" poeng så langt, men samtidig gått glipp av "&amp;T29&amp;" poeng, noe som gir en poengandel på "&amp;TEXT(L48,"0,0%")</f>
        <v>ØG har tatt 17100 poeng så langt, men samtidig gått glipp av 22390 poeng, noe som gir en poengandel på 76,4%</v>
      </c>
    </row>
    <row r="44" spans="1:14" x14ac:dyDescent="0.2">
      <c r="K44" s="4" t="s">
        <v>864</v>
      </c>
      <c r="L44" s="811">
        <f ca="1">IFERROR(AVERAGE(E:E),"")</f>
        <v>162</v>
      </c>
    </row>
    <row r="45" spans="1:14" x14ac:dyDescent="0.2">
      <c r="K45" s="4" t="s">
        <v>865</v>
      </c>
      <c r="L45" s="810">
        <f ca="1">IFERROR(COUNTIF(F:F,"&lt;0")/COUNTIF(C:C,"&gt;0"),"")</f>
        <v>3.125E-2</v>
      </c>
    </row>
    <row r="46" spans="1:14" x14ac:dyDescent="0.2">
      <c r="K46" s="4" t="s">
        <v>866</v>
      </c>
      <c r="L46" s="811">
        <f ca="1">IFERROR(AVERAGE(G:G),"")</f>
        <v>532.8125</v>
      </c>
    </row>
    <row r="48" spans="1:14" x14ac:dyDescent="0.2">
      <c r="K48" s="4" t="s">
        <v>867</v>
      </c>
      <c r="L48" s="812">
        <f>(T23/T29)</f>
        <v>0.76373380973648952</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3ACB0-8B0F-4A45-A3AB-89FF30652E85}">
  <sheetPr codeName="Ark25"/>
  <dimension ref="A1:AA68"/>
  <sheetViews>
    <sheetView showGridLines="0" topLeftCell="S1" workbookViewId="0">
      <pane ySplit="1" topLeftCell="A36"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11" max="11" width="13"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IFERROR(IF(OFFSET(_xlfn.XLOOKUP(B2,Kuponger!E:E,Kuponger!Q:Q),15,45)=0,"",OFFSET(_xlfn.XLOOKUP(B2,Kuponger!E:E,Kuponger!Q:Q),15,45)),"")</f>
        <v>240</v>
      </c>
      <c r="D2">
        <f ca="1">IFERROR(IF(OFFSET(_xlfn.XLOOKUP(B2,Kuponger!E:E,Kuponger!Q:Q),15,46)=0,"",OFFSET(_xlfn.XLOOKUP(B2,Kuponger!E:E,Kuponger!Q:Q),15,46)),"")</f>
        <v>40</v>
      </c>
      <c r="E2">
        <f ca="1">IFERROR(IF(OFFSET(_xlfn.XLOOKUP(B2,Kuponger!E:E,Kuponger!Q:Q),15,47)=0,"",OFFSET(_xlfn.XLOOKUP(B2,Kuponger!E:E,Kuponger!Q:Q),15,47)),"")</f>
        <v>210</v>
      </c>
      <c r="F2">
        <f ca="1">IFERROR(IF(OFFSET(_xlfn.XLOOKUP(B2,Kuponger!E:E,Kuponger!Q:Q),1,47)=0,"",OFFSET(_xlfn.XLOOKUP(B2,Kuponger!E:E,Kuponger!Q:Q),1,47))*-1,"")</f>
        <v>-50</v>
      </c>
      <c r="G2">
        <f t="shared" ref="G2:G42" ca="1" si="0">IF(SUMIF(C2:F2,"&lt;&gt;""")=0,"",SUMIF(C2:F2,"&lt;&gt;"""))</f>
        <v>440</v>
      </c>
      <c r="H2">
        <f ca="1">IFERROR(IF(OFFSET(_xlfn.XLOOKUP(B2,Kuponger!E:E,Kuponger!Q:Q),1,46)="","",OFFSET(_xlfn.XLOOKUP(B2,Kuponger!E:E,Kuponger!Q:Q),1,46)),"")</f>
        <v>8</v>
      </c>
      <c r="I2" t="str">
        <f ca="1">IFERROR(t_jh[[#This Row],[tp]]-G1,"")</f>
        <v/>
      </c>
      <c r="K2" s="801" t="s">
        <v>36</v>
      </c>
      <c r="L2">
        <f>COUNTIF(Kuponger!$BJ:$BJ,f_jh!L$1)</f>
        <v>136</v>
      </c>
      <c r="M2">
        <f>COUNTIF(Kuponger!$BJ:$BJ,f_jh!M$1)</f>
        <v>7</v>
      </c>
      <c r="N2">
        <f>COUNTIF(Kuponger!$BJ:$BJ,f_jh!N$1)</f>
        <v>19</v>
      </c>
      <c r="O2">
        <f>COUNTIF(Kuponger!$BJ:$BJ,f_jh!O$1)</f>
        <v>4</v>
      </c>
      <c r="P2">
        <f>COUNTIF(Kuponger!$BJ:$BJ,f_jh!P$1)</f>
        <v>6</v>
      </c>
      <c r="Q2">
        <f>COUNTIF(Kuponger!$BJ:$BJ,f_jh!Q$1)</f>
        <v>46</v>
      </c>
      <c r="R2">
        <f>COUNTIF(Kuponger!$BJ:$BJ,f_jh!R$1)</f>
        <v>37</v>
      </c>
      <c r="S2">
        <f>COUNTIF(Kuponger!$BJ:$BJ,f_jh!S$1)</f>
        <v>129</v>
      </c>
      <c r="T2">
        <f>SUM(L$2:S$2)</f>
        <v>384</v>
      </c>
      <c r="W2" s="3"/>
      <c r="X2" s="3"/>
      <c r="Y2" s="3"/>
      <c r="Z2" s="3"/>
      <c r="AA2" s="3"/>
    </row>
    <row r="3" spans="1:27" x14ac:dyDescent="0.2">
      <c r="A3">
        <v>2</v>
      </c>
      <c r="B3" s="22">
        <f ca="1">Data!AL2</f>
        <v>45892</v>
      </c>
      <c r="C3">
        <f ca="1">IFERROR(IF(OFFSET(_xlfn.XLOOKUP(B3,Kuponger!E:E,Kuponger!Q:Q),15,45)=0,"",OFFSET(_xlfn.XLOOKUP(B3,Kuponger!E:E,Kuponger!Q:Q),15,45)),"")</f>
        <v>260</v>
      </c>
      <c r="D3">
        <f ca="1">IFERROR(IF(OFFSET(_xlfn.XLOOKUP(B3,Kuponger!E:E,Kuponger!Q:Q),15,46)=0,"",OFFSET(_xlfn.XLOOKUP(B3,Kuponger!E:E,Kuponger!Q:Q),15,46)),"")</f>
        <v>100</v>
      </c>
      <c r="E3">
        <f ca="1">IFERROR(IF(OFFSET(_xlfn.XLOOKUP(B3,Kuponger!E:E,Kuponger!Q:Q),15,47)=0,"",OFFSET(_xlfn.XLOOKUP(B3,Kuponger!E:E,Kuponger!Q:Q),15,47)),"")</f>
        <v>170</v>
      </c>
      <c r="F3" t="str">
        <f ca="1">IFERROR(IF(OFFSET(_xlfn.XLOOKUP(B3,Kuponger!E:E,Kuponger!Q:Q),1,47)=0,"",OFFSET(_xlfn.XLOOKUP(B3,Kuponger!E:E,Kuponger!Q:Q),1,47))*-1,"")</f>
        <v/>
      </c>
      <c r="G3">
        <f t="shared" ca="1" si="0"/>
        <v>530</v>
      </c>
      <c r="H3">
        <f ca="1">IFERROR(IF(OFFSET(_xlfn.XLOOKUP(B3,Kuponger!E:E,Kuponger!Q:Q),1,46)="","",OFFSET(_xlfn.XLOOKUP(B3,Kuponger!E:E,Kuponger!Q:Q),1,46)),"")</f>
        <v>6</v>
      </c>
      <c r="I3" s="3">
        <f ca="1">IFERROR(t_jh[[#This Row],[tp]]-G2,"")</f>
        <v>90</v>
      </c>
      <c r="K3" s="801" t="s">
        <v>37</v>
      </c>
      <c r="L3">
        <f>COUNTIF(Kuponger!$BK:$BK,f_jh!L$1)</f>
        <v>7</v>
      </c>
      <c r="M3">
        <f>COUNTIF(Kuponger!$BK:$BK,f_jh!M$1)</f>
        <v>0</v>
      </c>
      <c r="N3">
        <f>COUNTIF(Kuponger!$BK:$BK,f_jh!N$1)</f>
        <v>17</v>
      </c>
      <c r="O3">
        <f>COUNTIF(Kuponger!$BK:$BK,f_jh!O$1)</f>
        <v>5</v>
      </c>
      <c r="P3">
        <f>COUNTIF(Kuponger!$BK:$BK,f_jh!P$1)</f>
        <v>56</v>
      </c>
      <c r="Q3">
        <f>COUNTIF(Kuponger!$BK:$BK,f_jh!Q$1)</f>
        <v>37</v>
      </c>
      <c r="R3">
        <f>COUNTIF(Kuponger!$BK:$BK,f_jh!R$1)</f>
        <v>34</v>
      </c>
      <c r="S3">
        <f>COUNTIF(Kuponger!$BK:$BK,f_jh!S$1)</f>
        <v>251</v>
      </c>
      <c r="T3">
        <f>SUM(L$3:S$3)</f>
        <v>407</v>
      </c>
    </row>
    <row r="4" spans="1:27" x14ac:dyDescent="0.2">
      <c r="A4">
        <v>3</v>
      </c>
      <c r="B4" s="22">
        <f ca="1">Data!AL3</f>
        <v>45920</v>
      </c>
      <c r="C4">
        <f ca="1">IFERROR(IF(OFFSET(_xlfn.XLOOKUP(B4,Kuponger!E:E,Kuponger!Q:Q),15,45)=0,"",OFFSET(_xlfn.XLOOKUP(B4,Kuponger!E:E,Kuponger!Q:Q),15,45)),"")</f>
        <v>250</v>
      </c>
      <c r="D4">
        <f ca="1">IFERROR(IF(OFFSET(_xlfn.XLOOKUP(B4,Kuponger!E:E,Kuponger!Q:Q),15,46)=0,"",OFFSET(_xlfn.XLOOKUP(B4,Kuponger!E:E,Kuponger!Q:Q),15,46)),"")</f>
        <v>60</v>
      </c>
      <c r="E4">
        <f ca="1">IFERROR(IF(OFFSET(_xlfn.XLOOKUP(B4,Kuponger!E:E,Kuponger!Q:Q),15,47)=0,"",OFFSET(_xlfn.XLOOKUP(B4,Kuponger!E:E,Kuponger!Q:Q),15,47)),"")</f>
        <v>280</v>
      </c>
      <c r="F4" t="str">
        <f ca="1">IFERROR(IF(OFFSET(_xlfn.XLOOKUP(B4,Kuponger!E:E,Kuponger!Q:Q),1,47)=0,"",OFFSET(_xlfn.XLOOKUP(B4,Kuponger!E:E,Kuponger!Q:Q),1,47))*-1,"")</f>
        <v/>
      </c>
      <c r="G4">
        <f t="shared" ca="1" si="0"/>
        <v>590</v>
      </c>
      <c r="H4">
        <f ca="1">IFERROR(IF(OFFSET(_xlfn.XLOOKUP(B4,Kuponger!E:E,Kuponger!Q:Q),1,46)="","",OFFSET(_xlfn.XLOOKUP(B4,Kuponger!E:E,Kuponger!Q:Q),1,46)),"")</f>
        <v>1</v>
      </c>
      <c r="I4" s="3">
        <f ca="1">IFERROR(t_jh[[#This Row],[tp]]-G3,"")</f>
        <v>60</v>
      </c>
      <c r="K4" s="801" t="s">
        <v>38</v>
      </c>
      <c r="L4">
        <f>COUNTIF(Kuponger!$BL:$BL,f_jh!L$1)</f>
        <v>111</v>
      </c>
      <c r="M4">
        <f>COUNTIF(Kuponger!$BL:$BL,f_jh!M$1)</f>
        <v>4</v>
      </c>
      <c r="N4">
        <f>COUNTIF(Kuponger!$BL:$BL,f_jh!N$1)</f>
        <v>20</v>
      </c>
      <c r="O4">
        <f>COUNTIF(Kuponger!$BL:$BL,f_jh!O$1)</f>
        <v>16</v>
      </c>
      <c r="P4">
        <f>COUNTIF(Kuponger!$BL:$BL,f_jh!P$1)</f>
        <v>6</v>
      </c>
      <c r="Q4">
        <f>COUNTIF(Kuponger!$BL:$BL,f_jh!Q$1)</f>
        <v>46</v>
      </c>
      <c r="R4">
        <f>COUNTIF(Kuponger!$BL:$BL,f_jh!R$1)</f>
        <v>27</v>
      </c>
      <c r="S4">
        <f>COUNTIF(Kuponger!$BL:$BL,f_jh!S$1)</f>
        <v>159</v>
      </c>
      <c r="T4">
        <f>SUM(L$4:S$4)</f>
        <v>389</v>
      </c>
    </row>
    <row r="5" spans="1:27" x14ac:dyDescent="0.2">
      <c r="A5">
        <v>4</v>
      </c>
      <c r="B5" s="22">
        <f ca="1">Data!AL4</f>
        <v>45927</v>
      </c>
      <c r="C5">
        <f ca="1">IFERROR(IF(OFFSET(_xlfn.XLOOKUP(B5,Kuponger!E:E,Kuponger!Q:Q),15,45)=0,"",OFFSET(_xlfn.XLOOKUP(B5,Kuponger!E:E,Kuponger!Q:Q),15,45)),"")</f>
        <v>130</v>
      </c>
      <c r="D5">
        <f ca="1">IFERROR(IF(OFFSET(_xlfn.XLOOKUP(B5,Kuponger!E:E,Kuponger!Q:Q),15,46)=0,"",OFFSET(_xlfn.XLOOKUP(B5,Kuponger!E:E,Kuponger!Q:Q),15,46)),"")</f>
        <v>120</v>
      </c>
      <c r="E5">
        <f ca="1">IFERROR(IF(OFFSET(_xlfn.XLOOKUP(B5,Kuponger!E:E,Kuponger!Q:Q),15,47)=0,"",OFFSET(_xlfn.XLOOKUP(B5,Kuponger!E:E,Kuponger!Q:Q),15,47)),"")</f>
        <v>70</v>
      </c>
      <c r="F5" t="str">
        <f ca="1">IFERROR(IF(OFFSET(_xlfn.XLOOKUP(B5,Kuponger!E:E,Kuponger!Q:Q),1,47)=0,"",OFFSET(_xlfn.XLOOKUP(B5,Kuponger!E:E,Kuponger!Q:Q),1,47))*-1,"")</f>
        <v/>
      </c>
      <c r="G5">
        <f t="shared" ca="1" si="0"/>
        <v>320</v>
      </c>
      <c r="H5">
        <f ca="1">IFERROR(IF(OFFSET(_xlfn.XLOOKUP(B5,Kuponger!E:E,Kuponger!Q:Q),1,46)="","",OFFSET(_xlfn.XLOOKUP(B5,Kuponger!E:E,Kuponger!Q:Q),1,46)),"")</f>
        <v>6</v>
      </c>
      <c r="I5" s="3">
        <f ca="1">IFERROR(t_jh[[#This Row],[tp]]-G4,"")</f>
        <v>-270</v>
      </c>
      <c r="K5" s="801" t="str">
        <f>K1</f>
        <v>Antall Leverte</v>
      </c>
      <c r="L5">
        <f>SUM(L2:L4)</f>
        <v>254</v>
      </c>
      <c r="M5">
        <f t="shared" ref="M5:S5" si="1">SUM(M2:M4)</f>
        <v>11</v>
      </c>
      <c r="N5">
        <f t="shared" si="1"/>
        <v>56</v>
      </c>
      <c r="O5">
        <f t="shared" si="1"/>
        <v>25</v>
      </c>
      <c r="P5">
        <f t="shared" si="1"/>
        <v>68</v>
      </c>
      <c r="Q5">
        <f t="shared" si="1"/>
        <v>129</v>
      </c>
      <c r="R5">
        <f t="shared" si="1"/>
        <v>98</v>
      </c>
      <c r="S5">
        <f t="shared" si="1"/>
        <v>539</v>
      </c>
      <c r="T5">
        <f>SUM(L$5:S$5)</f>
        <v>1180</v>
      </c>
    </row>
    <row r="6" spans="1:27" x14ac:dyDescent="0.2">
      <c r="A6">
        <v>5</v>
      </c>
      <c r="B6" s="22">
        <f ca="1">Data!AL5</f>
        <v>45934</v>
      </c>
      <c r="C6">
        <f ca="1">IFERROR(IF(OFFSET(_xlfn.XLOOKUP(B6,Kuponger!E:E,Kuponger!Q:Q),15,45)=0,"",OFFSET(_xlfn.XLOOKUP(B6,Kuponger!E:E,Kuponger!Q:Q),15,45)),"")</f>
        <v>500</v>
      </c>
      <c r="D6">
        <f ca="1">IFERROR(IF(OFFSET(_xlfn.XLOOKUP(B6,Kuponger!E:E,Kuponger!Q:Q),15,46)=0,"",OFFSET(_xlfn.XLOOKUP(B6,Kuponger!E:E,Kuponger!Q:Q),15,46)),"")</f>
        <v>10</v>
      </c>
      <c r="E6">
        <f ca="1">IFERROR(IF(OFFSET(_xlfn.XLOOKUP(B6,Kuponger!E:E,Kuponger!Q:Q),15,47)=0,"",OFFSET(_xlfn.XLOOKUP(B6,Kuponger!E:E,Kuponger!Q:Q),15,47)),"")</f>
        <v>120</v>
      </c>
      <c r="F6" t="str">
        <f ca="1">IFERROR(IF(OFFSET(_xlfn.XLOOKUP(B6,Kuponger!E:E,Kuponger!Q:Q),1,47)=0,"",OFFSET(_xlfn.XLOOKUP(B6,Kuponger!E:E,Kuponger!Q:Q),1,47))*-1,"")</f>
        <v/>
      </c>
      <c r="G6">
        <f t="shared" ca="1" si="0"/>
        <v>630</v>
      </c>
      <c r="H6">
        <f ca="1">IFERROR(IF(OFFSET(_xlfn.XLOOKUP(B6,Kuponger!E:E,Kuponger!Q:Q),1,46)="","",OFFSET(_xlfn.XLOOKUP(B6,Kuponger!E:E,Kuponger!Q:Q),1,46)),"")</f>
        <v>7</v>
      </c>
      <c r="I6" s="3">
        <f ca="1">IFERROR(t_jh[[#This Row],[tp]]-G5,"")</f>
        <v>310</v>
      </c>
    </row>
    <row r="7" spans="1:27" ht="15" x14ac:dyDescent="0.25">
      <c r="A7">
        <v>6</v>
      </c>
      <c r="B7" s="22">
        <f ca="1">Data!AL6</f>
        <v>45941</v>
      </c>
      <c r="C7">
        <f ca="1">IFERROR(IF(OFFSET(_xlfn.XLOOKUP(B7,Kuponger!E:E,Kuponger!Q:Q),15,45)=0,"",OFFSET(_xlfn.XLOOKUP(B7,Kuponger!E:E,Kuponger!Q:Q),15,45)),"")</f>
        <v>360</v>
      </c>
      <c r="D7">
        <f ca="1">IFERROR(IF(OFFSET(_xlfn.XLOOKUP(B7,Kuponger!E:E,Kuponger!Q:Q),15,46)=0,"",OFFSET(_xlfn.XLOOKUP(B7,Kuponger!E:E,Kuponger!Q:Q),15,46)),"")</f>
        <v>10</v>
      </c>
      <c r="E7">
        <f ca="1">IFERROR(IF(OFFSET(_xlfn.XLOOKUP(B7,Kuponger!E:E,Kuponger!Q:Q),15,47)=0,"",OFFSET(_xlfn.XLOOKUP(B7,Kuponger!E:E,Kuponger!Q:Q),15,47)),"")</f>
        <v>210</v>
      </c>
      <c r="F7" t="str">
        <f ca="1">IFERROR(IF(OFFSET(_xlfn.XLOOKUP(B7,Kuponger!E:E,Kuponger!Q:Q),1,47)=0,"",OFFSET(_xlfn.XLOOKUP(B7,Kuponger!E:E,Kuponger!Q:Q),1,47))*-1,"")</f>
        <v/>
      </c>
      <c r="G7">
        <f t="shared" ca="1" si="0"/>
        <v>580</v>
      </c>
      <c r="H7">
        <f ca="1">IFERROR(IF(OFFSET(_xlfn.XLOOKUP(B7,Kuponger!E:E,Kuponger!Q:Q),1,46)="","",OFFSET(_xlfn.XLOOKUP(B7,Kuponger!E:E,Kuponger!Q:Q),1,46)),"")</f>
        <v>9</v>
      </c>
      <c r="I7" s="3">
        <f ca="1">IFERROR(t_jh[[#This Row],[tp]]-G6,"")</f>
        <v>-50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IFERROR(IF(OFFSET(_xlfn.XLOOKUP(B8,Kuponger!E:E,Kuponger!Q:Q),15,45)=0,"",OFFSET(_xlfn.XLOOKUP(B8,Kuponger!E:E,Kuponger!Q:Q),15,45)),"")</f>
        <v>330</v>
      </c>
      <c r="D8">
        <f ca="1">IFERROR(IF(OFFSET(_xlfn.XLOOKUP(B8,Kuponger!E:E,Kuponger!Q:Q),15,46)=0,"",OFFSET(_xlfn.XLOOKUP(B8,Kuponger!E:E,Kuponger!Q:Q),15,46)),"")</f>
        <v>90</v>
      </c>
      <c r="E8">
        <f ca="1">IFERROR(IF(OFFSET(_xlfn.XLOOKUP(B8,Kuponger!E:E,Kuponger!Q:Q),15,47)=0,"",OFFSET(_xlfn.XLOOKUP(B8,Kuponger!E:E,Kuponger!Q:Q),15,47)),"")</f>
        <v>240</v>
      </c>
      <c r="F8" t="str">
        <f ca="1">IFERROR(IF(OFFSET(_xlfn.XLOOKUP(B8,Kuponger!E:E,Kuponger!Q:Q),1,47)=0,"",OFFSET(_xlfn.XLOOKUP(B8,Kuponger!E:E,Kuponger!Q:Q),1,47))*-1,"")</f>
        <v/>
      </c>
      <c r="G8">
        <f t="shared" ca="1" si="0"/>
        <v>660</v>
      </c>
      <c r="H8">
        <f ca="1">IFERROR(IF(OFFSET(_xlfn.XLOOKUP(B8,Kuponger!E:E,Kuponger!Q:Q),1,46)="","",OFFSET(_xlfn.XLOOKUP(B8,Kuponger!E:E,Kuponger!Q:Q),1,46)),"")</f>
        <v>2</v>
      </c>
      <c r="I8" s="3">
        <f ca="1">IFERROR(t_jh[[#This Row],[tp]]-G7,"")</f>
        <v>80</v>
      </c>
      <c r="K8" s="801" t="s">
        <v>36</v>
      </c>
      <c r="L8">
        <f>COUNTIF(Kuponger!$BN:$BN,L$7)</f>
        <v>81</v>
      </c>
      <c r="M8">
        <f>COUNTIF(Kuponger!$BN:$BN,M$7)</f>
        <v>3</v>
      </c>
      <c r="N8">
        <f>COUNTIF(Kuponger!$BN:$BN,N$7)</f>
        <v>8</v>
      </c>
      <c r="O8">
        <f>COUNTIF(Kuponger!$BN:$BN,O$7)</f>
        <v>2</v>
      </c>
      <c r="P8">
        <f>COUNTIF(Kuponger!$BN:$BN,P$7)</f>
        <v>2</v>
      </c>
      <c r="Q8">
        <f>COUNTIF(Kuponger!$BN:$BN,Q$7)</f>
        <v>22</v>
      </c>
      <c r="R8">
        <f>COUNTIF(Kuponger!$BN:$BN,R$7)</f>
        <v>13</v>
      </c>
      <c r="S8">
        <f>COUNTIF(Kuponger!$BN:$BN,S$7)</f>
        <v>45</v>
      </c>
      <c r="T8">
        <f>SUM(L$8:S$8)</f>
        <v>176</v>
      </c>
    </row>
    <row r="9" spans="1:27" x14ac:dyDescent="0.2">
      <c r="A9">
        <v>8</v>
      </c>
      <c r="B9" s="22">
        <f ca="1">Data!AL8</f>
        <v>45955</v>
      </c>
      <c r="C9">
        <f ca="1">IFERROR(IF(OFFSET(_xlfn.XLOOKUP(B9,Kuponger!E:E,Kuponger!Q:Q),15,45)=0,"",OFFSET(_xlfn.XLOOKUP(B9,Kuponger!E:E,Kuponger!Q:Q),15,45)),"")</f>
        <v>290</v>
      </c>
      <c r="D9">
        <f ca="1">IFERROR(IF(OFFSET(_xlfn.XLOOKUP(B9,Kuponger!E:E,Kuponger!Q:Q),15,46)=0,"",OFFSET(_xlfn.XLOOKUP(B9,Kuponger!E:E,Kuponger!Q:Q),15,46)),"")</f>
        <v>20</v>
      </c>
      <c r="E9">
        <f ca="1">IFERROR(IF(OFFSET(_xlfn.XLOOKUP(B9,Kuponger!E:E,Kuponger!Q:Q),15,47)=0,"",OFFSET(_xlfn.XLOOKUP(B9,Kuponger!E:E,Kuponger!Q:Q),15,47)),"")</f>
        <v>250</v>
      </c>
      <c r="F9" t="str">
        <f ca="1">IFERROR(IF(OFFSET(_xlfn.XLOOKUP(B9,Kuponger!E:E,Kuponger!Q:Q),1,47)=0,"",OFFSET(_xlfn.XLOOKUP(B9,Kuponger!E:E,Kuponger!Q:Q),1,47))*-1,"")</f>
        <v/>
      </c>
      <c r="G9">
        <f t="shared" ca="1" si="0"/>
        <v>560</v>
      </c>
      <c r="H9">
        <f ca="1">IFERROR(IF(OFFSET(_xlfn.XLOOKUP(B9,Kuponger!E:E,Kuponger!Q:Q),1,46)="","",OFFSET(_xlfn.XLOOKUP(B9,Kuponger!E:E,Kuponger!Q:Q),1,46)),"")</f>
        <v>2</v>
      </c>
      <c r="I9" s="3">
        <f ca="1">IFERROR(t_jh[[#This Row],[tp]]-G8,"")</f>
        <v>-100</v>
      </c>
      <c r="K9" s="801" t="s">
        <v>37</v>
      </c>
      <c r="L9">
        <f>COUNTIF(Kuponger!$BO:$BO,L$7)</f>
        <v>2</v>
      </c>
      <c r="M9">
        <f>COUNTIF(Kuponger!$BO:$BO,M$7)</f>
        <v>0</v>
      </c>
      <c r="N9">
        <f>COUNTIF(Kuponger!$BO:$BO,N$7)</f>
        <v>2</v>
      </c>
      <c r="O9">
        <f>COUNTIF(Kuponger!$BO:$BO,O$7)</f>
        <v>0</v>
      </c>
      <c r="P9">
        <f>COUNTIF(Kuponger!$BO:$BO,P$7)</f>
        <v>11</v>
      </c>
      <c r="Q9">
        <f>COUNTIF(Kuponger!$BO:$BO,Q$7)</f>
        <v>11</v>
      </c>
      <c r="R9">
        <f>COUNTIF(Kuponger!$BO:$BO,R$7)</f>
        <v>11</v>
      </c>
      <c r="S9">
        <f>COUNTIF(Kuponger!$BO:$BO,S$7)</f>
        <v>52</v>
      </c>
      <c r="T9">
        <f>SUM(L$9:S$9)</f>
        <v>89</v>
      </c>
    </row>
    <row r="10" spans="1:27" x14ac:dyDescent="0.2">
      <c r="A10">
        <v>9</v>
      </c>
      <c r="B10" s="22">
        <f ca="1">Data!AL9</f>
        <v>45962</v>
      </c>
      <c r="C10">
        <f ca="1">IFERROR(IF(OFFSET(_xlfn.XLOOKUP(B10,Kuponger!E:E,Kuponger!Q:Q),15,45)=0,"",OFFSET(_xlfn.XLOOKUP(B10,Kuponger!E:E,Kuponger!Q:Q),15,45)),"")</f>
        <v>430</v>
      </c>
      <c r="D10">
        <f ca="1">IFERROR(IF(OFFSET(_xlfn.XLOOKUP(B10,Kuponger!E:E,Kuponger!Q:Q),15,46)=0,"",OFFSET(_xlfn.XLOOKUP(B10,Kuponger!E:E,Kuponger!Q:Q),15,46)),"")</f>
        <v>20</v>
      </c>
      <c r="E10">
        <f ca="1">IFERROR(IF(OFFSET(_xlfn.XLOOKUP(B10,Kuponger!E:E,Kuponger!Q:Q),15,47)=0,"",OFFSET(_xlfn.XLOOKUP(B10,Kuponger!E:E,Kuponger!Q:Q),15,47)),"")</f>
        <v>160</v>
      </c>
      <c r="F10" t="str">
        <f ca="1">IFERROR(IF(OFFSET(_xlfn.XLOOKUP(B10,Kuponger!E:E,Kuponger!Q:Q),1,47)=0,"",OFFSET(_xlfn.XLOOKUP(B10,Kuponger!E:E,Kuponger!Q:Q),1,47))*-1,"")</f>
        <v/>
      </c>
      <c r="G10">
        <f t="shared" ca="1" si="0"/>
        <v>610</v>
      </c>
      <c r="H10">
        <f ca="1">IFERROR(IF(OFFSET(_xlfn.XLOOKUP(B10,Kuponger!E:E,Kuponger!Q:Q),1,46)="","",OFFSET(_xlfn.XLOOKUP(B10,Kuponger!E:E,Kuponger!Q:Q),1,46)),"")</f>
        <v>6</v>
      </c>
      <c r="I10" s="3">
        <f ca="1">IFERROR(t_jh[[#This Row],[tp]]-G9,"")</f>
        <v>50</v>
      </c>
      <c r="K10" s="801" t="s">
        <v>38</v>
      </c>
      <c r="L10">
        <f>COUNTIF(Kuponger!$BP:$BP,L$7)</f>
        <v>53</v>
      </c>
      <c r="M10">
        <f>COUNTIF(Kuponger!$BP:$BP,M$7)</f>
        <v>0</v>
      </c>
      <c r="N10">
        <f>COUNTIF(Kuponger!$BP:$BP,N$7)</f>
        <v>7</v>
      </c>
      <c r="O10">
        <f>COUNTIF(Kuponger!$BP:$BP,O$7)</f>
        <v>4</v>
      </c>
      <c r="P10">
        <f>COUNTIF(Kuponger!$BP:$BP,P$7)</f>
        <v>3</v>
      </c>
      <c r="Q10">
        <f>COUNTIF(Kuponger!$BP:$BP,Q$7)</f>
        <v>14</v>
      </c>
      <c r="R10">
        <f>COUNTIF(Kuponger!$BP:$BP,R$7)</f>
        <v>9</v>
      </c>
      <c r="S10">
        <f>COUNTIF(Kuponger!$BP:$BP,S$7)</f>
        <v>29</v>
      </c>
      <c r="T10">
        <f>SUM(L$10:S$10)</f>
        <v>119</v>
      </c>
    </row>
    <row r="11" spans="1:27" x14ac:dyDescent="0.2">
      <c r="A11">
        <v>10</v>
      </c>
      <c r="B11" s="22">
        <f ca="1">Data!AL10</f>
        <v>45969</v>
      </c>
      <c r="C11">
        <f ca="1">IFERROR(IF(OFFSET(_xlfn.XLOOKUP(B11,Kuponger!E:E,Kuponger!Q:Q),15,45)=0,"",OFFSET(_xlfn.XLOOKUP(B11,Kuponger!E:E,Kuponger!Q:Q),15,45)),"")</f>
        <v>380</v>
      </c>
      <c r="D11">
        <f ca="1">IFERROR(IF(OFFSET(_xlfn.XLOOKUP(B11,Kuponger!E:E,Kuponger!Q:Q),15,46)=0,"",OFFSET(_xlfn.XLOOKUP(B11,Kuponger!E:E,Kuponger!Q:Q),15,46)),"")</f>
        <v>50</v>
      </c>
      <c r="E11">
        <f ca="1">IFERROR(IF(OFFSET(_xlfn.XLOOKUP(B11,Kuponger!E:E,Kuponger!Q:Q),15,47)=0,"",OFFSET(_xlfn.XLOOKUP(B11,Kuponger!E:E,Kuponger!Q:Q),15,47)),"")</f>
        <v>270</v>
      </c>
      <c r="F11" t="str">
        <f ca="1">IFERROR(IF(OFFSET(_xlfn.XLOOKUP(B11,Kuponger!E:E,Kuponger!Q:Q),1,47)=0,"",OFFSET(_xlfn.XLOOKUP(B11,Kuponger!E:E,Kuponger!Q:Q),1,47))*-1,"")</f>
        <v/>
      </c>
      <c r="G11">
        <f t="shared" ca="1" si="0"/>
        <v>700</v>
      </c>
      <c r="H11">
        <f ca="1">IFERROR(IF(OFFSET(_xlfn.XLOOKUP(B11,Kuponger!E:E,Kuponger!Q:Q),1,46)="","",OFFSET(_xlfn.XLOOKUP(B11,Kuponger!E:E,Kuponger!Q:Q),1,46)),"")</f>
        <v>1</v>
      </c>
      <c r="I11" s="3">
        <f ca="1">IFERROR(t_jh[[#This Row],[tp]]-G10,"")</f>
        <v>90</v>
      </c>
      <c r="K11" s="801" t="str">
        <f>K7</f>
        <v>Antall Treff</v>
      </c>
      <c r="L11">
        <f>SUM(L$8:L$10)</f>
        <v>136</v>
      </c>
      <c r="M11">
        <f t="shared" ref="M11:S11" si="3">SUM(M$8:M$10)</f>
        <v>3</v>
      </c>
      <c r="N11">
        <f t="shared" si="3"/>
        <v>17</v>
      </c>
      <c r="O11">
        <f t="shared" si="3"/>
        <v>6</v>
      </c>
      <c r="P11">
        <f>SUM(P$8:P$10)</f>
        <v>16</v>
      </c>
      <c r="Q11">
        <f t="shared" si="3"/>
        <v>47</v>
      </c>
      <c r="R11">
        <f t="shared" si="3"/>
        <v>33</v>
      </c>
      <c r="S11">
        <f t="shared" si="3"/>
        <v>126</v>
      </c>
      <c r="T11">
        <f>SUM(L$11:S$11)</f>
        <v>384</v>
      </c>
    </row>
    <row r="12" spans="1:27" x14ac:dyDescent="0.2">
      <c r="A12">
        <v>11</v>
      </c>
      <c r="B12" s="22">
        <f ca="1">Data!AL11</f>
        <v>45976</v>
      </c>
      <c r="C12">
        <f ca="1">IFERROR(IF(OFFSET(_xlfn.XLOOKUP(B12,Kuponger!E:E,Kuponger!Q:Q),15,45)=0,"",OFFSET(_xlfn.XLOOKUP(B12,Kuponger!E:E,Kuponger!Q:Q),15,45)),"")</f>
        <v>260</v>
      </c>
      <c r="D12">
        <f ca="1">IFERROR(IF(OFFSET(_xlfn.XLOOKUP(B12,Kuponger!E:E,Kuponger!Q:Q),15,46)=0,"",OFFSET(_xlfn.XLOOKUP(B12,Kuponger!E:E,Kuponger!Q:Q),15,46)),"")</f>
        <v>60</v>
      </c>
      <c r="E12">
        <f ca="1">IFERROR(IF(OFFSET(_xlfn.XLOOKUP(B12,Kuponger!E:E,Kuponger!Q:Q),15,47)=0,"",OFFSET(_xlfn.XLOOKUP(B12,Kuponger!E:E,Kuponger!Q:Q),15,47)),"")</f>
        <v>200</v>
      </c>
      <c r="F12" t="str">
        <f ca="1">IFERROR(IF(OFFSET(_xlfn.XLOOKUP(B12,Kuponger!E:E,Kuponger!Q:Q),1,47)=0,"",OFFSET(_xlfn.XLOOKUP(B12,Kuponger!E:E,Kuponger!Q:Q),1,47))*-1,"")</f>
        <v/>
      </c>
      <c r="G12">
        <f t="shared" ca="1" si="0"/>
        <v>520</v>
      </c>
      <c r="H12">
        <f ca="1">IFERROR(IF(OFFSET(_xlfn.XLOOKUP(B12,Kuponger!E:E,Kuponger!Q:Q),1,46)="","",OFFSET(_xlfn.XLOOKUP(B12,Kuponger!E:E,Kuponger!Q:Q),1,46)),"")</f>
        <v>7</v>
      </c>
      <c r="I12" s="3">
        <f ca="1">IFERROR(t_jh[[#This Row],[tp]]-G11,"")</f>
        <v>-180</v>
      </c>
    </row>
    <row r="13" spans="1:27" ht="15" x14ac:dyDescent="0.25">
      <c r="A13">
        <v>12</v>
      </c>
      <c r="B13" s="22">
        <f ca="1">Data!AL12</f>
        <v>45983</v>
      </c>
      <c r="C13">
        <f ca="1">IFERROR(IF(OFFSET(_xlfn.XLOOKUP(B13,Kuponger!E:E,Kuponger!Q:Q),15,45)=0,"",OFFSET(_xlfn.XLOOKUP(B13,Kuponger!E:E,Kuponger!Q:Q),15,45)),"")</f>
        <v>270</v>
      </c>
      <c r="D13">
        <f ca="1">IFERROR(IF(OFFSET(_xlfn.XLOOKUP(B13,Kuponger!E:E,Kuponger!Q:Q),15,46)=0,"",OFFSET(_xlfn.XLOOKUP(B13,Kuponger!E:E,Kuponger!Q:Q),15,46)),"")</f>
        <v>30</v>
      </c>
      <c r="E13">
        <f ca="1">IFERROR(IF(OFFSET(_xlfn.XLOOKUP(B13,Kuponger!E:E,Kuponger!Q:Q),15,47)=0,"",OFFSET(_xlfn.XLOOKUP(B13,Kuponger!E:E,Kuponger!Q:Q),15,47)),"")</f>
        <v>170</v>
      </c>
      <c r="F13" t="str">
        <f ca="1">IFERROR(IF(OFFSET(_xlfn.XLOOKUP(B13,Kuponger!E:E,Kuponger!Q:Q),1,47)=0,"",OFFSET(_xlfn.XLOOKUP(B13,Kuponger!E:E,Kuponger!Q:Q),1,47))*-1,"")</f>
        <v/>
      </c>
      <c r="G13">
        <f t="shared" ca="1" si="0"/>
        <v>470</v>
      </c>
      <c r="H13">
        <f ca="1">IFERROR(IF(OFFSET(_xlfn.XLOOKUP(B13,Kuponger!E:E,Kuponger!Q:Q),1,46)="","",OFFSET(_xlfn.XLOOKUP(B13,Kuponger!E:E,Kuponger!Q:Q),1,46)),"")</f>
        <v>2</v>
      </c>
      <c r="I13" s="3">
        <f ca="1">IFERROR(t_jh[[#This Row],[tp]]-G12,"")</f>
        <v>-50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IFERROR(IF(OFFSET(_xlfn.XLOOKUP(B14,Kuponger!E:E,Kuponger!Q:Q),15,45)=0,"",OFFSET(_xlfn.XLOOKUP(B14,Kuponger!E:E,Kuponger!Q:Q),15,45)),"")</f>
        <v>340</v>
      </c>
      <c r="D14">
        <f ca="1">IFERROR(IF(OFFSET(_xlfn.XLOOKUP(B14,Kuponger!E:E,Kuponger!Q:Q),15,46)=0,"",OFFSET(_xlfn.XLOOKUP(B14,Kuponger!E:E,Kuponger!Q:Q),15,46)),"")</f>
        <v>30</v>
      </c>
      <c r="E14">
        <f ca="1">IFERROR(IF(OFFSET(_xlfn.XLOOKUP(B14,Kuponger!E:E,Kuponger!Q:Q),15,47)=0,"",OFFSET(_xlfn.XLOOKUP(B14,Kuponger!E:E,Kuponger!Q:Q),15,47)),"")</f>
        <v>100</v>
      </c>
      <c r="F14" t="str">
        <f ca="1">IFERROR(IF(OFFSET(_xlfn.XLOOKUP(B14,Kuponger!E:E,Kuponger!Q:Q),1,47)=0,"",OFFSET(_xlfn.XLOOKUP(B14,Kuponger!E:E,Kuponger!Q:Q),1,47))*-1,"")</f>
        <v/>
      </c>
      <c r="G14">
        <f t="shared" ca="1" si="0"/>
        <v>470</v>
      </c>
      <c r="H14">
        <f ca="1">IFERROR(IF(OFFSET(_xlfn.XLOOKUP(B14,Kuponger!E:E,Kuponger!Q:Q),1,46)="","",OFFSET(_xlfn.XLOOKUP(B14,Kuponger!E:E,Kuponger!Q:Q),1,46)),"")</f>
        <v>9</v>
      </c>
      <c r="I14" s="3">
        <f ca="1">IFERROR(t_jh[[#This Row],[tp]]-G13,"")</f>
        <v>0</v>
      </c>
      <c r="K14" s="801" t="str">
        <f>K8</f>
        <v>Hjemme</v>
      </c>
      <c r="L14">
        <f>L2-L8</f>
        <v>55</v>
      </c>
      <c r="M14">
        <f t="shared" ref="M14:S16" si="5">M2-M8</f>
        <v>4</v>
      </c>
      <c r="N14">
        <f t="shared" si="5"/>
        <v>11</v>
      </c>
      <c r="O14">
        <f t="shared" si="5"/>
        <v>2</v>
      </c>
      <c r="P14">
        <f t="shared" si="5"/>
        <v>4</v>
      </c>
      <c r="Q14">
        <f t="shared" si="5"/>
        <v>24</v>
      </c>
      <c r="R14">
        <f t="shared" si="5"/>
        <v>24</v>
      </c>
      <c r="S14">
        <f t="shared" si="5"/>
        <v>84</v>
      </c>
      <c r="T14">
        <f>SUM(L$14:S$14)</f>
        <v>208</v>
      </c>
    </row>
    <row r="15" spans="1:27" x14ac:dyDescent="0.2">
      <c r="A15">
        <v>14</v>
      </c>
      <c r="B15" s="22">
        <f ca="1">Data!AL14</f>
        <v>45997</v>
      </c>
      <c r="C15">
        <f ca="1">IFERROR(IF(OFFSET(_xlfn.XLOOKUP(B15,Kuponger!E:E,Kuponger!Q:Q),15,45)=0,"",OFFSET(_xlfn.XLOOKUP(B15,Kuponger!E:E,Kuponger!Q:Q),15,45)),"")</f>
        <v>430</v>
      </c>
      <c r="D15">
        <f ca="1">IFERROR(IF(OFFSET(_xlfn.XLOOKUP(B15,Kuponger!E:E,Kuponger!Q:Q),15,46)=0,"",OFFSET(_xlfn.XLOOKUP(B15,Kuponger!E:E,Kuponger!Q:Q),15,46)),"")</f>
        <v>60</v>
      </c>
      <c r="E15" t="str">
        <f ca="1">IFERROR(IF(OFFSET(_xlfn.XLOOKUP(B15,Kuponger!E:E,Kuponger!Q:Q),15,47)=0,"",OFFSET(_xlfn.XLOOKUP(B15,Kuponger!E:E,Kuponger!Q:Q),15,47)),"")</f>
        <v/>
      </c>
      <c r="F15" t="str">
        <f ca="1">IFERROR(IF(OFFSET(_xlfn.XLOOKUP(B15,Kuponger!E:E,Kuponger!Q:Q),1,47)=0,"",OFFSET(_xlfn.XLOOKUP(B15,Kuponger!E:E,Kuponger!Q:Q),1,47))*-1,"")</f>
        <v/>
      </c>
      <c r="G15">
        <f t="shared" ca="1" si="0"/>
        <v>490</v>
      </c>
      <c r="H15">
        <f ca="1">IFERROR(IF(OFFSET(_xlfn.XLOOKUP(B15,Kuponger!E:E,Kuponger!Q:Q),1,46)="","",OFFSET(_xlfn.XLOOKUP(B15,Kuponger!E:E,Kuponger!Q:Q),1,46)),"")</f>
        <v>8</v>
      </c>
      <c r="I15" s="3">
        <f ca="1">IFERROR(t_jh[[#This Row],[tp]]-G14,"")</f>
        <v>20</v>
      </c>
      <c r="K15" s="801" t="str">
        <f>K9</f>
        <v>Uavgjort</v>
      </c>
      <c r="L15">
        <f>L3-L9</f>
        <v>5</v>
      </c>
      <c r="M15">
        <f t="shared" si="5"/>
        <v>0</v>
      </c>
      <c r="N15">
        <f t="shared" si="5"/>
        <v>15</v>
      </c>
      <c r="O15">
        <f t="shared" si="5"/>
        <v>5</v>
      </c>
      <c r="P15">
        <f t="shared" si="5"/>
        <v>45</v>
      </c>
      <c r="Q15">
        <f t="shared" si="5"/>
        <v>26</v>
      </c>
      <c r="R15">
        <f t="shared" si="5"/>
        <v>23</v>
      </c>
      <c r="S15">
        <f t="shared" si="5"/>
        <v>199</v>
      </c>
      <c r="T15">
        <f>SUM(L$15:S$15)</f>
        <v>318</v>
      </c>
    </row>
    <row r="16" spans="1:27" x14ac:dyDescent="0.2">
      <c r="A16">
        <v>15</v>
      </c>
      <c r="B16" s="22">
        <f ca="1">Data!AL15</f>
        <v>46004</v>
      </c>
      <c r="C16">
        <f ca="1">IFERROR(IF(OFFSET(_xlfn.XLOOKUP(B16,Kuponger!E:E,Kuponger!Q:Q),15,45)=0,"",OFFSET(_xlfn.XLOOKUP(B16,Kuponger!E:E,Kuponger!Q:Q),15,45)),"")</f>
        <v>450</v>
      </c>
      <c r="D16">
        <f ca="1">IFERROR(IF(OFFSET(_xlfn.XLOOKUP(B16,Kuponger!E:E,Kuponger!Q:Q),15,46)=0,"",OFFSET(_xlfn.XLOOKUP(B16,Kuponger!E:E,Kuponger!Q:Q),15,46)),"")</f>
        <v>90</v>
      </c>
      <c r="E16">
        <f ca="1">IFERROR(IF(OFFSET(_xlfn.XLOOKUP(B16,Kuponger!E:E,Kuponger!Q:Q),15,47)=0,"",OFFSET(_xlfn.XLOOKUP(B16,Kuponger!E:E,Kuponger!Q:Q),15,47)),"")</f>
        <v>90</v>
      </c>
      <c r="F16" t="str">
        <f ca="1">IFERROR(IF(OFFSET(_xlfn.XLOOKUP(B16,Kuponger!E:E,Kuponger!Q:Q),1,47)=0,"",OFFSET(_xlfn.XLOOKUP(B16,Kuponger!E:E,Kuponger!Q:Q),1,47))*-1,"")</f>
        <v/>
      </c>
      <c r="G16">
        <f t="shared" ca="1" si="0"/>
        <v>630</v>
      </c>
      <c r="H16">
        <f ca="1">IFERROR(IF(OFFSET(_xlfn.XLOOKUP(B16,Kuponger!E:E,Kuponger!Q:Q),1,46)="","",OFFSET(_xlfn.XLOOKUP(B16,Kuponger!E:E,Kuponger!Q:Q),1,46)),"")</f>
        <v>2</v>
      </c>
      <c r="I16" s="3">
        <f ca="1">IFERROR(t_jh[[#This Row],[tp]]-G15,"")</f>
        <v>140</v>
      </c>
      <c r="K16" s="801" t="str">
        <f>K10</f>
        <v>Borte</v>
      </c>
      <c r="L16">
        <f>L4-L10</f>
        <v>58</v>
      </c>
      <c r="M16">
        <f t="shared" si="5"/>
        <v>4</v>
      </c>
      <c r="N16">
        <f t="shared" si="5"/>
        <v>13</v>
      </c>
      <c r="O16">
        <f t="shared" si="5"/>
        <v>12</v>
      </c>
      <c r="P16">
        <f t="shared" si="5"/>
        <v>3</v>
      </c>
      <c r="Q16">
        <f t="shared" si="5"/>
        <v>32</v>
      </c>
      <c r="R16">
        <f t="shared" si="5"/>
        <v>18</v>
      </c>
      <c r="S16">
        <f t="shared" si="5"/>
        <v>130</v>
      </c>
      <c r="T16">
        <f>SUM(L$16:S$16)</f>
        <v>270</v>
      </c>
    </row>
    <row r="17" spans="1:20" x14ac:dyDescent="0.2">
      <c r="A17">
        <v>16</v>
      </c>
      <c r="B17" s="22">
        <f ca="1">Data!AL16</f>
        <v>46032</v>
      </c>
      <c r="C17">
        <f ca="1">IFERROR(IF(OFFSET(_xlfn.XLOOKUP(B17,Kuponger!E:E,Kuponger!Q:Q),15,45)=0,"",OFFSET(_xlfn.XLOOKUP(B17,Kuponger!E:E,Kuponger!Q:Q),15,45)),"")</f>
        <v>230</v>
      </c>
      <c r="D17">
        <f ca="1">IFERROR(IF(OFFSET(_xlfn.XLOOKUP(B17,Kuponger!E:E,Kuponger!Q:Q),15,46)=0,"",OFFSET(_xlfn.XLOOKUP(B17,Kuponger!E:E,Kuponger!Q:Q),15,46)),"")</f>
        <v>20</v>
      </c>
      <c r="E17">
        <f ca="1">IFERROR(IF(OFFSET(_xlfn.XLOOKUP(B17,Kuponger!E:E,Kuponger!Q:Q),15,47)=0,"",OFFSET(_xlfn.XLOOKUP(B17,Kuponger!E:E,Kuponger!Q:Q),15,47)),"")</f>
        <v>230</v>
      </c>
      <c r="F17" t="str">
        <f ca="1">IFERROR(IF(OFFSET(_xlfn.XLOOKUP(B17,Kuponger!E:E,Kuponger!Q:Q),1,47)=0,"",OFFSET(_xlfn.XLOOKUP(B17,Kuponger!E:E,Kuponger!Q:Q),1,47))*-1,"")</f>
        <v/>
      </c>
      <c r="G17">
        <f t="shared" ca="1" si="0"/>
        <v>480</v>
      </c>
      <c r="H17">
        <f ca="1">IFERROR(IF(OFFSET(_xlfn.XLOOKUP(B17,Kuponger!E:E,Kuponger!Q:Q),1,46)="","",OFFSET(_xlfn.XLOOKUP(B17,Kuponger!E:E,Kuponger!Q:Q),1,46)),"")</f>
        <v>8</v>
      </c>
      <c r="I17" s="3">
        <f ca="1">IFERROR(t_jh[[#This Row],[tp]]-G16,"")</f>
        <v>-150</v>
      </c>
      <c r="K17" s="801" t="str">
        <f>K13</f>
        <v>Antall misser</v>
      </c>
      <c r="L17">
        <f>SUM(L$14:L$16)</f>
        <v>118</v>
      </c>
      <c r="M17">
        <f t="shared" ref="M17:S17" si="6">SUM(M$14:M$16)</f>
        <v>8</v>
      </c>
      <c r="N17">
        <f t="shared" si="6"/>
        <v>39</v>
      </c>
      <c r="O17">
        <f t="shared" si="6"/>
        <v>19</v>
      </c>
      <c r="P17">
        <f t="shared" si="6"/>
        <v>52</v>
      </c>
      <c r="Q17">
        <f t="shared" si="6"/>
        <v>82</v>
      </c>
      <c r="R17">
        <f t="shared" si="6"/>
        <v>65</v>
      </c>
      <c r="S17">
        <f t="shared" si="6"/>
        <v>413</v>
      </c>
      <c r="T17">
        <f>SUM(L$17:S$17)</f>
        <v>796</v>
      </c>
    </row>
    <row r="18" spans="1:20" x14ac:dyDescent="0.2">
      <c r="A18">
        <v>17</v>
      </c>
      <c r="B18" s="22">
        <f ca="1">Data!AL17</f>
        <v>46039</v>
      </c>
      <c r="C18">
        <f ca="1">IFERROR(IF(OFFSET(_xlfn.XLOOKUP(B18,Kuponger!E:E,Kuponger!Q:Q),15,45)=0,"",OFFSET(_xlfn.XLOOKUP(B18,Kuponger!E:E,Kuponger!Q:Q),15,45)),"")</f>
        <v>170</v>
      </c>
      <c r="D18">
        <f ca="1">IFERROR(IF(OFFSET(_xlfn.XLOOKUP(B18,Kuponger!E:E,Kuponger!Q:Q),15,46)=0,"",OFFSET(_xlfn.XLOOKUP(B18,Kuponger!E:E,Kuponger!Q:Q),15,46)),"")</f>
        <v>50</v>
      </c>
      <c r="E18">
        <f ca="1">IFERROR(IF(OFFSET(_xlfn.XLOOKUP(B18,Kuponger!E:E,Kuponger!Q:Q),15,47)=0,"",OFFSET(_xlfn.XLOOKUP(B18,Kuponger!E:E,Kuponger!Q:Q),15,47)),"")</f>
        <v>100</v>
      </c>
      <c r="F18" t="str">
        <f ca="1">IFERROR(IF(OFFSET(_xlfn.XLOOKUP(B18,Kuponger!E:E,Kuponger!Q:Q),1,47)=0,"",OFFSET(_xlfn.XLOOKUP(B18,Kuponger!E:E,Kuponger!Q:Q),1,47))*-1,"")</f>
        <v/>
      </c>
      <c r="G18">
        <f t="shared" ca="1" si="0"/>
        <v>320</v>
      </c>
      <c r="H18">
        <f ca="1">IFERROR(IF(OFFSET(_xlfn.XLOOKUP(B18,Kuponger!E:E,Kuponger!Q:Q),1,46)="","",OFFSET(_xlfn.XLOOKUP(B18,Kuponger!E:E,Kuponger!Q:Q),1,46)),"")</f>
        <v>6</v>
      </c>
      <c r="I18" s="3">
        <f ca="1">IFERROR(t_jh[[#This Row],[tp]]-G17,"")</f>
        <v>-160</v>
      </c>
      <c r="K18" s="4"/>
    </row>
    <row r="19" spans="1:20" x14ac:dyDescent="0.2">
      <c r="A19">
        <v>18</v>
      </c>
      <c r="B19" s="22">
        <f ca="1">Data!AL18</f>
        <v>46046</v>
      </c>
      <c r="C19">
        <f ca="1">IFERROR(IF(OFFSET(_xlfn.XLOOKUP(B19,Kuponger!E:E,Kuponger!Q:Q),15,45)=0,"",OFFSET(_xlfn.XLOOKUP(B19,Kuponger!E:E,Kuponger!Q:Q),15,45)),"")</f>
        <v>270</v>
      </c>
      <c r="D19">
        <f ca="1">IFERROR(IF(OFFSET(_xlfn.XLOOKUP(B19,Kuponger!E:E,Kuponger!Q:Q),15,46)=0,"",OFFSET(_xlfn.XLOOKUP(B19,Kuponger!E:E,Kuponger!Q:Q),15,46)),"")</f>
        <v>40</v>
      </c>
      <c r="E19">
        <f ca="1">IFERROR(IF(OFFSET(_xlfn.XLOOKUP(B19,Kuponger!E:E,Kuponger!Q:Q),15,47)=0,"",OFFSET(_xlfn.XLOOKUP(B19,Kuponger!E:E,Kuponger!Q:Q),15,47)),"")</f>
        <v>60</v>
      </c>
      <c r="F19" t="str">
        <f ca="1">IFERROR(IF(OFFSET(_xlfn.XLOOKUP(B19,Kuponger!E:E,Kuponger!Q:Q),1,47)=0,"",OFFSET(_xlfn.XLOOKUP(B19,Kuponger!E:E,Kuponger!Q:Q),1,47))*-1,"")</f>
        <v/>
      </c>
      <c r="G19">
        <f t="shared" ca="1" si="0"/>
        <v>370</v>
      </c>
      <c r="H19">
        <f ca="1">IFERROR(IF(OFFSET(_xlfn.XLOOKUP(B19,Kuponger!E:E,Kuponger!Q:Q),1,46)="","",OFFSET(_xlfn.XLOOKUP(B19,Kuponger!E:E,Kuponger!Q:Q),1,46)),"")</f>
        <v>9</v>
      </c>
      <c r="I19" s="3">
        <f ca="1">IFERROR(t_jh[[#This Row],[tp]]-G18,"")</f>
        <v>50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IFERROR(IF(OFFSET(_xlfn.XLOOKUP(B20,Kuponger!E:E,Kuponger!Q:Q),15,45)=0,"",OFFSET(_xlfn.XLOOKUP(B20,Kuponger!E:E,Kuponger!Q:Q),15,45)),"")</f>
        <v>210</v>
      </c>
      <c r="D20">
        <f ca="1">IFERROR(IF(OFFSET(_xlfn.XLOOKUP(B20,Kuponger!E:E,Kuponger!Q:Q),15,46)=0,"",OFFSET(_xlfn.XLOOKUP(B20,Kuponger!E:E,Kuponger!Q:Q),15,46)),"")</f>
        <v>100</v>
      </c>
      <c r="E20">
        <f ca="1">IFERROR(IF(OFFSET(_xlfn.XLOOKUP(B20,Kuponger!E:E,Kuponger!Q:Q),15,47)=0,"",OFFSET(_xlfn.XLOOKUP(B20,Kuponger!E:E,Kuponger!Q:Q),15,47)),"")</f>
        <v>260</v>
      </c>
      <c r="F20" t="str">
        <f ca="1">IFERROR(IF(OFFSET(_xlfn.XLOOKUP(B20,Kuponger!E:E,Kuponger!Q:Q),1,47)=0,"",OFFSET(_xlfn.XLOOKUP(B20,Kuponger!E:E,Kuponger!Q:Q),1,47))*-1,"")</f>
        <v/>
      </c>
      <c r="G20">
        <f t="shared" ca="1" si="0"/>
        <v>570</v>
      </c>
      <c r="H20">
        <f ca="1">IFERROR(IF(OFFSET(_xlfn.XLOOKUP(B20,Kuponger!E:E,Kuponger!Q:Q),1,46)="","",OFFSET(_xlfn.XLOOKUP(B20,Kuponger!E:E,Kuponger!Q:Q),1,46)),"")</f>
        <v>2</v>
      </c>
      <c r="I20" s="3">
        <f ca="1">IFERROR(t_jh[[#This Row],[tp]]-G19,"")</f>
        <v>200</v>
      </c>
      <c r="K20" s="801" t="str">
        <f>K8</f>
        <v>Hjemme</v>
      </c>
      <c r="L20">
        <f>L$8*L$19</f>
        <v>6480</v>
      </c>
      <c r="M20">
        <f t="shared" ref="M20:S20" si="8">M$8*M$19</f>
        <v>210</v>
      </c>
      <c r="N20">
        <f t="shared" si="8"/>
        <v>480</v>
      </c>
      <c r="O20">
        <f t="shared" si="8"/>
        <v>100</v>
      </c>
      <c r="P20">
        <f t="shared" si="8"/>
        <v>80</v>
      </c>
      <c r="Q20">
        <f t="shared" si="8"/>
        <v>660</v>
      </c>
      <c r="R20">
        <f t="shared" si="8"/>
        <v>260</v>
      </c>
      <c r="S20">
        <f t="shared" si="8"/>
        <v>450</v>
      </c>
      <c r="T20">
        <f>SUM(L$20:S$20)</f>
        <v>8720</v>
      </c>
    </row>
    <row r="21" spans="1:20" x14ac:dyDescent="0.2">
      <c r="A21">
        <v>20</v>
      </c>
      <c r="B21" s="22">
        <f ca="1">Data!AL20</f>
        <v>46060</v>
      </c>
      <c r="C21">
        <f ca="1">IFERROR(IF(OFFSET(_xlfn.XLOOKUP(B21,Kuponger!E:E,Kuponger!Q:Q),15,45)=0,"",OFFSET(_xlfn.XLOOKUP(B21,Kuponger!E:E,Kuponger!Q:Q),15,45)),"")</f>
        <v>220</v>
      </c>
      <c r="D21">
        <f ca="1">IFERROR(IF(OFFSET(_xlfn.XLOOKUP(B21,Kuponger!E:E,Kuponger!Q:Q),15,46)=0,"",OFFSET(_xlfn.XLOOKUP(B21,Kuponger!E:E,Kuponger!Q:Q),15,46)),"")</f>
        <v>50</v>
      </c>
      <c r="E21">
        <f ca="1">IFERROR(IF(OFFSET(_xlfn.XLOOKUP(B21,Kuponger!E:E,Kuponger!Q:Q),15,47)=0,"",OFFSET(_xlfn.XLOOKUP(B21,Kuponger!E:E,Kuponger!Q:Q),15,47)),"")</f>
        <v>270</v>
      </c>
      <c r="F21" t="str">
        <f ca="1">IFERROR(IF(OFFSET(_xlfn.XLOOKUP(B21,Kuponger!E:E,Kuponger!Q:Q),1,47)=0,"",OFFSET(_xlfn.XLOOKUP(B21,Kuponger!E:E,Kuponger!Q:Q),1,47))*-1,"")</f>
        <v/>
      </c>
      <c r="G21">
        <f t="shared" ca="1" si="0"/>
        <v>540</v>
      </c>
      <c r="H21">
        <f ca="1">IFERROR(IF(OFFSET(_xlfn.XLOOKUP(B21,Kuponger!E:E,Kuponger!Q:Q),1,46)="","",OFFSET(_xlfn.XLOOKUP(B21,Kuponger!E:E,Kuponger!Q:Q),1,46)),"")</f>
        <v>2</v>
      </c>
      <c r="I21" s="3">
        <f ca="1">IFERROR(t_jh[[#This Row],[tp]]-G20,"")</f>
        <v>-30</v>
      </c>
      <c r="K21" s="801" t="str">
        <f>K9</f>
        <v>Uavgjort</v>
      </c>
      <c r="L21">
        <f>L$9*L$19</f>
        <v>160</v>
      </c>
      <c r="M21">
        <f t="shared" ref="M21:S21" si="9">M$9*M$19</f>
        <v>0</v>
      </c>
      <c r="N21">
        <f t="shared" si="9"/>
        <v>120</v>
      </c>
      <c r="O21">
        <f t="shared" si="9"/>
        <v>0</v>
      </c>
      <c r="P21">
        <f t="shared" si="9"/>
        <v>440</v>
      </c>
      <c r="Q21">
        <f t="shared" si="9"/>
        <v>330</v>
      </c>
      <c r="R21">
        <f t="shared" si="9"/>
        <v>220</v>
      </c>
      <c r="S21">
        <f t="shared" si="9"/>
        <v>520</v>
      </c>
      <c r="T21">
        <f>SUM(L$21:S$21)</f>
        <v>1790</v>
      </c>
    </row>
    <row r="22" spans="1:20" x14ac:dyDescent="0.2">
      <c r="A22">
        <v>21</v>
      </c>
      <c r="B22" s="22">
        <f ca="1">Data!AL21</f>
        <v>46067</v>
      </c>
      <c r="C22">
        <f ca="1">IFERROR(IF(OFFSET(_xlfn.XLOOKUP(B22,Kuponger!E:E,Kuponger!Q:Q),15,45)=0,"",OFFSET(_xlfn.XLOOKUP(B22,Kuponger!E:E,Kuponger!Q:Q),15,45)),"")</f>
        <v>290</v>
      </c>
      <c r="D22">
        <f ca="1">IFERROR(IF(OFFSET(_xlfn.XLOOKUP(B22,Kuponger!E:E,Kuponger!Q:Q),15,46)=0,"",OFFSET(_xlfn.XLOOKUP(B22,Kuponger!E:E,Kuponger!Q:Q),15,46)),"")</f>
        <v>120</v>
      </c>
      <c r="E22">
        <f ca="1">IFERROR(IF(OFFSET(_xlfn.XLOOKUP(B22,Kuponger!E:E,Kuponger!Q:Q),15,47)=0,"",OFFSET(_xlfn.XLOOKUP(B22,Kuponger!E:E,Kuponger!Q:Q),15,47)),"")</f>
        <v>60</v>
      </c>
      <c r="F22" t="str">
        <f ca="1">IFERROR(IF(OFFSET(_xlfn.XLOOKUP(B22,Kuponger!E:E,Kuponger!Q:Q),1,47)=0,"",OFFSET(_xlfn.XLOOKUP(B22,Kuponger!E:E,Kuponger!Q:Q),1,47))*-1,"")</f>
        <v/>
      </c>
      <c r="G22">
        <f t="shared" ca="1" si="0"/>
        <v>470</v>
      </c>
      <c r="H22">
        <f ca="1">IFERROR(IF(OFFSET(_xlfn.XLOOKUP(B22,Kuponger!E:E,Kuponger!Q:Q),1,46)="","",OFFSET(_xlfn.XLOOKUP(B22,Kuponger!E:E,Kuponger!Q:Q),1,46)),"")</f>
        <v>3</v>
      </c>
      <c r="I22" s="3">
        <f ca="1">IFERROR(t_jh[[#This Row],[tp]]-G21,"")</f>
        <v>-70</v>
      </c>
      <c r="K22" s="801" t="str">
        <f>K10</f>
        <v>Borte</v>
      </c>
      <c r="L22">
        <f>L$10*L$19</f>
        <v>4240</v>
      </c>
      <c r="M22">
        <f t="shared" ref="M22:S22" si="10">M$10*M$19</f>
        <v>0</v>
      </c>
      <c r="N22">
        <f t="shared" si="10"/>
        <v>420</v>
      </c>
      <c r="O22">
        <f t="shared" si="10"/>
        <v>200</v>
      </c>
      <c r="P22">
        <f t="shared" si="10"/>
        <v>120</v>
      </c>
      <c r="Q22">
        <f t="shared" si="10"/>
        <v>420</v>
      </c>
      <c r="R22">
        <f t="shared" si="10"/>
        <v>180</v>
      </c>
      <c r="S22">
        <f t="shared" si="10"/>
        <v>290</v>
      </c>
      <c r="T22">
        <f>SUM(L$22:S$22)</f>
        <v>5870</v>
      </c>
    </row>
    <row r="23" spans="1:20" x14ac:dyDescent="0.2">
      <c r="A23">
        <v>22</v>
      </c>
      <c r="B23" s="22">
        <f ca="1">Data!AL22</f>
        <v>46074</v>
      </c>
      <c r="C23">
        <f ca="1">IFERROR(IF(OFFSET(_xlfn.XLOOKUP(B23,Kuponger!E:E,Kuponger!Q:Q),15,45)=0,"",OFFSET(_xlfn.XLOOKUP(B23,Kuponger!E:E,Kuponger!Q:Q),15,45)),"")</f>
        <v>100</v>
      </c>
      <c r="D23">
        <f ca="1">IFERROR(IF(OFFSET(_xlfn.XLOOKUP(B23,Kuponger!E:E,Kuponger!Q:Q),15,46)=0,"",OFFSET(_xlfn.XLOOKUP(B23,Kuponger!E:E,Kuponger!Q:Q),15,46)),"")</f>
        <v>130</v>
      </c>
      <c r="E23">
        <f ca="1">IFERROR(IF(OFFSET(_xlfn.XLOOKUP(B23,Kuponger!E:E,Kuponger!Q:Q),15,47)=0,"",OFFSET(_xlfn.XLOOKUP(B23,Kuponger!E:E,Kuponger!Q:Q),15,47)),"")</f>
        <v>50</v>
      </c>
      <c r="F23" t="str">
        <f ca="1">IFERROR(IF(OFFSET(_xlfn.XLOOKUP(B23,Kuponger!E:E,Kuponger!Q:Q),1,47)=0,"",OFFSET(_xlfn.XLOOKUP(B23,Kuponger!E:E,Kuponger!Q:Q),1,47))*-1,"")</f>
        <v/>
      </c>
      <c r="G23">
        <f t="shared" ca="1" si="0"/>
        <v>280</v>
      </c>
      <c r="H23">
        <f ca="1">IFERROR(IF(OFFSET(_xlfn.XLOOKUP(B23,Kuponger!E:E,Kuponger!Q:Q),1,46)="","",OFFSET(_xlfn.XLOOKUP(B23,Kuponger!E:E,Kuponger!Q:Q),1,46)),"")</f>
        <v>8</v>
      </c>
      <c r="I23" s="3">
        <f ca="1">IFERROR(t_jh[[#This Row],[tp]]-G22,"")</f>
        <v>-190</v>
      </c>
      <c r="K23" s="801" t="str">
        <f>K19</f>
        <v>Treff poeng</v>
      </c>
      <c r="L23">
        <f>SUM(L20:L22)</f>
        <v>10880</v>
      </c>
      <c r="M23">
        <f t="shared" ref="M23:S23" si="11">SUM(M20:M22)</f>
        <v>210</v>
      </c>
      <c r="N23">
        <f t="shared" si="11"/>
        <v>1020</v>
      </c>
      <c r="O23">
        <f t="shared" si="11"/>
        <v>300</v>
      </c>
      <c r="P23">
        <f t="shared" si="11"/>
        <v>640</v>
      </c>
      <c r="Q23">
        <f t="shared" si="11"/>
        <v>1410</v>
      </c>
      <c r="R23">
        <f t="shared" si="11"/>
        <v>660</v>
      </c>
      <c r="S23">
        <f t="shared" si="11"/>
        <v>1260</v>
      </c>
      <c r="T23">
        <f>SUM(L$23:S$23)</f>
        <v>16380</v>
      </c>
    </row>
    <row r="24" spans="1:20" x14ac:dyDescent="0.2">
      <c r="A24">
        <v>23</v>
      </c>
      <c r="B24" s="22">
        <f ca="1">Data!AL23</f>
        <v>46081</v>
      </c>
      <c r="C24">
        <f ca="1">IFERROR(IF(OFFSET(_xlfn.XLOOKUP(B24,Kuponger!E:E,Kuponger!Q:Q),15,45)=0,"",OFFSET(_xlfn.XLOOKUP(B24,Kuponger!E:E,Kuponger!Q:Q),15,45)),"")</f>
        <v>290</v>
      </c>
      <c r="D24" t="str">
        <f ca="1">IFERROR(IF(OFFSET(_xlfn.XLOOKUP(B24,Kuponger!E:E,Kuponger!Q:Q),15,46)=0,"",OFFSET(_xlfn.XLOOKUP(B24,Kuponger!E:E,Kuponger!Q:Q),15,46)),"")</f>
        <v/>
      </c>
      <c r="E24">
        <f ca="1">IFERROR(IF(OFFSET(_xlfn.XLOOKUP(B24,Kuponger!E:E,Kuponger!Q:Q),15,47)=0,"",OFFSET(_xlfn.XLOOKUP(B24,Kuponger!E:E,Kuponger!Q:Q),15,47)),"")</f>
        <v>440</v>
      </c>
      <c r="F24" t="str">
        <f ca="1">IFERROR(IF(OFFSET(_xlfn.XLOOKUP(B24,Kuponger!E:E,Kuponger!Q:Q),1,47)=0,"",OFFSET(_xlfn.XLOOKUP(B24,Kuponger!E:E,Kuponger!Q:Q),1,47))*-1,"")</f>
        <v/>
      </c>
      <c r="G24">
        <f t="shared" ca="1" si="0"/>
        <v>730</v>
      </c>
      <c r="H24">
        <f ca="1">IFERROR(IF(OFFSET(_xlfn.XLOOKUP(B24,Kuponger!E:E,Kuponger!Q:Q),1,46)="","",OFFSET(_xlfn.XLOOKUP(B24,Kuponger!E:E,Kuponger!Q:Q),1,46)),"")</f>
        <v>2</v>
      </c>
      <c r="I24" s="3">
        <f ca="1">IFERROR(t_jh[[#This Row],[tp]]-G23,"")</f>
        <v>450</v>
      </c>
      <c r="K24" s="4"/>
    </row>
    <row r="25" spans="1:20" x14ac:dyDescent="0.2">
      <c r="A25">
        <v>24</v>
      </c>
      <c r="B25" s="22">
        <f ca="1">Data!AL24</f>
        <v>46088</v>
      </c>
      <c r="C25">
        <f ca="1">IFERROR(IF(OFFSET(_xlfn.XLOOKUP(B25,Kuponger!E:E,Kuponger!Q:Q),15,45)=0,"",OFFSET(_xlfn.XLOOKUP(B25,Kuponger!E:E,Kuponger!Q:Q),15,45)),"")</f>
        <v>120</v>
      </c>
      <c r="D25">
        <f ca="1">IFERROR(IF(OFFSET(_xlfn.XLOOKUP(B25,Kuponger!E:E,Kuponger!Q:Q),15,46)=0,"",OFFSET(_xlfn.XLOOKUP(B25,Kuponger!E:E,Kuponger!Q:Q),15,46)),"")</f>
        <v>40</v>
      </c>
      <c r="E25">
        <f ca="1">IFERROR(IF(OFFSET(_xlfn.XLOOKUP(B25,Kuponger!E:E,Kuponger!Q:Q),15,47)=0,"",OFFSET(_xlfn.XLOOKUP(B25,Kuponger!E:E,Kuponger!Q:Q),15,47)),"")</f>
        <v>280</v>
      </c>
      <c r="F25" t="str">
        <f ca="1">IFERROR(IF(OFFSET(_xlfn.XLOOKUP(B25,Kuponger!E:E,Kuponger!Q:Q),1,47)=0,"",OFFSET(_xlfn.XLOOKUP(B25,Kuponger!E:E,Kuponger!Q:Q),1,47))*-1,"")</f>
        <v/>
      </c>
      <c r="G25">
        <f t="shared" ca="1" si="0"/>
        <v>440</v>
      </c>
      <c r="H25">
        <f ca="1">IFERROR(IF(OFFSET(_xlfn.XLOOKUP(B25,Kuponger!E:E,Kuponger!Q:Q),1,46)="","",OFFSET(_xlfn.XLOOKUP(B25,Kuponger!E:E,Kuponger!Q:Q),1,46)),"")</f>
        <v>8</v>
      </c>
      <c r="I25" s="3">
        <f ca="1">IFERROR(t_jh[[#This Row],[tp]]-G24,"")</f>
        <v>-290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IFERROR(IF(OFFSET(_xlfn.XLOOKUP(B26,Kuponger!E:E,Kuponger!Q:Q),15,45)=0,"",OFFSET(_xlfn.XLOOKUP(B26,Kuponger!E:E,Kuponger!Q:Q),15,45)),"")</f>
        <v>190</v>
      </c>
      <c r="D26">
        <f ca="1">IFERROR(IF(OFFSET(_xlfn.XLOOKUP(B26,Kuponger!E:E,Kuponger!Q:Q),15,46)=0,"",OFFSET(_xlfn.XLOOKUP(B26,Kuponger!E:E,Kuponger!Q:Q),15,46)),"")</f>
        <v>90</v>
      </c>
      <c r="E26">
        <f ca="1">IFERROR(IF(OFFSET(_xlfn.XLOOKUP(B26,Kuponger!E:E,Kuponger!Q:Q),15,47)=0,"",OFFSET(_xlfn.XLOOKUP(B26,Kuponger!E:E,Kuponger!Q:Q),15,47)),"")</f>
        <v>90</v>
      </c>
      <c r="F26" t="str">
        <f ca="1">IFERROR(IF(OFFSET(_xlfn.XLOOKUP(B26,Kuponger!E:E,Kuponger!Q:Q),1,47)=0,"",OFFSET(_xlfn.XLOOKUP(B26,Kuponger!E:E,Kuponger!Q:Q),1,47))*-1,"")</f>
        <v/>
      </c>
      <c r="G26">
        <f t="shared" ca="1" si="0"/>
        <v>370</v>
      </c>
      <c r="H26">
        <f ca="1">IFERROR(IF(OFFSET(_xlfn.XLOOKUP(B26,Kuponger!E:E,Kuponger!Q:Q),1,46)="","",OFFSET(_xlfn.XLOOKUP(B26,Kuponger!E:E,Kuponger!Q:Q),1,46)),"")</f>
        <v>6</v>
      </c>
      <c r="I26" s="3">
        <f ca="1">IFERROR(t_jh[[#This Row],[tp]]-G25,"")</f>
        <v>-70</v>
      </c>
      <c r="K26" s="801" t="str">
        <f>K8</f>
        <v>Hjemme</v>
      </c>
      <c r="L26">
        <f>L$14*L$25</f>
        <v>4400</v>
      </c>
      <c r="M26">
        <f t="shared" ref="M26:S26" si="13">M$14*M$25</f>
        <v>280</v>
      </c>
      <c r="N26">
        <f t="shared" si="13"/>
        <v>660</v>
      </c>
      <c r="O26">
        <f t="shared" si="13"/>
        <v>100</v>
      </c>
      <c r="P26">
        <f t="shared" si="13"/>
        <v>160</v>
      </c>
      <c r="Q26">
        <f t="shared" si="13"/>
        <v>720</v>
      </c>
      <c r="R26">
        <f t="shared" si="13"/>
        <v>480</v>
      </c>
      <c r="S26">
        <f t="shared" si="13"/>
        <v>840</v>
      </c>
      <c r="T26">
        <f>SUM(L$26:S$26)</f>
        <v>7640</v>
      </c>
    </row>
    <row r="27" spans="1:20" x14ac:dyDescent="0.2">
      <c r="A27">
        <v>26</v>
      </c>
      <c r="B27" s="22">
        <f ca="1">Data!AL26</f>
        <v>46102</v>
      </c>
      <c r="C27">
        <f ca="1">IFERROR(IF(OFFSET(_xlfn.XLOOKUP(B27,Kuponger!E:E,Kuponger!Q:Q),15,45)=0,"",OFFSET(_xlfn.XLOOKUP(B27,Kuponger!E:E,Kuponger!Q:Q),15,45)),"")</f>
        <v>240</v>
      </c>
      <c r="D27">
        <f ca="1">IFERROR(IF(OFFSET(_xlfn.XLOOKUP(B27,Kuponger!E:E,Kuponger!Q:Q),15,46)=0,"",OFFSET(_xlfn.XLOOKUP(B27,Kuponger!E:E,Kuponger!Q:Q),15,46)),"")</f>
        <v>60</v>
      </c>
      <c r="E27">
        <f ca="1">IFERROR(IF(OFFSET(_xlfn.XLOOKUP(B27,Kuponger!E:E,Kuponger!Q:Q),15,47)=0,"",OFFSET(_xlfn.XLOOKUP(B27,Kuponger!E:E,Kuponger!Q:Q),15,47)),"")</f>
        <v>230</v>
      </c>
      <c r="F27" t="str">
        <f ca="1">IFERROR(IF(OFFSET(_xlfn.XLOOKUP(B27,Kuponger!E:E,Kuponger!Q:Q),1,47)=0,"",OFFSET(_xlfn.XLOOKUP(B27,Kuponger!E:E,Kuponger!Q:Q),1,47))*-1,"")</f>
        <v/>
      </c>
      <c r="G27">
        <f t="shared" ca="1" si="0"/>
        <v>530</v>
      </c>
      <c r="H27">
        <f ca="1">IFERROR(IF(OFFSET(_xlfn.XLOOKUP(B27,Kuponger!E:E,Kuponger!Q:Q),1,46)="","",OFFSET(_xlfn.XLOOKUP(B27,Kuponger!E:E,Kuponger!Q:Q),1,46)),"")</f>
        <v>1</v>
      </c>
      <c r="I27" s="3">
        <f ca="1">IFERROR(t_jh[[#This Row],[tp]]-G26,"")</f>
        <v>160</v>
      </c>
      <c r="K27" s="801" t="str">
        <f>K9</f>
        <v>Uavgjort</v>
      </c>
      <c r="L27">
        <f>L$25*L$15</f>
        <v>400</v>
      </c>
      <c r="M27">
        <f t="shared" ref="M27:S27" si="14">M$25*M$15</f>
        <v>0</v>
      </c>
      <c r="N27">
        <f t="shared" si="14"/>
        <v>900</v>
      </c>
      <c r="O27">
        <f t="shared" si="14"/>
        <v>250</v>
      </c>
      <c r="P27">
        <f t="shared" si="14"/>
        <v>1800</v>
      </c>
      <c r="Q27">
        <f t="shared" si="14"/>
        <v>780</v>
      </c>
      <c r="R27">
        <f t="shared" si="14"/>
        <v>460</v>
      </c>
      <c r="S27">
        <f t="shared" si="14"/>
        <v>1990</v>
      </c>
      <c r="T27">
        <f>SUM(L$27:S$27)</f>
        <v>6580</v>
      </c>
    </row>
    <row r="28" spans="1:20" x14ac:dyDescent="0.2">
      <c r="A28">
        <v>27</v>
      </c>
      <c r="B28" s="22">
        <f ca="1">Data!AL27</f>
        <v>46109</v>
      </c>
      <c r="C28">
        <f ca="1">IFERROR(IF(OFFSET(_xlfn.XLOOKUP(B28,Kuponger!E:E,Kuponger!Q:Q),15,45)=0,"",OFFSET(_xlfn.XLOOKUP(B28,Kuponger!E:E,Kuponger!Q:Q),15,45)),"")</f>
        <v>280</v>
      </c>
      <c r="D28">
        <f ca="1">IFERROR(IF(OFFSET(_xlfn.XLOOKUP(B28,Kuponger!E:E,Kuponger!Q:Q),15,46)=0,"",OFFSET(_xlfn.XLOOKUP(B28,Kuponger!E:E,Kuponger!Q:Q),15,46)),"")</f>
        <v>40</v>
      </c>
      <c r="E28" t="str">
        <f ca="1">IFERROR(IF(OFFSET(_xlfn.XLOOKUP(B28,Kuponger!E:E,Kuponger!Q:Q),15,47)=0,"",OFFSET(_xlfn.XLOOKUP(B28,Kuponger!E:E,Kuponger!Q:Q),15,47)),"")</f>
        <v/>
      </c>
      <c r="F28" t="str">
        <f ca="1">IFERROR(IF(OFFSET(_xlfn.XLOOKUP(B28,Kuponger!E:E,Kuponger!Q:Q),1,47)=0,"",OFFSET(_xlfn.XLOOKUP(B28,Kuponger!E:E,Kuponger!Q:Q),1,47))*-1,"")</f>
        <v/>
      </c>
      <c r="G28">
        <f t="shared" ca="1" si="0"/>
        <v>320</v>
      </c>
      <c r="H28">
        <f ca="1">IFERROR(IF(OFFSET(_xlfn.XLOOKUP(B28,Kuponger!E:E,Kuponger!Q:Q),1,46)="","",OFFSET(_xlfn.XLOOKUP(B28,Kuponger!E:E,Kuponger!Q:Q),1,46)),"")</f>
        <v>9</v>
      </c>
      <c r="I28" s="3">
        <f ca="1">IFERROR(t_jh[[#This Row],[tp]]-G27,"")</f>
        <v>-210</v>
      </c>
      <c r="K28" s="801" t="str">
        <f>K10</f>
        <v>Borte</v>
      </c>
      <c r="L28">
        <f>L$25*L$16</f>
        <v>4640</v>
      </c>
      <c r="M28">
        <f t="shared" ref="M28:S28" si="15">M$25*M$16</f>
        <v>280</v>
      </c>
      <c r="N28">
        <f t="shared" si="15"/>
        <v>780</v>
      </c>
      <c r="O28">
        <f t="shared" si="15"/>
        <v>600</v>
      </c>
      <c r="P28">
        <f t="shared" si="15"/>
        <v>120</v>
      </c>
      <c r="Q28">
        <f t="shared" si="15"/>
        <v>960</v>
      </c>
      <c r="R28">
        <f t="shared" si="15"/>
        <v>360</v>
      </c>
      <c r="S28">
        <f t="shared" si="15"/>
        <v>1300</v>
      </c>
      <c r="T28">
        <f>SUM(L$28:S$28)</f>
        <v>9040</v>
      </c>
    </row>
    <row r="29" spans="1:20" x14ac:dyDescent="0.2">
      <c r="A29">
        <v>28</v>
      </c>
      <c r="B29" s="22">
        <f ca="1">Data!AL28</f>
        <v>46123</v>
      </c>
      <c r="C29">
        <f ca="1">IFERROR(IF(OFFSET(_xlfn.XLOOKUP(B29,Kuponger!E:E,Kuponger!Q:Q),15,45)=0,"",OFFSET(_xlfn.XLOOKUP(B29,Kuponger!E:E,Kuponger!Q:Q),15,45)),"")</f>
        <v>270</v>
      </c>
      <c r="D29">
        <f ca="1">IFERROR(IF(OFFSET(_xlfn.XLOOKUP(B29,Kuponger!E:E,Kuponger!Q:Q),15,46)=0,"",OFFSET(_xlfn.XLOOKUP(B29,Kuponger!E:E,Kuponger!Q:Q),15,46)),"")</f>
        <v>30</v>
      </c>
      <c r="E29">
        <f ca="1">IFERROR(IF(OFFSET(_xlfn.XLOOKUP(B29,Kuponger!E:E,Kuponger!Q:Q),15,47)=0,"",OFFSET(_xlfn.XLOOKUP(B29,Kuponger!E:E,Kuponger!Q:Q),15,47)),"")</f>
        <v>160</v>
      </c>
      <c r="F29" t="str">
        <f ca="1">IFERROR(IF(OFFSET(_xlfn.XLOOKUP(B29,Kuponger!E:E,Kuponger!Q:Q),1,47)=0,"",OFFSET(_xlfn.XLOOKUP(B29,Kuponger!E:E,Kuponger!Q:Q),1,47))*-1,"")</f>
        <v/>
      </c>
      <c r="G29">
        <f t="shared" ca="1" si="0"/>
        <v>460</v>
      </c>
      <c r="H29">
        <f ca="1">IFERROR(IF(OFFSET(_xlfn.XLOOKUP(B29,Kuponger!E:E,Kuponger!Q:Q),1,46)="","",OFFSET(_xlfn.XLOOKUP(B29,Kuponger!E:E,Kuponger!Q:Q),1,46)),"")</f>
        <v>6</v>
      </c>
      <c r="I29" s="3">
        <f ca="1">IFERROR(t_jh[[#This Row],[tp]]-G28,"")</f>
        <v>140</v>
      </c>
      <c r="K29" s="801" t="str">
        <f>K25</f>
        <v>Misset poeng</v>
      </c>
      <c r="L29">
        <f>SUM(L26:L28)</f>
        <v>9440</v>
      </c>
      <c r="M29">
        <f t="shared" ref="M29:S29" si="16">SUM(M26:M28)</f>
        <v>560</v>
      </c>
      <c r="N29">
        <f t="shared" si="16"/>
        <v>2340</v>
      </c>
      <c r="O29">
        <f t="shared" si="16"/>
        <v>950</v>
      </c>
      <c r="P29">
        <f t="shared" si="16"/>
        <v>2080</v>
      </c>
      <c r="Q29">
        <f t="shared" si="16"/>
        <v>2460</v>
      </c>
      <c r="R29">
        <f t="shared" si="16"/>
        <v>1300</v>
      </c>
      <c r="S29">
        <f t="shared" si="16"/>
        <v>4130</v>
      </c>
      <c r="T29">
        <f>SUM(L$29:S$29)</f>
        <v>23260</v>
      </c>
    </row>
    <row r="30" spans="1:20" x14ac:dyDescent="0.2">
      <c r="A30">
        <v>29</v>
      </c>
      <c r="B30" s="22">
        <f ca="1">Data!AL29</f>
        <v>46130</v>
      </c>
      <c r="C30">
        <f ca="1">IFERROR(IF(OFFSET(_xlfn.XLOOKUP(B30,Kuponger!E:E,Kuponger!Q:Q),15,45)=0,"",OFFSET(_xlfn.XLOOKUP(B30,Kuponger!E:E,Kuponger!Q:Q),15,45)),"")</f>
        <v>140</v>
      </c>
      <c r="D30">
        <f ca="1">IFERROR(IF(OFFSET(_xlfn.XLOOKUP(B30,Kuponger!E:E,Kuponger!Q:Q),15,46)=0,"",OFFSET(_xlfn.XLOOKUP(B30,Kuponger!E:E,Kuponger!Q:Q),15,46)),"")</f>
        <v>60</v>
      </c>
      <c r="E30">
        <f ca="1">IFERROR(IF(OFFSET(_xlfn.XLOOKUP(B30,Kuponger!E:E,Kuponger!Q:Q),15,47)=0,"",OFFSET(_xlfn.XLOOKUP(B30,Kuponger!E:E,Kuponger!Q:Q),15,47)),"")</f>
        <v>290</v>
      </c>
      <c r="F30" t="str">
        <f ca="1">IFERROR(IF(OFFSET(_xlfn.XLOOKUP(B30,Kuponger!E:E,Kuponger!Q:Q),1,47)=0,"",OFFSET(_xlfn.XLOOKUP(B30,Kuponger!E:E,Kuponger!Q:Q),1,47))*-1,"")</f>
        <v/>
      </c>
      <c r="G30">
        <f t="shared" ca="1" si="0"/>
        <v>490</v>
      </c>
      <c r="H30">
        <f ca="1">IFERROR(IF(OFFSET(_xlfn.XLOOKUP(B30,Kuponger!E:E,Kuponger!Q:Q),1,46)="","",OFFSET(_xlfn.XLOOKUP(B30,Kuponger!E:E,Kuponger!Q:Q),1,46)),"")</f>
        <v>2</v>
      </c>
      <c r="I30" s="3">
        <f ca="1">IFERROR(t_jh[[#This Row],[tp]]-G29,"")</f>
        <v>30</v>
      </c>
    </row>
    <row r="31" spans="1:20" x14ac:dyDescent="0.2">
      <c r="A31">
        <v>30</v>
      </c>
      <c r="B31" s="22">
        <f ca="1">Data!AL30</f>
        <v>46137</v>
      </c>
      <c r="C31">
        <f ca="1">IFERROR(IF(OFFSET(_xlfn.XLOOKUP(B31,Kuponger!E:E,Kuponger!Q:Q),15,45)=0,"",OFFSET(_xlfn.XLOOKUP(B31,Kuponger!E:E,Kuponger!Q:Q),15,45)),"")</f>
        <v>260</v>
      </c>
      <c r="D31">
        <f ca="1">IFERROR(IF(OFFSET(_xlfn.XLOOKUP(B31,Kuponger!E:E,Kuponger!Q:Q),15,46)=0,"",OFFSET(_xlfn.XLOOKUP(B31,Kuponger!E:E,Kuponger!Q:Q),15,46)),"")</f>
        <v>60</v>
      </c>
      <c r="E31">
        <f ca="1">IFERROR(IF(OFFSET(_xlfn.XLOOKUP(B31,Kuponger!E:E,Kuponger!Q:Q),15,47)=0,"",OFFSET(_xlfn.XLOOKUP(B31,Kuponger!E:E,Kuponger!Q:Q),15,47)),"")</f>
        <v>290</v>
      </c>
      <c r="F31" t="str">
        <f ca="1">IFERROR(IF(OFFSET(_xlfn.XLOOKUP(B31,Kuponger!E:E,Kuponger!Q:Q),1,47)=0,"",OFFSET(_xlfn.XLOOKUP(B31,Kuponger!E:E,Kuponger!Q:Q),1,47))*-1,"")</f>
        <v/>
      </c>
      <c r="G31">
        <f t="shared" ca="1" si="0"/>
        <v>610</v>
      </c>
      <c r="H31">
        <f ca="1">IFERROR(IF(OFFSET(_xlfn.XLOOKUP(B31,Kuponger!E:E,Kuponger!Q:Q),1,46)="","",OFFSET(_xlfn.XLOOKUP(B31,Kuponger!E:E,Kuponger!Q:Q),1,46)),"")</f>
        <v>1</v>
      </c>
      <c r="I31" s="3">
        <f ca="1">IFERROR(t_jh[[#This Row],[tp]]-G30,"")</f>
        <v>120</v>
      </c>
      <c r="K31" t="s">
        <v>856</v>
      </c>
    </row>
    <row r="32" spans="1:20" x14ac:dyDescent="0.2">
      <c r="A32">
        <v>31</v>
      </c>
      <c r="B32" s="22">
        <f ca="1">Data!AL31</f>
        <v>46144</v>
      </c>
      <c r="C32">
        <f ca="1">IFERROR(IF(OFFSET(_xlfn.XLOOKUP(B32,Kuponger!E:E,Kuponger!Q:Q),15,45)=0,"",OFFSET(_xlfn.XLOOKUP(B32,Kuponger!E:E,Kuponger!Q:Q),15,45)),"")</f>
        <v>280</v>
      </c>
      <c r="D32">
        <f ca="1">IFERROR(IF(OFFSET(_xlfn.XLOOKUP(B32,Kuponger!E:E,Kuponger!Q:Q),15,46)=0,"",OFFSET(_xlfn.XLOOKUP(B32,Kuponger!E:E,Kuponger!Q:Q),15,46)),"")</f>
        <v>50</v>
      </c>
      <c r="E32">
        <f ca="1">IFERROR(IF(OFFSET(_xlfn.XLOOKUP(B32,Kuponger!E:E,Kuponger!Q:Q),15,47)=0,"",OFFSET(_xlfn.XLOOKUP(B32,Kuponger!E:E,Kuponger!Q:Q),15,47)),"")</f>
        <v>180</v>
      </c>
      <c r="F32" t="str">
        <f ca="1">IFERROR(IF(OFFSET(_xlfn.XLOOKUP(B32,Kuponger!E:E,Kuponger!Q:Q),1,47)=0,"",OFFSET(_xlfn.XLOOKUP(B32,Kuponger!E:E,Kuponger!Q:Q),1,47))*-1,"")</f>
        <v/>
      </c>
      <c r="G32">
        <f t="shared" ca="1" si="0"/>
        <v>510</v>
      </c>
      <c r="H32">
        <f ca="1">IFERROR(IF(OFFSET(_xlfn.XLOOKUP(B32,Kuponger!E:E,Kuponger!Q:Q),1,46)="","",OFFSET(_xlfn.XLOOKUP(B32,Kuponger!E:E,Kuponger!Q:Q),1,46)),"")</f>
        <v>3</v>
      </c>
      <c r="I32" s="3">
        <f ca="1">IFERROR(t_jh[[#This Row],[tp]]-G31,"")</f>
        <v>-100</v>
      </c>
      <c r="K32">
        <f>SUM(Kuponger!BQ:BQ)</f>
        <v>178</v>
      </c>
    </row>
    <row r="33" spans="1:14" x14ac:dyDescent="0.2">
      <c r="A33">
        <v>32</v>
      </c>
      <c r="B33" s="22">
        <f ca="1">Data!AL32</f>
        <v>46151</v>
      </c>
      <c r="C33">
        <f ca="1">IFERROR(IF(OFFSET(_xlfn.XLOOKUP(B33,Kuponger!E:E,Kuponger!Q:Q),15,45)=0,"",OFFSET(_xlfn.XLOOKUP(B33,Kuponger!E:E,Kuponger!Q:Q),15,45)),"")</f>
        <v>240</v>
      </c>
      <c r="D33">
        <f ca="1">IFERROR(IF(OFFSET(_xlfn.XLOOKUP(B33,Kuponger!E:E,Kuponger!Q:Q),15,46)=0,"",OFFSET(_xlfn.XLOOKUP(B33,Kuponger!E:E,Kuponger!Q:Q),15,46)),"")</f>
        <v>60</v>
      </c>
      <c r="E33">
        <f ca="1">IFERROR(IF(OFFSET(_xlfn.XLOOKUP(B33,Kuponger!E:E,Kuponger!Q:Q),15,47)=0,"",OFFSET(_xlfn.XLOOKUP(B33,Kuponger!E:E,Kuponger!Q:Q),15,47)),"")</f>
        <v>340</v>
      </c>
      <c r="F33" t="str">
        <f ca="1">IFERROR(IF(OFFSET(_xlfn.XLOOKUP(B33,Kuponger!E:E,Kuponger!Q:Q),1,47)=0,"",OFFSET(_xlfn.XLOOKUP(B33,Kuponger!E:E,Kuponger!Q:Q),1,47))*-1,"")</f>
        <v/>
      </c>
      <c r="G33">
        <f t="shared" ca="1" si="0"/>
        <v>640</v>
      </c>
      <c r="H33">
        <f ca="1">IFERROR(IF(OFFSET(_xlfn.XLOOKUP(B33,Kuponger!E:E,Kuponger!Q:Q),1,46)="","",OFFSET(_xlfn.XLOOKUP(B33,Kuponger!E:E,Kuponger!Q:Q),1,46)),"")</f>
        <v>1</v>
      </c>
      <c r="I33" s="3">
        <f ca="1">IFERROR(t_jh[[#This Row],[tp]]-G32,"")</f>
        <v>130</v>
      </c>
    </row>
    <row r="34" spans="1:14" x14ac:dyDescent="0.2">
      <c r="A34">
        <v>33</v>
      </c>
      <c r="B34" s="22" t="str">
        <f ca="1">Data!AL33</f>
        <v/>
      </c>
      <c r="C34" t="str">
        <f ca="1">IFERROR(IF(OFFSET(_xlfn.XLOOKUP(B34,Kuponger!E:E,Kuponger!Q:Q),15,45)=0,"",OFFSET(_xlfn.XLOOKUP(B34,Kuponger!E:E,Kuponger!Q:Q),15,45)),"")</f>
        <v/>
      </c>
      <c r="D34" t="str">
        <f ca="1">IFERROR(IF(OFFSET(_xlfn.XLOOKUP(B34,Kuponger!E:E,Kuponger!Q:Q),15,46)=0,"",OFFSET(_xlfn.XLOOKUP(B34,Kuponger!E:E,Kuponger!Q:Q),15,46)),"")</f>
        <v/>
      </c>
      <c r="E34" t="str">
        <f ca="1">IFERROR(IF(OFFSET(_xlfn.XLOOKUP(B34,Kuponger!E:E,Kuponger!Q:Q),15,47)=0,"",OFFSET(_xlfn.XLOOKUP(B34,Kuponger!E:E,Kuponger!Q:Q),15,47)),"")</f>
        <v/>
      </c>
      <c r="F34" t="str">
        <f ca="1">IFERROR(IF(OFFSET(_xlfn.XLOOKUP(B34,Kuponger!E:E,Kuponger!Q:Q),1,47)=0,"",OFFSET(_xlfn.XLOOKUP(B34,Kuponger!E:E,Kuponger!Q:Q),1,47))*-1,"")</f>
        <v/>
      </c>
      <c r="G34" t="str">
        <f t="shared" ca="1" si="0"/>
        <v/>
      </c>
      <c r="H34" t="str">
        <f ca="1">IFERROR(IF(OFFSET(_xlfn.XLOOKUP(B34,Kuponger!E:E,Kuponger!Q:Q),1,46)="","",OFFSET(_xlfn.XLOOKUP(B34,Kuponger!E:E,Kuponger!Q:Q),1,46)),"")</f>
        <v/>
      </c>
      <c r="I34" s="3" t="str">
        <f ca="1">IFERROR(t_jh[[#This Row],[tp]]-G33,"")</f>
        <v/>
      </c>
    </row>
    <row r="35" spans="1:14" x14ac:dyDescent="0.2">
      <c r="A35">
        <v>34</v>
      </c>
      <c r="B35" s="22" t="str">
        <f ca="1">Data!AL34</f>
        <v/>
      </c>
      <c r="C35" t="str">
        <f ca="1">IFERROR(IF(OFFSET(_xlfn.XLOOKUP(B35,Kuponger!E:E,Kuponger!Q:Q),15,45)=0,"",OFFSET(_xlfn.XLOOKUP(B35,Kuponger!E:E,Kuponger!Q:Q),15,45)),"")</f>
        <v/>
      </c>
      <c r="D35" t="str">
        <f ca="1">IFERROR(IF(OFFSET(_xlfn.XLOOKUP(B35,Kuponger!E:E,Kuponger!Q:Q),15,46)=0,"",OFFSET(_xlfn.XLOOKUP(B35,Kuponger!E:E,Kuponger!Q:Q),15,46)),"")</f>
        <v/>
      </c>
      <c r="E35" t="str">
        <f ca="1">IFERROR(IF(OFFSET(_xlfn.XLOOKUP(B35,Kuponger!E:E,Kuponger!Q:Q),15,47)=0,"",OFFSET(_xlfn.XLOOKUP(B35,Kuponger!E:E,Kuponger!Q:Q),15,47)),"")</f>
        <v/>
      </c>
      <c r="F35" t="str">
        <f ca="1">IFERROR(IF(OFFSET(_xlfn.XLOOKUP(B35,Kuponger!E:E,Kuponger!Q:Q),1,47)=0,"",OFFSET(_xlfn.XLOOKUP(B35,Kuponger!E:E,Kuponger!Q:Q),1,47))*-1,"")</f>
        <v/>
      </c>
      <c r="G35" t="str">
        <f t="shared" ca="1" si="0"/>
        <v/>
      </c>
      <c r="H35" t="str">
        <f ca="1">IFERROR(IF(OFFSET(_xlfn.XLOOKUP(B35,Kuponger!E:E,Kuponger!Q:Q),1,46)="","",OFFSET(_xlfn.XLOOKUP(B35,Kuponger!E:E,Kuponger!Q:Q),1,46)),"")</f>
        <v/>
      </c>
      <c r="I35" s="3" t="str">
        <f ca="1">IFERROR(t_jh[[#This Row],[tp]]-G34,"")</f>
        <v/>
      </c>
      <c r="K35" s="2" t="s">
        <v>24</v>
      </c>
    </row>
    <row r="36" spans="1:14" x14ac:dyDescent="0.2">
      <c r="A36">
        <v>35</v>
      </c>
      <c r="B36" s="22" t="str">
        <f ca="1">Data!AL35</f>
        <v/>
      </c>
      <c r="C36" t="str">
        <f ca="1">IFERROR(IF(OFFSET(_xlfn.XLOOKUP(B36,Kuponger!E:E,Kuponger!Q:Q),15,45)=0,"",OFFSET(_xlfn.XLOOKUP(B36,Kuponger!E:E,Kuponger!Q:Q),15,45)),"")</f>
        <v/>
      </c>
      <c r="D36" t="str">
        <f ca="1">IFERROR(IF(OFFSET(_xlfn.XLOOKUP(B36,Kuponger!E:E,Kuponger!Q:Q),15,46)=0,"",OFFSET(_xlfn.XLOOKUP(B36,Kuponger!E:E,Kuponger!Q:Q),15,46)),"")</f>
        <v/>
      </c>
      <c r="E36" t="str">
        <f ca="1">IFERROR(IF(OFFSET(_xlfn.XLOOKUP(B36,Kuponger!E:E,Kuponger!Q:Q),15,47)=0,"",OFFSET(_xlfn.XLOOKUP(B36,Kuponger!E:E,Kuponger!Q:Q),15,47)),"")</f>
        <v/>
      </c>
      <c r="F36" t="str">
        <f ca="1">IFERROR(IF(OFFSET(_xlfn.XLOOKUP(B36,Kuponger!E:E,Kuponger!Q:Q),1,47)=0,"",OFFSET(_xlfn.XLOOKUP(B36,Kuponger!E:E,Kuponger!Q:Q),1,47))*-1,"")</f>
        <v/>
      </c>
      <c r="G36" t="str">
        <f t="shared" ca="1" si="0"/>
        <v/>
      </c>
      <c r="H36" t="str">
        <f ca="1">IFERROR(IF(OFFSET(_xlfn.XLOOKUP(B36,Kuponger!E:E,Kuponger!Q:Q),1,46)="","",OFFSET(_xlfn.XLOOKUP(B36,Kuponger!E:E,Kuponger!Q:Q),1,46)),"")</f>
        <v/>
      </c>
      <c r="I36" s="3" t="str">
        <f ca="1">IFERROR(t_jh[[#This Row],[tp]]-G35,"")</f>
        <v/>
      </c>
      <c r="K36" s="4" t="s">
        <v>857</v>
      </c>
      <c r="L36" s="3">
        <v>80</v>
      </c>
      <c r="M36" s="3">
        <v>70</v>
      </c>
      <c r="N36" s="3">
        <v>60</v>
      </c>
    </row>
    <row r="37" spans="1:14" x14ac:dyDescent="0.2">
      <c r="A37">
        <v>36</v>
      </c>
      <c r="B37" s="22" t="str">
        <f ca="1">Data!AL36</f>
        <v/>
      </c>
      <c r="C37" t="str">
        <f ca="1">IFERROR(IF(OFFSET(_xlfn.XLOOKUP(B37,Kuponger!E:E,Kuponger!Q:Q),15,45)=0,"",OFFSET(_xlfn.XLOOKUP(B37,Kuponger!E:E,Kuponger!Q:Q),15,45)),"")</f>
        <v/>
      </c>
      <c r="D37" t="str">
        <f ca="1">IFERROR(IF(OFFSET(_xlfn.XLOOKUP(B37,Kuponger!E:E,Kuponger!Q:Q),15,46)=0,"",OFFSET(_xlfn.XLOOKUP(B37,Kuponger!E:E,Kuponger!Q:Q),15,46)),"")</f>
        <v/>
      </c>
      <c r="E37" t="str">
        <f ca="1">IFERROR(IF(OFFSET(_xlfn.XLOOKUP(B37,Kuponger!E:E,Kuponger!Q:Q),15,47)=0,"",OFFSET(_xlfn.XLOOKUP(B37,Kuponger!E:E,Kuponger!Q:Q),15,47)),"")</f>
        <v/>
      </c>
      <c r="F37" t="str">
        <f ca="1">IFERROR(IF(OFFSET(_xlfn.XLOOKUP(B37,Kuponger!E:E,Kuponger!Q:Q),1,47)=0,"",OFFSET(_xlfn.XLOOKUP(B37,Kuponger!E:E,Kuponger!Q:Q),1,47))*-1,"")</f>
        <v/>
      </c>
      <c r="G37" t="str">
        <f t="shared" ca="1" si="0"/>
        <v/>
      </c>
      <c r="H37" t="str">
        <f ca="1">IFERROR(IF(OFFSET(_xlfn.XLOOKUP(B37,Kuponger!E:E,Kuponger!Q:Q),1,46)="","",OFFSET(_xlfn.XLOOKUP(B37,Kuponger!E:E,Kuponger!Q:Q),1,46)),"")</f>
        <v/>
      </c>
      <c r="I37" s="3" t="str">
        <f ca="1">IFERROR(t_jh[[#This Row],[tp]]-G36,"")</f>
        <v/>
      </c>
      <c r="K37" s="4" t="s">
        <v>858</v>
      </c>
      <c r="L37" t="str">
        <f>_xlfn.XLOOKUP(LARGE(L$2:L$4,1),L$2:L$4,$K$2:$K$4)</f>
        <v>Hjemme</v>
      </c>
      <c r="M37" t="str">
        <f>_xlfn.XLOOKUP(LARGE(M$2:M$4,1),M$2:M$4,$K$2:$K$4)</f>
        <v>Hjemme</v>
      </c>
      <c r="N37" t="str">
        <f>_xlfn.XLOOKUP(LARGE(N$2:N$4,1),N$2:N$4,$K$2:$K$4)</f>
        <v>Borte</v>
      </c>
    </row>
    <row r="38" spans="1:14" x14ac:dyDescent="0.2">
      <c r="A38">
        <v>37</v>
      </c>
      <c r="B38" s="22" t="str">
        <f ca="1">Data!AL37</f>
        <v/>
      </c>
      <c r="C38" t="str">
        <f ca="1">IFERROR(IF(OFFSET(_xlfn.XLOOKUP(B38,Kuponger!E:E,Kuponger!Q:Q),15,45)=0,"",OFFSET(_xlfn.XLOOKUP(B38,Kuponger!E:E,Kuponger!Q:Q),15,45)),"")</f>
        <v/>
      </c>
      <c r="D38" t="str">
        <f ca="1">IFERROR(IF(OFFSET(_xlfn.XLOOKUP(B38,Kuponger!E:E,Kuponger!Q:Q),15,46)=0,"",OFFSET(_xlfn.XLOOKUP(B38,Kuponger!E:E,Kuponger!Q:Q),15,46)),"")</f>
        <v/>
      </c>
      <c r="E38" t="str">
        <f ca="1">IFERROR(IF(OFFSET(_xlfn.XLOOKUP(B38,Kuponger!E:E,Kuponger!Q:Q),15,47)=0,"",OFFSET(_xlfn.XLOOKUP(B38,Kuponger!E:E,Kuponger!Q:Q),15,47)),"")</f>
        <v/>
      </c>
      <c r="F38" t="str">
        <f ca="1">IFERROR(IF(OFFSET(_xlfn.XLOOKUP(B38,Kuponger!E:E,Kuponger!Q:Q),1,47)=0,"",OFFSET(_xlfn.XLOOKUP(B38,Kuponger!E:E,Kuponger!Q:Q),1,47))*-1,"")</f>
        <v/>
      </c>
      <c r="G38" t="str">
        <f t="shared" ca="1" si="0"/>
        <v/>
      </c>
      <c r="H38" t="str">
        <f ca="1">IFERROR(IF(OFFSET(_xlfn.XLOOKUP(B38,Kuponger!E:E,Kuponger!Q:Q),1,46)="","",OFFSET(_xlfn.XLOOKUP(B38,Kuponger!E:E,Kuponger!Q:Q),1,46)),"")</f>
        <v/>
      </c>
      <c r="I38" s="3" t="str">
        <f ca="1">IFERROR(t_jh[[#This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IFERROR(IF(OFFSET(_xlfn.XLOOKUP(B39,Kuponger!E:E,Kuponger!Q:Q),15,45)=0,"",OFFSET(_xlfn.XLOOKUP(B39,Kuponger!E:E,Kuponger!Q:Q),15,45)),"")</f>
        <v/>
      </c>
      <c r="D39" t="str">
        <f ca="1">IFERROR(IF(OFFSET(_xlfn.XLOOKUP(B39,Kuponger!E:E,Kuponger!Q:Q),15,46)=0,"",OFFSET(_xlfn.XLOOKUP(B39,Kuponger!E:E,Kuponger!Q:Q),15,46)),"")</f>
        <v/>
      </c>
      <c r="E39" t="str">
        <f ca="1">IFERROR(IF(OFFSET(_xlfn.XLOOKUP(B39,Kuponger!E:E,Kuponger!Q:Q),15,47)=0,"",OFFSET(_xlfn.XLOOKUP(B39,Kuponger!E:E,Kuponger!Q:Q),15,47)),"")</f>
        <v/>
      </c>
      <c r="F39" t="str">
        <f ca="1">IFERROR(IF(OFFSET(_xlfn.XLOOKUP(B39,Kuponger!E:E,Kuponger!Q:Q),1,47)=0,"",OFFSET(_xlfn.XLOOKUP(B39,Kuponger!E:E,Kuponger!Q:Q),1,47))*-1,"")</f>
        <v/>
      </c>
      <c r="G39" t="str">
        <f t="shared" ca="1" si="0"/>
        <v/>
      </c>
      <c r="H39" t="str">
        <f ca="1">IFERROR(IF(OFFSET(_xlfn.XLOOKUP(B39,Kuponger!E:E,Kuponger!Q:Q),1,46)="","",OFFSET(_xlfn.XLOOKUP(B39,Kuponger!E:E,Kuponger!Q:Q),1,46)),"")</f>
        <v/>
      </c>
      <c r="I39" s="3" t="str">
        <f ca="1">IFERROR(t_jh[[#This Row],[tp]]-G38,"")</f>
        <v/>
      </c>
      <c r="K39" s="4" t="s">
        <v>860</v>
      </c>
      <c r="L39" t="str">
        <f>_xlfn.XLOOKUP(LARGE(L$14:L$16,1),L$14:L$16,$K$14:$K$16)</f>
        <v>Borte</v>
      </c>
      <c r="M39" t="str">
        <f>_xlfn.XLOOKUP(LARGE(M$14:M$16,1),M$14:M$16,$K$14:$K$16)</f>
        <v>Hjemme</v>
      </c>
      <c r="N39" t="str">
        <f>_xlfn.XLOOKUP(LARGE(N$14:N$16,1),N$14:N$16,$K$14:$K$16)</f>
        <v>Uavgjort</v>
      </c>
    </row>
    <row r="40" spans="1:14" x14ac:dyDescent="0.2">
      <c r="A40">
        <v>39</v>
      </c>
      <c r="B40" s="22" t="str">
        <f ca="1">Data!AL39</f>
        <v/>
      </c>
      <c r="C40" t="str">
        <f ca="1">IFERROR(IF(OFFSET(_xlfn.XLOOKUP(B40,Kuponger!E:E,Kuponger!Q:Q),15,45)=0,"",OFFSET(_xlfn.XLOOKUP(B40,Kuponger!E:E,Kuponger!Q:Q),15,45)),"")</f>
        <v/>
      </c>
      <c r="D40" t="str">
        <f ca="1">IFERROR(IF(OFFSET(_xlfn.XLOOKUP(B40,Kuponger!E:E,Kuponger!Q:Q),15,46)=0,"",OFFSET(_xlfn.XLOOKUP(B40,Kuponger!E:E,Kuponger!Q:Q),15,46)),"")</f>
        <v/>
      </c>
      <c r="E40" t="str">
        <f ca="1">IFERROR(IF(OFFSET(_xlfn.XLOOKUP(B40,Kuponger!E:E,Kuponger!Q:Q),15,47)=0,"",OFFSET(_xlfn.XLOOKUP(B40,Kuponger!E:E,Kuponger!Q:Q),15,47)),"")</f>
        <v/>
      </c>
      <c r="F40" t="str">
        <f ca="1">IFERROR(IF(OFFSET(_xlfn.XLOOKUP(B40,Kuponger!E:E,Kuponger!Q:Q),1,47)=0,"",OFFSET(_xlfn.XLOOKUP(B40,Kuponger!E:E,Kuponger!Q:Q),1,47))*-1,"")</f>
        <v/>
      </c>
      <c r="G40" t="str">
        <f t="shared" ca="1" si="0"/>
        <v/>
      </c>
      <c r="H40" t="str">
        <f ca="1">IFERROR(IF(OFFSET(_xlfn.XLOOKUP(B40,Kuponger!E:E,Kuponger!Q:Q),1,46)="","",OFFSET(_xlfn.XLOOKUP(B40,Kuponger!E:E,Kuponger!Q:Q),1,46)),"")</f>
        <v/>
      </c>
      <c r="I40" s="3" t="str">
        <f ca="1">IFERROR(t_jh[[#This Row],[tp]]-G39,"")</f>
        <v/>
      </c>
    </row>
    <row r="41" spans="1:14" x14ac:dyDescent="0.2">
      <c r="A41">
        <v>40</v>
      </c>
      <c r="B41" s="22" t="str">
        <f ca="1">Data!AL40</f>
        <v/>
      </c>
      <c r="C41" t="str">
        <f ca="1">IFERROR(IF(OFFSET(_xlfn.XLOOKUP(B41,Kuponger!E:E,Kuponger!Q:Q),15,45)=0,"",OFFSET(_xlfn.XLOOKUP(B41,Kuponger!E:E,Kuponger!Q:Q),15,45)),"")</f>
        <v/>
      </c>
      <c r="D41" t="str">
        <f ca="1">IFERROR(IF(OFFSET(_xlfn.XLOOKUP(B41,Kuponger!E:E,Kuponger!Q:Q),15,46)=0,"",OFFSET(_xlfn.XLOOKUP(B41,Kuponger!E:E,Kuponger!Q:Q),15,46)),"")</f>
        <v/>
      </c>
      <c r="E41" t="str">
        <f ca="1">IFERROR(IF(OFFSET(_xlfn.XLOOKUP(B41,Kuponger!E:E,Kuponger!Q:Q),15,47)=0,"",OFFSET(_xlfn.XLOOKUP(B41,Kuponger!E:E,Kuponger!Q:Q),15,47)),"")</f>
        <v/>
      </c>
      <c r="F41" t="str">
        <f ca="1">IFERROR(IF(OFFSET(_xlfn.XLOOKUP(B41,Kuponger!E:E,Kuponger!Q:Q),1,47)=0,"",OFFSET(_xlfn.XLOOKUP(B41,Kuponger!E:E,Kuponger!Q:Q),1,47))*-1,"")</f>
        <v/>
      </c>
      <c r="G41" t="str">
        <f t="shared" ca="1" si="0"/>
        <v/>
      </c>
      <c r="H41" t="str">
        <f ca="1">IFERROR(IF(OFFSET(_xlfn.XLOOKUP(B41,Kuponger!E:E,Kuponger!Q:Q),1,46)="","",OFFSET(_xlfn.XLOOKUP(B41,Kuponger!E:E,Kuponger!Q:Q),1,46)),"")</f>
        <v/>
      </c>
      <c r="I41" s="3" t="str">
        <f ca="1">IFERROR(t_jh[[#This Row],[tp]]-G40,"")</f>
        <v/>
      </c>
      <c r="K41" s="4" t="s">
        <v>861</v>
      </c>
      <c r="L41" s="811">
        <f ca="1">IFERROR(AVERAGE(H:H),"")</f>
        <v>4.78125</v>
      </c>
      <c r="N41" t="str">
        <f>K35&amp;" treffer på "&amp;TEXT((S11/S5)*100,"00,0")&amp;"% av sine 10-poengere, dvs. han bommer"</f>
        <v>JH treffer på 23,4% av sine 10-poengere, dvs. han bommer</v>
      </c>
    </row>
    <row r="42" spans="1:14" x14ac:dyDescent="0.2">
      <c r="A42">
        <v>41</v>
      </c>
      <c r="B42" s="22" t="str">
        <f ca="1">Data!AL41</f>
        <v/>
      </c>
      <c r="C42" t="str">
        <f ca="1">IFERROR(IF(OFFSET(_xlfn.XLOOKUP(B42,Kuponger!E:E,Kuponger!Q:Q),15,45)=0,"",OFFSET(_xlfn.XLOOKUP(B42,Kuponger!E:E,Kuponger!Q:Q),15,45)),"")</f>
        <v/>
      </c>
      <c r="D42" t="str">
        <f ca="1">IFERROR(IF(OFFSET(_xlfn.XLOOKUP(B42,Kuponger!E:E,Kuponger!Q:Q),15,46)=0,"",OFFSET(_xlfn.XLOOKUP(B42,Kuponger!E:E,Kuponger!Q:Q),15,46)),"")</f>
        <v/>
      </c>
      <c r="E42" t="str">
        <f ca="1">IFERROR(IF(OFFSET(_xlfn.XLOOKUP(B42,Kuponger!E:E,Kuponger!Q:Q),15,47)=0,"",OFFSET(_xlfn.XLOOKUP(B42,Kuponger!E:E,Kuponger!Q:Q),15,47)),"")</f>
        <v/>
      </c>
      <c r="F42" t="str">
        <f ca="1">IFERROR(IF(OFFSET(_xlfn.XLOOKUP(B42,Kuponger!E:E,Kuponger!Q:Q),1,47)=0,"",OFFSET(_xlfn.XLOOKUP(B42,Kuponger!E:E,Kuponger!Q:Q),1,47))*-1,"")</f>
        <v/>
      </c>
      <c r="G42" t="str">
        <f t="shared" ca="1" si="0"/>
        <v/>
      </c>
      <c r="H42" t="str">
        <f ca="1">IFERROR(IF(OFFSET(_xlfn.XLOOKUP(B42,Kuponger!E:E,Kuponger!Q:Q),1,46)="","",OFFSET(_xlfn.XLOOKUP(B42,Kuponger!E:E,Kuponger!Q:Q),1,46)),"")</f>
        <v/>
      </c>
      <c r="I42" s="3" t="str">
        <f ca="1">IFERROR(t_jh[[#This Row],[tp]]-G41,"")</f>
        <v/>
      </c>
      <c r="K42" s="4" t="s">
        <v>862</v>
      </c>
      <c r="L42" s="811">
        <f ca="1">IFERROR(AVERAGE(C:C),"")</f>
        <v>272.5</v>
      </c>
      <c r="N42" t="str">
        <f>K35&amp;" treffer på "&amp;TEXT((L11/L5)*100,"00,0")&amp;"% av sine 80-poengere"</f>
        <v>JH treffer på 53,5% av sine 80-poengere</v>
      </c>
    </row>
    <row r="43" spans="1:14" x14ac:dyDescent="0.2">
      <c r="K43" s="4" t="s">
        <v>863</v>
      </c>
      <c r="L43" s="811">
        <f ca="1">IFERROR(AVERAGE(D:D),"")</f>
        <v>57.741935483870968</v>
      </c>
      <c r="N43" t="str">
        <f>K35&amp;" har tatt "&amp;T23&amp;" poeng så langt, men samtidig gått glipp av "&amp;T29&amp;" poeng, noe som gir en poengandel på "&amp;TEXT(L48,"0,0%")</f>
        <v>JH har tatt 16380 poeng så langt, men samtidig gått glipp av 23260 poeng, noe som gir en poengandel på 70,4%</v>
      </c>
    </row>
    <row r="44" spans="1:14" x14ac:dyDescent="0.2">
      <c r="K44" s="4" t="s">
        <v>864</v>
      </c>
      <c r="L44" s="811">
        <f ca="1">IFERROR(AVERAGE(E:E),"")</f>
        <v>195.66666666666666</v>
      </c>
    </row>
    <row r="45" spans="1:14" x14ac:dyDescent="0.2">
      <c r="K45" s="4" t="s">
        <v>865</v>
      </c>
      <c r="L45" s="810">
        <f ca="1">IFERROR(COUNTIF(F:F,"&lt;0")/COUNTIF(C:C,"&gt;0"),"")</f>
        <v>3.125E-2</v>
      </c>
    </row>
    <row r="46" spans="1:14" x14ac:dyDescent="0.2">
      <c r="K46" s="4" t="s">
        <v>866</v>
      </c>
      <c r="L46" s="811">
        <f ca="1">IFERROR(AVERAGE(G:G),"")</f>
        <v>510.3125</v>
      </c>
    </row>
    <row r="48" spans="1:14" x14ac:dyDescent="0.2">
      <c r="K48" s="4" t="s">
        <v>868</v>
      </c>
      <c r="L48" s="812">
        <f>(T23/T29)</f>
        <v>0.704213241616509</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14BF9-0DE4-4413-84D8-7DAAED2FE5DF}">
  <sheetPr codeName="Ark26"/>
  <dimension ref="A1:AA68"/>
  <sheetViews>
    <sheetView showGridLines="0" topLeftCell="Q1" workbookViewId="0">
      <pane ySplit="1" topLeftCell="A44"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2.5703125"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IFERROR(IF(OFFSET(_xlfn.XLOOKUP(B2,Kuponger!E:E,Kuponger!Q:Q),15,54)=0,"",OFFSET(_xlfn.XLOOKUP(B2,Kuponger!E:E,Kuponger!Q:Q),15,54)),"")</f>
        <v>270</v>
      </c>
      <c r="D2">
        <f ca="1">IFERROR(IF(OFFSET(_xlfn.XLOOKUP(B2,Kuponger!E:E,Kuponger!Q:Q),15,55)=0,"",OFFSET(_xlfn.XLOOKUP(B2,Kuponger!E:E,Kuponger!Q:Q),15,55)),"")</f>
        <v>40</v>
      </c>
      <c r="E2">
        <f ca="1">IFERROR(IF(OFFSET(_xlfn.XLOOKUP(B2,Kuponger!E:E,Kuponger!Q:Q),15,56)=0,"",OFFSET(_xlfn.XLOOKUP(B2,Kuponger!E:E,Kuponger!Q:Q),15,56)),"")</f>
        <v>210</v>
      </c>
      <c r="F2">
        <f ca="1">IFERROR(IF(OFFSET(_xlfn.XLOOKUP(B2,Kuponger!E:E,Kuponger!Q:Q),1,56)=0,"",OFFSET(_xlfn.XLOOKUP(B2,Kuponger!E:E,Kuponger!Q:Q),1,56))*-1,"")</f>
        <v>-50</v>
      </c>
      <c r="G2">
        <f t="shared" ref="G2:G42" ca="1" si="0">IF(SUMIF(C2:F2,"&lt;&gt;""")=0,"",SUMIF(C2:F2,"&lt;&gt;"""))</f>
        <v>470</v>
      </c>
      <c r="H2">
        <f ca="1">IFERROR(IF(OFFSET(_xlfn.XLOOKUP(B2,Kuponger!E:E,Kuponger!Q:Q),1,55)="","",OFFSET(_xlfn.XLOOKUP(B2,Kuponger!E:E,Kuponger!Q:Q),1,55)),"")</f>
        <v>6</v>
      </c>
      <c r="I2" t="str">
        <f ca="1">IFERROR(t_toh[[#This Row],[tp]]-G1,"")</f>
        <v/>
      </c>
      <c r="K2" s="801" t="s">
        <v>36</v>
      </c>
      <c r="L2">
        <f>COUNTIF(Kuponger!$BS:$BS,f_utg!L$1)</f>
        <v>27</v>
      </c>
      <c r="M2">
        <f>COUNTIF(Kuponger!$BS:$BS,f_utg!M$1)</f>
        <v>38</v>
      </c>
      <c r="N2">
        <f>COUNTIF(Kuponger!$BS:$BS,f_utg!N$1)</f>
        <v>45</v>
      </c>
      <c r="O2">
        <f>COUNTIF(Kuponger!$BS:$BS,f_utg!O$1)</f>
        <v>72</v>
      </c>
      <c r="P2">
        <f>COUNTIF(Kuponger!$BS:$BS,f_utg!P$1)</f>
        <v>60</v>
      </c>
      <c r="Q2">
        <f>COUNTIF(Kuponger!$BS:$BS,f_utg!Q$1)</f>
        <v>56</v>
      </c>
      <c r="R2">
        <f>COUNTIF(Kuponger!$BS:$BS,f_utg!R$1)</f>
        <v>46</v>
      </c>
      <c r="S2">
        <f>COUNTIF(Kuponger!$BS:$BS,f_utg!S$1)</f>
        <v>28</v>
      </c>
      <c r="T2">
        <f>SUM(L$2:S$2)</f>
        <v>372</v>
      </c>
      <c r="W2" s="3"/>
      <c r="X2" s="3"/>
      <c r="Y2" s="3"/>
      <c r="Z2" s="3"/>
      <c r="AA2" s="3"/>
    </row>
    <row r="3" spans="1:27" x14ac:dyDescent="0.2">
      <c r="A3">
        <v>2</v>
      </c>
      <c r="B3" s="22">
        <f ca="1">Data!AL2</f>
        <v>45892</v>
      </c>
      <c r="C3">
        <f ca="1">IFERROR(IF(OFFSET(_xlfn.XLOOKUP(B3,Kuponger!E:E,Kuponger!Q:Q),15,54)=0,"",OFFSET(_xlfn.XLOOKUP(B3,Kuponger!E:E,Kuponger!Q:Q),15,54)),"")</f>
        <v>190</v>
      </c>
      <c r="D3">
        <f ca="1">IFERROR(IF(OFFSET(_xlfn.XLOOKUP(B3,Kuponger!E:E,Kuponger!Q:Q),15,55)=0,"",OFFSET(_xlfn.XLOOKUP(B3,Kuponger!E:E,Kuponger!Q:Q),15,55)),"")</f>
        <v>70</v>
      </c>
      <c r="E3">
        <f ca="1">IFERROR(IF(OFFSET(_xlfn.XLOOKUP(B3,Kuponger!E:E,Kuponger!Q:Q),15,56)=0,"",OFFSET(_xlfn.XLOOKUP(B3,Kuponger!E:E,Kuponger!Q:Q),15,56)),"")</f>
        <v>220</v>
      </c>
      <c r="F3" t="str">
        <f ca="1">IFERROR(IF(OFFSET(_xlfn.XLOOKUP(B3,Kuponger!E:E,Kuponger!Q:Q),1,56)=0,"",OFFSET(_xlfn.XLOOKUP(B3,Kuponger!E:E,Kuponger!Q:Q),1,56))*-1,"")</f>
        <v/>
      </c>
      <c r="G3">
        <f t="shared" ca="1" si="0"/>
        <v>480</v>
      </c>
      <c r="H3">
        <f ca="1">IFERROR(IF(OFFSET(_xlfn.XLOOKUP(B3,Kuponger!E:E,Kuponger!Q:Q),1,55)="","",OFFSET(_xlfn.XLOOKUP(B3,Kuponger!E:E,Kuponger!Q:Q),1,55)),"")</f>
        <v>9</v>
      </c>
      <c r="I3" s="3">
        <f ca="1">IFERROR(t_toh[[#This Row],[tp]]-G2,"")</f>
        <v>10</v>
      </c>
      <c r="K3" s="801" t="s">
        <v>37</v>
      </c>
      <c r="L3">
        <f>COUNTIF(Kuponger!$BT:$BT,f_utg!L$1)</f>
        <v>3</v>
      </c>
      <c r="M3">
        <f>COUNTIF(Kuponger!$BT:$BT,f_utg!M$1)</f>
        <v>5</v>
      </c>
      <c r="N3">
        <f>COUNTIF(Kuponger!$BT:$BT,f_utg!N$1)</f>
        <v>7</v>
      </c>
      <c r="O3">
        <f>COUNTIF(Kuponger!$BT:$BT,f_utg!O$1)</f>
        <v>15</v>
      </c>
      <c r="P3">
        <f>COUNTIF(Kuponger!$BT:$BT,f_utg!P$1)</f>
        <v>40</v>
      </c>
      <c r="Q3">
        <f>COUNTIF(Kuponger!$BT:$BT,f_utg!Q$1)</f>
        <v>81</v>
      </c>
      <c r="R3">
        <f>COUNTIF(Kuponger!$BT:$BT,f_utg!R$1)</f>
        <v>138</v>
      </c>
      <c r="S3">
        <f>COUNTIF(Kuponger!$BT:$BT,f_utg!S$1)</f>
        <v>101</v>
      </c>
      <c r="T3">
        <f>SUM(L$3:S$3)</f>
        <v>390</v>
      </c>
    </row>
    <row r="4" spans="1:27" x14ac:dyDescent="0.2">
      <c r="A4">
        <v>3</v>
      </c>
      <c r="B4" s="22">
        <f ca="1">Data!AL3</f>
        <v>45920</v>
      </c>
      <c r="C4">
        <f ca="1">IFERROR(IF(OFFSET(_xlfn.XLOOKUP(B4,Kuponger!E:E,Kuponger!Q:Q),15,54)=0,"",OFFSET(_xlfn.XLOOKUP(B4,Kuponger!E:E,Kuponger!Q:Q),15,54)),"")</f>
        <v>230</v>
      </c>
      <c r="D4">
        <f ca="1">IFERROR(IF(OFFSET(_xlfn.XLOOKUP(B4,Kuponger!E:E,Kuponger!Q:Q),15,55)=0,"",OFFSET(_xlfn.XLOOKUP(B4,Kuponger!E:E,Kuponger!Q:Q),15,55)),"")</f>
        <v>70</v>
      </c>
      <c r="E4">
        <f ca="1">IFERROR(IF(OFFSET(_xlfn.XLOOKUP(B4,Kuponger!E:E,Kuponger!Q:Q),15,56)=0,"",OFFSET(_xlfn.XLOOKUP(B4,Kuponger!E:E,Kuponger!Q:Q),15,56)),"")</f>
        <v>140</v>
      </c>
      <c r="F4" t="str">
        <f ca="1">IFERROR(IF(OFFSET(_xlfn.XLOOKUP(B4,Kuponger!E:E,Kuponger!Q:Q),1,56)=0,"",OFFSET(_xlfn.XLOOKUP(B4,Kuponger!E:E,Kuponger!Q:Q),1,56))*-1,"")</f>
        <v/>
      </c>
      <c r="G4">
        <f t="shared" ca="1" si="0"/>
        <v>440</v>
      </c>
      <c r="H4">
        <f ca="1">IFERROR(IF(OFFSET(_xlfn.XLOOKUP(B4,Kuponger!E:E,Kuponger!Q:Q),1,55)="","",OFFSET(_xlfn.XLOOKUP(B4,Kuponger!E:E,Kuponger!Q:Q),1,55)),"")</f>
        <v>7</v>
      </c>
      <c r="I4" s="3">
        <f ca="1">IFERROR(t_toh[[#This Row],[tp]]-G3,"")</f>
        <v>-40</v>
      </c>
      <c r="K4" s="801" t="s">
        <v>38</v>
      </c>
      <c r="L4">
        <f>COUNTIF(Kuponger!$BU:$BU,f_utg!L$1)</f>
        <v>20</v>
      </c>
      <c r="M4">
        <f>COUNTIF(Kuponger!$BU:$BU,f_utg!M$1)</f>
        <v>13</v>
      </c>
      <c r="N4">
        <f>COUNTIF(Kuponger!$BU:$BU,f_utg!N$1)</f>
        <v>28</v>
      </c>
      <c r="O4">
        <f>COUNTIF(Kuponger!$BU:$BU,f_utg!O$1)</f>
        <v>45</v>
      </c>
      <c r="P4">
        <f>COUNTIF(Kuponger!$BU:$BU,f_utg!P$1)</f>
        <v>47</v>
      </c>
      <c r="Q4">
        <f>COUNTIF(Kuponger!$BU:$BU,f_utg!Q$1)</f>
        <v>63</v>
      </c>
      <c r="R4">
        <f>COUNTIF(Kuponger!$BU:$BU,f_utg!R$1)</f>
        <v>95</v>
      </c>
      <c r="S4">
        <f>COUNTIF(Kuponger!$BU:$BU,f_utg!S$1)</f>
        <v>74</v>
      </c>
      <c r="T4">
        <f>SUM(L$4:S$4)</f>
        <v>385</v>
      </c>
    </row>
    <row r="5" spans="1:27" x14ac:dyDescent="0.2">
      <c r="A5">
        <v>4</v>
      </c>
      <c r="B5" s="22">
        <f ca="1">Data!AL4</f>
        <v>45927</v>
      </c>
      <c r="C5">
        <f ca="1">IFERROR(IF(OFFSET(_xlfn.XLOOKUP(B5,Kuponger!E:E,Kuponger!Q:Q),15,54)=0,"",OFFSET(_xlfn.XLOOKUP(B5,Kuponger!E:E,Kuponger!Q:Q),15,54)),"")</f>
        <v>150</v>
      </c>
      <c r="D5">
        <f ca="1">IFERROR(IF(OFFSET(_xlfn.XLOOKUP(B5,Kuponger!E:E,Kuponger!Q:Q),15,55)=0,"",OFFSET(_xlfn.XLOOKUP(B5,Kuponger!E:E,Kuponger!Q:Q),15,55)),"")</f>
        <v>120</v>
      </c>
      <c r="E5">
        <f ca="1">IFERROR(IF(OFFSET(_xlfn.XLOOKUP(B5,Kuponger!E:E,Kuponger!Q:Q),15,56)=0,"",OFFSET(_xlfn.XLOOKUP(B5,Kuponger!E:E,Kuponger!Q:Q),15,56)),"")</f>
        <v>70</v>
      </c>
      <c r="F5" t="str">
        <f ca="1">IFERROR(IF(OFFSET(_xlfn.XLOOKUP(B5,Kuponger!E:E,Kuponger!Q:Q),1,56)=0,"",OFFSET(_xlfn.XLOOKUP(B5,Kuponger!E:E,Kuponger!Q:Q),1,56))*-1,"")</f>
        <v/>
      </c>
      <c r="G5">
        <f t="shared" ca="1" si="0"/>
        <v>340</v>
      </c>
      <c r="H5">
        <f ca="1">IFERROR(IF(OFFSET(_xlfn.XLOOKUP(B5,Kuponger!E:E,Kuponger!Q:Q),1,55)="","",OFFSET(_xlfn.XLOOKUP(B5,Kuponger!E:E,Kuponger!Q:Q),1,55)),"")</f>
        <v>4</v>
      </c>
      <c r="I5" s="3">
        <f ca="1">IFERROR(t_toh[[#This Row],[tp]]-G4,"")</f>
        <v>-100</v>
      </c>
      <c r="K5" s="801" t="str">
        <f>K1</f>
        <v>Antall Leverte</v>
      </c>
      <c r="L5">
        <f>SUM(L2:L4)</f>
        <v>50</v>
      </c>
      <c r="M5">
        <f t="shared" ref="M5:S5" si="1">SUM(M2:M4)</f>
        <v>56</v>
      </c>
      <c r="N5">
        <f t="shared" si="1"/>
        <v>80</v>
      </c>
      <c r="O5">
        <f t="shared" si="1"/>
        <v>132</v>
      </c>
      <c r="P5">
        <f t="shared" si="1"/>
        <v>147</v>
      </c>
      <c r="Q5">
        <f t="shared" si="1"/>
        <v>200</v>
      </c>
      <c r="R5">
        <f t="shared" si="1"/>
        <v>279</v>
      </c>
      <c r="S5">
        <f t="shared" si="1"/>
        <v>203</v>
      </c>
      <c r="T5">
        <f>SUM(L$5:S$5)</f>
        <v>1147</v>
      </c>
    </row>
    <row r="6" spans="1:27" x14ac:dyDescent="0.2">
      <c r="A6">
        <v>5</v>
      </c>
      <c r="B6" s="22">
        <f ca="1">Data!AL5</f>
        <v>45934</v>
      </c>
      <c r="C6">
        <f ca="1">IFERROR(IF(OFFSET(_xlfn.XLOOKUP(B6,Kuponger!E:E,Kuponger!Q:Q),15,54)=0,"",OFFSET(_xlfn.XLOOKUP(B6,Kuponger!E:E,Kuponger!Q:Q),15,54)),"")</f>
        <v>470</v>
      </c>
      <c r="D6">
        <f ca="1">IFERROR(IF(OFFSET(_xlfn.XLOOKUP(B6,Kuponger!E:E,Kuponger!Q:Q),15,55)=0,"",OFFSET(_xlfn.XLOOKUP(B6,Kuponger!E:E,Kuponger!Q:Q),15,55)),"")</f>
        <v>20</v>
      </c>
      <c r="E6">
        <f ca="1">IFERROR(IF(OFFSET(_xlfn.XLOOKUP(B6,Kuponger!E:E,Kuponger!Q:Q),15,56)=0,"",OFFSET(_xlfn.XLOOKUP(B6,Kuponger!E:E,Kuponger!Q:Q),15,56)),"")</f>
        <v>150</v>
      </c>
      <c r="F6">
        <f ca="1">IFERROR(IF(OFFSET(_xlfn.XLOOKUP(B6,Kuponger!E:E,Kuponger!Q:Q),1,56)=0,"",OFFSET(_xlfn.XLOOKUP(B6,Kuponger!E:E,Kuponger!Q:Q),1,56))*-1,"")</f>
        <v>-50</v>
      </c>
      <c r="G6">
        <f t="shared" ca="1" si="0"/>
        <v>590</v>
      </c>
      <c r="H6">
        <f ca="1">IFERROR(IF(OFFSET(_xlfn.XLOOKUP(B6,Kuponger!E:E,Kuponger!Q:Q),1,55)="","",OFFSET(_xlfn.XLOOKUP(B6,Kuponger!E:E,Kuponger!Q:Q),1,55)),"")</f>
        <v>8</v>
      </c>
      <c r="I6" s="3">
        <f ca="1">IFERROR(t_toh[[#This Row],[tp]]-G5,"")</f>
        <v>250</v>
      </c>
    </row>
    <row r="7" spans="1:27" ht="15" x14ac:dyDescent="0.25">
      <c r="A7">
        <v>6</v>
      </c>
      <c r="B7" s="22">
        <f ca="1">Data!AL6</f>
        <v>45941</v>
      </c>
      <c r="C7">
        <f ca="1">IFERROR(IF(OFFSET(_xlfn.XLOOKUP(B7,Kuponger!E:E,Kuponger!Q:Q),15,54)=0,"",OFFSET(_xlfn.XLOOKUP(B7,Kuponger!E:E,Kuponger!Q:Q),15,54)),"")</f>
        <v>380</v>
      </c>
      <c r="D7">
        <f ca="1">IFERROR(IF(OFFSET(_xlfn.XLOOKUP(B7,Kuponger!E:E,Kuponger!Q:Q),15,55)=0,"",OFFSET(_xlfn.XLOOKUP(B7,Kuponger!E:E,Kuponger!Q:Q),15,55)),"")</f>
        <v>30</v>
      </c>
      <c r="E7">
        <f ca="1">IFERROR(IF(OFFSET(_xlfn.XLOOKUP(B7,Kuponger!E:E,Kuponger!Q:Q),15,56)=0,"",OFFSET(_xlfn.XLOOKUP(B7,Kuponger!E:E,Kuponger!Q:Q),15,56)),"")</f>
        <v>210</v>
      </c>
      <c r="F7" t="str">
        <f ca="1">IFERROR(IF(OFFSET(_xlfn.XLOOKUP(B7,Kuponger!E:E,Kuponger!Q:Q),1,56)=0,"",OFFSET(_xlfn.XLOOKUP(B7,Kuponger!E:E,Kuponger!Q:Q),1,56))*-1,"")</f>
        <v/>
      </c>
      <c r="G7">
        <f t="shared" ca="1" si="0"/>
        <v>620</v>
      </c>
      <c r="H7">
        <f ca="1">IFERROR(IF(OFFSET(_xlfn.XLOOKUP(B7,Kuponger!E:E,Kuponger!Q:Q),1,55)="","",OFFSET(_xlfn.XLOOKUP(B7,Kuponger!E:E,Kuponger!Q:Q),1,55)),"")</f>
        <v>4</v>
      </c>
      <c r="I7" s="3">
        <f ca="1">IFERROR(t_toh[[#This Row],[tp]]-G6,"")</f>
        <v>30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IFERROR(IF(OFFSET(_xlfn.XLOOKUP(B8,Kuponger!E:E,Kuponger!Q:Q),15,54)=0,"",OFFSET(_xlfn.XLOOKUP(B8,Kuponger!E:E,Kuponger!Q:Q),15,54)),"")</f>
        <v>280</v>
      </c>
      <c r="D8">
        <f ca="1">IFERROR(IF(OFFSET(_xlfn.XLOOKUP(B8,Kuponger!E:E,Kuponger!Q:Q),15,55)=0,"",OFFSET(_xlfn.XLOOKUP(B8,Kuponger!E:E,Kuponger!Q:Q),15,55)),"")</f>
        <v>100</v>
      </c>
      <c r="E8">
        <f ca="1">IFERROR(IF(OFFSET(_xlfn.XLOOKUP(B8,Kuponger!E:E,Kuponger!Q:Q),15,56)=0,"",OFFSET(_xlfn.XLOOKUP(B8,Kuponger!E:E,Kuponger!Q:Q),15,56)),"")</f>
        <v>200</v>
      </c>
      <c r="F8" t="str">
        <f ca="1">IFERROR(IF(OFFSET(_xlfn.XLOOKUP(B8,Kuponger!E:E,Kuponger!Q:Q),1,56)=0,"",OFFSET(_xlfn.XLOOKUP(B8,Kuponger!E:E,Kuponger!Q:Q),1,56))*-1,"")</f>
        <v/>
      </c>
      <c r="G8">
        <f t="shared" ca="1" si="0"/>
        <v>580</v>
      </c>
      <c r="H8">
        <f ca="1">IFERROR(IF(OFFSET(_xlfn.XLOOKUP(B8,Kuponger!E:E,Kuponger!Q:Q),1,55)="","",OFFSET(_xlfn.XLOOKUP(B8,Kuponger!E:E,Kuponger!Q:Q),1,55)),"")</f>
        <v>8</v>
      </c>
      <c r="I8" s="3">
        <f ca="1">IFERROR(t_toh[[#This Row],[tp]]-G7,"")</f>
        <v>-40</v>
      </c>
      <c r="K8" s="801" t="s">
        <v>36</v>
      </c>
      <c r="L8">
        <f>COUNTIF(Kuponger!$BW:$BW,L$7)</f>
        <v>19</v>
      </c>
      <c r="M8">
        <f>COUNTIF(Kuponger!$BW:$BW,M$7)</f>
        <v>32</v>
      </c>
      <c r="N8">
        <f>COUNTIF(Kuponger!$BW:$BW,N$7)</f>
        <v>21</v>
      </c>
      <c r="O8">
        <f>COUNTIF(Kuponger!$BW:$BW,O$7)</f>
        <v>37</v>
      </c>
      <c r="P8">
        <f>COUNTIF(Kuponger!$BW:$BW,P$7)</f>
        <v>22</v>
      </c>
      <c r="Q8">
        <f>COUNTIF(Kuponger!$BW:$BW,Q$7)</f>
        <v>19</v>
      </c>
      <c r="R8">
        <f>COUNTIF(Kuponger!$BW:$BW,R$7)</f>
        <v>15</v>
      </c>
      <c r="S8">
        <f>COUNTIF(Kuponger!$BW:$BW,S$7)</f>
        <v>6</v>
      </c>
      <c r="T8">
        <f>SUM(L$8:S$8)</f>
        <v>171</v>
      </c>
    </row>
    <row r="9" spans="1:27" x14ac:dyDescent="0.2">
      <c r="A9">
        <v>8</v>
      </c>
      <c r="B9" s="22">
        <f ca="1">Data!AL8</f>
        <v>45955</v>
      </c>
      <c r="C9">
        <f ca="1">IFERROR(IF(OFFSET(_xlfn.XLOOKUP(B9,Kuponger!E:E,Kuponger!Q:Q),15,54)=0,"",OFFSET(_xlfn.XLOOKUP(B9,Kuponger!E:E,Kuponger!Q:Q),15,54)),"")</f>
        <v>310</v>
      </c>
      <c r="D9">
        <f ca="1">IFERROR(IF(OFFSET(_xlfn.XLOOKUP(B9,Kuponger!E:E,Kuponger!Q:Q),15,55)=0,"",OFFSET(_xlfn.XLOOKUP(B9,Kuponger!E:E,Kuponger!Q:Q),15,55)),"")</f>
        <v>30</v>
      </c>
      <c r="E9">
        <f ca="1">IFERROR(IF(OFFSET(_xlfn.XLOOKUP(B9,Kuponger!E:E,Kuponger!Q:Q),15,56)=0,"",OFFSET(_xlfn.XLOOKUP(B9,Kuponger!E:E,Kuponger!Q:Q),15,56)),"")</f>
        <v>140</v>
      </c>
      <c r="F9" t="str">
        <f ca="1">IFERROR(IF(OFFSET(_xlfn.XLOOKUP(B9,Kuponger!E:E,Kuponger!Q:Q),1,56)=0,"",OFFSET(_xlfn.XLOOKUP(B9,Kuponger!E:E,Kuponger!Q:Q),1,56))*-1,"")</f>
        <v/>
      </c>
      <c r="G9">
        <f t="shared" ca="1" si="0"/>
        <v>480</v>
      </c>
      <c r="H9">
        <f ca="1">IFERROR(IF(OFFSET(_xlfn.XLOOKUP(B9,Kuponger!E:E,Kuponger!Q:Q),1,55)="","",OFFSET(_xlfn.XLOOKUP(B9,Kuponger!E:E,Kuponger!Q:Q),1,55)),"")</f>
        <v>7</v>
      </c>
      <c r="I9" s="3">
        <f ca="1">IFERROR(t_toh[[#This Row],[tp]]-G8,"")</f>
        <v>-100</v>
      </c>
      <c r="K9" s="801" t="s">
        <v>37</v>
      </c>
      <c r="L9">
        <f>COUNTIF(Kuponger!$BX:$BX,L$7)</f>
        <v>0</v>
      </c>
      <c r="M9">
        <f>COUNTIF(Kuponger!$BX:$BX,M$7)</f>
        <v>0</v>
      </c>
      <c r="N9">
        <f>COUNTIF(Kuponger!$BX:$BX,N$7)</f>
        <v>3</v>
      </c>
      <c r="O9">
        <f>COUNTIF(Kuponger!$BX:$BX,O$7)</f>
        <v>2</v>
      </c>
      <c r="P9">
        <f>COUNTIF(Kuponger!$BX:$BX,P$7)</f>
        <v>11</v>
      </c>
      <c r="Q9">
        <f>COUNTIF(Kuponger!$BX:$BX,Q$7)</f>
        <v>22</v>
      </c>
      <c r="R9">
        <f>COUNTIF(Kuponger!$BX:$BX,R$7)</f>
        <v>32</v>
      </c>
      <c r="S9">
        <f>COUNTIF(Kuponger!$BX:$BX,S$7)</f>
        <v>17</v>
      </c>
      <c r="T9">
        <f>SUM(L$9:S$9)</f>
        <v>87</v>
      </c>
    </row>
    <row r="10" spans="1:27" x14ac:dyDescent="0.2">
      <c r="A10">
        <v>9</v>
      </c>
      <c r="B10" s="22">
        <f ca="1">Data!AL9</f>
        <v>45962</v>
      </c>
      <c r="C10">
        <f ca="1">IFERROR(IF(OFFSET(_xlfn.XLOOKUP(B10,Kuponger!E:E,Kuponger!Q:Q),15,54)=0,"",OFFSET(_xlfn.XLOOKUP(B10,Kuponger!E:E,Kuponger!Q:Q),15,54)),"")</f>
        <v>310</v>
      </c>
      <c r="D10">
        <f ca="1">IFERROR(IF(OFFSET(_xlfn.XLOOKUP(B10,Kuponger!E:E,Kuponger!Q:Q),15,55)=0,"",OFFSET(_xlfn.XLOOKUP(B10,Kuponger!E:E,Kuponger!Q:Q),15,55)),"")</f>
        <v>10</v>
      </c>
      <c r="E10">
        <f ca="1">IFERROR(IF(OFFSET(_xlfn.XLOOKUP(B10,Kuponger!E:E,Kuponger!Q:Q),15,56)=0,"",OFFSET(_xlfn.XLOOKUP(B10,Kuponger!E:E,Kuponger!Q:Q),15,56)),"")</f>
        <v>170</v>
      </c>
      <c r="F10" t="str">
        <f ca="1">IFERROR(IF(OFFSET(_xlfn.XLOOKUP(B10,Kuponger!E:E,Kuponger!Q:Q),1,56)=0,"",OFFSET(_xlfn.XLOOKUP(B10,Kuponger!E:E,Kuponger!Q:Q),1,56))*-1,"")</f>
        <v/>
      </c>
      <c r="G10">
        <f t="shared" ca="1" si="0"/>
        <v>490</v>
      </c>
      <c r="H10">
        <f ca="1">IFERROR(IF(OFFSET(_xlfn.XLOOKUP(B10,Kuponger!E:E,Kuponger!Q:Q),1,55)="","",OFFSET(_xlfn.XLOOKUP(B10,Kuponger!E:E,Kuponger!Q:Q),1,55)),"")</f>
        <v>9</v>
      </c>
      <c r="I10" s="3">
        <f ca="1">IFERROR(t_toh[[#This Row],[tp]]-G9,"")</f>
        <v>10</v>
      </c>
      <c r="K10" s="801" t="s">
        <v>38</v>
      </c>
      <c r="L10">
        <f>COUNTIF(Kuponger!$BY:$BY,L$7)</f>
        <v>12</v>
      </c>
      <c r="M10">
        <f>COUNTIF(Kuponger!$BY:$BY,M$7)</f>
        <v>5</v>
      </c>
      <c r="N10">
        <f>COUNTIF(Kuponger!$BY:$BY,N$7)</f>
        <v>13</v>
      </c>
      <c r="O10">
        <f>COUNTIF(Kuponger!$BY:$BY,O$7)</f>
        <v>12</v>
      </c>
      <c r="P10">
        <f>COUNTIF(Kuponger!$BY:$BY,P$7)</f>
        <v>17</v>
      </c>
      <c r="Q10">
        <f>COUNTIF(Kuponger!$BY:$BY,Q$7)</f>
        <v>19</v>
      </c>
      <c r="R10">
        <f>COUNTIF(Kuponger!$BY:$BY,R$7)</f>
        <v>26</v>
      </c>
      <c r="S10">
        <f>COUNTIF(Kuponger!$BY:$BY,S$7)</f>
        <v>10</v>
      </c>
      <c r="T10">
        <f>SUM(L$10:S$10)</f>
        <v>114</v>
      </c>
    </row>
    <row r="11" spans="1:27" x14ac:dyDescent="0.2">
      <c r="A11">
        <v>10</v>
      </c>
      <c r="B11" s="22">
        <f ca="1">Data!AL10</f>
        <v>45969</v>
      </c>
      <c r="C11">
        <f ca="1">IFERROR(IF(OFFSET(_xlfn.XLOOKUP(B11,Kuponger!E:E,Kuponger!Q:Q),15,54)=0,"",OFFSET(_xlfn.XLOOKUP(B11,Kuponger!E:E,Kuponger!Q:Q),15,54)),"")</f>
        <v>310</v>
      </c>
      <c r="D11">
        <f ca="1">IFERROR(IF(OFFSET(_xlfn.XLOOKUP(B11,Kuponger!E:E,Kuponger!Q:Q),15,55)=0,"",OFFSET(_xlfn.XLOOKUP(B11,Kuponger!E:E,Kuponger!Q:Q),15,55)),"")</f>
        <v>80</v>
      </c>
      <c r="E11">
        <f ca="1">IFERROR(IF(OFFSET(_xlfn.XLOOKUP(B11,Kuponger!E:E,Kuponger!Q:Q),15,56)=0,"",OFFSET(_xlfn.XLOOKUP(B11,Kuponger!E:E,Kuponger!Q:Q),15,56)),"")</f>
        <v>150</v>
      </c>
      <c r="F11" t="str">
        <f ca="1">IFERROR(IF(OFFSET(_xlfn.XLOOKUP(B11,Kuponger!E:E,Kuponger!Q:Q),1,56)=0,"",OFFSET(_xlfn.XLOOKUP(B11,Kuponger!E:E,Kuponger!Q:Q),1,56))*-1,"")</f>
        <v/>
      </c>
      <c r="G11">
        <f t="shared" ca="1" si="0"/>
        <v>540</v>
      </c>
      <c r="H11">
        <f ca="1">IFERROR(IF(OFFSET(_xlfn.XLOOKUP(B11,Kuponger!E:E,Kuponger!Q:Q),1,55)="","",OFFSET(_xlfn.XLOOKUP(B11,Kuponger!E:E,Kuponger!Q:Q),1,55)),"")</f>
        <v>9</v>
      </c>
      <c r="I11" s="3">
        <f ca="1">IFERROR(t_toh[[#This Row],[tp]]-G10,"")</f>
        <v>50</v>
      </c>
      <c r="K11" s="801" t="str">
        <f>K7</f>
        <v>Antall Treff</v>
      </c>
      <c r="L11">
        <f>SUM(L$8:L$10)</f>
        <v>31</v>
      </c>
      <c r="M11">
        <f t="shared" ref="M11:S11" si="3">SUM(M$8:M$10)</f>
        <v>37</v>
      </c>
      <c r="N11">
        <f t="shared" si="3"/>
        <v>37</v>
      </c>
      <c r="O11">
        <f t="shared" si="3"/>
        <v>51</v>
      </c>
      <c r="P11">
        <f>SUM(P$8:P$10)</f>
        <v>50</v>
      </c>
      <c r="Q11">
        <f t="shared" si="3"/>
        <v>60</v>
      </c>
      <c r="R11">
        <f t="shared" si="3"/>
        <v>73</v>
      </c>
      <c r="S11">
        <f t="shared" si="3"/>
        <v>33</v>
      </c>
      <c r="T11">
        <f>SUM(L$11:S$11)</f>
        <v>372</v>
      </c>
    </row>
    <row r="12" spans="1:27" x14ac:dyDescent="0.2">
      <c r="A12">
        <v>11</v>
      </c>
      <c r="B12" s="22">
        <f ca="1">Data!AL11</f>
        <v>45976</v>
      </c>
      <c r="C12">
        <f ca="1">IFERROR(IF(OFFSET(_xlfn.XLOOKUP(B12,Kuponger!E:E,Kuponger!Q:Q),15,54)=0,"",OFFSET(_xlfn.XLOOKUP(B12,Kuponger!E:E,Kuponger!Q:Q),15,54)),"")</f>
        <v>280</v>
      </c>
      <c r="D12">
        <f ca="1">IFERROR(IF(OFFSET(_xlfn.XLOOKUP(B12,Kuponger!E:E,Kuponger!Q:Q),15,55)=0,"",OFFSET(_xlfn.XLOOKUP(B12,Kuponger!E:E,Kuponger!Q:Q),15,55)),"")</f>
        <v>90</v>
      </c>
      <c r="E12">
        <f ca="1">IFERROR(IF(OFFSET(_xlfn.XLOOKUP(B12,Kuponger!E:E,Kuponger!Q:Q),15,56)=0,"",OFFSET(_xlfn.XLOOKUP(B12,Kuponger!E:E,Kuponger!Q:Q),15,56)),"")</f>
        <v>190</v>
      </c>
      <c r="F12">
        <f ca="1">IFERROR(IF(OFFSET(_xlfn.XLOOKUP(B12,Kuponger!E:E,Kuponger!Q:Q),1,56)=0,"",OFFSET(_xlfn.XLOOKUP(B12,Kuponger!E:E,Kuponger!Q:Q),1,56))*-1,"")</f>
        <v>-50</v>
      </c>
      <c r="G12">
        <f t="shared" ca="1" si="0"/>
        <v>510</v>
      </c>
      <c r="H12">
        <f ca="1">IFERROR(IF(OFFSET(_xlfn.XLOOKUP(B12,Kuponger!E:E,Kuponger!Q:Q),1,55)="","",OFFSET(_xlfn.XLOOKUP(B12,Kuponger!E:E,Kuponger!Q:Q),1,55)),"")</f>
        <v>8</v>
      </c>
      <c r="I12" s="3">
        <f ca="1">IFERROR(t_toh[[#This Row],[tp]]-G11,"")</f>
        <v>-30</v>
      </c>
    </row>
    <row r="13" spans="1:27" ht="15" x14ac:dyDescent="0.25">
      <c r="A13">
        <v>12</v>
      </c>
      <c r="B13" s="22">
        <f ca="1">Data!AL12</f>
        <v>45983</v>
      </c>
      <c r="C13">
        <f ca="1">IFERROR(IF(OFFSET(_xlfn.XLOOKUP(B13,Kuponger!E:E,Kuponger!Q:Q),15,54)=0,"",OFFSET(_xlfn.XLOOKUP(B13,Kuponger!E:E,Kuponger!Q:Q),15,54)),"")</f>
        <v>270</v>
      </c>
      <c r="D13">
        <f ca="1">IFERROR(IF(OFFSET(_xlfn.XLOOKUP(B13,Kuponger!E:E,Kuponger!Q:Q),15,55)=0,"",OFFSET(_xlfn.XLOOKUP(B13,Kuponger!E:E,Kuponger!Q:Q),15,55)),"")</f>
        <v>60</v>
      </c>
      <c r="E13">
        <f ca="1">IFERROR(IF(OFFSET(_xlfn.XLOOKUP(B13,Kuponger!E:E,Kuponger!Q:Q),15,56)=0,"",OFFSET(_xlfn.XLOOKUP(B13,Kuponger!E:E,Kuponger!Q:Q),15,56)),"")</f>
        <v>120</v>
      </c>
      <c r="F13" t="str">
        <f ca="1">IFERROR(IF(OFFSET(_xlfn.XLOOKUP(B13,Kuponger!E:E,Kuponger!Q:Q),1,56)=0,"",OFFSET(_xlfn.XLOOKUP(B13,Kuponger!E:E,Kuponger!Q:Q),1,56))*-1,"")</f>
        <v/>
      </c>
      <c r="G13">
        <f t="shared" ca="1" si="0"/>
        <v>450</v>
      </c>
      <c r="H13">
        <f ca="1">IFERROR(IF(OFFSET(_xlfn.XLOOKUP(B13,Kuponger!E:E,Kuponger!Q:Q),1,55)="","",OFFSET(_xlfn.XLOOKUP(B13,Kuponger!E:E,Kuponger!Q:Q),1,55)),"")</f>
        <v>5</v>
      </c>
      <c r="I13" s="3">
        <f ca="1">IFERROR(t_toh[[#This Row],[tp]]-G12,"")</f>
        <v>-60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IFERROR(IF(OFFSET(_xlfn.XLOOKUP(B14,Kuponger!E:E,Kuponger!Q:Q),15,54)=0,"",OFFSET(_xlfn.XLOOKUP(B14,Kuponger!E:E,Kuponger!Q:Q),15,54)),"")</f>
        <v>390</v>
      </c>
      <c r="D14">
        <f ca="1">IFERROR(IF(OFFSET(_xlfn.XLOOKUP(B14,Kuponger!E:E,Kuponger!Q:Q),15,55)=0,"",OFFSET(_xlfn.XLOOKUP(B14,Kuponger!E:E,Kuponger!Q:Q),15,55)),"")</f>
        <v>40</v>
      </c>
      <c r="E14">
        <f ca="1">IFERROR(IF(OFFSET(_xlfn.XLOOKUP(B14,Kuponger!E:E,Kuponger!Q:Q),15,56)=0,"",OFFSET(_xlfn.XLOOKUP(B14,Kuponger!E:E,Kuponger!Q:Q),15,56)),"")</f>
        <v>110</v>
      </c>
      <c r="F14">
        <f ca="1">IFERROR(IF(OFFSET(_xlfn.XLOOKUP(B14,Kuponger!E:E,Kuponger!Q:Q),1,56)=0,"",OFFSET(_xlfn.XLOOKUP(B14,Kuponger!E:E,Kuponger!Q:Q),1,56))*-1,"")</f>
        <v>-50</v>
      </c>
      <c r="G14">
        <f t="shared" ca="1" si="0"/>
        <v>490</v>
      </c>
      <c r="H14">
        <f ca="1">IFERROR(IF(OFFSET(_xlfn.XLOOKUP(B14,Kuponger!E:E,Kuponger!Q:Q),1,55)="","",OFFSET(_xlfn.XLOOKUP(B14,Kuponger!E:E,Kuponger!Q:Q),1,55)),"")</f>
        <v>8</v>
      </c>
      <c r="I14" s="3">
        <f ca="1">IFERROR(t_toh[[#This Row],[tp]]-G13,"")</f>
        <v>40</v>
      </c>
      <c r="K14" s="801" t="str">
        <f>K8</f>
        <v>Hjemme</v>
      </c>
      <c r="L14">
        <f>L2-L8</f>
        <v>8</v>
      </c>
      <c r="M14">
        <f t="shared" ref="M14:S14" si="5">M2-M8</f>
        <v>6</v>
      </c>
      <c r="N14">
        <f t="shared" si="5"/>
        <v>24</v>
      </c>
      <c r="O14">
        <f t="shared" si="5"/>
        <v>35</v>
      </c>
      <c r="P14">
        <f t="shared" si="5"/>
        <v>38</v>
      </c>
      <c r="Q14">
        <f t="shared" si="5"/>
        <v>37</v>
      </c>
      <c r="R14">
        <f t="shared" si="5"/>
        <v>31</v>
      </c>
      <c r="S14">
        <f t="shared" si="5"/>
        <v>22</v>
      </c>
      <c r="T14">
        <f>SUM(L$14:S$14)</f>
        <v>201</v>
      </c>
    </row>
    <row r="15" spans="1:27" x14ac:dyDescent="0.2">
      <c r="A15">
        <v>14</v>
      </c>
      <c r="B15" s="22">
        <f ca="1">Data!AL14</f>
        <v>45997</v>
      </c>
      <c r="C15">
        <f ca="1">IFERROR(IF(OFFSET(_xlfn.XLOOKUP(B15,Kuponger!E:E,Kuponger!Q:Q),15,54)=0,"",OFFSET(_xlfn.XLOOKUP(B15,Kuponger!E:E,Kuponger!Q:Q),15,54)),"")</f>
        <v>480</v>
      </c>
      <c r="D15">
        <f ca="1">IFERROR(IF(OFFSET(_xlfn.XLOOKUP(B15,Kuponger!E:E,Kuponger!Q:Q),15,55)=0,"",OFFSET(_xlfn.XLOOKUP(B15,Kuponger!E:E,Kuponger!Q:Q),15,55)),"")</f>
        <v>100</v>
      </c>
      <c r="E15" t="str">
        <f ca="1">IFERROR(IF(OFFSET(_xlfn.XLOOKUP(B15,Kuponger!E:E,Kuponger!Q:Q),15,56)=0,"",OFFSET(_xlfn.XLOOKUP(B15,Kuponger!E:E,Kuponger!Q:Q),15,56)),"")</f>
        <v/>
      </c>
      <c r="F15" t="str">
        <f ca="1">IFERROR(IF(OFFSET(_xlfn.XLOOKUP(B15,Kuponger!E:E,Kuponger!Q:Q),1,56)=0,"",OFFSET(_xlfn.XLOOKUP(B15,Kuponger!E:E,Kuponger!Q:Q),1,56))*-1,"")</f>
        <v/>
      </c>
      <c r="G15">
        <f t="shared" ca="1" si="0"/>
        <v>580</v>
      </c>
      <c r="H15">
        <f ca="1">IFERROR(IF(OFFSET(_xlfn.XLOOKUP(B15,Kuponger!E:E,Kuponger!Q:Q),1,55)="","",OFFSET(_xlfn.XLOOKUP(B15,Kuponger!E:E,Kuponger!Q:Q),1,55)),"")</f>
        <v>3</v>
      </c>
      <c r="I15" s="3">
        <f ca="1">IFERROR(t_toh[[#This Row],[tp]]-G14,"")</f>
        <v>90</v>
      </c>
      <c r="K15" s="801" t="str">
        <f>K9</f>
        <v>Uavgjort</v>
      </c>
      <c r="L15">
        <f>L3-L9</f>
        <v>3</v>
      </c>
      <c r="M15">
        <f t="shared" ref="M15:S15" si="6">M3-M9</f>
        <v>5</v>
      </c>
      <c r="N15">
        <f t="shared" si="6"/>
        <v>4</v>
      </c>
      <c r="O15">
        <f t="shared" si="6"/>
        <v>13</v>
      </c>
      <c r="P15">
        <f t="shared" si="6"/>
        <v>29</v>
      </c>
      <c r="Q15">
        <f t="shared" si="6"/>
        <v>59</v>
      </c>
      <c r="R15">
        <f t="shared" si="6"/>
        <v>106</v>
      </c>
      <c r="S15">
        <f t="shared" si="6"/>
        <v>84</v>
      </c>
      <c r="T15">
        <f>SUM(L$15:S$15)</f>
        <v>303</v>
      </c>
    </row>
    <row r="16" spans="1:27" x14ac:dyDescent="0.2">
      <c r="A16">
        <v>15</v>
      </c>
      <c r="B16" s="22">
        <f ca="1">Data!AL15</f>
        <v>46004</v>
      </c>
      <c r="C16">
        <f ca="1">IFERROR(IF(OFFSET(_xlfn.XLOOKUP(B16,Kuponger!E:E,Kuponger!Q:Q),15,54)=0,"",OFFSET(_xlfn.XLOOKUP(B16,Kuponger!E:E,Kuponger!Q:Q),15,54)),"")</f>
        <v>460</v>
      </c>
      <c r="D16">
        <f ca="1">IFERROR(IF(OFFSET(_xlfn.XLOOKUP(B16,Kuponger!E:E,Kuponger!Q:Q),15,55)=0,"",OFFSET(_xlfn.XLOOKUP(B16,Kuponger!E:E,Kuponger!Q:Q),15,55)),"")</f>
        <v>70</v>
      </c>
      <c r="E16">
        <f ca="1">IFERROR(IF(OFFSET(_xlfn.XLOOKUP(B16,Kuponger!E:E,Kuponger!Q:Q),15,56)=0,"",OFFSET(_xlfn.XLOOKUP(B16,Kuponger!E:E,Kuponger!Q:Q),15,56)),"")</f>
        <v>90</v>
      </c>
      <c r="F16" t="str">
        <f ca="1">IFERROR(IF(OFFSET(_xlfn.XLOOKUP(B16,Kuponger!E:E,Kuponger!Q:Q),1,56)=0,"",OFFSET(_xlfn.XLOOKUP(B16,Kuponger!E:E,Kuponger!Q:Q),1,56))*-1,"")</f>
        <v/>
      </c>
      <c r="G16">
        <f t="shared" ca="1" si="0"/>
        <v>620</v>
      </c>
      <c r="H16">
        <f ca="1">IFERROR(IF(OFFSET(_xlfn.XLOOKUP(B16,Kuponger!E:E,Kuponger!Q:Q),1,55)="","",OFFSET(_xlfn.XLOOKUP(B16,Kuponger!E:E,Kuponger!Q:Q),1,55)),"")</f>
        <v>5</v>
      </c>
      <c r="I16" s="3">
        <f ca="1">IFERROR(t_toh[[#This Row],[tp]]-G15,"")</f>
        <v>40</v>
      </c>
      <c r="K16" s="801" t="str">
        <f>K10</f>
        <v>Borte</v>
      </c>
      <c r="L16">
        <f>L4-L10</f>
        <v>8</v>
      </c>
      <c r="M16">
        <f t="shared" ref="M16:S16" si="7">M4-M10</f>
        <v>8</v>
      </c>
      <c r="N16">
        <f t="shared" si="7"/>
        <v>15</v>
      </c>
      <c r="O16">
        <f t="shared" si="7"/>
        <v>33</v>
      </c>
      <c r="P16">
        <f t="shared" si="7"/>
        <v>30</v>
      </c>
      <c r="Q16">
        <f t="shared" si="7"/>
        <v>44</v>
      </c>
      <c r="R16">
        <f t="shared" si="7"/>
        <v>69</v>
      </c>
      <c r="S16">
        <f t="shared" si="7"/>
        <v>64</v>
      </c>
      <c r="T16">
        <f>SUM(L$16:S$16)</f>
        <v>271</v>
      </c>
    </row>
    <row r="17" spans="1:20" x14ac:dyDescent="0.2">
      <c r="A17">
        <v>16</v>
      </c>
      <c r="B17" s="22">
        <f ca="1">Data!AL16</f>
        <v>46032</v>
      </c>
      <c r="C17">
        <f ca="1">IFERROR(IF(OFFSET(_xlfn.XLOOKUP(B17,Kuponger!E:E,Kuponger!Q:Q),15,54)=0,"",OFFSET(_xlfn.XLOOKUP(B17,Kuponger!E:E,Kuponger!Q:Q),15,54)),"")</f>
        <v>260</v>
      </c>
      <c r="D17">
        <f ca="1">IFERROR(IF(OFFSET(_xlfn.XLOOKUP(B17,Kuponger!E:E,Kuponger!Q:Q),15,55)=0,"",OFFSET(_xlfn.XLOOKUP(B17,Kuponger!E:E,Kuponger!Q:Q),15,55)),"")</f>
        <v>20</v>
      </c>
      <c r="E17">
        <f ca="1">IFERROR(IF(OFFSET(_xlfn.XLOOKUP(B17,Kuponger!E:E,Kuponger!Q:Q),15,56)=0,"",OFFSET(_xlfn.XLOOKUP(B17,Kuponger!E:E,Kuponger!Q:Q),15,56)),"")</f>
        <v>170</v>
      </c>
      <c r="F17" t="str">
        <f ca="1">IFERROR(IF(OFFSET(_xlfn.XLOOKUP(B17,Kuponger!E:E,Kuponger!Q:Q),1,56)=0,"",OFFSET(_xlfn.XLOOKUP(B17,Kuponger!E:E,Kuponger!Q:Q),1,56))*-1,"")</f>
        <v/>
      </c>
      <c r="G17">
        <f t="shared" ca="1" si="0"/>
        <v>450</v>
      </c>
      <c r="H17">
        <f ca="1">IFERROR(IF(OFFSET(_xlfn.XLOOKUP(B17,Kuponger!E:E,Kuponger!Q:Q),1,55)="","",OFFSET(_xlfn.XLOOKUP(B17,Kuponger!E:E,Kuponger!Q:Q),1,55)),"")</f>
        <v>9</v>
      </c>
      <c r="I17" s="3">
        <f ca="1">IFERROR(t_toh[[#This Row],[tp]]-G16,"")</f>
        <v>-170</v>
      </c>
      <c r="K17" s="801" t="str">
        <f>K13</f>
        <v>Antall misser</v>
      </c>
      <c r="L17">
        <f>SUM(L$14:L$16)</f>
        <v>19</v>
      </c>
      <c r="M17">
        <f t="shared" ref="M17:S17" si="8">SUM(M$14:M$16)</f>
        <v>19</v>
      </c>
      <c r="N17">
        <f t="shared" si="8"/>
        <v>43</v>
      </c>
      <c r="O17">
        <f t="shared" si="8"/>
        <v>81</v>
      </c>
      <c r="P17">
        <f t="shared" si="8"/>
        <v>97</v>
      </c>
      <c r="Q17">
        <f t="shared" si="8"/>
        <v>140</v>
      </c>
      <c r="R17">
        <f t="shared" si="8"/>
        <v>206</v>
      </c>
      <c r="S17">
        <f t="shared" si="8"/>
        <v>170</v>
      </c>
      <c r="T17">
        <f>SUM(L$17:S$17)</f>
        <v>775</v>
      </c>
    </row>
    <row r="18" spans="1:20" x14ac:dyDescent="0.2">
      <c r="A18">
        <v>17</v>
      </c>
      <c r="B18" s="22">
        <f ca="1">Data!AL17</f>
        <v>46039</v>
      </c>
      <c r="C18">
        <f ca="1">IFERROR(IF(OFFSET(_xlfn.XLOOKUP(B18,Kuponger!E:E,Kuponger!Q:Q),15,54)=0,"",OFFSET(_xlfn.XLOOKUP(B18,Kuponger!E:E,Kuponger!Q:Q),15,54)),"")</f>
        <v>150</v>
      </c>
      <c r="D18">
        <f ca="1">IFERROR(IF(OFFSET(_xlfn.XLOOKUP(B18,Kuponger!E:E,Kuponger!Q:Q),15,55)=0,"",OFFSET(_xlfn.XLOOKUP(B18,Kuponger!E:E,Kuponger!Q:Q),15,55)),"")</f>
        <v>100</v>
      </c>
      <c r="E18">
        <f ca="1">IFERROR(IF(OFFSET(_xlfn.XLOOKUP(B18,Kuponger!E:E,Kuponger!Q:Q),15,56)=0,"",OFFSET(_xlfn.XLOOKUP(B18,Kuponger!E:E,Kuponger!Q:Q),15,56)),"")</f>
        <v>100</v>
      </c>
      <c r="F18">
        <f ca="1">IFERROR(IF(OFFSET(_xlfn.XLOOKUP(B18,Kuponger!E:E,Kuponger!Q:Q),1,56)=0,"",OFFSET(_xlfn.XLOOKUP(B18,Kuponger!E:E,Kuponger!Q:Q),1,56))*-1,"")</f>
        <v>-50</v>
      </c>
      <c r="G18">
        <f t="shared" ca="1" si="0"/>
        <v>300</v>
      </c>
      <c r="H18">
        <f ca="1">IFERROR(IF(OFFSET(_xlfn.XLOOKUP(B18,Kuponger!E:E,Kuponger!Q:Q),1,55)="","",OFFSET(_xlfn.XLOOKUP(B18,Kuponger!E:E,Kuponger!Q:Q),1,55)),"")</f>
        <v>7</v>
      </c>
      <c r="I18" s="3">
        <f ca="1">IFERROR(t_toh[[#This Row],[tp]]-G17,"")</f>
        <v>-150</v>
      </c>
      <c r="K18" s="4"/>
    </row>
    <row r="19" spans="1:20" x14ac:dyDescent="0.2">
      <c r="A19">
        <v>18</v>
      </c>
      <c r="B19" s="22">
        <f ca="1">Data!AL18</f>
        <v>46046</v>
      </c>
      <c r="C19">
        <f ca="1">IFERROR(IF(OFFSET(_xlfn.XLOOKUP(B19,Kuponger!E:E,Kuponger!Q:Q),15,54)=0,"",OFFSET(_xlfn.XLOOKUP(B19,Kuponger!E:E,Kuponger!Q:Q),15,54)),"")</f>
        <v>270</v>
      </c>
      <c r="D19">
        <f ca="1">IFERROR(IF(OFFSET(_xlfn.XLOOKUP(B19,Kuponger!E:E,Kuponger!Q:Q),15,55)=0,"",OFFSET(_xlfn.XLOOKUP(B19,Kuponger!E:E,Kuponger!Q:Q),15,55)),"")</f>
        <v>130</v>
      </c>
      <c r="E19">
        <f ca="1">IFERROR(IF(OFFSET(_xlfn.XLOOKUP(B19,Kuponger!E:E,Kuponger!Q:Q),15,56)=0,"",OFFSET(_xlfn.XLOOKUP(B19,Kuponger!E:E,Kuponger!Q:Q),15,56)),"")</f>
        <v>60</v>
      </c>
      <c r="F19" t="str">
        <f ca="1">IFERROR(IF(OFFSET(_xlfn.XLOOKUP(B19,Kuponger!E:E,Kuponger!Q:Q),1,56)=0,"",OFFSET(_xlfn.XLOOKUP(B19,Kuponger!E:E,Kuponger!Q:Q),1,56))*-1,"")</f>
        <v/>
      </c>
      <c r="G19">
        <f t="shared" ca="1" si="0"/>
        <v>460</v>
      </c>
      <c r="H19">
        <f ca="1">IFERROR(IF(OFFSET(_xlfn.XLOOKUP(B19,Kuponger!E:E,Kuponger!Q:Q),1,55)="","",OFFSET(_xlfn.XLOOKUP(B19,Kuponger!E:E,Kuponger!Q:Q),1,55)),"")</f>
        <v>3</v>
      </c>
      <c r="I19" s="3">
        <f ca="1">IFERROR(t_toh[[#This Row],[tp]]-G18,"")</f>
        <v>160</v>
      </c>
      <c r="K19" s="2" t="s">
        <v>854</v>
      </c>
      <c r="L19" s="2">
        <f>L13</f>
        <v>80</v>
      </c>
      <c r="M19" s="2">
        <f t="shared" ref="M19:S19" si="9">M13</f>
        <v>70</v>
      </c>
      <c r="N19" s="2">
        <f t="shared" si="9"/>
        <v>60</v>
      </c>
      <c r="O19" s="2">
        <f t="shared" si="9"/>
        <v>50</v>
      </c>
      <c r="P19" s="2">
        <f t="shared" si="9"/>
        <v>40</v>
      </c>
      <c r="Q19" s="2">
        <f t="shared" si="9"/>
        <v>30</v>
      </c>
      <c r="R19" s="2">
        <f t="shared" si="9"/>
        <v>20</v>
      </c>
      <c r="S19" s="2">
        <f t="shared" si="9"/>
        <v>10</v>
      </c>
    </row>
    <row r="20" spans="1:20" x14ac:dyDescent="0.2">
      <c r="A20">
        <v>19</v>
      </c>
      <c r="B20" s="22">
        <f ca="1">Data!AL19</f>
        <v>46053</v>
      </c>
      <c r="C20">
        <f ca="1">IFERROR(IF(OFFSET(_xlfn.XLOOKUP(B20,Kuponger!E:E,Kuponger!Q:Q),15,54)=0,"",OFFSET(_xlfn.XLOOKUP(B20,Kuponger!E:E,Kuponger!Q:Q),15,54)),"")</f>
        <v>220</v>
      </c>
      <c r="D20">
        <f ca="1">IFERROR(IF(OFFSET(_xlfn.XLOOKUP(B20,Kuponger!E:E,Kuponger!Q:Q),15,55)=0,"",OFFSET(_xlfn.XLOOKUP(B20,Kuponger!E:E,Kuponger!Q:Q),15,55)),"")</f>
        <v>100</v>
      </c>
      <c r="E20">
        <f ca="1">IFERROR(IF(OFFSET(_xlfn.XLOOKUP(B20,Kuponger!E:E,Kuponger!Q:Q),15,56)=0,"",OFFSET(_xlfn.XLOOKUP(B20,Kuponger!E:E,Kuponger!Q:Q),15,56)),"")</f>
        <v>180</v>
      </c>
      <c r="F20" t="str">
        <f ca="1">IFERROR(IF(OFFSET(_xlfn.XLOOKUP(B20,Kuponger!E:E,Kuponger!Q:Q),1,56)=0,"",OFFSET(_xlfn.XLOOKUP(B20,Kuponger!E:E,Kuponger!Q:Q),1,56))*-1,"")</f>
        <v/>
      </c>
      <c r="G20">
        <f t="shared" ca="1" si="0"/>
        <v>500</v>
      </c>
      <c r="H20">
        <f ca="1">IFERROR(IF(OFFSET(_xlfn.XLOOKUP(B20,Kuponger!E:E,Kuponger!Q:Q),1,55)="","",OFFSET(_xlfn.XLOOKUP(B20,Kuponger!E:E,Kuponger!Q:Q),1,55)),"")</f>
        <v>4</v>
      </c>
      <c r="I20" s="3">
        <f ca="1">IFERROR(t_toh[[#This Row],[tp]]-G19,"")</f>
        <v>40</v>
      </c>
      <c r="K20" s="801" t="str">
        <f>K8</f>
        <v>Hjemme</v>
      </c>
      <c r="L20">
        <f>L$8*L$19</f>
        <v>1520</v>
      </c>
      <c r="M20">
        <f t="shared" ref="M20:S20" si="10">M$8*M$19</f>
        <v>2240</v>
      </c>
      <c r="N20">
        <f t="shared" si="10"/>
        <v>1260</v>
      </c>
      <c r="O20">
        <f t="shared" si="10"/>
        <v>1850</v>
      </c>
      <c r="P20">
        <f t="shared" si="10"/>
        <v>880</v>
      </c>
      <c r="Q20">
        <f t="shared" si="10"/>
        <v>570</v>
      </c>
      <c r="R20">
        <f t="shared" si="10"/>
        <v>300</v>
      </c>
      <c r="S20">
        <f t="shared" si="10"/>
        <v>60</v>
      </c>
      <c r="T20">
        <f>SUM(L$20:S$20)</f>
        <v>8680</v>
      </c>
    </row>
    <row r="21" spans="1:20" x14ac:dyDescent="0.2">
      <c r="A21">
        <v>20</v>
      </c>
      <c r="B21" s="22">
        <f ca="1">Data!AL20</f>
        <v>46060</v>
      </c>
      <c r="C21">
        <f ca="1">IFERROR(IF(OFFSET(_xlfn.XLOOKUP(B21,Kuponger!E:E,Kuponger!Q:Q),15,54)=0,"",OFFSET(_xlfn.XLOOKUP(B21,Kuponger!E:E,Kuponger!Q:Q),15,54)),"")</f>
        <v>180</v>
      </c>
      <c r="D21">
        <f ca="1">IFERROR(IF(OFFSET(_xlfn.XLOOKUP(B21,Kuponger!E:E,Kuponger!Q:Q),15,55)=0,"",OFFSET(_xlfn.XLOOKUP(B21,Kuponger!E:E,Kuponger!Q:Q),15,55)),"")</f>
        <v>70</v>
      </c>
      <c r="E21">
        <f ca="1">IFERROR(IF(OFFSET(_xlfn.XLOOKUP(B21,Kuponger!E:E,Kuponger!Q:Q),15,56)=0,"",OFFSET(_xlfn.XLOOKUP(B21,Kuponger!E:E,Kuponger!Q:Q),15,56)),"")</f>
        <v>170</v>
      </c>
      <c r="F21">
        <f ca="1">IFERROR(IF(OFFSET(_xlfn.XLOOKUP(B21,Kuponger!E:E,Kuponger!Q:Q),1,56)=0,"",OFFSET(_xlfn.XLOOKUP(B21,Kuponger!E:E,Kuponger!Q:Q),1,56))*-1,"")</f>
        <v>-50</v>
      </c>
      <c r="G21">
        <f t="shared" ca="1" si="0"/>
        <v>370</v>
      </c>
      <c r="H21">
        <f ca="1">IFERROR(IF(OFFSET(_xlfn.XLOOKUP(B21,Kuponger!E:E,Kuponger!Q:Q),1,55)="","",OFFSET(_xlfn.XLOOKUP(B21,Kuponger!E:E,Kuponger!Q:Q),1,55)),"")</f>
        <v>9</v>
      </c>
      <c r="I21" s="3">
        <f ca="1">IFERROR(t_toh[[#This Row],[tp]]-G20,"")</f>
        <v>-130</v>
      </c>
      <c r="K21" s="801" t="str">
        <f>K9</f>
        <v>Uavgjort</v>
      </c>
      <c r="L21">
        <f>L$9*L$19</f>
        <v>0</v>
      </c>
      <c r="M21">
        <f t="shared" ref="M21:S21" si="11">M$9*M$19</f>
        <v>0</v>
      </c>
      <c r="N21">
        <f t="shared" si="11"/>
        <v>180</v>
      </c>
      <c r="O21">
        <f t="shared" si="11"/>
        <v>100</v>
      </c>
      <c r="P21">
        <f t="shared" si="11"/>
        <v>440</v>
      </c>
      <c r="Q21">
        <f t="shared" si="11"/>
        <v>660</v>
      </c>
      <c r="R21">
        <f t="shared" si="11"/>
        <v>640</v>
      </c>
      <c r="S21">
        <f t="shared" si="11"/>
        <v>170</v>
      </c>
      <c r="T21">
        <f>SUM(L$21:S$21)</f>
        <v>2190</v>
      </c>
    </row>
    <row r="22" spans="1:20" x14ac:dyDescent="0.2">
      <c r="A22">
        <v>21</v>
      </c>
      <c r="B22" s="22">
        <f ca="1">Data!AL21</f>
        <v>46067</v>
      </c>
      <c r="C22">
        <f ca="1">IFERROR(IF(OFFSET(_xlfn.XLOOKUP(B22,Kuponger!E:E,Kuponger!Q:Q),15,54)=0,"",OFFSET(_xlfn.XLOOKUP(B22,Kuponger!E:E,Kuponger!Q:Q),15,54)),"")</f>
        <v>280</v>
      </c>
      <c r="D22">
        <f ca="1">IFERROR(IF(OFFSET(_xlfn.XLOOKUP(B22,Kuponger!E:E,Kuponger!Q:Q),15,55)=0,"",OFFSET(_xlfn.XLOOKUP(B22,Kuponger!E:E,Kuponger!Q:Q),15,55)),"")</f>
        <v>110</v>
      </c>
      <c r="E22">
        <f ca="1">IFERROR(IF(OFFSET(_xlfn.XLOOKUP(B22,Kuponger!E:E,Kuponger!Q:Q),15,56)=0,"",OFFSET(_xlfn.XLOOKUP(B22,Kuponger!E:E,Kuponger!Q:Q),15,56)),"")</f>
        <v>110</v>
      </c>
      <c r="F22" t="str">
        <f ca="1">IFERROR(IF(OFFSET(_xlfn.XLOOKUP(B22,Kuponger!E:E,Kuponger!Q:Q),1,56)=0,"",OFFSET(_xlfn.XLOOKUP(B22,Kuponger!E:E,Kuponger!Q:Q),1,56))*-1,"")</f>
        <v/>
      </c>
      <c r="G22">
        <f t="shared" ca="1" si="0"/>
        <v>500</v>
      </c>
      <c r="H22">
        <f ca="1">IFERROR(IF(OFFSET(_xlfn.XLOOKUP(B22,Kuponger!E:E,Kuponger!Q:Q),1,55)="","",OFFSET(_xlfn.XLOOKUP(B22,Kuponger!E:E,Kuponger!Q:Q),1,55)),"")</f>
        <v>2</v>
      </c>
      <c r="I22" s="3">
        <f ca="1">IFERROR(t_toh[[#This Row],[tp]]-G21,"")</f>
        <v>130</v>
      </c>
      <c r="K22" s="801" t="str">
        <f>K10</f>
        <v>Borte</v>
      </c>
      <c r="L22">
        <f>L$10*L$19</f>
        <v>960</v>
      </c>
      <c r="M22">
        <f t="shared" ref="M22:S22" si="12">M$10*M$19</f>
        <v>350</v>
      </c>
      <c r="N22">
        <f t="shared" si="12"/>
        <v>780</v>
      </c>
      <c r="O22">
        <f t="shared" si="12"/>
        <v>600</v>
      </c>
      <c r="P22">
        <f t="shared" si="12"/>
        <v>680</v>
      </c>
      <c r="Q22">
        <f t="shared" si="12"/>
        <v>570</v>
      </c>
      <c r="R22">
        <f t="shared" si="12"/>
        <v>520</v>
      </c>
      <c r="S22">
        <f t="shared" si="12"/>
        <v>100</v>
      </c>
      <c r="T22">
        <f>SUM(L$22:S$22)</f>
        <v>4560</v>
      </c>
    </row>
    <row r="23" spans="1:20" x14ac:dyDescent="0.2">
      <c r="A23">
        <v>22</v>
      </c>
      <c r="B23" s="22">
        <f ca="1">Data!AL22</f>
        <v>46074</v>
      </c>
      <c r="C23">
        <f ca="1">IFERROR(IF(OFFSET(_xlfn.XLOOKUP(B23,Kuponger!E:E,Kuponger!Q:Q),15,54)=0,"",OFFSET(_xlfn.XLOOKUP(B23,Kuponger!E:E,Kuponger!Q:Q),15,54)),"")</f>
        <v>140</v>
      </c>
      <c r="D23">
        <f ca="1">IFERROR(IF(OFFSET(_xlfn.XLOOKUP(B23,Kuponger!E:E,Kuponger!Q:Q),15,55)=0,"",OFFSET(_xlfn.XLOOKUP(B23,Kuponger!E:E,Kuponger!Q:Q),15,55)),"")</f>
        <v>100</v>
      </c>
      <c r="E23">
        <f ca="1">IFERROR(IF(OFFSET(_xlfn.XLOOKUP(B23,Kuponger!E:E,Kuponger!Q:Q),15,56)=0,"",OFFSET(_xlfn.XLOOKUP(B23,Kuponger!E:E,Kuponger!Q:Q),15,56)),"")</f>
        <v>70</v>
      </c>
      <c r="F23">
        <f ca="1">IFERROR(IF(OFFSET(_xlfn.XLOOKUP(B23,Kuponger!E:E,Kuponger!Q:Q),1,56)=0,"",OFFSET(_xlfn.XLOOKUP(B23,Kuponger!E:E,Kuponger!Q:Q),1,56))*-1,"")</f>
        <v>-50</v>
      </c>
      <c r="G23">
        <f t="shared" ca="1" si="0"/>
        <v>260</v>
      </c>
      <c r="H23">
        <f ca="1">IFERROR(IF(OFFSET(_xlfn.XLOOKUP(B23,Kuponger!E:E,Kuponger!Q:Q),1,55)="","",OFFSET(_xlfn.XLOOKUP(B23,Kuponger!E:E,Kuponger!Q:Q),1,55)),"")</f>
        <v>9</v>
      </c>
      <c r="I23" s="3">
        <f ca="1">IFERROR(t_toh[[#This Row],[tp]]-G22,"")</f>
        <v>-240</v>
      </c>
      <c r="K23" s="801" t="str">
        <f>K19</f>
        <v>Treff poeng</v>
      </c>
      <c r="L23">
        <f>SUM(L20:L22)</f>
        <v>2480</v>
      </c>
      <c r="M23">
        <f t="shared" ref="M23:S23" si="13">SUM(M20:M22)</f>
        <v>2590</v>
      </c>
      <c r="N23">
        <f t="shared" si="13"/>
        <v>2220</v>
      </c>
      <c r="O23">
        <f t="shared" si="13"/>
        <v>2550</v>
      </c>
      <c r="P23">
        <f t="shared" si="13"/>
        <v>2000</v>
      </c>
      <c r="Q23">
        <f t="shared" si="13"/>
        <v>1800</v>
      </c>
      <c r="R23">
        <f t="shared" si="13"/>
        <v>1460</v>
      </c>
      <c r="S23">
        <f t="shared" si="13"/>
        <v>330</v>
      </c>
      <c r="T23">
        <f>SUM(L$23:S$23)</f>
        <v>15430</v>
      </c>
    </row>
    <row r="24" spans="1:20" x14ac:dyDescent="0.2">
      <c r="A24">
        <v>23</v>
      </c>
      <c r="B24" s="22">
        <f ca="1">Data!AL23</f>
        <v>46081</v>
      </c>
      <c r="C24">
        <f ca="1">IFERROR(IF(OFFSET(_xlfn.XLOOKUP(B24,Kuponger!E:E,Kuponger!Q:Q),15,54)=0,"",OFFSET(_xlfn.XLOOKUP(B24,Kuponger!E:E,Kuponger!Q:Q),15,54)),"")</f>
        <v>280</v>
      </c>
      <c r="D24" t="str">
        <f ca="1">IFERROR(IF(OFFSET(_xlfn.XLOOKUP(B24,Kuponger!E:E,Kuponger!Q:Q),15,55)=0,"",OFFSET(_xlfn.XLOOKUP(B24,Kuponger!E:E,Kuponger!Q:Q),15,55)),"")</f>
        <v/>
      </c>
      <c r="E24">
        <f ca="1">IFERROR(IF(OFFSET(_xlfn.XLOOKUP(B24,Kuponger!E:E,Kuponger!Q:Q),15,56)=0,"",OFFSET(_xlfn.XLOOKUP(B24,Kuponger!E:E,Kuponger!Q:Q),15,56)),"")</f>
        <v>290</v>
      </c>
      <c r="F24" t="str">
        <f ca="1">IFERROR(IF(OFFSET(_xlfn.XLOOKUP(B24,Kuponger!E:E,Kuponger!Q:Q),1,56)=0,"",OFFSET(_xlfn.XLOOKUP(B24,Kuponger!E:E,Kuponger!Q:Q),1,56))*-1,"")</f>
        <v/>
      </c>
      <c r="G24">
        <f t="shared" ca="1" si="0"/>
        <v>570</v>
      </c>
      <c r="H24">
        <f ca="1">IFERROR(IF(OFFSET(_xlfn.XLOOKUP(B24,Kuponger!E:E,Kuponger!Q:Q),1,55)="","",OFFSET(_xlfn.XLOOKUP(B24,Kuponger!E:E,Kuponger!Q:Q),1,55)),"")</f>
        <v>7</v>
      </c>
      <c r="I24" s="3">
        <f ca="1">IFERROR(t_toh[[#This Row],[tp]]-G23,"")</f>
        <v>310</v>
      </c>
      <c r="K24" s="4"/>
    </row>
    <row r="25" spans="1:20" x14ac:dyDescent="0.2">
      <c r="A25">
        <v>24</v>
      </c>
      <c r="B25" s="22">
        <f ca="1">Data!AL24</f>
        <v>46088</v>
      </c>
      <c r="C25">
        <f ca="1">IFERROR(IF(OFFSET(_xlfn.XLOOKUP(B25,Kuponger!E:E,Kuponger!Q:Q),15,54)=0,"",OFFSET(_xlfn.XLOOKUP(B25,Kuponger!E:E,Kuponger!Q:Q),15,54)),"")</f>
        <v>180</v>
      </c>
      <c r="D25">
        <f ca="1">IFERROR(IF(OFFSET(_xlfn.XLOOKUP(B25,Kuponger!E:E,Kuponger!Q:Q),15,55)=0,"",OFFSET(_xlfn.XLOOKUP(B25,Kuponger!E:E,Kuponger!Q:Q),15,55)),"")</f>
        <v>70</v>
      </c>
      <c r="E25">
        <f ca="1">IFERROR(IF(OFFSET(_xlfn.XLOOKUP(B25,Kuponger!E:E,Kuponger!Q:Q),15,56)=0,"",OFFSET(_xlfn.XLOOKUP(B25,Kuponger!E:E,Kuponger!Q:Q),15,56)),"")</f>
        <v>270</v>
      </c>
      <c r="F25" t="str">
        <f ca="1">IFERROR(IF(OFFSET(_xlfn.XLOOKUP(B25,Kuponger!E:E,Kuponger!Q:Q),1,56)=0,"",OFFSET(_xlfn.XLOOKUP(B25,Kuponger!E:E,Kuponger!Q:Q),1,56))*-1,"")</f>
        <v/>
      </c>
      <c r="G25">
        <f t="shared" ca="1" si="0"/>
        <v>520</v>
      </c>
      <c r="H25">
        <f ca="1">IFERROR(IF(OFFSET(_xlfn.XLOOKUP(B25,Kuponger!E:E,Kuponger!Q:Q),1,55)="","",OFFSET(_xlfn.XLOOKUP(B25,Kuponger!E:E,Kuponger!Q:Q),1,55)),"")</f>
        <v>2</v>
      </c>
      <c r="I25" s="3">
        <f ca="1">IFERROR(t_toh[[#This Row],[tp]]-G24,"")</f>
        <v>-50</v>
      </c>
      <c r="K25" s="2" t="s">
        <v>855</v>
      </c>
      <c r="L25" s="2">
        <f>L19</f>
        <v>80</v>
      </c>
      <c r="M25" s="2">
        <f t="shared" ref="M25:S25" si="14">M19</f>
        <v>70</v>
      </c>
      <c r="N25" s="2">
        <f t="shared" si="14"/>
        <v>60</v>
      </c>
      <c r="O25" s="2">
        <f t="shared" si="14"/>
        <v>50</v>
      </c>
      <c r="P25" s="2">
        <f t="shared" si="14"/>
        <v>40</v>
      </c>
      <c r="Q25" s="2">
        <f t="shared" si="14"/>
        <v>30</v>
      </c>
      <c r="R25" s="2">
        <f t="shared" si="14"/>
        <v>20</v>
      </c>
      <c r="S25" s="2">
        <f t="shared" si="14"/>
        <v>10</v>
      </c>
    </row>
    <row r="26" spans="1:20" x14ac:dyDescent="0.2">
      <c r="A26">
        <v>25</v>
      </c>
      <c r="B26" s="22">
        <f ca="1">Data!AL25</f>
        <v>46095</v>
      </c>
      <c r="C26">
        <f ca="1">IFERROR(IF(OFFSET(_xlfn.XLOOKUP(B26,Kuponger!E:E,Kuponger!Q:Q),15,54)=0,"",OFFSET(_xlfn.XLOOKUP(B26,Kuponger!E:E,Kuponger!Q:Q),15,54)),"")</f>
        <v>270</v>
      </c>
      <c r="D26">
        <f ca="1">IFERROR(IF(OFFSET(_xlfn.XLOOKUP(B26,Kuponger!E:E,Kuponger!Q:Q),15,55)=0,"",OFFSET(_xlfn.XLOOKUP(B26,Kuponger!E:E,Kuponger!Q:Q),15,55)),"")</f>
        <v>110</v>
      </c>
      <c r="E26">
        <f ca="1">IFERROR(IF(OFFSET(_xlfn.XLOOKUP(B26,Kuponger!E:E,Kuponger!Q:Q),15,56)=0,"",OFFSET(_xlfn.XLOOKUP(B26,Kuponger!E:E,Kuponger!Q:Q),15,56)),"")</f>
        <v>90</v>
      </c>
      <c r="F26" t="str">
        <f ca="1">IFERROR(IF(OFFSET(_xlfn.XLOOKUP(B26,Kuponger!E:E,Kuponger!Q:Q),1,56)=0,"",OFFSET(_xlfn.XLOOKUP(B26,Kuponger!E:E,Kuponger!Q:Q),1,56))*-1,"")</f>
        <v/>
      </c>
      <c r="G26">
        <f t="shared" ca="1" si="0"/>
        <v>470</v>
      </c>
      <c r="H26">
        <f ca="1">IFERROR(IF(OFFSET(_xlfn.XLOOKUP(B26,Kuponger!E:E,Kuponger!Q:Q),1,55)="","",OFFSET(_xlfn.XLOOKUP(B26,Kuponger!E:E,Kuponger!Q:Q),1,55)),"")</f>
        <v>2</v>
      </c>
      <c r="I26" s="3">
        <f ca="1">IFERROR(t_toh[[#This Row],[tp]]-G25,"")</f>
        <v>-50</v>
      </c>
      <c r="K26" s="801" t="str">
        <f>K8</f>
        <v>Hjemme</v>
      </c>
      <c r="L26">
        <f>L$14*L$25</f>
        <v>640</v>
      </c>
      <c r="M26">
        <f t="shared" ref="M26:S26" si="15">M$14*M$25</f>
        <v>420</v>
      </c>
      <c r="N26">
        <f t="shared" si="15"/>
        <v>1440</v>
      </c>
      <c r="O26">
        <f t="shared" si="15"/>
        <v>1750</v>
      </c>
      <c r="P26">
        <f t="shared" si="15"/>
        <v>1520</v>
      </c>
      <c r="Q26">
        <f t="shared" si="15"/>
        <v>1110</v>
      </c>
      <c r="R26">
        <f t="shared" si="15"/>
        <v>620</v>
      </c>
      <c r="S26">
        <f t="shared" si="15"/>
        <v>220</v>
      </c>
      <c r="T26">
        <f>SUM(L$26:S$26)</f>
        <v>7720</v>
      </c>
    </row>
    <row r="27" spans="1:20" x14ac:dyDescent="0.2">
      <c r="A27">
        <v>26</v>
      </c>
      <c r="B27" s="22">
        <f ca="1">Data!AL26</f>
        <v>46102</v>
      </c>
      <c r="C27">
        <f ca="1">IFERROR(IF(OFFSET(_xlfn.XLOOKUP(B27,Kuponger!E:E,Kuponger!Q:Q),15,54)=0,"",OFFSET(_xlfn.XLOOKUP(B27,Kuponger!E:E,Kuponger!Q:Q),15,54)),"")</f>
        <v>280</v>
      </c>
      <c r="D27">
        <f ca="1">IFERROR(IF(OFFSET(_xlfn.XLOOKUP(B27,Kuponger!E:E,Kuponger!Q:Q),15,55)=0,"",OFFSET(_xlfn.XLOOKUP(B27,Kuponger!E:E,Kuponger!Q:Q),15,55)),"")</f>
        <v>130</v>
      </c>
      <c r="E27">
        <f ca="1">IFERROR(IF(OFFSET(_xlfn.XLOOKUP(B27,Kuponger!E:E,Kuponger!Q:Q),15,56)=0,"",OFFSET(_xlfn.XLOOKUP(B27,Kuponger!E:E,Kuponger!Q:Q),15,56)),"")</f>
        <v>140</v>
      </c>
      <c r="F27">
        <f ca="1">IFERROR(IF(OFFSET(_xlfn.XLOOKUP(B27,Kuponger!E:E,Kuponger!Q:Q),1,56)=0,"",OFFSET(_xlfn.XLOOKUP(B27,Kuponger!E:E,Kuponger!Q:Q),1,56))*-1,"")</f>
        <v>-50</v>
      </c>
      <c r="G27">
        <f t="shared" ca="1" si="0"/>
        <v>500</v>
      </c>
      <c r="H27">
        <f ca="1">IFERROR(IF(OFFSET(_xlfn.XLOOKUP(B27,Kuponger!E:E,Kuponger!Q:Q),1,55)="","",OFFSET(_xlfn.XLOOKUP(B27,Kuponger!E:E,Kuponger!Q:Q),1,55)),"")</f>
        <v>3</v>
      </c>
      <c r="I27" s="3">
        <f ca="1">IFERROR(t_toh[[#This Row],[tp]]-G26,"")</f>
        <v>30</v>
      </c>
      <c r="K27" s="801" t="str">
        <f>K9</f>
        <v>Uavgjort</v>
      </c>
      <c r="L27">
        <f>L$25*L$15</f>
        <v>240</v>
      </c>
      <c r="M27">
        <f t="shared" ref="M27:S27" si="16">M$25*M$15</f>
        <v>350</v>
      </c>
      <c r="N27">
        <f t="shared" si="16"/>
        <v>240</v>
      </c>
      <c r="O27">
        <f t="shared" si="16"/>
        <v>650</v>
      </c>
      <c r="P27">
        <f t="shared" si="16"/>
        <v>1160</v>
      </c>
      <c r="Q27">
        <f t="shared" si="16"/>
        <v>1770</v>
      </c>
      <c r="R27">
        <f t="shared" si="16"/>
        <v>2120</v>
      </c>
      <c r="S27">
        <f t="shared" si="16"/>
        <v>840</v>
      </c>
      <c r="T27">
        <f>SUM(L$27:S$27)</f>
        <v>7370</v>
      </c>
    </row>
    <row r="28" spans="1:20" x14ac:dyDescent="0.2">
      <c r="A28">
        <v>27</v>
      </c>
      <c r="B28" s="22">
        <f ca="1">Data!AL27</f>
        <v>46109</v>
      </c>
      <c r="C28">
        <f ca="1">IFERROR(IF(OFFSET(_xlfn.XLOOKUP(B28,Kuponger!E:E,Kuponger!Q:Q),15,54)=0,"",OFFSET(_xlfn.XLOOKUP(B28,Kuponger!E:E,Kuponger!Q:Q),15,54)),"")</f>
        <v>440</v>
      </c>
      <c r="D28">
        <f ca="1">IFERROR(IF(OFFSET(_xlfn.XLOOKUP(B28,Kuponger!E:E,Kuponger!Q:Q),15,55)=0,"",OFFSET(_xlfn.XLOOKUP(B28,Kuponger!E:E,Kuponger!Q:Q),15,55)),"")</f>
        <v>80</v>
      </c>
      <c r="E28" t="str">
        <f ca="1">IFERROR(IF(OFFSET(_xlfn.XLOOKUP(B28,Kuponger!E:E,Kuponger!Q:Q),15,56)=0,"",OFFSET(_xlfn.XLOOKUP(B28,Kuponger!E:E,Kuponger!Q:Q),15,56)),"")</f>
        <v/>
      </c>
      <c r="F28" t="str">
        <f ca="1">IFERROR(IF(OFFSET(_xlfn.XLOOKUP(B28,Kuponger!E:E,Kuponger!Q:Q),1,56)=0,"",OFFSET(_xlfn.XLOOKUP(B28,Kuponger!E:E,Kuponger!Q:Q),1,56))*-1,"")</f>
        <v/>
      </c>
      <c r="G28">
        <f t="shared" ca="1" si="0"/>
        <v>520</v>
      </c>
      <c r="H28">
        <f ca="1">IFERROR(IF(OFFSET(_xlfn.XLOOKUP(B28,Kuponger!E:E,Kuponger!Q:Q),1,55)="","",OFFSET(_xlfn.XLOOKUP(B28,Kuponger!E:E,Kuponger!Q:Q),1,55)),"")</f>
        <v>1</v>
      </c>
      <c r="I28" s="3">
        <f ca="1">IFERROR(t_toh[[#This Row],[tp]]-G27,"")</f>
        <v>20</v>
      </c>
      <c r="K28" s="801" t="str">
        <f>K10</f>
        <v>Borte</v>
      </c>
      <c r="L28">
        <f>L$25*L$16</f>
        <v>640</v>
      </c>
      <c r="M28">
        <f t="shared" ref="M28:S28" si="17">M$25*M$16</f>
        <v>560</v>
      </c>
      <c r="N28">
        <f t="shared" si="17"/>
        <v>900</v>
      </c>
      <c r="O28">
        <f t="shared" si="17"/>
        <v>1650</v>
      </c>
      <c r="P28">
        <f t="shared" si="17"/>
        <v>1200</v>
      </c>
      <c r="Q28">
        <f t="shared" si="17"/>
        <v>1320</v>
      </c>
      <c r="R28">
        <f t="shared" si="17"/>
        <v>1380</v>
      </c>
      <c r="S28">
        <f t="shared" si="17"/>
        <v>640</v>
      </c>
      <c r="T28">
        <f>SUM(L$28:S$28)</f>
        <v>8290</v>
      </c>
    </row>
    <row r="29" spans="1:20" x14ac:dyDescent="0.2">
      <c r="A29">
        <v>28</v>
      </c>
      <c r="B29" s="22">
        <f ca="1">Data!AL28</f>
        <v>46123</v>
      </c>
      <c r="C29">
        <f ca="1">IFERROR(IF(OFFSET(_xlfn.XLOOKUP(B29,Kuponger!E:E,Kuponger!Q:Q),15,54)=0,"",OFFSET(_xlfn.XLOOKUP(B29,Kuponger!E:E,Kuponger!Q:Q),15,54)),"")</f>
        <v>320</v>
      </c>
      <c r="D29">
        <f ca="1">IFERROR(IF(OFFSET(_xlfn.XLOOKUP(B29,Kuponger!E:E,Kuponger!Q:Q),15,55)=0,"",OFFSET(_xlfn.XLOOKUP(B29,Kuponger!E:E,Kuponger!Q:Q),15,55)),"")</f>
        <v>50</v>
      </c>
      <c r="E29">
        <f ca="1">IFERROR(IF(OFFSET(_xlfn.XLOOKUP(B29,Kuponger!E:E,Kuponger!Q:Q),15,56)=0,"",OFFSET(_xlfn.XLOOKUP(B29,Kuponger!E:E,Kuponger!Q:Q),15,56)),"")</f>
        <v>160</v>
      </c>
      <c r="F29" t="str">
        <f ca="1">IFERROR(IF(OFFSET(_xlfn.XLOOKUP(B29,Kuponger!E:E,Kuponger!Q:Q),1,56)=0,"",OFFSET(_xlfn.XLOOKUP(B29,Kuponger!E:E,Kuponger!Q:Q),1,56))*-1,"")</f>
        <v/>
      </c>
      <c r="G29">
        <f t="shared" ca="1" si="0"/>
        <v>530</v>
      </c>
      <c r="H29">
        <f ca="1">IFERROR(IF(OFFSET(_xlfn.XLOOKUP(B29,Kuponger!E:E,Kuponger!Q:Q),1,55)="","",OFFSET(_xlfn.XLOOKUP(B29,Kuponger!E:E,Kuponger!Q:Q),1,55)),"")</f>
        <v>3</v>
      </c>
      <c r="I29" s="3">
        <f ca="1">IFERROR(t_toh[[#This Row],[tp]]-G28,"")</f>
        <v>10</v>
      </c>
      <c r="K29" s="801" t="str">
        <f>K25</f>
        <v>Misset poeng</v>
      </c>
      <c r="L29">
        <f>SUM(L26:L28)</f>
        <v>1520</v>
      </c>
      <c r="M29">
        <f t="shared" ref="M29:S29" si="18">SUM(M26:M28)</f>
        <v>1330</v>
      </c>
      <c r="N29">
        <f t="shared" si="18"/>
        <v>2580</v>
      </c>
      <c r="O29">
        <f t="shared" si="18"/>
        <v>4050</v>
      </c>
      <c r="P29">
        <f t="shared" si="18"/>
        <v>3880</v>
      </c>
      <c r="Q29">
        <f t="shared" si="18"/>
        <v>4200</v>
      </c>
      <c r="R29">
        <f t="shared" si="18"/>
        <v>4120</v>
      </c>
      <c r="S29">
        <f t="shared" si="18"/>
        <v>1700</v>
      </c>
      <c r="T29">
        <f>SUM(L$29:S$29)</f>
        <v>23380</v>
      </c>
    </row>
    <row r="30" spans="1:20" x14ac:dyDescent="0.2">
      <c r="A30">
        <v>29</v>
      </c>
      <c r="B30" s="22">
        <f ca="1">Data!AL29</f>
        <v>46130</v>
      </c>
      <c r="C30">
        <f ca="1">IFERROR(IF(OFFSET(_xlfn.XLOOKUP(B30,Kuponger!E:E,Kuponger!Q:Q),15,54)=0,"",OFFSET(_xlfn.XLOOKUP(B30,Kuponger!E:E,Kuponger!Q:Q),15,54)),"")</f>
        <v>200</v>
      </c>
      <c r="D30">
        <f ca="1">IFERROR(IF(OFFSET(_xlfn.XLOOKUP(B30,Kuponger!E:E,Kuponger!Q:Q),15,55)=0,"",OFFSET(_xlfn.XLOOKUP(B30,Kuponger!E:E,Kuponger!Q:Q),15,55)),"")</f>
        <v>90</v>
      </c>
      <c r="E30">
        <f ca="1">IFERROR(IF(OFFSET(_xlfn.XLOOKUP(B30,Kuponger!E:E,Kuponger!Q:Q),15,56)=0,"",OFFSET(_xlfn.XLOOKUP(B30,Kuponger!E:E,Kuponger!Q:Q),15,56)),"")</f>
        <v>160</v>
      </c>
      <c r="F30" t="str">
        <f ca="1">IFERROR(IF(OFFSET(_xlfn.XLOOKUP(B30,Kuponger!E:E,Kuponger!Q:Q),1,56)=0,"",OFFSET(_xlfn.XLOOKUP(B30,Kuponger!E:E,Kuponger!Q:Q),1,56))*-1,"")</f>
        <v/>
      </c>
      <c r="G30">
        <f t="shared" ca="1" si="0"/>
        <v>450</v>
      </c>
      <c r="H30">
        <f ca="1">IFERROR(IF(OFFSET(_xlfn.XLOOKUP(B30,Kuponger!E:E,Kuponger!Q:Q),1,55)="","",OFFSET(_xlfn.XLOOKUP(B30,Kuponger!E:E,Kuponger!Q:Q),1,55)),"")</f>
        <v>3</v>
      </c>
      <c r="I30" s="3">
        <f ca="1">IFERROR(t_toh[[#This Row],[tp]]-G29,"")</f>
        <v>-80</v>
      </c>
    </row>
    <row r="31" spans="1:20" x14ac:dyDescent="0.2">
      <c r="A31">
        <v>30</v>
      </c>
      <c r="B31" s="22">
        <f ca="1">Data!AL30</f>
        <v>46137</v>
      </c>
      <c r="C31" t="str">
        <f ca="1">IFERROR(IF(OFFSET(_xlfn.XLOOKUP(B31,Kuponger!E:E,Kuponger!Q:Q),15,54)=0,"",OFFSET(_xlfn.XLOOKUP(B31,Kuponger!E:E,Kuponger!Q:Q),15,54)),"")</f>
        <v/>
      </c>
      <c r="D31" t="str">
        <f ca="1">IFERROR(IF(OFFSET(_xlfn.XLOOKUP(B31,Kuponger!E:E,Kuponger!Q:Q),15,55)=0,"",OFFSET(_xlfn.XLOOKUP(B31,Kuponger!E:E,Kuponger!Q:Q),15,55)),"")</f>
        <v/>
      </c>
      <c r="E31" t="str">
        <f ca="1">IFERROR(IF(OFFSET(_xlfn.XLOOKUP(B31,Kuponger!E:E,Kuponger!Q:Q),15,56)=0,"",OFFSET(_xlfn.XLOOKUP(B31,Kuponger!E:E,Kuponger!Q:Q),15,56)),"")</f>
        <v/>
      </c>
      <c r="F31">
        <f ca="1">IFERROR(IF(OFFSET(_xlfn.XLOOKUP(B31,Kuponger!E:E,Kuponger!Q:Q),1,56)=0,"",OFFSET(_xlfn.XLOOKUP(B31,Kuponger!E:E,Kuponger!Q:Q),1,56))*-1,"")</f>
        <v>-50</v>
      </c>
      <c r="G31">
        <f t="shared" ca="1" si="0"/>
        <v>-50</v>
      </c>
      <c r="H31">
        <f ca="1">IFERROR(IF(OFFSET(_xlfn.XLOOKUP(B31,Kuponger!E:E,Kuponger!Q:Q),1,55)="","",OFFSET(_xlfn.XLOOKUP(B31,Kuponger!E:E,Kuponger!Q:Q),1,55)),"")</f>
        <v>9</v>
      </c>
      <c r="I31" s="3">
        <f ca="1">IFERROR(t_toh[[#This Row],[tp]]-G30,"")</f>
        <v>-500</v>
      </c>
      <c r="K31" t="s">
        <v>856</v>
      </c>
    </row>
    <row r="32" spans="1:20" x14ac:dyDescent="0.2">
      <c r="A32">
        <v>31</v>
      </c>
      <c r="B32" s="22">
        <f ca="1">Data!AL31</f>
        <v>46144</v>
      </c>
      <c r="C32">
        <f ca="1">IFERROR(IF(OFFSET(_xlfn.XLOOKUP(B32,Kuponger!E:E,Kuponger!Q:Q),15,54)=0,"",OFFSET(_xlfn.XLOOKUP(B32,Kuponger!E:E,Kuponger!Q:Q),15,54)),"")</f>
        <v>230</v>
      </c>
      <c r="D32">
        <f ca="1">IFERROR(IF(OFFSET(_xlfn.XLOOKUP(B32,Kuponger!E:E,Kuponger!Q:Q),15,55)=0,"",OFFSET(_xlfn.XLOOKUP(B32,Kuponger!E:E,Kuponger!Q:Q),15,55)),"")</f>
        <v>40</v>
      </c>
      <c r="E32">
        <f ca="1">IFERROR(IF(OFFSET(_xlfn.XLOOKUP(B32,Kuponger!E:E,Kuponger!Q:Q),15,56)=0,"",OFFSET(_xlfn.XLOOKUP(B32,Kuponger!E:E,Kuponger!Q:Q),15,56)),"")</f>
        <v>110</v>
      </c>
      <c r="F32">
        <f ca="1">IFERROR(IF(OFFSET(_xlfn.XLOOKUP(B32,Kuponger!E:E,Kuponger!Q:Q),1,56)=0,"",OFFSET(_xlfn.XLOOKUP(B32,Kuponger!E:E,Kuponger!Q:Q),1,56))*-1,"")</f>
        <v>-50</v>
      </c>
      <c r="G32">
        <f t="shared" ca="1" si="0"/>
        <v>330</v>
      </c>
      <c r="H32">
        <f ca="1">IFERROR(IF(OFFSET(_xlfn.XLOOKUP(B32,Kuponger!E:E,Kuponger!Q:Q),1,55)="","",OFFSET(_xlfn.XLOOKUP(B32,Kuponger!E:E,Kuponger!Q:Q),1,55)),"")</f>
        <v>9</v>
      </c>
      <c r="I32" s="3">
        <f ca="1">IFERROR(t_toh[[#This Row],[tp]]-G31,"")</f>
        <v>380</v>
      </c>
      <c r="K32">
        <f>SUM(Kuponger!BZ:BZ)</f>
        <v>193</v>
      </c>
    </row>
    <row r="33" spans="1:14" x14ac:dyDescent="0.2">
      <c r="A33">
        <v>32</v>
      </c>
      <c r="B33" s="22">
        <f ca="1">Data!AL32</f>
        <v>46151</v>
      </c>
      <c r="C33">
        <f ca="1">IFERROR(IF(OFFSET(_xlfn.XLOOKUP(B33,Kuponger!E:E,Kuponger!Q:Q),15,54)=0,"",OFFSET(_xlfn.XLOOKUP(B33,Kuponger!E:E,Kuponger!Q:Q),15,54)),"")</f>
        <v>200</v>
      </c>
      <c r="D33">
        <f ca="1">IFERROR(IF(OFFSET(_xlfn.XLOOKUP(B33,Kuponger!E:E,Kuponger!Q:Q),15,55)=0,"",OFFSET(_xlfn.XLOOKUP(B33,Kuponger!E:E,Kuponger!Q:Q),15,55)),"")</f>
        <v>60</v>
      </c>
      <c r="E33">
        <f ca="1">IFERROR(IF(OFFSET(_xlfn.XLOOKUP(B33,Kuponger!E:E,Kuponger!Q:Q),15,56)=0,"",OFFSET(_xlfn.XLOOKUP(B33,Kuponger!E:E,Kuponger!Q:Q),15,56)),"")</f>
        <v>310</v>
      </c>
      <c r="F33" t="str">
        <f ca="1">IFERROR(IF(OFFSET(_xlfn.XLOOKUP(B33,Kuponger!E:E,Kuponger!Q:Q),1,56)=0,"",OFFSET(_xlfn.XLOOKUP(B33,Kuponger!E:E,Kuponger!Q:Q),1,56))*-1,"")</f>
        <v/>
      </c>
      <c r="G33">
        <f t="shared" ca="1" si="0"/>
        <v>570</v>
      </c>
      <c r="H33">
        <f ca="1">IFERROR(IF(OFFSET(_xlfn.XLOOKUP(B33,Kuponger!E:E,Kuponger!Q:Q),1,55)="","",OFFSET(_xlfn.XLOOKUP(B33,Kuponger!E:E,Kuponger!Q:Q),1,55)),"")</f>
        <v>3</v>
      </c>
      <c r="I33" s="3">
        <f ca="1">IFERROR(t_toh[[#This Row],[tp]]-G32,"")</f>
        <v>240</v>
      </c>
    </row>
    <row r="34" spans="1:14" x14ac:dyDescent="0.2">
      <c r="A34">
        <v>33</v>
      </c>
      <c r="B34" s="22" t="str">
        <f ca="1">Data!AL33</f>
        <v/>
      </c>
      <c r="C34" t="str">
        <f ca="1">IFERROR(IF(OFFSET(_xlfn.XLOOKUP(B34,Kuponger!E:E,Kuponger!Q:Q),15,54)=0,"",OFFSET(_xlfn.XLOOKUP(B34,Kuponger!E:E,Kuponger!Q:Q),15,54)),"")</f>
        <v/>
      </c>
      <c r="D34" t="str">
        <f ca="1">IFERROR(IF(OFFSET(_xlfn.XLOOKUP(B34,Kuponger!E:E,Kuponger!Q:Q),15,55)=0,"",OFFSET(_xlfn.XLOOKUP(B34,Kuponger!E:E,Kuponger!Q:Q),15,55)),"")</f>
        <v/>
      </c>
      <c r="E34" t="str">
        <f ca="1">IFERROR(IF(OFFSET(_xlfn.XLOOKUP(B34,Kuponger!E:E,Kuponger!Q:Q),15,56)=0,"",OFFSET(_xlfn.XLOOKUP(B34,Kuponger!E:E,Kuponger!Q:Q),15,56)),"")</f>
        <v/>
      </c>
      <c r="F34" t="str">
        <f ca="1">IFERROR(IF(OFFSET(_xlfn.XLOOKUP(B34,Kuponger!E:E,Kuponger!Q:Q),1,56)=0,"",OFFSET(_xlfn.XLOOKUP(B34,Kuponger!E:E,Kuponger!Q:Q),1,56))*-1,"")</f>
        <v/>
      </c>
      <c r="G34" t="str">
        <f t="shared" ca="1" si="0"/>
        <v/>
      </c>
      <c r="H34" t="str">
        <f ca="1">IFERROR(IF(OFFSET(_xlfn.XLOOKUP(B34,Kuponger!E:E,Kuponger!Q:Q),1,55)="","",OFFSET(_xlfn.XLOOKUP(B34,Kuponger!E:E,Kuponger!Q:Q),1,55)),"")</f>
        <v/>
      </c>
      <c r="I34" s="3" t="str">
        <f ca="1">IFERROR(t_toh[[#This Row],[tp]]-G33,"")</f>
        <v/>
      </c>
    </row>
    <row r="35" spans="1:14" x14ac:dyDescent="0.2">
      <c r="A35">
        <v>34</v>
      </c>
      <c r="B35" s="22" t="str">
        <f ca="1">Data!AL34</f>
        <v/>
      </c>
      <c r="C35" t="str">
        <f ca="1">IFERROR(IF(OFFSET(_xlfn.XLOOKUP(B35,Kuponger!E:E,Kuponger!Q:Q),15,54)=0,"",OFFSET(_xlfn.XLOOKUP(B35,Kuponger!E:E,Kuponger!Q:Q),15,54)),"")</f>
        <v/>
      </c>
      <c r="D35" t="str">
        <f ca="1">IFERROR(IF(OFFSET(_xlfn.XLOOKUP(B35,Kuponger!E:E,Kuponger!Q:Q),15,55)=0,"",OFFSET(_xlfn.XLOOKUP(B35,Kuponger!E:E,Kuponger!Q:Q),15,55)),"")</f>
        <v/>
      </c>
      <c r="E35" t="str">
        <f ca="1">IFERROR(IF(OFFSET(_xlfn.XLOOKUP(B35,Kuponger!E:E,Kuponger!Q:Q),15,56)=0,"",OFFSET(_xlfn.XLOOKUP(B35,Kuponger!E:E,Kuponger!Q:Q),15,56)),"")</f>
        <v/>
      </c>
      <c r="F35" t="str">
        <f ca="1">IFERROR(IF(OFFSET(_xlfn.XLOOKUP(B35,Kuponger!E:E,Kuponger!Q:Q),1,56)=0,"",OFFSET(_xlfn.XLOOKUP(B35,Kuponger!E:E,Kuponger!Q:Q),1,56))*-1,"")</f>
        <v/>
      </c>
      <c r="G35" t="str">
        <f t="shared" ca="1" si="0"/>
        <v/>
      </c>
      <c r="H35" t="str">
        <f ca="1">IFERROR(IF(OFFSET(_xlfn.XLOOKUP(B35,Kuponger!E:E,Kuponger!Q:Q),1,55)="","",OFFSET(_xlfn.XLOOKUP(B35,Kuponger!E:E,Kuponger!Q:Q),1,55)),"")</f>
        <v/>
      </c>
      <c r="I35" s="3" t="str">
        <f ca="1">IFERROR(t_toh[[#This Row],[tp]]-G34,"")</f>
        <v/>
      </c>
      <c r="K35" s="2" t="s">
        <v>25</v>
      </c>
    </row>
    <row r="36" spans="1:14" x14ac:dyDescent="0.2">
      <c r="A36">
        <v>35</v>
      </c>
      <c r="B36" s="22" t="str">
        <f ca="1">Data!AL35</f>
        <v/>
      </c>
      <c r="C36" t="str">
        <f ca="1">IFERROR(IF(OFFSET(_xlfn.XLOOKUP(B36,Kuponger!E:E,Kuponger!Q:Q),15,54)=0,"",OFFSET(_xlfn.XLOOKUP(B36,Kuponger!E:E,Kuponger!Q:Q),15,54)),"")</f>
        <v/>
      </c>
      <c r="D36" t="str">
        <f ca="1">IFERROR(IF(OFFSET(_xlfn.XLOOKUP(B36,Kuponger!E:E,Kuponger!Q:Q),15,55)=0,"",OFFSET(_xlfn.XLOOKUP(B36,Kuponger!E:E,Kuponger!Q:Q),15,55)),"")</f>
        <v/>
      </c>
      <c r="E36" t="str">
        <f ca="1">IFERROR(IF(OFFSET(_xlfn.XLOOKUP(B36,Kuponger!E:E,Kuponger!Q:Q),15,56)=0,"",OFFSET(_xlfn.XLOOKUP(B36,Kuponger!E:E,Kuponger!Q:Q),15,56)),"")</f>
        <v/>
      </c>
      <c r="F36" t="str">
        <f ca="1">IFERROR(IF(OFFSET(_xlfn.XLOOKUP(B36,Kuponger!E:E,Kuponger!Q:Q),1,56)=0,"",OFFSET(_xlfn.XLOOKUP(B36,Kuponger!E:E,Kuponger!Q:Q),1,56))*-1,"")</f>
        <v/>
      </c>
      <c r="G36" t="str">
        <f t="shared" ca="1" si="0"/>
        <v/>
      </c>
      <c r="H36" t="str">
        <f ca="1">IFERROR(IF(OFFSET(_xlfn.XLOOKUP(B36,Kuponger!E:E,Kuponger!Q:Q),1,55)="","",OFFSET(_xlfn.XLOOKUP(B36,Kuponger!E:E,Kuponger!Q:Q),1,55)),"")</f>
        <v/>
      </c>
      <c r="I36" s="3" t="str">
        <f ca="1">IFERROR(t_toh[[#This Row],[tp]]-G35,"")</f>
        <v/>
      </c>
      <c r="K36" s="4" t="s">
        <v>857</v>
      </c>
      <c r="L36" s="3">
        <v>80</v>
      </c>
      <c r="M36" s="3">
        <v>70</v>
      </c>
      <c r="N36" s="3">
        <v>60</v>
      </c>
    </row>
    <row r="37" spans="1:14" x14ac:dyDescent="0.2">
      <c r="A37">
        <v>36</v>
      </c>
      <c r="B37" s="22" t="str">
        <f ca="1">Data!AL36</f>
        <v/>
      </c>
      <c r="C37" t="str">
        <f ca="1">IFERROR(IF(OFFSET(_xlfn.XLOOKUP(B37,Kuponger!E:E,Kuponger!Q:Q),15,54)=0,"",OFFSET(_xlfn.XLOOKUP(B37,Kuponger!E:E,Kuponger!Q:Q),15,54)),"")</f>
        <v/>
      </c>
      <c r="D37" t="str">
        <f ca="1">IFERROR(IF(OFFSET(_xlfn.XLOOKUP(B37,Kuponger!E:E,Kuponger!Q:Q),15,55)=0,"",OFFSET(_xlfn.XLOOKUP(B37,Kuponger!E:E,Kuponger!Q:Q),15,55)),"")</f>
        <v/>
      </c>
      <c r="E37" t="str">
        <f ca="1">IFERROR(IF(OFFSET(_xlfn.XLOOKUP(B37,Kuponger!E:E,Kuponger!Q:Q),15,56)=0,"",OFFSET(_xlfn.XLOOKUP(B37,Kuponger!E:E,Kuponger!Q:Q),15,56)),"")</f>
        <v/>
      </c>
      <c r="F37" t="str">
        <f ca="1">IFERROR(IF(OFFSET(_xlfn.XLOOKUP(B37,Kuponger!E:E,Kuponger!Q:Q),1,56)=0,"",OFFSET(_xlfn.XLOOKUP(B37,Kuponger!E:E,Kuponger!Q:Q),1,56))*-1,"")</f>
        <v/>
      </c>
      <c r="G37" t="str">
        <f t="shared" ca="1" si="0"/>
        <v/>
      </c>
      <c r="H37" t="str">
        <f ca="1">IFERROR(IF(OFFSET(_xlfn.XLOOKUP(B37,Kuponger!E:E,Kuponger!Q:Q),1,55)="","",OFFSET(_xlfn.XLOOKUP(B37,Kuponger!E:E,Kuponger!Q:Q),1,55)),"")</f>
        <v/>
      </c>
      <c r="I37" s="3" t="str">
        <f ca="1">IFERROR(t_toh[[#This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IFERROR(IF(OFFSET(_xlfn.XLOOKUP(B38,Kuponger!E:E,Kuponger!Q:Q),15,54)=0,"",OFFSET(_xlfn.XLOOKUP(B38,Kuponger!E:E,Kuponger!Q:Q),15,54)),"")</f>
        <v/>
      </c>
      <c r="D38" t="str">
        <f ca="1">IFERROR(IF(OFFSET(_xlfn.XLOOKUP(B38,Kuponger!E:E,Kuponger!Q:Q),15,55)=0,"",OFFSET(_xlfn.XLOOKUP(B38,Kuponger!E:E,Kuponger!Q:Q),15,55)),"")</f>
        <v/>
      </c>
      <c r="E38" t="str">
        <f ca="1">IFERROR(IF(OFFSET(_xlfn.XLOOKUP(B38,Kuponger!E:E,Kuponger!Q:Q),15,56)=0,"",OFFSET(_xlfn.XLOOKUP(B38,Kuponger!E:E,Kuponger!Q:Q),15,56)),"")</f>
        <v/>
      </c>
      <c r="F38" t="str">
        <f ca="1">IFERROR(IF(OFFSET(_xlfn.XLOOKUP(B38,Kuponger!E:E,Kuponger!Q:Q),1,56)=0,"",OFFSET(_xlfn.XLOOKUP(B38,Kuponger!E:E,Kuponger!Q:Q),1,56))*-1,"")</f>
        <v/>
      </c>
      <c r="G38" t="str">
        <f t="shared" ca="1" si="0"/>
        <v/>
      </c>
      <c r="H38" t="str">
        <f ca="1">IFERROR(IF(OFFSET(_xlfn.XLOOKUP(B38,Kuponger!E:E,Kuponger!Q:Q),1,55)="","",OFFSET(_xlfn.XLOOKUP(B38,Kuponger!E:E,Kuponger!Q:Q),1,55)),"")</f>
        <v/>
      </c>
      <c r="I38" s="3" t="str">
        <f ca="1">IFERROR(t_toh[[#This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IFERROR(IF(OFFSET(_xlfn.XLOOKUP(B39,Kuponger!E:E,Kuponger!Q:Q),15,54)=0,"",OFFSET(_xlfn.XLOOKUP(B39,Kuponger!E:E,Kuponger!Q:Q),15,54)),"")</f>
        <v/>
      </c>
      <c r="D39" t="str">
        <f ca="1">IFERROR(IF(OFFSET(_xlfn.XLOOKUP(B39,Kuponger!E:E,Kuponger!Q:Q),15,55)=0,"",OFFSET(_xlfn.XLOOKUP(B39,Kuponger!E:E,Kuponger!Q:Q),15,55)),"")</f>
        <v/>
      </c>
      <c r="E39" t="str">
        <f ca="1">IFERROR(IF(OFFSET(_xlfn.XLOOKUP(B39,Kuponger!E:E,Kuponger!Q:Q),15,56)=0,"",OFFSET(_xlfn.XLOOKUP(B39,Kuponger!E:E,Kuponger!Q:Q),15,56)),"")</f>
        <v/>
      </c>
      <c r="F39" t="str">
        <f ca="1">IFERROR(IF(OFFSET(_xlfn.XLOOKUP(B39,Kuponger!E:E,Kuponger!Q:Q),1,56)=0,"",OFFSET(_xlfn.XLOOKUP(B39,Kuponger!E:E,Kuponger!Q:Q),1,56))*-1,"")</f>
        <v/>
      </c>
      <c r="G39" t="str">
        <f t="shared" ca="1" si="0"/>
        <v/>
      </c>
      <c r="H39" t="str">
        <f ca="1">IFERROR(IF(OFFSET(_xlfn.XLOOKUP(B39,Kuponger!E:E,Kuponger!Q:Q),1,55)="","",OFFSET(_xlfn.XLOOKUP(B39,Kuponger!E:E,Kuponger!Q:Q),1,55)),"")</f>
        <v/>
      </c>
      <c r="I39" s="3" t="str">
        <f ca="1">IFERROR(t_toh[[#This Row],[tp]]-G38,"")</f>
        <v/>
      </c>
      <c r="K39" s="4" t="s">
        <v>860</v>
      </c>
      <c r="L39" t="str">
        <f>_xlfn.XLOOKUP(LARGE(L$14:L$16,1),L$14:L$16,$K$14:$K$16)</f>
        <v>Hjemme</v>
      </c>
      <c r="M39" t="str">
        <f>_xlfn.XLOOKUP(LARGE(M$14:M$16,1),M$14:M$16,$K$14:$K$16)</f>
        <v>Borte</v>
      </c>
      <c r="N39" t="str">
        <f>_xlfn.XLOOKUP(LARGE(N$14:N$16,1),N$14:N$16,$K$14:$K$16)</f>
        <v>Hjemme</v>
      </c>
    </row>
    <row r="40" spans="1:14" x14ac:dyDescent="0.2">
      <c r="A40">
        <v>39</v>
      </c>
      <c r="B40" s="22" t="str">
        <f ca="1">Data!AL39</f>
        <v/>
      </c>
      <c r="C40" t="str">
        <f ca="1">IFERROR(IF(OFFSET(_xlfn.XLOOKUP(B40,Kuponger!E:E,Kuponger!Q:Q),15,54)=0,"",OFFSET(_xlfn.XLOOKUP(B40,Kuponger!E:E,Kuponger!Q:Q),15,54)),"")</f>
        <v/>
      </c>
      <c r="D40" t="str">
        <f ca="1">IFERROR(IF(OFFSET(_xlfn.XLOOKUP(B40,Kuponger!E:E,Kuponger!Q:Q),15,55)=0,"",OFFSET(_xlfn.XLOOKUP(B40,Kuponger!E:E,Kuponger!Q:Q),15,55)),"")</f>
        <v/>
      </c>
      <c r="E40" t="str">
        <f ca="1">IFERROR(IF(OFFSET(_xlfn.XLOOKUP(B40,Kuponger!E:E,Kuponger!Q:Q),15,56)=0,"",OFFSET(_xlfn.XLOOKUP(B40,Kuponger!E:E,Kuponger!Q:Q),15,56)),"")</f>
        <v/>
      </c>
      <c r="F40" t="str">
        <f ca="1">IFERROR(IF(OFFSET(_xlfn.XLOOKUP(B40,Kuponger!E:E,Kuponger!Q:Q),1,56)=0,"",OFFSET(_xlfn.XLOOKUP(B40,Kuponger!E:E,Kuponger!Q:Q),1,56))*-1,"")</f>
        <v/>
      </c>
      <c r="G40" t="str">
        <f t="shared" ca="1" si="0"/>
        <v/>
      </c>
      <c r="H40" t="str">
        <f ca="1">IFERROR(IF(OFFSET(_xlfn.XLOOKUP(B40,Kuponger!E:E,Kuponger!Q:Q),1,55)="","",OFFSET(_xlfn.XLOOKUP(B40,Kuponger!E:E,Kuponger!Q:Q),1,55)),"")</f>
        <v/>
      </c>
      <c r="I40" s="3" t="str">
        <f ca="1">IFERROR(t_toh[[#This Row],[tp]]-G39,"")</f>
        <v/>
      </c>
    </row>
    <row r="41" spans="1:14" x14ac:dyDescent="0.2">
      <c r="A41">
        <v>40</v>
      </c>
      <c r="B41" s="22" t="str">
        <f ca="1">Data!AL40</f>
        <v/>
      </c>
      <c r="C41" t="str">
        <f ca="1">IFERROR(IF(OFFSET(_xlfn.XLOOKUP(B41,Kuponger!E:E,Kuponger!Q:Q),15,54)=0,"",OFFSET(_xlfn.XLOOKUP(B41,Kuponger!E:E,Kuponger!Q:Q),15,54)),"")</f>
        <v/>
      </c>
      <c r="D41" t="str">
        <f ca="1">IFERROR(IF(OFFSET(_xlfn.XLOOKUP(B41,Kuponger!E:E,Kuponger!Q:Q),15,55)=0,"",OFFSET(_xlfn.XLOOKUP(B41,Kuponger!E:E,Kuponger!Q:Q),15,55)),"")</f>
        <v/>
      </c>
      <c r="E41" t="str">
        <f ca="1">IFERROR(IF(OFFSET(_xlfn.XLOOKUP(B41,Kuponger!E:E,Kuponger!Q:Q),15,56)=0,"",OFFSET(_xlfn.XLOOKUP(B41,Kuponger!E:E,Kuponger!Q:Q),15,56)),"")</f>
        <v/>
      </c>
      <c r="F41" t="str">
        <f ca="1">IFERROR(IF(OFFSET(_xlfn.XLOOKUP(B41,Kuponger!E:E,Kuponger!Q:Q),1,56)=0,"",OFFSET(_xlfn.XLOOKUP(B41,Kuponger!E:E,Kuponger!Q:Q),1,56))*-1,"")</f>
        <v/>
      </c>
      <c r="G41" t="str">
        <f t="shared" ca="1" si="0"/>
        <v/>
      </c>
      <c r="H41" t="str">
        <f ca="1">IFERROR(IF(OFFSET(_xlfn.XLOOKUP(B41,Kuponger!E:E,Kuponger!Q:Q),1,55)="","",OFFSET(_xlfn.XLOOKUP(B41,Kuponger!E:E,Kuponger!Q:Q),1,55)),"")</f>
        <v/>
      </c>
      <c r="I41" s="3" t="str">
        <f ca="1">IFERROR(t_toh[[#This Row],[tp]]-G40,"")</f>
        <v/>
      </c>
      <c r="K41" s="4" t="s">
        <v>861</v>
      </c>
      <c r="L41" s="811">
        <f ca="1">IFERROR(AVERAGE(H:H),"")</f>
        <v>5.78125</v>
      </c>
      <c r="N41" t="str">
        <f>K35&amp;" treffer på "&amp;TEXT((S11/S5)*100,"00,0")&amp;"% av sine 10-poengere, dvs. han bommer"</f>
        <v>TOH treffer på 16,3% av sine 10-poengere, dvs. han bommer</v>
      </c>
    </row>
    <row r="42" spans="1:14" x14ac:dyDescent="0.2">
      <c r="A42">
        <v>41</v>
      </c>
      <c r="B42" s="22" t="str">
        <f ca="1">Data!AL41</f>
        <v/>
      </c>
      <c r="C42" t="str">
        <f ca="1">IFERROR(IF(OFFSET(_xlfn.XLOOKUP(B42,Kuponger!E:E,Kuponger!Q:Q),15,54)=0,"",OFFSET(_xlfn.XLOOKUP(B42,Kuponger!E:E,Kuponger!Q:Q),15,54)),"")</f>
        <v/>
      </c>
      <c r="D42" t="str">
        <f ca="1">IFERROR(IF(OFFSET(_xlfn.XLOOKUP(B42,Kuponger!E:E,Kuponger!Q:Q),15,55)=0,"",OFFSET(_xlfn.XLOOKUP(B42,Kuponger!E:E,Kuponger!Q:Q),15,55)),"")</f>
        <v/>
      </c>
      <c r="E42" t="str">
        <f ca="1">IFERROR(IF(OFFSET(_xlfn.XLOOKUP(B42,Kuponger!E:E,Kuponger!Q:Q),15,56)=0,"",OFFSET(_xlfn.XLOOKUP(B42,Kuponger!E:E,Kuponger!Q:Q),15,56)),"")</f>
        <v/>
      </c>
      <c r="F42" t="str">
        <f ca="1">IFERROR(IF(OFFSET(_xlfn.XLOOKUP(B42,Kuponger!E:E,Kuponger!Q:Q),1,56)=0,"",OFFSET(_xlfn.XLOOKUP(B42,Kuponger!E:E,Kuponger!Q:Q),1,56))*-1,"")</f>
        <v/>
      </c>
      <c r="G42" t="str">
        <f t="shared" ca="1" si="0"/>
        <v/>
      </c>
      <c r="H42" t="str">
        <f ca="1">IFERROR(IF(OFFSET(_xlfn.XLOOKUP(B42,Kuponger!E:E,Kuponger!Q:Q),1,55)="","",OFFSET(_xlfn.XLOOKUP(B42,Kuponger!E:E,Kuponger!Q:Q),1,55)),"")</f>
        <v/>
      </c>
      <c r="I42" s="3" t="str">
        <f ca="1">IFERROR(t_toh[[#This Row],[tp]]-G41,"")</f>
        <v/>
      </c>
      <c r="K42" s="4" t="s">
        <v>862</v>
      </c>
      <c r="L42" s="811">
        <f ca="1">IFERROR(AVERAGE(C:C),"")</f>
        <v>280</v>
      </c>
      <c r="N42" t="str">
        <f>K35&amp;" treffer på "&amp;TEXT((L11/L5)*100,"00,0")&amp;"% av sine 80-poengere"</f>
        <v>TOH treffer på 62,0% av sine 80-poengere</v>
      </c>
    </row>
    <row r="43" spans="1:14" x14ac:dyDescent="0.2">
      <c r="K43" s="4" t="s">
        <v>863</v>
      </c>
      <c r="L43" s="811">
        <f ca="1">IFERROR(AVERAGE(D:D),"")</f>
        <v>73</v>
      </c>
      <c r="N43" t="str">
        <f>K35&amp;" har tatt "&amp;T23&amp;" poeng så langt, men samtidig gått glipp av "&amp;T29&amp;" poeng, noe som gir en poengandel på "&amp;TEXT(L48,"0,0%")</f>
        <v>TOH har tatt 15430 poeng så langt, men samtidig gått glipp av 23380 poeng, noe som gir en poengandel på 66,0%</v>
      </c>
    </row>
    <row r="44" spans="1:14" x14ac:dyDescent="0.2">
      <c r="K44" s="4" t="s">
        <v>864</v>
      </c>
      <c r="L44" s="811">
        <f ca="1">IFERROR(AVERAGE(E:E),"")</f>
        <v>157.24137931034483</v>
      </c>
    </row>
    <row r="45" spans="1:14" x14ac:dyDescent="0.2">
      <c r="K45" s="4" t="s">
        <v>865</v>
      </c>
      <c r="L45" s="810">
        <f ca="1">IFERROR(COUNTIF(F:F,"&lt;0")/COUNTIF(C:C,"&gt;0"),"")</f>
        <v>0.32258064516129031</v>
      </c>
    </row>
    <row r="46" spans="1:14" x14ac:dyDescent="0.2">
      <c r="K46" s="4" t="s">
        <v>866</v>
      </c>
      <c r="L46" s="811">
        <f ca="1">IFERROR(AVERAGE(G:G),"")</f>
        <v>466.5625</v>
      </c>
    </row>
    <row r="48" spans="1:14" x14ac:dyDescent="0.2">
      <c r="K48" s="4" t="s">
        <v>868</v>
      </c>
      <c r="L48" s="812">
        <f>(T23/T29)</f>
        <v>0.65996578272027373</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8A7B4-B3D4-45F6-82D7-F73B6150C43F}">
  <sheetPr codeName="Ark27"/>
  <dimension ref="A1:AA68"/>
  <sheetViews>
    <sheetView showGridLines="0" topLeftCell="S1" workbookViewId="0">
      <pane ySplit="1" topLeftCell="A33"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IFERROR(IF(OFFSET(_xlfn.XLOOKUP(B2,Kuponger!E:E,Kuponger!Q:Q),15,63)=0,"",OFFSET(_xlfn.XLOOKUP(B2,Kuponger!E:E,Kuponger!Q:Q),15,63)),"")</f>
        <v>280</v>
      </c>
      <c r="D2">
        <f ca="1">IFERROR(IF(OFFSET(_xlfn.XLOOKUP(B2,Kuponger!E:E,Kuponger!Q:Q),15,64)=0,"",OFFSET(_xlfn.XLOOKUP(B2,Kuponger!E:E,Kuponger!Q:Q),15,64)),"")</f>
        <v>20</v>
      </c>
      <c r="E2">
        <f ca="1">IFERROR(IF(OFFSET(_xlfn.XLOOKUP(B2,Kuponger!E:E,Kuponger!Q:Q),15,65)=0,"",OFFSET(_xlfn.XLOOKUP(B2,Kuponger!E:E,Kuponger!Q:Q),15,65)),"")</f>
        <v>210</v>
      </c>
      <c r="F2" t="str">
        <f ca="1">IFERROR(IF(OFFSET(_xlfn.XLOOKUP(B2,Kuponger!E:E,Kuponger!Q:Q),1,65)=0,"",OFFSET(_xlfn.XLOOKUP(B2,Kuponger!E:E,Kuponger!Q:Q),1,65))*-1,"")</f>
        <v/>
      </c>
      <c r="G2">
        <f t="shared" ref="G2:G42" ca="1" si="0">IF(SUMIF(C2:F2,"&lt;&gt;""")=0,"",SUMIF(C2:F2,"&lt;&gt;"""))</f>
        <v>510</v>
      </c>
      <c r="H2">
        <f ca="1">IFERROR(IF(OFFSET(_xlfn.XLOOKUP(B2,Kuponger!E:E,Kuponger!Q:Q),1,64)="","",OFFSET(_xlfn.XLOOKUP(B2,Kuponger!E:E,Kuponger!Q:Q),1,64)),"")</f>
        <v>2</v>
      </c>
      <c r="I2" t="str">
        <f ca="1">IFERROR(t_utg[[#This Row],[tp]]-G1,"")</f>
        <v/>
      </c>
      <c r="K2" s="801" t="s">
        <v>36</v>
      </c>
      <c r="L2">
        <f>COUNTIF(Kuponger!$CB:$CB,f_utg!L$1)</f>
        <v>71</v>
      </c>
      <c r="M2">
        <f>COUNTIF(Kuponger!$CB:$CB,f_utg!M$1)</f>
        <v>63</v>
      </c>
      <c r="N2">
        <f>COUNTIF(Kuponger!$CB:$CB,f_utg!N$1)</f>
        <v>65</v>
      </c>
      <c r="O2">
        <f>COUNTIF(Kuponger!$CB:$CB,f_utg!O$1)</f>
        <v>49</v>
      </c>
      <c r="P2">
        <f>COUNTIF(Kuponger!$CB:$CB,f_utg!P$1)</f>
        <v>37</v>
      </c>
      <c r="Q2">
        <f>COUNTIF(Kuponger!$CB:$CB,f_utg!Q$1)</f>
        <v>44</v>
      </c>
      <c r="R2">
        <f>COUNTIF(Kuponger!$CB:$CB,f_utg!R$1)</f>
        <v>49</v>
      </c>
      <c r="S2">
        <f>COUNTIF(Kuponger!$CB:$CB,f_utg!S$1)</f>
        <v>6</v>
      </c>
      <c r="T2">
        <f>SUM(L$2:S$2)</f>
        <v>384</v>
      </c>
      <c r="W2" s="3"/>
      <c r="X2" s="3"/>
      <c r="Y2" s="3"/>
      <c r="Z2" s="4" t="s">
        <v>869</v>
      </c>
      <c r="AA2" s="3"/>
    </row>
    <row r="3" spans="1:27" x14ac:dyDescent="0.2">
      <c r="A3">
        <v>2</v>
      </c>
      <c r="B3" s="22">
        <f ca="1">Data!AL2</f>
        <v>45892</v>
      </c>
      <c r="C3">
        <f ca="1">IFERROR(IF(OFFSET(_xlfn.XLOOKUP(B3,Kuponger!E:E,Kuponger!Q:Q),15,63)=0,"",OFFSET(_xlfn.XLOOKUP(B3,Kuponger!E:E,Kuponger!Q:Q),15,63)),"")</f>
        <v>360</v>
      </c>
      <c r="D3">
        <f ca="1">IFERROR(IF(OFFSET(_xlfn.XLOOKUP(B3,Kuponger!E:E,Kuponger!Q:Q),15,64)=0,"",OFFSET(_xlfn.XLOOKUP(B3,Kuponger!E:E,Kuponger!Q:Q),15,64)),"")</f>
        <v>50</v>
      </c>
      <c r="E3">
        <f ca="1">IFERROR(IF(OFFSET(_xlfn.XLOOKUP(B3,Kuponger!E:E,Kuponger!Q:Q),15,65)=0,"",OFFSET(_xlfn.XLOOKUP(B3,Kuponger!E:E,Kuponger!Q:Q),15,65)),"")</f>
        <v>170</v>
      </c>
      <c r="F3" t="str">
        <f ca="1">IFERROR(IF(OFFSET(_xlfn.XLOOKUP(B3,Kuponger!E:E,Kuponger!Q:Q),1,65)=0,"",OFFSET(_xlfn.XLOOKUP(B3,Kuponger!E:E,Kuponger!Q:Q),1,65))*-1,"")</f>
        <v/>
      </c>
      <c r="G3">
        <f t="shared" ca="1" si="0"/>
        <v>580</v>
      </c>
      <c r="H3">
        <f ca="1">IFERROR(IF(OFFSET(_xlfn.XLOOKUP(B3,Kuponger!E:E,Kuponger!Q:Q),1,64)="","",OFFSET(_xlfn.XLOOKUP(B3,Kuponger!E:E,Kuponger!Q:Q),1,64)),"")</f>
        <v>3</v>
      </c>
      <c r="I3" s="3">
        <f ca="1">IFERROR(t_utg[[#This Row],[tp]]-G2,"")</f>
        <v>70</v>
      </c>
      <c r="K3" s="801" t="s">
        <v>37</v>
      </c>
      <c r="L3">
        <f>COUNTIF(Kuponger!$CC:$CC,f_utg!L$1)</f>
        <v>3</v>
      </c>
      <c r="M3">
        <f>COUNTIF(Kuponger!$CC:$CC,f_utg!M$1)</f>
        <v>3</v>
      </c>
      <c r="N3">
        <f>COUNTIF(Kuponger!$CC:$CC,f_utg!N$1)</f>
        <v>2</v>
      </c>
      <c r="O3">
        <f>COUNTIF(Kuponger!$CC:$CC,f_utg!O$1)</f>
        <v>5</v>
      </c>
      <c r="P3">
        <f>COUNTIF(Kuponger!$CC:$CC,f_utg!P$1)</f>
        <v>7</v>
      </c>
      <c r="Q3">
        <f>COUNTIF(Kuponger!$CC:$CC,f_utg!Q$1)</f>
        <v>46</v>
      </c>
      <c r="R3">
        <f>COUNTIF(Kuponger!$CC:$CC,f_utg!R$1)</f>
        <v>156</v>
      </c>
      <c r="S3">
        <f>COUNTIF(Kuponger!$CC:$CC,f_utg!S$1)</f>
        <v>192</v>
      </c>
      <c r="T3">
        <f>SUM(L$3:S$3)</f>
        <v>414</v>
      </c>
      <c r="Z3" s="4" t="s">
        <v>870</v>
      </c>
    </row>
    <row r="4" spans="1:27" x14ac:dyDescent="0.2">
      <c r="A4">
        <v>3</v>
      </c>
      <c r="B4" s="22">
        <f ca="1">Data!AL3</f>
        <v>45920</v>
      </c>
      <c r="C4">
        <f ca="1">IFERROR(IF(OFFSET(_xlfn.XLOOKUP(B4,Kuponger!E:E,Kuponger!Q:Q),15,63)=0,"",OFFSET(_xlfn.XLOOKUP(B4,Kuponger!E:E,Kuponger!Q:Q),15,63)),"")</f>
        <v>250</v>
      </c>
      <c r="D4">
        <f ca="1">IFERROR(IF(OFFSET(_xlfn.XLOOKUP(B4,Kuponger!E:E,Kuponger!Q:Q),15,64)=0,"",OFFSET(_xlfn.XLOOKUP(B4,Kuponger!E:E,Kuponger!Q:Q),15,64)),"")</f>
        <v>40</v>
      </c>
      <c r="E4">
        <f ca="1">IFERROR(IF(OFFSET(_xlfn.XLOOKUP(B4,Kuponger!E:E,Kuponger!Q:Q),15,65)=0,"",OFFSET(_xlfn.XLOOKUP(B4,Kuponger!E:E,Kuponger!Q:Q),15,65)),"")</f>
        <v>170</v>
      </c>
      <c r="F4" t="str">
        <f ca="1">IFERROR(IF(OFFSET(_xlfn.XLOOKUP(B4,Kuponger!E:E,Kuponger!Q:Q),1,65)=0,"",OFFSET(_xlfn.XLOOKUP(B4,Kuponger!E:E,Kuponger!Q:Q),1,65))*-1,"")</f>
        <v/>
      </c>
      <c r="G4">
        <f t="shared" ca="1" si="0"/>
        <v>460</v>
      </c>
      <c r="H4">
        <f ca="1">IFERROR(IF(OFFSET(_xlfn.XLOOKUP(B4,Kuponger!E:E,Kuponger!Q:Q),1,64)="","",OFFSET(_xlfn.XLOOKUP(B4,Kuponger!E:E,Kuponger!Q:Q),1,64)),"")</f>
        <v>5</v>
      </c>
      <c r="I4" s="3">
        <f ca="1">IFERROR(t_utg[[#This Row],[tp]]-G3,"")</f>
        <v>-120</v>
      </c>
      <c r="K4" s="801" t="s">
        <v>38</v>
      </c>
      <c r="L4">
        <f>COUNTIF(Kuponger!$CD:$CD,f_utg!L$1)</f>
        <v>5</v>
      </c>
      <c r="M4">
        <f>COUNTIF(Kuponger!$CD:$CD,f_utg!M$1)</f>
        <v>30</v>
      </c>
      <c r="N4">
        <f>COUNTIF(Kuponger!$CD:$CD,f_utg!N$1)</f>
        <v>39</v>
      </c>
      <c r="O4">
        <f>COUNTIF(Kuponger!$CD:$CD,f_utg!O$1)</f>
        <v>27</v>
      </c>
      <c r="P4">
        <f>COUNTIF(Kuponger!$CD:$CD,f_utg!P$1)</f>
        <v>39</v>
      </c>
      <c r="Q4">
        <f>COUNTIF(Kuponger!$CD:$CD,f_utg!Q$1)</f>
        <v>48</v>
      </c>
      <c r="R4">
        <f>COUNTIF(Kuponger!$CD:$CD,f_utg!R$1)</f>
        <v>108</v>
      </c>
      <c r="S4">
        <f>COUNTIF(Kuponger!$CD:$CD,f_utg!S$1)</f>
        <v>96</v>
      </c>
      <c r="T4">
        <f>SUM(L$4:S$4)</f>
        <v>392</v>
      </c>
      <c r="Z4" s="4" t="s">
        <v>871</v>
      </c>
    </row>
    <row r="5" spans="1:27" x14ac:dyDescent="0.2">
      <c r="A5">
        <v>4</v>
      </c>
      <c r="B5" s="22">
        <f ca="1">Data!AL4</f>
        <v>45927</v>
      </c>
      <c r="C5">
        <f ca="1">IFERROR(IF(OFFSET(_xlfn.XLOOKUP(B5,Kuponger!E:E,Kuponger!Q:Q),15,63)=0,"",OFFSET(_xlfn.XLOOKUP(B5,Kuponger!E:E,Kuponger!Q:Q),15,63)),"")</f>
        <v>180</v>
      </c>
      <c r="D5">
        <f ca="1">IFERROR(IF(OFFSET(_xlfn.XLOOKUP(B5,Kuponger!E:E,Kuponger!Q:Q),15,64)=0,"",OFFSET(_xlfn.XLOOKUP(B5,Kuponger!E:E,Kuponger!Q:Q),15,64)),"")</f>
        <v>100</v>
      </c>
      <c r="E5">
        <f ca="1">IFERROR(IF(OFFSET(_xlfn.XLOOKUP(B5,Kuponger!E:E,Kuponger!Q:Q),15,65)=0,"",OFFSET(_xlfn.XLOOKUP(B5,Kuponger!E:E,Kuponger!Q:Q),15,65)),"")</f>
        <v>30</v>
      </c>
      <c r="F5" t="str">
        <f ca="1">IFERROR(IF(OFFSET(_xlfn.XLOOKUP(B5,Kuponger!E:E,Kuponger!Q:Q),1,65)=0,"",OFFSET(_xlfn.XLOOKUP(B5,Kuponger!E:E,Kuponger!Q:Q),1,65))*-1,"")</f>
        <v/>
      </c>
      <c r="G5">
        <f t="shared" ca="1" si="0"/>
        <v>310</v>
      </c>
      <c r="H5">
        <f ca="1">IFERROR(IF(OFFSET(_xlfn.XLOOKUP(B5,Kuponger!E:E,Kuponger!Q:Q),1,64)="","",OFFSET(_xlfn.XLOOKUP(B5,Kuponger!E:E,Kuponger!Q:Q),1,64)),"")</f>
        <v>7</v>
      </c>
      <c r="I5" s="3">
        <f ca="1">IFERROR(t_utg[[#This Row],[tp]]-G4,"")</f>
        <v>-150</v>
      </c>
      <c r="K5" s="801" t="str">
        <f>K1</f>
        <v>Antall Leverte</v>
      </c>
      <c r="L5">
        <f>SUM(L2:L4)</f>
        <v>79</v>
      </c>
      <c r="M5">
        <f t="shared" ref="M5:S5" si="1">SUM(M2:M4)</f>
        <v>96</v>
      </c>
      <c r="N5">
        <f t="shared" si="1"/>
        <v>106</v>
      </c>
      <c r="O5">
        <f t="shared" si="1"/>
        <v>81</v>
      </c>
      <c r="P5">
        <f t="shared" si="1"/>
        <v>83</v>
      </c>
      <c r="Q5">
        <f t="shared" si="1"/>
        <v>138</v>
      </c>
      <c r="R5">
        <f t="shared" si="1"/>
        <v>313</v>
      </c>
      <c r="S5">
        <f t="shared" si="1"/>
        <v>294</v>
      </c>
      <c r="T5">
        <f>SUM(L$5:S$5)</f>
        <v>1190</v>
      </c>
    </row>
    <row r="6" spans="1:27" x14ac:dyDescent="0.2">
      <c r="A6">
        <v>5</v>
      </c>
      <c r="B6" s="22">
        <f ca="1">Data!AL5</f>
        <v>45934</v>
      </c>
      <c r="C6">
        <f ca="1">IFERROR(IF(OFFSET(_xlfn.XLOOKUP(B6,Kuponger!E:E,Kuponger!Q:Q),15,63)=0,"",OFFSET(_xlfn.XLOOKUP(B6,Kuponger!E:E,Kuponger!Q:Q),15,63)),"")</f>
        <v>550</v>
      </c>
      <c r="D6">
        <f ca="1">IFERROR(IF(OFFSET(_xlfn.XLOOKUP(B6,Kuponger!E:E,Kuponger!Q:Q),15,64)=0,"",OFFSET(_xlfn.XLOOKUP(B6,Kuponger!E:E,Kuponger!Q:Q),15,64)),"")</f>
        <v>20</v>
      </c>
      <c r="E6">
        <f ca="1">IFERROR(IF(OFFSET(_xlfn.XLOOKUP(B6,Kuponger!E:E,Kuponger!Q:Q),15,65)=0,"",OFFSET(_xlfn.XLOOKUP(B6,Kuponger!E:E,Kuponger!Q:Q),15,65)),"")</f>
        <v>100</v>
      </c>
      <c r="F6" t="str">
        <f ca="1">IFERROR(IF(OFFSET(_xlfn.XLOOKUP(B6,Kuponger!E:E,Kuponger!Q:Q),1,65)=0,"",OFFSET(_xlfn.XLOOKUP(B6,Kuponger!E:E,Kuponger!Q:Q),1,65))*-1,"")</f>
        <v/>
      </c>
      <c r="G6">
        <f t="shared" ca="1" si="0"/>
        <v>670</v>
      </c>
      <c r="H6">
        <f ca="1">IFERROR(IF(OFFSET(_xlfn.XLOOKUP(B6,Kuponger!E:E,Kuponger!Q:Q),1,64)="","",OFFSET(_xlfn.XLOOKUP(B6,Kuponger!E:E,Kuponger!Q:Q),1,64)),"")</f>
        <v>4</v>
      </c>
      <c r="I6" s="3">
        <f ca="1">IFERROR(t_utg[[#This Row],[tp]]-G5,"")</f>
        <v>360</v>
      </c>
    </row>
    <row r="7" spans="1:27" ht="15" x14ac:dyDescent="0.25">
      <c r="A7">
        <v>6</v>
      </c>
      <c r="B7" s="22">
        <f ca="1">Data!AL6</f>
        <v>45941</v>
      </c>
      <c r="C7">
        <f ca="1">IFERROR(IF(OFFSET(_xlfn.XLOOKUP(B7,Kuponger!E:E,Kuponger!Q:Q),15,63)=0,"",OFFSET(_xlfn.XLOOKUP(B7,Kuponger!E:E,Kuponger!Q:Q),15,63)),"")</f>
        <v>400</v>
      </c>
      <c r="D7">
        <f ca="1">IFERROR(IF(OFFSET(_xlfn.XLOOKUP(B7,Kuponger!E:E,Kuponger!Q:Q),15,64)=0,"",OFFSET(_xlfn.XLOOKUP(B7,Kuponger!E:E,Kuponger!Q:Q),15,64)),"")</f>
        <v>10</v>
      </c>
      <c r="E7">
        <f ca="1">IFERROR(IF(OFFSET(_xlfn.XLOOKUP(B7,Kuponger!E:E,Kuponger!Q:Q),15,65)=0,"",OFFSET(_xlfn.XLOOKUP(B7,Kuponger!E:E,Kuponger!Q:Q),15,65)),"")</f>
        <v>220</v>
      </c>
      <c r="F7" t="str">
        <f ca="1">IFERROR(IF(OFFSET(_xlfn.XLOOKUP(B7,Kuponger!E:E,Kuponger!Q:Q),1,65)=0,"",OFFSET(_xlfn.XLOOKUP(B7,Kuponger!E:E,Kuponger!Q:Q),1,65))*-1,"")</f>
        <v/>
      </c>
      <c r="G7">
        <f t="shared" ca="1" si="0"/>
        <v>630</v>
      </c>
      <c r="H7">
        <f ca="1">IFERROR(IF(OFFSET(_xlfn.XLOOKUP(B7,Kuponger!E:E,Kuponger!Q:Q),1,64)="","",OFFSET(_xlfn.XLOOKUP(B7,Kuponger!E:E,Kuponger!Q:Q),1,64)),"")</f>
        <v>2</v>
      </c>
      <c r="I7" s="3">
        <f ca="1">IFERROR(t_utg[[#This Row],[tp]]-G6,"")</f>
        <v>-40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IFERROR(IF(OFFSET(_xlfn.XLOOKUP(B8,Kuponger!E:E,Kuponger!Q:Q),15,63)=0,"",OFFSET(_xlfn.XLOOKUP(B8,Kuponger!E:E,Kuponger!Q:Q),15,63)),"")</f>
        <v>320</v>
      </c>
      <c r="D8">
        <f ca="1">IFERROR(IF(OFFSET(_xlfn.XLOOKUP(B8,Kuponger!E:E,Kuponger!Q:Q),15,64)=0,"",OFFSET(_xlfn.XLOOKUP(B8,Kuponger!E:E,Kuponger!Q:Q),15,64)),"")</f>
        <v>80</v>
      </c>
      <c r="E8">
        <f ca="1">IFERROR(IF(OFFSET(_xlfn.XLOOKUP(B8,Kuponger!E:E,Kuponger!Q:Q),15,65)=0,"",OFFSET(_xlfn.XLOOKUP(B8,Kuponger!E:E,Kuponger!Q:Q),15,65)),"")</f>
        <v>210</v>
      </c>
      <c r="F8" t="str">
        <f ca="1">IFERROR(IF(OFFSET(_xlfn.XLOOKUP(B8,Kuponger!E:E,Kuponger!Q:Q),1,65)=0,"",OFFSET(_xlfn.XLOOKUP(B8,Kuponger!E:E,Kuponger!Q:Q),1,65))*-1,"")</f>
        <v/>
      </c>
      <c r="G8">
        <f t="shared" ca="1" si="0"/>
        <v>610</v>
      </c>
      <c r="H8">
        <f ca="1">IFERROR(IF(OFFSET(_xlfn.XLOOKUP(B8,Kuponger!E:E,Kuponger!Q:Q),1,64)="","",OFFSET(_xlfn.XLOOKUP(B8,Kuponger!E:E,Kuponger!Q:Q),1,64)),"")</f>
        <v>5</v>
      </c>
      <c r="I8" s="3">
        <f ca="1">IFERROR(t_utg[[#This Row],[tp]]-G7,"")</f>
        <v>-20</v>
      </c>
      <c r="K8" s="801" t="s">
        <v>36</v>
      </c>
      <c r="L8">
        <f>COUNTIF(Kuponger!$CF:$CF,L$7)</f>
        <v>52</v>
      </c>
      <c r="M8">
        <f>COUNTIF(Kuponger!$CF:$CF,M$7)</f>
        <v>30</v>
      </c>
      <c r="N8">
        <f>COUNTIF(Kuponger!$CF:$CF,N$7)</f>
        <v>29</v>
      </c>
      <c r="O8">
        <f>COUNTIF(Kuponger!$CF:$CF,O$7)</f>
        <v>27</v>
      </c>
      <c r="P8">
        <f>COUNTIF(Kuponger!$CF:$CF,P$7)</f>
        <v>15</v>
      </c>
      <c r="Q8">
        <f>COUNTIF(Kuponger!$CF:$CF,Q$7)</f>
        <v>13</v>
      </c>
      <c r="R8">
        <f>COUNTIF(Kuponger!$CF:$CF,R$7)</f>
        <v>9</v>
      </c>
      <c r="S8">
        <f>COUNTIF(Kuponger!$CF:$CF,S$7)</f>
        <v>1</v>
      </c>
      <c r="T8">
        <f>SUM(L$8:S$8)</f>
        <v>176</v>
      </c>
    </row>
    <row r="9" spans="1:27" x14ac:dyDescent="0.2">
      <c r="A9">
        <v>8</v>
      </c>
      <c r="B9" s="22">
        <f ca="1">Data!AL8</f>
        <v>45955</v>
      </c>
      <c r="C9">
        <f ca="1">IFERROR(IF(OFFSET(_xlfn.XLOOKUP(B9,Kuponger!E:E,Kuponger!Q:Q),15,63)=0,"",OFFSET(_xlfn.XLOOKUP(B9,Kuponger!E:E,Kuponger!Q:Q),15,63)),"")</f>
        <v>370</v>
      </c>
      <c r="D9">
        <f ca="1">IFERROR(IF(OFFSET(_xlfn.XLOOKUP(B9,Kuponger!E:E,Kuponger!Q:Q),15,64)=0,"",OFFSET(_xlfn.XLOOKUP(B9,Kuponger!E:E,Kuponger!Q:Q),15,64)),"")</f>
        <v>20</v>
      </c>
      <c r="E9">
        <f ca="1">IFERROR(IF(OFFSET(_xlfn.XLOOKUP(B9,Kuponger!E:E,Kuponger!Q:Q),15,65)=0,"",OFFSET(_xlfn.XLOOKUP(B9,Kuponger!E:E,Kuponger!Q:Q),15,65)),"")</f>
        <v>130</v>
      </c>
      <c r="F9" t="str">
        <f ca="1">IFERROR(IF(OFFSET(_xlfn.XLOOKUP(B9,Kuponger!E:E,Kuponger!Q:Q),1,65)=0,"",OFFSET(_xlfn.XLOOKUP(B9,Kuponger!E:E,Kuponger!Q:Q),1,65))*-1,"")</f>
        <v/>
      </c>
      <c r="G9">
        <f t="shared" ca="1" si="0"/>
        <v>520</v>
      </c>
      <c r="H9">
        <f ca="1">IFERROR(IF(OFFSET(_xlfn.XLOOKUP(B9,Kuponger!E:E,Kuponger!Q:Q),1,64)="","",OFFSET(_xlfn.XLOOKUP(B9,Kuponger!E:E,Kuponger!Q:Q),1,64)),"")</f>
        <v>4</v>
      </c>
      <c r="I9" s="3">
        <f ca="1">IFERROR(t_utg[[#This Row],[tp]]-G8,"")</f>
        <v>-90</v>
      </c>
      <c r="K9" s="801" t="s">
        <v>37</v>
      </c>
      <c r="L9">
        <f>COUNTIF(Kuponger!$CG:$CG,L$7)</f>
        <v>0</v>
      </c>
      <c r="M9">
        <f>COUNTIF(Kuponger!$CG:$CG,M$7)</f>
        <v>0</v>
      </c>
      <c r="N9">
        <f>COUNTIF(Kuponger!$CG:$CG,N$7)</f>
        <v>0</v>
      </c>
      <c r="O9">
        <f>COUNTIF(Kuponger!$CG:$CG,O$7)</f>
        <v>0</v>
      </c>
      <c r="P9">
        <f>COUNTIF(Kuponger!$CG:$CG,P$7)</f>
        <v>0</v>
      </c>
      <c r="Q9">
        <f>COUNTIF(Kuponger!$CG:$CG,Q$7)</f>
        <v>9</v>
      </c>
      <c r="R9">
        <f>COUNTIF(Kuponger!$CG:$CG,R$7)</f>
        <v>35</v>
      </c>
      <c r="S9">
        <f>COUNTIF(Kuponger!$CG:$CG,S$7)</f>
        <v>45</v>
      </c>
      <c r="T9">
        <f>SUM(L$9:S$9)</f>
        <v>89</v>
      </c>
    </row>
    <row r="10" spans="1:27" x14ac:dyDescent="0.2">
      <c r="A10">
        <v>9</v>
      </c>
      <c r="B10" s="22">
        <f ca="1">Data!AL9</f>
        <v>45962</v>
      </c>
      <c r="C10">
        <f ca="1">IFERROR(IF(OFFSET(_xlfn.XLOOKUP(B10,Kuponger!E:E,Kuponger!Q:Q),15,63)=0,"",OFFSET(_xlfn.XLOOKUP(B10,Kuponger!E:E,Kuponger!Q:Q),15,63)),"")</f>
        <v>510</v>
      </c>
      <c r="D10">
        <f ca="1">IFERROR(IF(OFFSET(_xlfn.XLOOKUP(B10,Kuponger!E:E,Kuponger!Q:Q),15,64)=0,"",OFFSET(_xlfn.XLOOKUP(B10,Kuponger!E:E,Kuponger!Q:Q),15,64)),"")</f>
        <v>20</v>
      </c>
      <c r="E10">
        <f ca="1">IFERROR(IF(OFFSET(_xlfn.XLOOKUP(B10,Kuponger!E:E,Kuponger!Q:Q),15,65)=0,"",OFFSET(_xlfn.XLOOKUP(B10,Kuponger!E:E,Kuponger!Q:Q),15,65)),"")</f>
        <v>150</v>
      </c>
      <c r="F10" t="str">
        <f ca="1">IFERROR(IF(OFFSET(_xlfn.XLOOKUP(B10,Kuponger!E:E,Kuponger!Q:Q),1,65)=0,"",OFFSET(_xlfn.XLOOKUP(B10,Kuponger!E:E,Kuponger!Q:Q),1,65))*-1,"")</f>
        <v/>
      </c>
      <c r="G10">
        <f t="shared" ca="1" si="0"/>
        <v>680</v>
      </c>
      <c r="H10">
        <f ca="1">IFERROR(IF(OFFSET(_xlfn.XLOOKUP(B10,Kuponger!E:E,Kuponger!Q:Q),1,64)="","",OFFSET(_xlfn.XLOOKUP(B10,Kuponger!E:E,Kuponger!Q:Q),1,64)),"")</f>
        <v>3</v>
      </c>
      <c r="I10" s="3">
        <f ca="1">IFERROR(t_utg[[#This Row],[tp]]-G9,"")</f>
        <v>160</v>
      </c>
      <c r="K10" s="801" t="s">
        <v>38</v>
      </c>
      <c r="L10">
        <f>COUNTIF(Kuponger!$CH:$CH,L$7)</f>
        <v>5</v>
      </c>
      <c r="M10">
        <f>COUNTIF(Kuponger!$CH:$CH,M$7)</f>
        <v>15</v>
      </c>
      <c r="N10">
        <f>COUNTIF(Kuponger!$CH:$CH,N$7)</f>
        <v>17</v>
      </c>
      <c r="O10">
        <f>COUNTIF(Kuponger!$CH:$CH,O$7)</f>
        <v>8</v>
      </c>
      <c r="P10">
        <f>COUNTIF(Kuponger!$CH:$CH,P$7)</f>
        <v>17</v>
      </c>
      <c r="Q10">
        <f>COUNTIF(Kuponger!$CH:$CH,Q$7)</f>
        <v>11</v>
      </c>
      <c r="R10">
        <f>COUNTIF(Kuponger!$CH:$CH,R$7)</f>
        <v>33</v>
      </c>
      <c r="S10">
        <f>COUNTIF(Kuponger!$CH:$CH,S$7)</f>
        <v>13</v>
      </c>
      <c r="T10">
        <f>SUM(L$10:S$10)</f>
        <v>119</v>
      </c>
    </row>
    <row r="11" spans="1:27" x14ac:dyDescent="0.2">
      <c r="A11">
        <v>10</v>
      </c>
      <c r="B11" s="22">
        <f ca="1">Data!AL10</f>
        <v>45969</v>
      </c>
      <c r="C11">
        <f ca="1">IFERROR(IF(OFFSET(_xlfn.XLOOKUP(B11,Kuponger!E:E,Kuponger!Q:Q),15,63)=0,"",OFFSET(_xlfn.XLOOKUP(B11,Kuponger!E:E,Kuponger!Q:Q),15,63)),"")</f>
        <v>360</v>
      </c>
      <c r="D11">
        <f ca="1">IFERROR(IF(OFFSET(_xlfn.XLOOKUP(B11,Kuponger!E:E,Kuponger!Q:Q),15,64)=0,"",OFFSET(_xlfn.XLOOKUP(B11,Kuponger!E:E,Kuponger!Q:Q),15,64)),"")</f>
        <v>40</v>
      </c>
      <c r="E11">
        <f ca="1">IFERROR(IF(OFFSET(_xlfn.XLOOKUP(B11,Kuponger!E:E,Kuponger!Q:Q),15,65)=0,"",OFFSET(_xlfn.XLOOKUP(B11,Kuponger!E:E,Kuponger!Q:Q),15,65)),"")</f>
        <v>190</v>
      </c>
      <c r="F11" t="str">
        <f ca="1">IFERROR(IF(OFFSET(_xlfn.XLOOKUP(B11,Kuponger!E:E,Kuponger!Q:Q),1,65)=0,"",OFFSET(_xlfn.XLOOKUP(B11,Kuponger!E:E,Kuponger!Q:Q),1,65))*-1,"")</f>
        <v/>
      </c>
      <c r="G11">
        <f t="shared" ca="1" si="0"/>
        <v>590</v>
      </c>
      <c r="H11">
        <f ca="1">IFERROR(IF(OFFSET(_xlfn.XLOOKUP(B11,Kuponger!E:E,Kuponger!Q:Q),1,64)="","",OFFSET(_xlfn.XLOOKUP(B11,Kuponger!E:E,Kuponger!Q:Q),1,64)),"")</f>
        <v>5</v>
      </c>
      <c r="I11" s="3">
        <f ca="1">IFERROR(t_utg[[#This Row],[tp]]-G10,"")</f>
        <v>-90</v>
      </c>
      <c r="K11" s="801" t="str">
        <f>K7</f>
        <v>Antall Treff</v>
      </c>
      <c r="L11">
        <f>SUM(L$8:L$10)</f>
        <v>57</v>
      </c>
      <c r="M11">
        <f t="shared" ref="M11:S11" si="3">SUM(M$8:M$10)</f>
        <v>45</v>
      </c>
      <c r="N11">
        <f t="shared" si="3"/>
        <v>46</v>
      </c>
      <c r="O11">
        <f t="shared" si="3"/>
        <v>35</v>
      </c>
      <c r="P11">
        <f t="shared" si="3"/>
        <v>32</v>
      </c>
      <c r="Q11">
        <f t="shared" si="3"/>
        <v>33</v>
      </c>
      <c r="R11">
        <f t="shared" si="3"/>
        <v>77</v>
      </c>
      <c r="S11">
        <f t="shared" si="3"/>
        <v>59</v>
      </c>
      <c r="T11">
        <f>SUM(L$11:S$11)</f>
        <v>384</v>
      </c>
    </row>
    <row r="12" spans="1:27" x14ac:dyDescent="0.2">
      <c r="A12">
        <v>11</v>
      </c>
      <c r="B12" s="22">
        <f ca="1">Data!AL11</f>
        <v>45976</v>
      </c>
      <c r="C12">
        <f ca="1">IFERROR(IF(OFFSET(_xlfn.XLOOKUP(B12,Kuponger!E:E,Kuponger!Q:Q),15,63)=0,"",OFFSET(_xlfn.XLOOKUP(B12,Kuponger!E:E,Kuponger!Q:Q),15,63)),"")</f>
        <v>300</v>
      </c>
      <c r="D12">
        <f ca="1">IFERROR(IF(OFFSET(_xlfn.XLOOKUP(B12,Kuponger!E:E,Kuponger!Q:Q),15,64)=0,"",OFFSET(_xlfn.XLOOKUP(B12,Kuponger!E:E,Kuponger!Q:Q),15,64)),"")</f>
        <v>70</v>
      </c>
      <c r="E12">
        <f ca="1">IFERROR(IF(OFFSET(_xlfn.XLOOKUP(B12,Kuponger!E:E,Kuponger!Q:Q),15,65)=0,"",OFFSET(_xlfn.XLOOKUP(B12,Kuponger!E:E,Kuponger!Q:Q),15,65)),"")</f>
        <v>200</v>
      </c>
      <c r="F12" t="str">
        <f ca="1">IFERROR(IF(OFFSET(_xlfn.XLOOKUP(B12,Kuponger!E:E,Kuponger!Q:Q),1,65)=0,"",OFFSET(_xlfn.XLOOKUP(B12,Kuponger!E:E,Kuponger!Q:Q),1,65))*-1,"")</f>
        <v/>
      </c>
      <c r="G12">
        <f t="shared" ca="1" si="0"/>
        <v>570</v>
      </c>
      <c r="H12">
        <f ca="1">IFERROR(IF(OFFSET(_xlfn.XLOOKUP(B12,Kuponger!E:E,Kuponger!Q:Q),1,64)="","",OFFSET(_xlfn.XLOOKUP(B12,Kuponger!E:E,Kuponger!Q:Q),1,64)),"")</f>
        <v>4</v>
      </c>
      <c r="I12" s="3">
        <f ca="1">IFERROR(t_utg[[#This Row],[tp]]-G11,"")</f>
        <v>-20</v>
      </c>
    </row>
    <row r="13" spans="1:27" ht="15" x14ac:dyDescent="0.25">
      <c r="A13">
        <v>12</v>
      </c>
      <c r="B13" s="22">
        <f ca="1">Data!AL12</f>
        <v>45983</v>
      </c>
      <c r="C13">
        <f ca="1">IFERROR(IF(OFFSET(_xlfn.XLOOKUP(B13,Kuponger!E:E,Kuponger!Q:Q),15,63)=0,"",OFFSET(_xlfn.XLOOKUP(B13,Kuponger!E:E,Kuponger!Q:Q),15,63)),"")</f>
        <v>280</v>
      </c>
      <c r="D13">
        <f ca="1">IFERROR(IF(OFFSET(_xlfn.XLOOKUP(B13,Kuponger!E:E,Kuponger!Q:Q),15,64)=0,"",OFFSET(_xlfn.XLOOKUP(B13,Kuponger!E:E,Kuponger!Q:Q),15,64)),"")</f>
        <v>30</v>
      </c>
      <c r="E13">
        <f ca="1">IFERROR(IF(OFFSET(_xlfn.XLOOKUP(B13,Kuponger!E:E,Kuponger!Q:Q),15,65)=0,"",OFFSET(_xlfn.XLOOKUP(B13,Kuponger!E:E,Kuponger!Q:Q),15,65)),"")</f>
        <v>150</v>
      </c>
      <c r="F13" t="str">
        <f ca="1">IFERROR(IF(OFFSET(_xlfn.XLOOKUP(B13,Kuponger!E:E,Kuponger!Q:Q),1,65)=0,"",OFFSET(_xlfn.XLOOKUP(B13,Kuponger!E:E,Kuponger!Q:Q),1,65))*-1,"")</f>
        <v/>
      </c>
      <c r="G13">
        <f t="shared" ca="1" si="0"/>
        <v>460</v>
      </c>
      <c r="H13">
        <f ca="1">IFERROR(IF(OFFSET(_xlfn.XLOOKUP(B13,Kuponger!E:E,Kuponger!Q:Q),1,64)="","",OFFSET(_xlfn.XLOOKUP(B13,Kuponger!E:E,Kuponger!Q:Q),1,64)),"")</f>
        <v>4</v>
      </c>
      <c r="I13" s="3">
        <f ca="1">IFERROR(t_utg[[#This Row],[tp]]-G12,"")</f>
        <v>-110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IFERROR(IF(OFFSET(_xlfn.XLOOKUP(B14,Kuponger!E:E,Kuponger!Q:Q),15,63)=0,"",OFFSET(_xlfn.XLOOKUP(B14,Kuponger!E:E,Kuponger!Q:Q),15,63)),"")</f>
        <v>460</v>
      </c>
      <c r="D14">
        <f ca="1">IFERROR(IF(OFFSET(_xlfn.XLOOKUP(B14,Kuponger!E:E,Kuponger!Q:Q),15,64)=0,"",OFFSET(_xlfn.XLOOKUP(B14,Kuponger!E:E,Kuponger!Q:Q),15,64)),"")</f>
        <v>20</v>
      </c>
      <c r="E14">
        <f ca="1">IFERROR(IF(OFFSET(_xlfn.XLOOKUP(B14,Kuponger!E:E,Kuponger!Q:Q),15,65)=0,"",OFFSET(_xlfn.XLOOKUP(B14,Kuponger!E:E,Kuponger!Q:Q),15,65)),"")</f>
        <v>100</v>
      </c>
      <c r="F14" t="str">
        <f ca="1">IFERROR(IF(OFFSET(_xlfn.XLOOKUP(B14,Kuponger!E:E,Kuponger!Q:Q),1,65)=0,"",OFFSET(_xlfn.XLOOKUP(B14,Kuponger!E:E,Kuponger!Q:Q),1,65))*-1,"")</f>
        <v/>
      </c>
      <c r="G14">
        <f t="shared" ca="1" si="0"/>
        <v>580</v>
      </c>
      <c r="H14">
        <f ca="1">IFERROR(IF(OFFSET(_xlfn.XLOOKUP(B14,Kuponger!E:E,Kuponger!Q:Q),1,64)="","",OFFSET(_xlfn.XLOOKUP(B14,Kuponger!E:E,Kuponger!Q:Q),1,64)),"")</f>
        <v>5</v>
      </c>
      <c r="I14" s="3">
        <f ca="1">IFERROR(t_utg[[#This Row],[tp]]-G13,"")</f>
        <v>120</v>
      </c>
      <c r="K14" s="801" t="str">
        <f>K8</f>
        <v>Hjemme</v>
      </c>
      <c r="L14">
        <f>L2-L8</f>
        <v>19</v>
      </c>
      <c r="M14">
        <f t="shared" ref="M14:S14" si="5">M2-M8</f>
        <v>33</v>
      </c>
      <c r="N14">
        <f t="shared" si="5"/>
        <v>36</v>
      </c>
      <c r="O14">
        <f t="shared" si="5"/>
        <v>22</v>
      </c>
      <c r="P14">
        <f t="shared" si="5"/>
        <v>22</v>
      </c>
      <c r="Q14">
        <f t="shared" si="5"/>
        <v>31</v>
      </c>
      <c r="R14">
        <f t="shared" si="5"/>
        <v>40</v>
      </c>
      <c r="S14">
        <f t="shared" si="5"/>
        <v>5</v>
      </c>
      <c r="T14">
        <f>SUM(L$14:S$14)</f>
        <v>208</v>
      </c>
    </row>
    <row r="15" spans="1:27" x14ac:dyDescent="0.2">
      <c r="A15">
        <v>14</v>
      </c>
      <c r="B15" s="22">
        <f ca="1">Data!AL14</f>
        <v>45997</v>
      </c>
      <c r="C15">
        <f ca="1">IFERROR(IF(OFFSET(_xlfn.XLOOKUP(B15,Kuponger!E:E,Kuponger!Q:Q),15,63)=0,"",OFFSET(_xlfn.XLOOKUP(B15,Kuponger!E:E,Kuponger!Q:Q),15,63)),"")</f>
        <v>520</v>
      </c>
      <c r="D15">
        <f ca="1">IFERROR(IF(OFFSET(_xlfn.XLOOKUP(B15,Kuponger!E:E,Kuponger!Q:Q),15,64)=0,"",OFFSET(_xlfn.XLOOKUP(B15,Kuponger!E:E,Kuponger!Q:Q),15,64)),"")</f>
        <v>50</v>
      </c>
      <c r="E15" t="str">
        <f ca="1">IFERROR(IF(OFFSET(_xlfn.XLOOKUP(B15,Kuponger!E:E,Kuponger!Q:Q),15,65)=0,"",OFFSET(_xlfn.XLOOKUP(B15,Kuponger!E:E,Kuponger!Q:Q),15,65)),"")</f>
        <v/>
      </c>
      <c r="F15" t="str">
        <f ca="1">IFERROR(IF(OFFSET(_xlfn.XLOOKUP(B15,Kuponger!E:E,Kuponger!Q:Q),1,65)=0,"",OFFSET(_xlfn.XLOOKUP(B15,Kuponger!E:E,Kuponger!Q:Q),1,65))*-1,"")</f>
        <v/>
      </c>
      <c r="G15">
        <f t="shared" ca="1" si="0"/>
        <v>570</v>
      </c>
      <c r="H15">
        <f ca="1">IFERROR(IF(OFFSET(_xlfn.XLOOKUP(B15,Kuponger!E:E,Kuponger!Q:Q),1,64)="","",OFFSET(_xlfn.XLOOKUP(B15,Kuponger!E:E,Kuponger!Q:Q),1,64)),"")</f>
        <v>5</v>
      </c>
      <c r="I15" s="3">
        <f ca="1">IFERROR(t_utg[[#This Row],[tp]]-G14,"")</f>
        <v>-10</v>
      </c>
      <c r="K15" s="801" t="str">
        <f>K9</f>
        <v>Uavgjort</v>
      </c>
      <c r="L15">
        <f t="shared" ref="L15:S16" si="6">L3-L9</f>
        <v>3</v>
      </c>
      <c r="M15">
        <f t="shared" si="6"/>
        <v>3</v>
      </c>
      <c r="N15">
        <f t="shared" si="6"/>
        <v>2</v>
      </c>
      <c r="O15">
        <f t="shared" si="6"/>
        <v>5</v>
      </c>
      <c r="P15">
        <f t="shared" si="6"/>
        <v>7</v>
      </c>
      <c r="Q15">
        <f t="shared" si="6"/>
        <v>37</v>
      </c>
      <c r="R15">
        <f t="shared" si="6"/>
        <v>121</v>
      </c>
      <c r="S15">
        <f t="shared" si="6"/>
        <v>147</v>
      </c>
      <c r="T15">
        <f>SUM(L$15:S$15)</f>
        <v>325</v>
      </c>
    </row>
    <row r="16" spans="1:27" x14ac:dyDescent="0.2">
      <c r="A16">
        <v>15</v>
      </c>
      <c r="B16" s="22">
        <f ca="1">Data!AL15</f>
        <v>46004</v>
      </c>
      <c r="C16">
        <f ca="1">IFERROR(IF(OFFSET(_xlfn.XLOOKUP(B16,Kuponger!E:E,Kuponger!Q:Q),15,63)=0,"",OFFSET(_xlfn.XLOOKUP(B16,Kuponger!E:E,Kuponger!Q:Q),15,63)),"")</f>
        <v>520</v>
      </c>
      <c r="D16">
        <f ca="1">IFERROR(IF(OFFSET(_xlfn.XLOOKUP(B16,Kuponger!E:E,Kuponger!Q:Q),15,64)=0,"",OFFSET(_xlfn.XLOOKUP(B16,Kuponger!E:E,Kuponger!Q:Q),15,64)),"")</f>
        <v>40</v>
      </c>
      <c r="E16">
        <f ca="1">IFERROR(IF(OFFSET(_xlfn.XLOOKUP(B16,Kuponger!E:E,Kuponger!Q:Q),15,65)=0,"",OFFSET(_xlfn.XLOOKUP(B16,Kuponger!E:E,Kuponger!Q:Q),15,65)),"")</f>
        <v>70</v>
      </c>
      <c r="F16" t="str">
        <f ca="1">IFERROR(IF(OFFSET(_xlfn.XLOOKUP(B16,Kuponger!E:E,Kuponger!Q:Q),1,65)=0,"",OFFSET(_xlfn.XLOOKUP(B16,Kuponger!E:E,Kuponger!Q:Q),1,65))*-1,"")</f>
        <v/>
      </c>
      <c r="G16">
        <f t="shared" ca="1" si="0"/>
        <v>630</v>
      </c>
      <c r="H16">
        <f ca="1">IFERROR(IF(OFFSET(_xlfn.XLOOKUP(B16,Kuponger!E:E,Kuponger!Q:Q),1,64)="","",OFFSET(_xlfn.XLOOKUP(B16,Kuponger!E:E,Kuponger!Q:Q),1,64)),"")</f>
        <v>2</v>
      </c>
      <c r="I16" s="3">
        <f ca="1">IFERROR(t_utg[[#This Row],[tp]]-G15,"")</f>
        <v>60</v>
      </c>
      <c r="K16" s="801" t="str">
        <f>K10</f>
        <v>Borte</v>
      </c>
      <c r="L16">
        <f t="shared" si="6"/>
        <v>0</v>
      </c>
      <c r="M16">
        <f t="shared" si="6"/>
        <v>15</v>
      </c>
      <c r="N16">
        <f t="shared" si="6"/>
        <v>22</v>
      </c>
      <c r="O16">
        <f t="shared" si="6"/>
        <v>19</v>
      </c>
      <c r="P16">
        <f t="shared" si="6"/>
        <v>22</v>
      </c>
      <c r="Q16">
        <f t="shared" si="6"/>
        <v>37</v>
      </c>
      <c r="R16">
        <f t="shared" si="6"/>
        <v>75</v>
      </c>
      <c r="S16">
        <f t="shared" si="6"/>
        <v>83</v>
      </c>
      <c r="T16">
        <f>SUM(L$16:S$16)</f>
        <v>273</v>
      </c>
    </row>
    <row r="17" spans="1:20" x14ac:dyDescent="0.2">
      <c r="A17">
        <v>16</v>
      </c>
      <c r="B17" s="22">
        <f ca="1">Data!AL16</f>
        <v>46032</v>
      </c>
      <c r="C17">
        <f ca="1">IFERROR(IF(OFFSET(_xlfn.XLOOKUP(B17,Kuponger!E:E,Kuponger!Q:Q),15,63)=0,"",OFFSET(_xlfn.XLOOKUP(B17,Kuponger!E:E,Kuponger!Q:Q),15,63)),"")</f>
        <v>350</v>
      </c>
      <c r="D17">
        <f ca="1">IFERROR(IF(OFFSET(_xlfn.XLOOKUP(B17,Kuponger!E:E,Kuponger!Q:Q),15,64)=0,"",OFFSET(_xlfn.XLOOKUP(B17,Kuponger!E:E,Kuponger!Q:Q),15,64)),"")</f>
        <v>20</v>
      </c>
      <c r="E17">
        <f ca="1">IFERROR(IF(OFFSET(_xlfn.XLOOKUP(B17,Kuponger!E:E,Kuponger!Q:Q),15,65)=0,"",OFFSET(_xlfn.XLOOKUP(B17,Kuponger!E:E,Kuponger!Q:Q),15,65)),"")</f>
        <v>230</v>
      </c>
      <c r="F17" t="str">
        <f ca="1">IFERROR(IF(OFFSET(_xlfn.XLOOKUP(B17,Kuponger!E:E,Kuponger!Q:Q),1,65)=0,"",OFFSET(_xlfn.XLOOKUP(B17,Kuponger!E:E,Kuponger!Q:Q),1,65))*-1,"")</f>
        <v/>
      </c>
      <c r="G17">
        <f t="shared" ca="1" si="0"/>
        <v>600</v>
      </c>
      <c r="H17">
        <f ca="1">IFERROR(IF(OFFSET(_xlfn.XLOOKUP(B17,Kuponger!E:E,Kuponger!Q:Q),1,64)="","",OFFSET(_xlfn.XLOOKUP(B17,Kuponger!E:E,Kuponger!Q:Q),1,64)),"")</f>
        <v>6</v>
      </c>
      <c r="I17" s="3">
        <f ca="1">IFERROR(t_utg[[#This Row],[tp]]-G16,"")</f>
        <v>-30</v>
      </c>
      <c r="K17" s="801" t="str">
        <f>K13</f>
        <v>Antall misser</v>
      </c>
      <c r="L17">
        <f>SUM(L$14:L$16)</f>
        <v>22</v>
      </c>
      <c r="M17">
        <f t="shared" ref="M17:S17" si="7">SUM(M$14:M$16)</f>
        <v>51</v>
      </c>
      <c r="N17">
        <f t="shared" si="7"/>
        <v>60</v>
      </c>
      <c r="O17">
        <f t="shared" si="7"/>
        <v>46</v>
      </c>
      <c r="P17">
        <f t="shared" si="7"/>
        <v>51</v>
      </c>
      <c r="Q17">
        <f t="shared" si="7"/>
        <v>105</v>
      </c>
      <c r="R17">
        <f t="shared" si="7"/>
        <v>236</v>
      </c>
      <c r="S17">
        <f t="shared" si="7"/>
        <v>235</v>
      </c>
      <c r="T17">
        <f>SUM(L$17:S$17)</f>
        <v>806</v>
      </c>
    </row>
    <row r="18" spans="1:20" x14ac:dyDescent="0.2">
      <c r="A18">
        <v>17</v>
      </c>
      <c r="B18" s="22">
        <f ca="1">Data!AL17</f>
        <v>46039</v>
      </c>
      <c r="C18">
        <f ca="1">IFERROR(IF(OFFSET(_xlfn.XLOOKUP(B18,Kuponger!E:E,Kuponger!Q:Q),15,63)=0,"",OFFSET(_xlfn.XLOOKUP(B18,Kuponger!E:E,Kuponger!Q:Q),15,63)),"")</f>
        <v>210</v>
      </c>
      <c r="D18">
        <f ca="1">IFERROR(IF(OFFSET(_xlfn.XLOOKUP(B18,Kuponger!E:E,Kuponger!Q:Q),15,64)=0,"",OFFSET(_xlfn.XLOOKUP(B18,Kuponger!E:E,Kuponger!Q:Q),15,64)),"")</f>
        <v>60</v>
      </c>
      <c r="E18">
        <f ca="1">IFERROR(IF(OFFSET(_xlfn.XLOOKUP(B18,Kuponger!E:E,Kuponger!Q:Q),15,65)=0,"",OFFSET(_xlfn.XLOOKUP(B18,Kuponger!E:E,Kuponger!Q:Q),15,65)),"")</f>
        <v>70</v>
      </c>
      <c r="F18" t="str">
        <f ca="1">IFERROR(IF(OFFSET(_xlfn.XLOOKUP(B18,Kuponger!E:E,Kuponger!Q:Q),1,65)=0,"",OFFSET(_xlfn.XLOOKUP(B18,Kuponger!E:E,Kuponger!Q:Q),1,65))*-1,"")</f>
        <v/>
      </c>
      <c r="G18">
        <f t="shared" ca="1" si="0"/>
        <v>340</v>
      </c>
      <c r="H18">
        <f ca="1">IFERROR(IF(OFFSET(_xlfn.XLOOKUP(B18,Kuponger!E:E,Kuponger!Q:Q),1,64)="","",OFFSET(_xlfn.XLOOKUP(B18,Kuponger!E:E,Kuponger!Q:Q),1,64)),"")</f>
        <v>5</v>
      </c>
      <c r="I18" s="3">
        <f ca="1">IFERROR(t_utg[[#This Row],[tp]]-G17,"")</f>
        <v>-260</v>
      </c>
      <c r="K18" s="4"/>
    </row>
    <row r="19" spans="1:20" x14ac:dyDescent="0.2">
      <c r="A19">
        <v>18</v>
      </c>
      <c r="B19" s="22">
        <f ca="1">Data!AL18</f>
        <v>46046</v>
      </c>
      <c r="C19">
        <f ca="1">IFERROR(IF(OFFSET(_xlfn.XLOOKUP(B19,Kuponger!E:E,Kuponger!Q:Q),15,63)=0,"",OFFSET(_xlfn.XLOOKUP(B19,Kuponger!E:E,Kuponger!Q:Q),15,63)),"")</f>
        <v>340</v>
      </c>
      <c r="D19">
        <f ca="1">IFERROR(IF(OFFSET(_xlfn.XLOOKUP(B19,Kuponger!E:E,Kuponger!Q:Q),15,64)=0,"",OFFSET(_xlfn.XLOOKUP(B19,Kuponger!E:E,Kuponger!Q:Q),15,64)),"")</f>
        <v>80</v>
      </c>
      <c r="E19">
        <f ca="1">IFERROR(IF(OFFSET(_xlfn.XLOOKUP(B19,Kuponger!E:E,Kuponger!Q:Q),15,65)=0,"",OFFSET(_xlfn.XLOOKUP(B19,Kuponger!E:E,Kuponger!Q:Q),15,65)),"")</f>
        <v>40</v>
      </c>
      <c r="F19" t="str">
        <f ca="1">IFERROR(IF(OFFSET(_xlfn.XLOOKUP(B19,Kuponger!E:E,Kuponger!Q:Q),1,65)=0,"",OFFSET(_xlfn.XLOOKUP(B19,Kuponger!E:E,Kuponger!Q:Q),1,65))*-1,"")</f>
        <v/>
      </c>
      <c r="G19">
        <f t="shared" ca="1" si="0"/>
        <v>460</v>
      </c>
      <c r="H19">
        <f ca="1">IFERROR(IF(OFFSET(_xlfn.XLOOKUP(B19,Kuponger!E:E,Kuponger!Q:Q),1,64)="","",OFFSET(_xlfn.XLOOKUP(B19,Kuponger!E:E,Kuponger!Q:Q),1,64)),"")</f>
        <v>3</v>
      </c>
      <c r="I19" s="3">
        <f ca="1">IFERROR(t_utg[[#This Row],[tp]]-G18,"")</f>
        <v>120</v>
      </c>
      <c r="K19" s="2" t="s">
        <v>854</v>
      </c>
      <c r="L19" s="2">
        <f>L13</f>
        <v>80</v>
      </c>
      <c r="M19" s="2">
        <f t="shared" ref="M19:S19" si="8">M13</f>
        <v>70</v>
      </c>
      <c r="N19" s="2">
        <f t="shared" si="8"/>
        <v>60</v>
      </c>
      <c r="O19" s="2">
        <f t="shared" si="8"/>
        <v>50</v>
      </c>
      <c r="P19" s="2">
        <f t="shared" si="8"/>
        <v>40</v>
      </c>
      <c r="Q19" s="2">
        <f t="shared" si="8"/>
        <v>30</v>
      </c>
      <c r="R19" s="2">
        <f t="shared" si="8"/>
        <v>20</v>
      </c>
      <c r="S19" s="2">
        <f t="shared" si="8"/>
        <v>10</v>
      </c>
    </row>
    <row r="20" spans="1:20" x14ac:dyDescent="0.2">
      <c r="A20">
        <v>19</v>
      </c>
      <c r="B20" s="22">
        <f ca="1">Data!AL19</f>
        <v>46053</v>
      </c>
      <c r="C20">
        <f ca="1">IFERROR(IF(OFFSET(_xlfn.XLOOKUP(B20,Kuponger!E:E,Kuponger!Q:Q),15,63)=0,"",OFFSET(_xlfn.XLOOKUP(B20,Kuponger!E:E,Kuponger!Q:Q),15,63)),"")</f>
        <v>260</v>
      </c>
      <c r="D20">
        <f ca="1">IFERROR(IF(OFFSET(_xlfn.XLOOKUP(B20,Kuponger!E:E,Kuponger!Q:Q),15,64)=0,"",OFFSET(_xlfn.XLOOKUP(B20,Kuponger!E:E,Kuponger!Q:Q),15,64)),"")</f>
        <v>50</v>
      </c>
      <c r="E20">
        <f ca="1">IFERROR(IF(OFFSET(_xlfn.XLOOKUP(B20,Kuponger!E:E,Kuponger!Q:Q),15,65)=0,"",OFFSET(_xlfn.XLOOKUP(B20,Kuponger!E:E,Kuponger!Q:Q),15,65)),"")</f>
        <v>200</v>
      </c>
      <c r="F20" t="str">
        <f ca="1">IFERROR(IF(OFFSET(_xlfn.XLOOKUP(B20,Kuponger!E:E,Kuponger!Q:Q),1,65)=0,"",OFFSET(_xlfn.XLOOKUP(B20,Kuponger!E:E,Kuponger!Q:Q),1,65))*-1,"")</f>
        <v/>
      </c>
      <c r="G20">
        <f t="shared" ca="1" si="0"/>
        <v>510</v>
      </c>
      <c r="H20">
        <f ca="1">IFERROR(IF(OFFSET(_xlfn.XLOOKUP(B20,Kuponger!E:E,Kuponger!Q:Q),1,64)="","",OFFSET(_xlfn.XLOOKUP(B20,Kuponger!E:E,Kuponger!Q:Q),1,64)),"")</f>
        <v>3</v>
      </c>
      <c r="I20" s="3">
        <f ca="1">IFERROR(t_utg[[#This Row],[tp]]-G19,"")</f>
        <v>50</v>
      </c>
      <c r="K20" s="801" t="str">
        <f>K8</f>
        <v>Hjemme</v>
      </c>
      <c r="L20">
        <f>L$8*L$19</f>
        <v>4160</v>
      </c>
      <c r="M20">
        <f t="shared" ref="M20:S20" si="9">M$8*M$19</f>
        <v>2100</v>
      </c>
      <c r="N20">
        <f t="shared" si="9"/>
        <v>1740</v>
      </c>
      <c r="O20">
        <f t="shared" si="9"/>
        <v>1350</v>
      </c>
      <c r="P20">
        <f t="shared" si="9"/>
        <v>600</v>
      </c>
      <c r="Q20">
        <f t="shared" si="9"/>
        <v>390</v>
      </c>
      <c r="R20">
        <f t="shared" si="9"/>
        <v>180</v>
      </c>
      <c r="S20">
        <f t="shared" si="9"/>
        <v>10</v>
      </c>
      <c r="T20">
        <f>SUM(L$20:S$20)</f>
        <v>10530</v>
      </c>
    </row>
    <row r="21" spans="1:20" x14ac:dyDescent="0.2">
      <c r="A21">
        <v>20</v>
      </c>
      <c r="B21" s="22">
        <f ca="1">Data!AL20</f>
        <v>46060</v>
      </c>
      <c r="C21">
        <f ca="1">IFERROR(IF(OFFSET(_xlfn.XLOOKUP(B21,Kuponger!E:E,Kuponger!Q:Q),15,63)=0,"",OFFSET(_xlfn.XLOOKUP(B21,Kuponger!E:E,Kuponger!Q:Q),15,63)),"")</f>
        <v>220</v>
      </c>
      <c r="D21">
        <f ca="1">IFERROR(IF(OFFSET(_xlfn.XLOOKUP(B21,Kuponger!E:E,Kuponger!Q:Q),15,64)=0,"",OFFSET(_xlfn.XLOOKUP(B21,Kuponger!E:E,Kuponger!Q:Q),15,64)),"")</f>
        <v>60</v>
      </c>
      <c r="E21">
        <f ca="1">IFERROR(IF(OFFSET(_xlfn.XLOOKUP(B21,Kuponger!E:E,Kuponger!Q:Q),15,65)=0,"",OFFSET(_xlfn.XLOOKUP(B21,Kuponger!E:E,Kuponger!Q:Q),15,65)),"")</f>
        <v>210</v>
      </c>
      <c r="F21" t="str">
        <f ca="1">IFERROR(IF(OFFSET(_xlfn.XLOOKUP(B21,Kuponger!E:E,Kuponger!Q:Q),1,65)=0,"",OFFSET(_xlfn.XLOOKUP(B21,Kuponger!E:E,Kuponger!Q:Q),1,65))*-1,"")</f>
        <v/>
      </c>
      <c r="G21">
        <f t="shared" ca="1" si="0"/>
        <v>490</v>
      </c>
      <c r="H21">
        <f ca="1">IFERROR(IF(OFFSET(_xlfn.XLOOKUP(B21,Kuponger!E:E,Kuponger!Q:Q),1,64)="","",OFFSET(_xlfn.XLOOKUP(B21,Kuponger!E:E,Kuponger!Q:Q),1,64)),"")</f>
        <v>3</v>
      </c>
      <c r="I21" s="3">
        <f ca="1">IFERROR(t_utg[[#This Row],[tp]]-G20,"")</f>
        <v>-20</v>
      </c>
      <c r="K21" s="801" t="str">
        <f>K9</f>
        <v>Uavgjort</v>
      </c>
      <c r="L21">
        <f>L$9*L$19</f>
        <v>0</v>
      </c>
      <c r="M21">
        <f t="shared" ref="M21:S21" si="10">M$9*M$19</f>
        <v>0</v>
      </c>
      <c r="N21">
        <f t="shared" si="10"/>
        <v>0</v>
      </c>
      <c r="O21">
        <f t="shared" si="10"/>
        <v>0</v>
      </c>
      <c r="P21">
        <f t="shared" si="10"/>
        <v>0</v>
      </c>
      <c r="Q21">
        <f t="shared" si="10"/>
        <v>270</v>
      </c>
      <c r="R21">
        <f t="shared" si="10"/>
        <v>700</v>
      </c>
      <c r="S21">
        <f t="shared" si="10"/>
        <v>450</v>
      </c>
      <c r="T21">
        <f>SUM(L$21:S$21)</f>
        <v>1420</v>
      </c>
    </row>
    <row r="22" spans="1:20" x14ac:dyDescent="0.2">
      <c r="A22">
        <v>21</v>
      </c>
      <c r="B22" s="22">
        <f ca="1">Data!AL21</f>
        <v>46067</v>
      </c>
      <c r="C22">
        <f ca="1">IFERROR(IF(OFFSET(_xlfn.XLOOKUP(B22,Kuponger!E:E,Kuponger!Q:Q),15,63)=0,"",OFFSET(_xlfn.XLOOKUP(B22,Kuponger!E:E,Kuponger!Q:Q),15,63)),"")</f>
        <v>340</v>
      </c>
      <c r="D22">
        <f ca="1">IFERROR(IF(OFFSET(_xlfn.XLOOKUP(B22,Kuponger!E:E,Kuponger!Q:Q),15,64)=0,"",OFFSET(_xlfn.XLOOKUP(B22,Kuponger!E:E,Kuponger!Q:Q),15,64)),"")</f>
        <v>70</v>
      </c>
      <c r="E22">
        <f ca="1">IFERROR(IF(OFFSET(_xlfn.XLOOKUP(B22,Kuponger!E:E,Kuponger!Q:Q),15,65)=0,"",OFFSET(_xlfn.XLOOKUP(B22,Kuponger!E:E,Kuponger!Q:Q),15,65)),"")</f>
        <v>60</v>
      </c>
      <c r="F22" t="str">
        <f ca="1">IFERROR(IF(OFFSET(_xlfn.XLOOKUP(B22,Kuponger!E:E,Kuponger!Q:Q),1,65)=0,"",OFFSET(_xlfn.XLOOKUP(B22,Kuponger!E:E,Kuponger!Q:Q),1,65))*-1,"")</f>
        <v/>
      </c>
      <c r="G22">
        <f t="shared" ca="1" si="0"/>
        <v>470</v>
      </c>
      <c r="H22">
        <f ca="1">IFERROR(IF(OFFSET(_xlfn.XLOOKUP(B22,Kuponger!E:E,Kuponger!Q:Q),1,64)="","",OFFSET(_xlfn.XLOOKUP(B22,Kuponger!E:E,Kuponger!Q:Q),1,64)),"")</f>
        <v>3</v>
      </c>
      <c r="I22" s="3">
        <f ca="1">IFERROR(t_utg[[#This Row],[tp]]-G21,"")</f>
        <v>-20</v>
      </c>
      <c r="K22" s="801" t="str">
        <f>K10</f>
        <v>Borte</v>
      </c>
      <c r="L22">
        <f>L$10*L$19</f>
        <v>400</v>
      </c>
      <c r="M22">
        <f t="shared" ref="M22:S22" si="11">M$10*M$19</f>
        <v>1050</v>
      </c>
      <c r="N22">
        <f t="shared" si="11"/>
        <v>1020</v>
      </c>
      <c r="O22">
        <f t="shared" si="11"/>
        <v>400</v>
      </c>
      <c r="P22">
        <f t="shared" si="11"/>
        <v>680</v>
      </c>
      <c r="Q22">
        <f t="shared" si="11"/>
        <v>330</v>
      </c>
      <c r="R22">
        <f t="shared" si="11"/>
        <v>660</v>
      </c>
      <c r="S22">
        <f t="shared" si="11"/>
        <v>130</v>
      </c>
      <c r="T22">
        <f>SUM(L$22:S$22)</f>
        <v>4670</v>
      </c>
    </row>
    <row r="23" spans="1:20" x14ac:dyDescent="0.2">
      <c r="A23">
        <v>22</v>
      </c>
      <c r="B23" s="22">
        <f ca="1">Data!AL22</f>
        <v>46074</v>
      </c>
      <c r="C23">
        <f ca="1">IFERROR(IF(OFFSET(_xlfn.XLOOKUP(B23,Kuponger!E:E,Kuponger!Q:Q),15,63)=0,"",OFFSET(_xlfn.XLOOKUP(B23,Kuponger!E:E,Kuponger!Q:Q),15,63)),"")</f>
        <v>190</v>
      </c>
      <c r="D23">
        <f ca="1">IFERROR(IF(OFFSET(_xlfn.XLOOKUP(B23,Kuponger!E:E,Kuponger!Q:Q),15,64)=0,"",OFFSET(_xlfn.XLOOKUP(B23,Kuponger!E:E,Kuponger!Q:Q),15,64)),"")</f>
        <v>80</v>
      </c>
      <c r="E23">
        <f ca="1">IFERROR(IF(OFFSET(_xlfn.XLOOKUP(B23,Kuponger!E:E,Kuponger!Q:Q),15,65)=0,"",OFFSET(_xlfn.XLOOKUP(B23,Kuponger!E:E,Kuponger!Q:Q),15,65)),"")</f>
        <v>50</v>
      </c>
      <c r="F23" t="str">
        <f ca="1">IFERROR(IF(OFFSET(_xlfn.XLOOKUP(B23,Kuponger!E:E,Kuponger!Q:Q),1,65)=0,"",OFFSET(_xlfn.XLOOKUP(B23,Kuponger!E:E,Kuponger!Q:Q),1,65))*-1,"")</f>
        <v/>
      </c>
      <c r="G23">
        <f t="shared" ca="1" si="0"/>
        <v>320</v>
      </c>
      <c r="H23">
        <f ca="1">IFERROR(IF(OFFSET(_xlfn.XLOOKUP(B23,Kuponger!E:E,Kuponger!Q:Q),1,64)="","",OFFSET(_xlfn.XLOOKUP(B23,Kuponger!E:E,Kuponger!Q:Q),1,64)),"")</f>
        <v>6</v>
      </c>
      <c r="I23" s="3">
        <f ca="1">IFERROR(t_utg[[#This Row],[tp]]-G22,"")</f>
        <v>-150</v>
      </c>
      <c r="K23" s="801" t="str">
        <f>K19</f>
        <v>Treff poeng</v>
      </c>
      <c r="L23">
        <f>SUM(L20:L22)</f>
        <v>4560</v>
      </c>
      <c r="M23">
        <f t="shared" ref="M23:S23" si="12">SUM(M20:M22)</f>
        <v>3150</v>
      </c>
      <c r="N23">
        <f t="shared" si="12"/>
        <v>2760</v>
      </c>
      <c r="O23">
        <f t="shared" si="12"/>
        <v>1750</v>
      </c>
      <c r="P23">
        <f t="shared" si="12"/>
        <v>1280</v>
      </c>
      <c r="Q23">
        <f t="shared" si="12"/>
        <v>990</v>
      </c>
      <c r="R23">
        <f t="shared" si="12"/>
        <v>1540</v>
      </c>
      <c r="S23">
        <f t="shared" si="12"/>
        <v>590</v>
      </c>
      <c r="T23">
        <f>SUM(L$23:S$23)</f>
        <v>16620</v>
      </c>
    </row>
    <row r="24" spans="1:20" x14ac:dyDescent="0.2">
      <c r="A24">
        <v>23</v>
      </c>
      <c r="B24" s="22">
        <f ca="1">Data!AL23</f>
        <v>46081</v>
      </c>
      <c r="C24">
        <f ca="1">IFERROR(IF(OFFSET(_xlfn.XLOOKUP(B24,Kuponger!E:E,Kuponger!Q:Q),15,63)=0,"",OFFSET(_xlfn.XLOOKUP(B24,Kuponger!E:E,Kuponger!Q:Q),15,63)),"")</f>
        <v>350</v>
      </c>
      <c r="D24" t="str">
        <f ca="1">IFERROR(IF(OFFSET(_xlfn.XLOOKUP(B24,Kuponger!E:E,Kuponger!Q:Q),15,64)=0,"",OFFSET(_xlfn.XLOOKUP(B24,Kuponger!E:E,Kuponger!Q:Q),15,64)),"")</f>
        <v/>
      </c>
      <c r="E24">
        <f ca="1">IFERROR(IF(OFFSET(_xlfn.XLOOKUP(B24,Kuponger!E:E,Kuponger!Q:Q),15,65)=0,"",OFFSET(_xlfn.XLOOKUP(B24,Kuponger!E:E,Kuponger!Q:Q),15,65)),"")</f>
        <v>310</v>
      </c>
      <c r="F24" t="str">
        <f ca="1">IFERROR(IF(OFFSET(_xlfn.XLOOKUP(B24,Kuponger!E:E,Kuponger!Q:Q),1,65)=0,"",OFFSET(_xlfn.XLOOKUP(B24,Kuponger!E:E,Kuponger!Q:Q),1,65))*-1,"")</f>
        <v/>
      </c>
      <c r="G24">
        <f t="shared" ca="1" si="0"/>
        <v>660</v>
      </c>
      <c r="H24">
        <f ca="1">IFERROR(IF(OFFSET(_xlfn.XLOOKUP(B24,Kuponger!E:E,Kuponger!Q:Q),1,64)="","",OFFSET(_xlfn.XLOOKUP(B24,Kuponger!E:E,Kuponger!Q:Q),1,64)),"")</f>
        <v>3</v>
      </c>
      <c r="I24" s="3">
        <f ca="1">IFERROR(t_utg[[#This Row],[tp]]-G23,"")</f>
        <v>340</v>
      </c>
      <c r="K24" s="4"/>
    </row>
    <row r="25" spans="1:20" x14ac:dyDescent="0.2">
      <c r="A25">
        <v>24</v>
      </c>
      <c r="B25" s="22">
        <f ca="1">Data!AL24</f>
        <v>46088</v>
      </c>
      <c r="C25">
        <f ca="1">IFERROR(IF(OFFSET(_xlfn.XLOOKUP(B25,Kuponger!E:E,Kuponger!Q:Q),15,63)=0,"",OFFSET(_xlfn.XLOOKUP(B25,Kuponger!E:E,Kuponger!Q:Q),15,63)),"")</f>
        <v>210</v>
      </c>
      <c r="D25">
        <f ca="1">IFERROR(IF(OFFSET(_xlfn.XLOOKUP(B25,Kuponger!E:E,Kuponger!Q:Q),15,64)=0,"",OFFSET(_xlfn.XLOOKUP(B25,Kuponger!E:E,Kuponger!Q:Q),15,64)),"")</f>
        <v>30</v>
      </c>
      <c r="E25">
        <f ca="1">IFERROR(IF(OFFSET(_xlfn.XLOOKUP(B25,Kuponger!E:E,Kuponger!Q:Q),15,65)=0,"",OFFSET(_xlfn.XLOOKUP(B25,Kuponger!E:E,Kuponger!Q:Q),15,65)),"")</f>
        <v>240</v>
      </c>
      <c r="F25" t="str">
        <f ca="1">IFERROR(IF(OFFSET(_xlfn.XLOOKUP(B25,Kuponger!E:E,Kuponger!Q:Q),1,65)=0,"",OFFSET(_xlfn.XLOOKUP(B25,Kuponger!E:E,Kuponger!Q:Q),1,65))*-1,"")</f>
        <v/>
      </c>
      <c r="G25">
        <f t="shared" ca="1" si="0"/>
        <v>480</v>
      </c>
      <c r="H25">
        <f ca="1">IFERROR(IF(OFFSET(_xlfn.XLOOKUP(B25,Kuponger!E:E,Kuponger!Q:Q),1,64)="","",OFFSET(_xlfn.XLOOKUP(B25,Kuponger!E:E,Kuponger!Q:Q),1,64)),"")</f>
        <v>4</v>
      </c>
      <c r="I25" s="3">
        <f ca="1">IFERROR(t_utg[[#This Row],[tp]]-G24,"")</f>
        <v>-180</v>
      </c>
      <c r="K25" s="2" t="s">
        <v>855</v>
      </c>
      <c r="L25" s="2">
        <f>L19</f>
        <v>80</v>
      </c>
      <c r="M25" s="2">
        <f t="shared" ref="M25:S25" si="13">M19</f>
        <v>70</v>
      </c>
      <c r="N25" s="2">
        <f t="shared" si="13"/>
        <v>60</v>
      </c>
      <c r="O25" s="2">
        <f t="shared" si="13"/>
        <v>50</v>
      </c>
      <c r="P25" s="2">
        <f t="shared" si="13"/>
        <v>40</v>
      </c>
      <c r="Q25" s="2">
        <f t="shared" si="13"/>
        <v>30</v>
      </c>
      <c r="R25" s="2">
        <f t="shared" si="13"/>
        <v>20</v>
      </c>
      <c r="S25" s="2">
        <f t="shared" si="13"/>
        <v>10</v>
      </c>
    </row>
    <row r="26" spans="1:20" x14ac:dyDescent="0.2">
      <c r="A26">
        <v>25</v>
      </c>
      <c r="B26" s="22">
        <f ca="1">Data!AL25</f>
        <v>46095</v>
      </c>
      <c r="C26">
        <f ca="1">IFERROR(IF(OFFSET(_xlfn.XLOOKUP(B26,Kuponger!E:E,Kuponger!Q:Q),15,63)=0,"",OFFSET(_xlfn.XLOOKUP(B26,Kuponger!E:E,Kuponger!Q:Q),15,63)),"")</f>
        <v>250</v>
      </c>
      <c r="D26">
        <f ca="1">IFERROR(IF(OFFSET(_xlfn.XLOOKUP(B26,Kuponger!E:E,Kuponger!Q:Q),15,64)=0,"",OFFSET(_xlfn.XLOOKUP(B26,Kuponger!E:E,Kuponger!Q:Q),15,64)),"")</f>
        <v>70</v>
      </c>
      <c r="E26">
        <f ca="1">IFERROR(IF(OFFSET(_xlfn.XLOOKUP(B26,Kuponger!E:E,Kuponger!Q:Q),15,65)=0,"",OFFSET(_xlfn.XLOOKUP(B26,Kuponger!E:E,Kuponger!Q:Q),15,65)),"")</f>
        <v>60</v>
      </c>
      <c r="F26" t="str">
        <f ca="1">IFERROR(IF(OFFSET(_xlfn.XLOOKUP(B26,Kuponger!E:E,Kuponger!Q:Q),1,65)=0,"",OFFSET(_xlfn.XLOOKUP(B26,Kuponger!E:E,Kuponger!Q:Q),1,65))*-1,"")</f>
        <v/>
      </c>
      <c r="G26">
        <f t="shared" ca="1" si="0"/>
        <v>380</v>
      </c>
      <c r="H26">
        <f ca="1">IFERROR(IF(OFFSET(_xlfn.XLOOKUP(B26,Kuponger!E:E,Kuponger!Q:Q),1,64)="","",OFFSET(_xlfn.XLOOKUP(B26,Kuponger!E:E,Kuponger!Q:Q),1,64)),"")</f>
        <v>5</v>
      </c>
      <c r="I26" s="3">
        <f ca="1">IFERROR(t_utg[[#This Row],[tp]]-G25,"")</f>
        <v>-100</v>
      </c>
      <c r="K26" s="801" t="str">
        <f>K8</f>
        <v>Hjemme</v>
      </c>
      <c r="L26">
        <f>L$14*L$25</f>
        <v>1520</v>
      </c>
      <c r="M26">
        <f t="shared" ref="M26:S26" si="14">M$14*M$25</f>
        <v>2310</v>
      </c>
      <c r="N26">
        <f t="shared" si="14"/>
        <v>2160</v>
      </c>
      <c r="O26">
        <f t="shared" si="14"/>
        <v>1100</v>
      </c>
      <c r="P26">
        <f t="shared" si="14"/>
        <v>880</v>
      </c>
      <c r="Q26">
        <f t="shared" si="14"/>
        <v>930</v>
      </c>
      <c r="R26">
        <f t="shared" si="14"/>
        <v>800</v>
      </c>
      <c r="S26">
        <f t="shared" si="14"/>
        <v>50</v>
      </c>
      <c r="T26">
        <f>SUM(L$26:S$26)</f>
        <v>9750</v>
      </c>
    </row>
    <row r="27" spans="1:20" x14ac:dyDescent="0.2">
      <c r="A27">
        <v>26</v>
      </c>
      <c r="B27" s="22">
        <f ca="1">Data!AL26</f>
        <v>46102</v>
      </c>
      <c r="C27">
        <f ca="1">IFERROR(IF(OFFSET(_xlfn.XLOOKUP(B27,Kuponger!E:E,Kuponger!Q:Q),15,63)=0,"",OFFSET(_xlfn.XLOOKUP(B27,Kuponger!E:E,Kuponger!Q:Q),15,63)),"")</f>
        <v>300</v>
      </c>
      <c r="D27">
        <f ca="1">IFERROR(IF(OFFSET(_xlfn.XLOOKUP(B27,Kuponger!E:E,Kuponger!Q:Q),15,64)=0,"",OFFSET(_xlfn.XLOOKUP(B27,Kuponger!E:E,Kuponger!Q:Q),15,64)),"")</f>
        <v>50</v>
      </c>
      <c r="E27">
        <f ca="1">IFERROR(IF(OFFSET(_xlfn.XLOOKUP(B27,Kuponger!E:E,Kuponger!Q:Q),15,65)=0,"",OFFSET(_xlfn.XLOOKUP(B27,Kuponger!E:E,Kuponger!Q:Q),15,65)),"")</f>
        <v>130</v>
      </c>
      <c r="F27" t="str">
        <f ca="1">IFERROR(IF(OFFSET(_xlfn.XLOOKUP(B27,Kuponger!E:E,Kuponger!Q:Q),1,65)=0,"",OFFSET(_xlfn.XLOOKUP(B27,Kuponger!E:E,Kuponger!Q:Q),1,65))*-1,"")</f>
        <v/>
      </c>
      <c r="G27">
        <f t="shared" ca="1" si="0"/>
        <v>480</v>
      </c>
      <c r="H27">
        <f ca="1">IFERROR(IF(OFFSET(_xlfn.XLOOKUP(B27,Kuponger!E:E,Kuponger!Q:Q),1,64)="","",OFFSET(_xlfn.XLOOKUP(B27,Kuponger!E:E,Kuponger!Q:Q),1,64)),"")</f>
        <v>4</v>
      </c>
      <c r="I27" s="3">
        <f ca="1">IFERROR(t_utg[[#This Row],[tp]]-G26,"")</f>
        <v>100</v>
      </c>
      <c r="K27" s="801" t="str">
        <f>K9</f>
        <v>Uavgjort</v>
      </c>
      <c r="L27">
        <f>L$25*L$15</f>
        <v>240</v>
      </c>
      <c r="M27">
        <f t="shared" ref="M27:S27" si="15">M$25*M$15</f>
        <v>210</v>
      </c>
      <c r="N27">
        <f t="shared" si="15"/>
        <v>120</v>
      </c>
      <c r="O27">
        <f t="shared" si="15"/>
        <v>250</v>
      </c>
      <c r="P27">
        <f t="shared" si="15"/>
        <v>280</v>
      </c>
      <c r="Q27">
        <f t="shared" si="15"/>
        <v>1110</v>
      </c>
      <c r="R27">
        <f t="shared" si="15"/>
        <v>2420</v>
      </c>
      <c r="S27">
        <f t="shared" si="15"/>
        <v>1470</v>
      </c>
      <c r="T27">
        <f>SUM(L$27:S$27)</f>
        <v>6100</v>
      </c>
    </row>
    <row r="28" spans="1:20" x14ac:dyDescent="0.2">
      <c r="A28">
        <v>27</v>
      </c>
      <c r="B28" s="22">
        <f ca="1">Data!AL27</f>
        <v>46109</v>
      </c>
      <c r="C28">
        <f ca="1">IFERROR(IF(OFFSET(_xlfn.XLOOKUP(B28,Kuponger!E:E,Kuponger!Q:Q),15,63)=0,"",OFFSET(_xlfn.XLOOKUP(B28,Kuponger!E:E,Kuponger!Q:Q),15,63)),"")</f>
        <v>430</v>
      </c>
      <c r="D28">
        <f ca="1">IFERROR(IF(OFFSET(_xlfn.XLOOKUP(B28,Kuponger!E:E,Kuponger!Q:Q),15,64)=0,"",OFFSET(_xlfn.XLOOKUP(B28,Kuponger!E:E,Kuponger!Q:Q),15,64)),"")</f>
        <v>50</v>
      </c>
      <c r="E28" t="str">
        <f ca="1">IFERROR(IF(OFFSET(_xlfn.XLOOKUP(B28,Kuponger!E:E,Kuponger!Q:Q),15,65)=0,"",OFFSET(_xlfn.XLOOKUP(B28,Kuponger!E:E,Kuponger!Q:Q),15,65)),"")</f>
        <v/>
      </c>
      <c r="F28" t="str">
        <f ca="1">IFERROR(IF(OFFSET(_xlfn.XLOOKUP(B28,Kuponger!E:E,Kuponger!Q:Q),1,65)=0,"",OFFSET(_xlfn.XLOOKUP(B28,Kuponger!E:E,Kuponger!Q:Q),1,65))*-1,"")</f>
        <v/>
      </c>
      <c r="G28">
        <f t="shared" ca="1" si="0"/>
        <v>480</v>
      </c>
      <c r="H28">
        <f ca="1">IFERROR(IF(OFFSET(_xlfn.XLOOKUP(B28,Kuponger!E:E,Kuponger!Q:Q),1,64)="","",OFFSET(_xlfn.XLOOKUP(B28,Kuponger!E:E,Kuponger!Q:Q),1,64)),"")</f>
        <v>5</v>
      </c>
      <c r="I28" s="3">
        <f ca="1">IFERROR(t_utg[[#This Row],[tp]]-G27,"")</f>
        <v>0</v>
      </c>
      <c r="K28" s="801" t="str">
        <f>K10</f>
        <v>Borte</v>
      </c>
      <c r="L28">
        <f>L$25*L$16</f>
        <v>0</v>
      </c>
      <c r="M28">
        <f t="shared" ref="M28:S28" si="16">M$25*M$16</f>
        <v>1050</v>
      </c>
      <c r="N28">
        <f t="shared" si="16"/>
        <v>1320</v>
      </c>
      <c r="O28">
        <f t="shared" si="16"/>
        <v>950</v>
      </c>
      <c r="P28">
        <f t="shared" si="16"/>
        <v>880</v>
      </c>
      <c r="Q28">
        <f t="shared" si="16"/>
        <v>1110</v>
      </c>
      <c r="R28">
        <f t="shared" si="16"/>
        <v>1500</v>
      </c>
      <c r="S28">
        <f t="shared" si="16"/>
        <v>830</v>
      </c>
      <c r="T28">
        <f>SUM(L$28:S$28)</f>
        <v>7640</v>
      </c>
    </row>
    <row r="29" spans="1:20" x14ac:dyDescent="0.2">
      <c r="A29">
        <v>28</v>
      </c>
      <c r="B29" s="22">
        <f ca="1">Data!AL28</f>
        <v>46123</v>
      </c>
      <c r="C29">
        <f ca="1">IFERROR(IF(OFFSET(_xlfn.XLOOKUP(B29,Kuponger!E:E,Kuponger!Q:Q),15,63)=0,"",OFFSET(_xlfn.XLOOKUP(B29,Kuponger!E:E,Kuponger!Q:Q),15,63)),"")</f>
        <v>370</v>
      </c>
      <c r="D29">
        <f ca="1">IFERROR(IF(OFFSET(_xlfn.XLOOKUP(B29,Kuponger!E:E,Kuponger!Q:Q),15,64)=0,"",OFFSET(_xlfn.XLOOKUP(B29,Kuponger!E:E,Kuponger!Q:Q),15,64)),"")</f>
        <v>40</v>
      </c>
      <c r="E29">
        <f ca="1">IFERROR(IF(OFFSET(_xlfn.XLOOKUP(B29,Kuponger!E:E,Kuponger!Q:Q),15,65)=0,"",OFFSET(_xlfn.XLOOKUP(B29,Kuponger!E:E,Kuponger!Q:Q),15,65)),"")</f>
        <v>120</v>
      </c>
      <c r="F29" t="str">
        <f ca="1">IFERROR(IF(OFFSET(_xlfn.XLOOKUP(B29,Kuponger!E:E,Kuponger!Q:Q),1,65)=0,"",OFFSET(_xlfn.XLOOKUP(B29,Kuponger!E:E,Kuponger!Q:Q),1,65))*-1,"")</f>
        <v/>
      </c>
      <c r="G29">
        <f t="shared" ca="1" si="0"/>
        <v>530</v>
      </c>
      <c r="H29">
        <f ca="1">IFERROR(IF(OFFSET(_xlfn.XLOOKUP(B29,Kuponger!E:E,Kuponger!Q:Q),1,64)="","",OFFSET(_xlfn.XLOOKUP(B29,Kuponger!E:E,Kuponger!Q:Q),1,64)),"")</f>
        <v>3</v>
      </c>
      <c r="I29" s="3">
        <f ca="1">IFERROR(t_utg[[#This Row],[tp]]-G28,"")</f>
        <v>50</v>
      </c>
      <c r="K29" s="801" t="str">
        <f>K25</f>
        <v>Misset poeng</v>
      </c>
      <c r="L29">
        <f>SUM(L26:L28)</f>
        <v>1760</v>
      </c>
      <c r="M29">
        <f t="shared" ref="M29:S29" si="17">SUM(M26:M28)</f>
        <v>3570</v>
      </c>
      <c r="N29">
        <f t="shared" si="17"/>
        <v>3600</v>
      </c>
      <c r="O29">
        <f t="shared" si="17"/>
        <v>2300</v>
      </c>
      <c r="P29">
        <f t="shared" si="17"/>
        <v>2040</v>
      </c>
      <c r="Q29">
        <f t="shared" si="17"/>
        <v>3150</v>
      </c>
      <c r="R29">
        <f t="shared" si="17"/>
        <v>4720</v>
      </c>
      <c r="S29">
        <f t="shared" si="17"/>
        <v>2350</v>
      </c>
      <c r="T29">
        <f>SUM(L$29:S$29)</f>
        <v>23490</v>
      </c>
    </row>
    <row r="30" spans="1:20" x14ac:dyDescent="0.2">
      <c r="A30">
        <v>29</v>
      </c>
      <c r="B30" s="22">
        <f ca="1">Data!AL29</f>
        <v>46130</v>
      </c>
      <c r="C30">
        <f ca="1">IFERROR(IF(OFFSET(_xlfn.XLOOKUP(B30,Kuponger!E:E,Kuponger!Q:Q),15,63)=0,"",OFFSET(_xlfn.XLOOKUP(B30,Kuponger!E:E,Kuponger!Q:Q),15,63)),"")</f>
        <v>210</v>
      </c>
      <c r="D30">
        <f ca="1">IFERROR(IF(OFFSET(_xlfn.XLOOKUP(B30,Kuponger!E:E,Kuponger!Q:Q),15,64)=0,"",OFFSET(_xlfn.XLOOKUP(B30,Kuponger!E:E,Kuponger!Q:Q),15,64)),"")</f>
        <v>40</v>
      </c>
      <c r="E30">
        <f ca="1">IFERROR(IF(OFFSET(_xlfn.XLOOKUP(B30,Kuponger!E:E,Kuponger!Q:Q),15,65)=0,"",OFFSET(_xlfn.XLOOKUP(B30,Kuponger!E:E,Kuponger!Q:Q),15,65)),"")</f>
        <v>170</v>
      </c>
      <c r="F30" t="str">
        <f ca="1">IFERROR(IF(OFFSET(_xlfn.XLOOKUP(B30,Kuponger!E:E,Kuponger!Q:Q),1,65)=0,"",OFFSET(_xlfn.XLOOKUP(B30,Kuponger!E:E,Kuponger!Q:Q),1,65))*-1,"")</f>
        <v/>
      </c>
      <c r="G30">
        <f t="shared" ca="1" si="0"/>
        <v>420</v>
      </c>
      <c r="H30">
        <f ca="1">IFERROR(IF(OFFSET(_xlfn.XLOOKUP(B30,Kuponger!E:E,Kuponger!Q:Q),1,64)="","",OFFSET(_xlfn.XLOOKUP(B30,Kuponger!E:E,Kuponger!Q:Q),1,64)),"")</f>
        <v>4</v>
      </c>
      <c r="I30" s="3">
        <f ca="1">IFERROR(t_utg[[#This Row],[tp]]-G29,"")</f>
        <v>-110</v>
      </c>
    </row>
    <row r="31" spans="1:20" x14ac:dyDescent="0.2">
      <c r="A31">
        <v>30</v>
      </c>
      <c r="B31" s="22">
        <f ca="1">Data!AL30</f>
        <v>46137</v>
      </c>
      <c r="C31">
        <f ca="1">IFERROR(IF(OFFSET(_xlfn.XLOOKUP(B31,Kuponger!E:E,Kuponger!Q:Q),15,63)=0,"",OFFSET(_xlfn.XLOOKUP(B31,Kuponger!E:E,Kuponger!Q:Q),15,63)),"")</f>
        <v>320</v>
      </c>
      <c r="D31">
        <f ca="1">IFERROR(IF(OFFSET(_xlfn.XLOOKUP(B31,Kuponger!E:E,Kuponger!Q:Q),15,64)=0,"",OFFSET(_xlfn.XLOOKUP(B31,Kuponger!E:E,Kuponger!Q:Q),15,64)),"")</f>
        <v>40</v>
      </c>
      <c r="E31">
        <f ca="1">IFERROR(IF(OFFSET(_xlfn.XLOOKUP(B31,Kuponger!E:E,Kuponger!Q:Q),15,65)=0,"",OFFSET(_xlfn.XLOOKUP(B31,Kuponger!E:E,Kuponger!Q:Q),15,65)),"")</f>
        <v>220</v>
      </c>
      <c r="F31" t="str">
        <f ca="1">IFERROR(IF(OFFSET(_xlfn.XLOOKUP(B31,Kuponger!E:E,Kuponger!Q:Q),1,65)=0,"",OFFSET(_xlfn.XLOOKUP(B31,Kuponger!E:E,Kuponger!Q:Q),1,65))*-1,"")</f>
        <v/>
      </c>
      <c r="G31">
        <f t="shared" ca="1" si="0"/>
        <v>580</v>
      </c>
      <c r="H31">
        <f ca="1">IFERROR(IF(OFFSET(_xlfn.XLOOKUP(B31,Kuponger!E:E,Kuponger!Q:Q),1,64)="","",OFFSET(_xlfn.XLOOKUP(B31,Kuponger!E:E,Kuponger!Q:Q),1,64)),"")</f>
        <v>5</v>
      </c>
      <c r="I31" s="3">
        <f ca="1">IFERROR(t_utg[[#This Row],[tp]]-G30,"")</f>
        <v>160</v>
      </c>
      <c r="K31" t="s">
        <v>856</v>
      </c>
    </row>
    <row r="32" spans="1:20" x14ac:dyDescent="0.2">
      <c r="A32">
        <v>31</v>
      </c>
      <c r="B32" s="22">
        <f ca="1">Data!AL31</f>
        <v>46144</v>
      </c>
      <c r="C32">
        <f ca="1">IFERROR(IF(OFFSET(_xlfn.XLOOKUP(B32,Kuponger!E:E,Kuponger!Q:Q),15,63)=0,"",OFFSET(_xlfn.XLOOKUP(B32,Kuponger!E:E,Kuponger!Q:Q),15,63)),"")</f>
        <v>300</v>
      </c>
      <c r="D32">
        <f ca="1">IFERROR(IF(OFFSET(_xlfn.XLOOKUP(B32,Kuponger!E:E,Kuponger!Q:Q),15,64)=0,"",OFFSET(_xlfn.XLOOKUP(B32,Kuponger!E:E,Kuponger!Q:Q),15,64)),"")</f>
        <v>30</v>
      </c>
      <c r="E32">
        <f ca="1">IFERROR(IF(OFFSET(_xlfn.XLOOKUP(B32,Kuponger!E:E,Kuponger!Q:Q),15,65)=0,"",OFFSET(_xlfn.XLOOKUP(B32,Kuponger!E:E,Kuponger!Q:Q),15,65)),"")</f>
        <v>160</v>
      </c>
      <c r="F32" t="str">
        <f ca="1">IFERROR(IF(OFFSET(_xlfn.XLOOKUP(B32,Kuponger!E:E,Kuponger!Q:Q),1,65)=0,"",OFFSET(_xlfn.XLOOKUP(B32,Kuponger!E:E,Kuponger!Q:Q),1,65))*-1,"")</f>
        <v/>
      </c>
      <c r="G32">
        <f t="shared" ca="1" si="0"/>
        <v>490</v>
      </c>
      <c r="H32">
        <f ca="1">IFERROR(IF(OFFSET(_xlfn.XLOOKUP(B32,Kuponger!E:E,Kuponger!Q:Q),1,64)="","",OFFSET(_xlfn.XLOOKUP(B32,Kuponger!E:E,Kuponger!Q:Q),1,64)),"")</f>
        <v>4</v>
      </c>
      <c r="I32" s="3">
        <f ca="1">IFERROR(t_utg[[#This Row],[tp]]-G31,"")</f>
        <v>-90</v>
      </c>
      <c r="K32">
        <f>SUM(Kuponger!CI:CI)</f>
        <v>209</v>
      </c>
    </row>
    <row r="33" spans="1:14" x14ac:dyDescent="0.2">
      <c r="A33">
        <v>32</v>
      </c>
      <c r="B33" s="22">
        <f ca="1">Data!AL32</f>
        <v>46151</v>
      </c>
      <c r="C33">
        <f ca="1">IFERROR(IF(OFFSET(_xlfn.XLOOKUP(B33,Kuponger!E:E,Kuponger!Q:Q),15,63)=0,"",OFFSET(_xlfn.XLOOKUP(B33,Kuponger!E:E,Kuponger!Q:Q),15,63)),"")</f>
        <v>220</v>
      </c>
      <c r="D33">
        <f ca="1">IFERROR(IF(OFFSET(_xlfn.XLOOKUP(B33,Kuponger!E:E,Kuponger!Q:Q),15,64)=0,"",OFFSET(_xlfn.XLOOKUP(B33,Kuponger!E:E,Kuponger!Q:Q),15,64)),"")</f>
        <v>40</v>
      </c>
      <c r="E33">
        <f ca="1">IFERROR(IF(OFFSET(_xlfn.XLOOKUP(B33,Kuponger!E:E,Kuponger!Q:Q),15,65)=0,"",OFFSET(_xlfn.XLOOKUP(B33,Kuponger!E:E,Kuponger!Q:Q),15,65)),"")</f>
        <v>300</v>
      </c>
      <c r="F33" t="str">
        <f ca="1">IFERROR(IF(OFFSET(_xlfn.XLOOKUP(B33,Kuponger!E:E,Kuponger!Q:Q),1,65)=0,"",OFFSET(_xlfn.XLOOKUP(B33,Kuponger!E:E,Kuponger!Q:Q),1,65))*-1,"")</f>
        <v/>
      </c>
      <c r="G33">
        <f t="shared" ca="1" si="0"/>
        <v>560</v>
      </c>
      <c r="H33">
        <f ca="1">IFERROR(IF(OFFSET(_xlfn.XLOOKUP(B33,Kuponger!E:E,Kuponger!Q:Q),1,64)="","",OFFSET(_xlfn.XLOOKUP(B33,Kuponger!E:E,Kuponger!Q:Q),1,64)),"")</f>
        <v>5</v>
      </c>
      <c r="I33" s="3">
        <f ca="1">IFERROR(t_utg[[#This Row],[tp]]-G32,"")</f>
        <v>70</v>
      </c>
    </row>
    <row r="34" spans="1:14" x14ac:dyDescent="0.2">
      <c r="A34">
        <v>33</v>
      </c>
      <c r="B34" s="22" t="str">
        <f ca="1">Data!AL33</f>
        <v/>
      </c>
      <c r="C34" t="str">
        <f ca="1">IFERROR(IF(OFFSET(_xlfn.XLOOKUP(B34,Kuponger!E:E,Kuponger!Q:Q),15,63)=0,"",OFFSET(_xlfn.XLOOKUP(B34,Kuponger!E:E,Kuponger!Q:Q),15,63)),"")</f>
        <v/>
      </c>
      <c r="D34" t="str">
        <f ca="1">IFERROR(IF(OFFSET(_xlfn.XLOOKUP(B34,Kuponger!E:E,Kuponger!Q:Q),15,64)=0,"",OFFSET(_xlfn.XLOOKUP(B34,Kuponger!E:E,Kuponger!Q:Q),15,64)),"")</f>
        <v/>
      </c>
      <c r="E34" t="str">
        <f ca="1">IFERROR(IF(OFFSET(_xlfn.XLOOKUP(B34,Kuponger!E:E,Kuponger!Q:Q),15,65)=0,"",OFFSET(_xlfn.XLOOKUP(B34,Kuponger!E:E,Kuponger!Q:Q),15,65)),"")</f>
        <v/>
      </c>
      <c r="F34" t="str">
        <f ca="1">IFERROR(IF(OFFSET(_xlfn.XLOOKUP(B34,Kuponger!E:E,Kuponger!Q:Q),1,65)=0,"",OFFSET(_xlfn.XLOOKUP(B34,Kuponger!E:E,Kuponger!Q:Q),1,65))*-1,"")</f>
        <v/>
      </c>
      <c r="G34" t="str">
        <f t="shared" ca="1" si="0"/>
        <v/>
      </c>
      <c r="H34" t="str">
        <f ca="1">IFERROR(IF(OFFSET(_xlfn.XLOOKUP(B34,Kuponger!E:E,Kuponger!Q:Q),1,64)="","",OFFSET(_xlfn.XLOOKUP(B34,Kuponger!E:E,Kuponger!Q:Q),1,64)),"")</f>
        <v/>
      </c>
      <c r="I34" s="3" t="str">
        <f ca="1">IFERROR(t_utg[[#This Row],[tp]]-G33,"")</f>
        <v/>
      </c>
    </row>
    <row r="35" spans="1:14" x14ac:dyDescent="0.2">
      <c r="A35">
        <v>34</v>
      </c>
      <c r="B35" s="22" t="str">
        <f ca="1">Data!AL34</f>
        <v/>
      </c>
      <c r="C35" t="str">
        <f ca="1">IFERROR(IF(OFFSET(_xlfn.XLOOKUP(B35,Kuponger!E:E,Kuponger!Q:Q),15,63)=0,"",OFFSET(_xlfn.XLOOKUP(B35,Kuponger!E:E,Kuponger!Q:Q),15,63)),"")</f>
        <v/>
      </c>
      <c r="D35" t="str">
        <f ca="1">IFERROR(IF(OFFSET(_xlfn.XLOOKUP(B35,Kuponger!E:E,Kuponger!Q:Q),15,64)=0,"",OFFSET(_xlfn.XLOOKUP(B35,Kuponger!E:E,Kuponger!Q:Q),15,64)),"")</f>
        <v/>
      </c>
      <c r="E35" t="str">
        <f ca="1">IFERROR(IF(OFFSET(_xlfn.XLOOKUP(B35,Kuponger!E:E,Kuponger!Q:Q),15,65)=0,"",OFFSET(_xlfn.XLOOKUP(B35,Kuponger!E:E,Kuponger!Q:Q),15,65)),"")</f>
        <v/>
      </c>
      <c r="F35" t="str">
        <f ca="1">IFERROR(IF(OFFSET(_xlfn.XLOOKUP(B35,Kuponger!E:E,Kuponger!Q:Q),1,65)=0,"",OFFSET(_xlfn.XLOOKUP(B35,Kuponger!E:E,Kuponger!Q:Q),1,65))*-1,"")</f>
        <v/>
      </c>
      <c r="G35" t="str">
        <f t="shared" ca="1" si="0"/>
        <v/>
      </c>
      <c r="H35" t="str">
        <f ca="1">IFERROR(IF(OFFSET(_xlfn.XLOOKUP(B35,Kuponger!E:E,Kuponger!Q:Q),1,64)="","",OFFSET(_xlfn.XLOOKUP(B35,Kuponger!E:E,Kuponger!Q:Q),1,64)),"")</f>
        <v/>
      </c>
      <c r="I35" s="3" t="str">
        <f ca="1">IFERROR(t_utg[[#This Row],[tp]]-G34,"")</f>
        <v/>
      </c>
      <c r="K35" s="2" t="s">
        <v>26</v>
      </c>
    </row>
    <row r="36" spans="1:14" x14ac:dyDescent="0.2">
      <c r="A36">
        <v>35</v>
      </c>
      <c r="B36" s="22" t="str">
        <f ca="1">Data!AL35</f>
        <v/>
      </c>
      <c r="C36" t="str">
        <f ca="1">IFERROR(IF(OFFSET(_xlfn.XLOOKUP(B36,Kuponger!E:E,Kuponger!Q:Q),15,63)=0,"",OFFSET(_xlfn.XLOOKUP(B36,Kuponger!E:E,Kuponger!Q:Q),15,63)),"")</f>
        <v/>
      </c>
      <c r="D36" t="str">
        <f ca="1">IFERROR(IF(OFFSET(_xlfn.XLOOKUP(B36,Kuponger!E:E,Kuponger!Q:Q),15,64)=0,"",OFFSET(_xlfn.XLOOKUP(B36,Kuponger!E:E,Kuponger!Q:Q),15,64)),"")</f>
        <v/>
      </c>
      <c r="E36" t="str">
        <f ca="1">IFERROR(IF(OFFSET(_xlfn.XLOOKUP(B36,Kuponger!E:E,Kuponger!Q:Q),15,65)=0,"",OFFSET(_xlfn.XLOOKUP(B36,Kuponger!E:E,Kuponger!Q:Q),15,65)),"")</f>
        <v/>
      </c>
      <c r="F36" t="str">
        <f ca="1">IFERROR(IF(OFFSET(_xlfn.XLOOKUP(B36,Kuponger!E:E,Kuponger!Q:Q),1,65)=0,"",OFFSET(_xlfn.XLOOKUP(B36,Kuponger!E:E,Kuponger!Q:Q),1,65))*-1,"")</f>
        <v/>
      </c>
      <c r="G36" t="str">
        <f t="shared" ca="1" si="0"/>
        <v/>
      </c>
      <c r="H36" t="str">
        <f ca="1">IFERROR(IF(OFFSET(_xlfn.XLOOKUP(B36,Kuponger!E:E,Kuponger!Q:Q),1,64)="","",OFFSET(_xlfn.XLOOKUP(B36,Kuponger!E:E,Kuponger!Q:Q),1,64)),"")</f>
        <v/>
      </c>
      <c r="I36" s="3" t="str">
        <f ca="1">IFERROR(t_utg[[#This Row],[tp]]-G35,"")</f>
        <v/>
      </c>
      <c r="K36" s="4" t="s">
        <v>857</v>
      </c>
      <c r="L36" s="3">
        <v>80</v>
      </c>
      <c r="M36" s="3">
        <v>70</v>
      </c>
      <c r="N36" s="3">
        <v>60</v>
      </c>
    </row>
    <row r="37" spans="1:14" x14ac:dyDescent="0.2">
      <c r="A37">
        <v>36</v>
      </c>
      <c r="B37" s="22" t="str">
        <f ca="1">Data!AL36</f>
        <v/>
      </c>
      <c r="C37" t="str">
        <f ca="1">IFERROR(IF(OFFSET(_xlfn.XLOOKUP(B37,Kuponger!E:E,Kuponger!Q:Q),15,63)=0,"",OFFSET(_xlfn.XLOOKUP(B37,Kuponger!E:E,Kuponger!Q:Q),15,63)),"")</f>
        <v/>
      </c>
      <c r="D37" t="str">
        <f ca="1">IFERROR(IF(OFFSET(_xlfn.XLOOKUP(B37,Kuponger!E:E,Kuponger!Q:Q),15,64)=0,"",OFFSET(_xlfn.XLOOKUP(B37,Kuponger!E:E,Kuponger!Q:Q),15,64)),"")</f>
        <v/>
      </c>
      <c r="E37" t="str">
        <f ca="1">IFERROR(IF(OFFSET(_xlfn.XLOOKUP(B37,Kuponger!E:E,Kuponger!Q:Q),15,65)=0,"",OFFSET(_xlfn.XLOOKUP(B37,Kuponger!E:E,Kuponger!Q:Q),15,65)),"")</f>
        <v/>
      </c>
      <c r="F37" t="str">
        <f ca="1">IFERROR(IF(OFFSET(_xlfn.XLOOKUP(B37,Kuponger!E:E,Kuponger!Q:Q),1,65)=0,"",OFFSET(_xlfn.XLOOKUP(B37,Kuponger!E:E,Kuponger!Q:Q),1,65))*-1,"")</f>
        <v/>
      </c>
      <c r="G37" t="str">
        <f t="shared" ca="1" si="0"/>
        <v/>
      </c>
      <c r="H37" t="str">
        <f ca="1">IFERROR(IF(OFFSET(_xlfn.XLOOKUP(B37,Kuponger!E:E,Kuponger!Q:Q),1,64)="","",OFFSET(_xlfn.XLOOKUP(B37,Kuponger!E:E,Kuponger!Q:Q),1,64)),"")</f>
        <v/>
      </c>
      <c r="I37" s="3" t="str">
        <f ca="1">IFERROR(t_utg[[#This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IFERROR(IF(OFFSET(_xlfn.XLOOKUP(B38,Kuponger!E:E,Kuponger!Q:Q),15,63)=0,"",OFFSET(_xlfn.XLOOKUP(B38,Kuponger!E:E,Kuponger!Q:Q),15,63)),"")</f>
        <v/>
      </c>
      <c r="D38" t="str">
        <f ca="1">IFERROR(IF(OFFSET(_xlfn.XLOOKUP(B38,Kuponger!E:E,Kuponger!Q:Q),15,64)=0,"",OFFSET(_xlfn.XLOOKUP(B38,Kuponger!E:E,Kuponger!Q:Q),15,64)),"")</f>
        <v/>
      </c>
      <c r="E38" t="str">
        <f ca="1">IFERROR(IF(OFFSET(_xlfn.XLOOKUP(B38,Kuponger!E:E,Kuponger!Q:Q),15,65)=0,"",OFFSET(_xlfn.XLOOKUP(B38,Kuponger!E:E,Kuponger!Q:Q),15,65)),"")</f>
        <v/>
      </c>
      <c r="F38" t="str">
        <f ca="1">IFERROR(IF(OFFSET(_xlfn.XLOOKUP(B38,Kuponger!E:E,Kuponger!Q:Q),1,65)=0,"",OFFSET(_xlfn.XLOOKUP(B38,Kuponger!E:E,Kuponger!Q:Q),1,65))*-1,"")</f>
        <v/>
      </c>
      <c r="G38" t="str">
        <f t="shared" ca="1" si="0"/>
        <v/>
      </c>
      <c r="H38" t="str">
        <f ca="1">IFERROR(IF(OFFSET(_xlfn.XLOOKUP(B38,Kuponger!E:E,Kuponger!Q:Q),1,64)="","",OFFSET(_xlfn.XLOOKUP(B38,Kuponger!E:E,Kuponger!Q:Q),1,64)),"")</f>
        <v/>
      </c>
      <c r="I38" s="3" t="str">
        <f ca="1">IFERROR(t_utg[[#This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IFERROR(IF(OFFSET(_xlfn.XLOOKUP(B39,Kuponger!E:E,Kuponger!Q:Q),15,63)=0,"",OFFSET(_xlfn.XLOOKUP(B39,Kuponger!E:E,Kuponger!Q:Q),15,63)),"")</f>
        <v/>
      </c>
      <c r="D39" t="str">
        <f ca="1">IFERROR(IF(OFFSET(_xlfn.XLOOKUP(B39,Kuponger!E:E,Kuponger!Q:Q),15,64)=0,"",OFFSET(_xlfn.XLOOKUP(B39,Kuponger!E:E,Kuponger!Q:Q),15,64)),"")</f>
        <v/>
      </c>
      <c r="E39" t="str">
        <f ca="1">IFERROR(IF(OFFSET(_xlfn.XLOOKUP(B39,Kuponger!E:E,Kuponger!Q:Q),15,65)=0,"",OFFSET(_xlfn.XLOOKUP(B39,Kuponger!E:E,Kuponger!Q:Q),15,65)),"")</f>
        <v/>
      </c>
      <c r="F39" t="str">
        <f ca="1">IFERROR(IF(OFFSET(_xlfn.XLOOKUP(B39,Kuponger!E:E,Kuponger!Q:Q),1,65)=0,"",OFFSET(_xlfn.XLOOKUP(B39,Kuponger!E:E,Kuponger!Q:Q),1,65))*-1,"")</f>
        <v/>
      </c>
      <c r="G39" t="str">
        <f t="shared" ca="1" si="0"/>
        <v/>
      </c>
      <c r="H39" t="str">
        <f ca="1">IFERROR(IF(OFFSET(_xlfn.XLOOKUP(B39,Kuponger!E:E,Kuponger!Q:Q),1,64)="","",OFFSET(_xlfn.XLOOKUP(B39,Kuponger!E:E,Kuponger!Q:Q),1,64)),"")</f>
        <v/>
      </c>
      <c r="I39" s="3" t="str">
        <f ca="1">IFERROR(t_utg[[#This Row],[tp]]-G38,"")</f>
        <v/>
      </c>
      <c r="K39" s="4" t="s">
        <v>860</v>
      </c>
      <c r="L39" t="str">
        <f>_xlfn.XLOOKUP(LARGE(L$14:L$16,1),L$14:L$16,$K$14:$K$16)</f>
        <v>Hjemme</v>
      </c>
      <c r="M39" t="str">
        <f>_xlfn.XLOOKUP(LARGE(M$14:M$16,1),M$14:M$16,$K$14:$K$16)</f>
        <v>Hjemme</v>
      </c>
      <c r="N39" t="str">
        <f>_xlfn.XLOOKUP(LARGE(N$14:N$16,1),N$14:N$16,$K$14:$K$16)</f>
        <v>Hjemme</v>
      </c>
    </row>
    <row r="40" spans="1:14" x14ac:dyDescent="0.2">
      <c r="A40">
        <v>39</v>
      </c>
      <c r="B40" s="22" t="str">
        <f ca="1">Data!AL39</f>
        <v/>
      </c>
      <c r="C40" t="str">
        <f ca="1">IFERROR(IF(OFFSET(_xlfn.XLOOKUP(B40,Kuponger!E:E,Kuponger!Q:Q),15,63)=0,"",OFFSET(_xlfn.XLOOKUP(B40,Kuponger!E:E,Kuponger!Q:Q),15,63)),"")</f>
        <v/>
      </c>
      <c r="D40" t="str">
        <f ca="1">IFERROR(IF(OFFSET(_xlfn.XLOOKUP(B40,Kuponger!E:E,Kuponger!Q:Q),15,64)=0,"",OFFSET(_xlfn.XLOOKUP(B40,Kuponger!E:E,Kuponger!Q:Q),15,64)),"")</f>
        <v/>
      </c>
      <c r="E40" t="str">
        <f ca="1">IFERROR(IF(OFFSET(_xlfn.XLOOKUP(B40,Kuponger!E:E,Kuponger!Q:Q),15,65)=0,"",OFFSET(_xlfn.XLOOKUP(B40,Kuponger!E:E,Kuponger!Q:Q),15,65)),"")</f>
        <v/>
      </c>
      <c r="F40" t="str">
        <f ca="1">IFERROR(IF(OFFSET(_xlfn.XLOOKUP(B40,Kuponger!E:E,Kuponger!Q:Q),1,65)=0,"",OFFSET(_xlfn.XLOOKUP(B40,Kuponger!E:E,Kuponger!Q:Q),1,65))*-1,"")</f>
        <v/>
      </c>
      <c r="G40" t="str">
        <f t="shared" ca="1" si="0"/>
        <v/>
      </c>
      <c r="H40" t="str">
        <f ca="1">IFERROR(IF(OFFSET(_xlfn.XLOOKUP(B40,Kuponger!E:E,Kuponger!Q:Q),1,64)="","",OFFSET(_xlfn.XLOOKUP(B40,Kuponger!E:E,Kuponger!Q:Q),1,64)),"")</f>
        <v/>
      </c>
      <c r="I40" s="3" t="str">
        <f ca="1">IFERROR(t_utg[[#This Row],[tp]]-G39,"")</f>
        <v/>
      </c>
    </row>
    <row r="41" spans="1:14" x14ac:dyDescent="0.2">
      <c r="A41">
        <v>40</v>
      </c>
      <c r="B41" s="22" t="str">
        <f ca="1">Data!AL40</f>
        <v/>
      </c>
      <c r="C41" t="str">
        <f ca="1">IFERROR(IF(OFFSET(_xlfn.XLOOKUP(B41,Kuponger!E:E,Kuponger!Q:Q),15,63)=0,"",OFFSET(_xlfn.XLOOKUP(B41,Kuponger!E:E,Kuponger!Q:Q),15,63)),"")</f>
        <v/>
      </c>
      <c r="D41" t="str">
        <f ca="1">IFERROR(IF(OFFSET(_xlfn.XLOOKUP(B41,Kuponger!E:E,Kuponger!Q:Q),15,64)=0,"",OFFSET(_xlfn.XLOOKUP(B41,Kuponger!E:E,Kuponger!Q:Q),15,64)),"")</f>
        <v/>
      </c>
      <c r="E41" t="str">
        <f ca="1">IFERROR(IF(OFFSET(_xlfn.XLOOKUP(B41,Kuponger!E:E,Kuponger!Q:Q),15,65)=0,"",OFFSET(_xlfn.XLOOKUP(B41,Kuponger!E:E,Kuponger!Q:Q),15,65)),"")</f>
        <v/>
      </c>
      <c r="F41" t="str">
        <f ca="1">IFERROR(IF(OFFSET(_xlfn.XLOOKUP(B41,Kuponger!E:E,Kuponger!Q:Q),1,65)=0,"",OFFSET(_xlfn.XLOOKUP(B41,Kuponger!E:E,Kuponger!Q:Q),1,65))*-1,"")</f>
        <v/>
      </c>
      <c r="G41" t="str">
        <f t="shared" ca="1" si="0"/>
        <v/>
      </c>
      <c r="H41" t="str">
        <f ca="1">IFERROR(IF(OFFSET(_xlfn.XLOOKUP(B41,Kuponger!E:E,Kuponger!Q:Q),1,64)="","",OFFSET(_xlfn.XLOOKUP(B41,Kuponger!E:E,Kuponger!Q:Q),1,64)),"")</f>
        <v/>
      </c>
      <c r="I41" s="3" t="str">
        <f ca="1">IFERROR(t_utg[[#This Row],[tp]]-G40,"")</f>
        <v/>
      </c>
      <c r="K41" s="4" t="s">
        <v>861</v>
      </c>
      <c r="L41" s="811">
        <f ca="1">IFERROR(AVERAGE(H:H),"")</f>
        <v>4.09375</v>
      </c>
      <c r="N41" t="str">
        <f>K35&amp;" treffer på "&amp;TEXT((S11/S5)*100,"00,0")&amp;"% av sine 10-poengere, dvs. han bommer"</f>
        <v>UTG treffer på 20,1% av sine 10-poengere, dvs. han bommer</v>
      </c>
    </row>
    <row r="42" spans="1:14" x14ac:dyDescent="0.2">
      <c r="A42">
        <v>41</v>
      </c>
      <c r="B42" s="22" t="str">
        <f ca="1">Data!AL41</f>
        <v/>
      </c>
      <c r="C42" t="str">
        <f ca="1">IFERROR(IF(OFFSET(_xlfn.XLOOKUP(B42,Kuponger!E:E,Kuponger!Q:Q),15,63)=0,"",OFFSET(_xlfn.XLOOKUP(B42,Kuponger!E:E,Kuponger!Q:Q),15,63)),"")</f>
        <v/>
      </c>
      <c r="D42" t="str">
        <f ca="1">IFERROR(IF(OFFSET(_xlfn.XLOOKUP(B42,Kuponger!E:E,Kuponger!Q:Q),15,64)=0,"",OFFSET(_xlfn.XLOOKUP(B42,Kuponger!E:E,Kuponger!Q:Q),15,64)),"")</f>
        <v/>
      </c>
      <c r="E42" t="str">
        <f ca="1">IFERROR(IF(OFFSET(_xlfn.XLOOKUP(B42,Kuponger!E:E,Kuponger!Q:Q),15,65)=0,"",OFFSET(_xlfn.XLOOKUP(B42,Kuponger!E:E,Kuponger!Q:Q),15,65)),"")</f>
        <v/>
      </c>
      <c r="F42" t="str">
        <f ca="1">IFERROR(IF(OFFSET(_xlfn.XLOOKUP(B42,Kuponger!E:E,Kuponger!Q:Q),1,65)=0,"",OFFSET(_xlfn.XLOOKUP(B42,Kuponger!E:E,Kuponger!Q:Q),1,65))*-1,"")</f>
        <v/>
      </c>
      <c r="G42" t="str">
        <f t="shared" ca="1" si="0"/>
        <v/>
      </c>
      <c r="H42" t="str">
        <f ca="1">IFERROR(IF(OFFSET(_xlfn.XLOOKUP(B42,Kuponger!E:E,Kuponger!Q:Q),1,64)="","",OFFSET(_xlfn.XLOOKUP(B42,Kuponger!E:E,Kuponger!Q:Q),1,64)),"")</f>
        <v/>
      </c>
      <c r="I42" s="3" t="str">
        <f ca="1">IFERROR(t_utg[[#This Row],[tp]]-G41,"")</f>
        <v/>
      </c>
      <c r="K42" s="4" t="s">
        <v>862</v>
      </c>
      <c r="L42" s="811">
        <f ca="1">IFERROR(AVERAGE(C:C),"")</f>
        <v>329.0625</v>
      </c>
      <c r="N42" t="str">
        <f>K35&amp;" treffer på "&amp;TEXT((L11/L5)*100,"00,0")&amp;"% av sine 80-poengere"</f>
        <v>UTG treffer på 72,2% av sine 80-poengere</v>
      </c>
    </row>
    <row r="43" spans="1:14" x14ac:dyDescent="0.2">
      <c r="K43" s="4" t="s">
        <v>863</v>
      </c>
      <c r="L43" s="811">
        <f ca="1">IFERROR(AVERAGE(D:D),"")</f>
        <v>45.806451612903224</v>
      </c>
      <c r="N43" t="str">
        <f>K35&amp;" har tatt "&amp;T23&amp;" poeng så langt, men samtidig gått glipp av "&amp;T29&amp;" poeng, noe som gir en poengandel på "&amp;TEXT(L48,"0,0%")</f>
        <v>UTG har tatt 16620 poeng så langt, men samtidig gått glipp av 23490 poeng, noe som gir en poengandel på 70,8%</v>
      </c>
    </row>
    <row r="44" spans="1:14" x14ac:dyDescent="0.2">
      <c r="K44" s="4" t="s">
        <v>864</v>
      </c>
      <c r="L44" s="811">
        <f ca="1">IFERROR(AVERAGE(E:E),"")</f>
        <v>155.66666666666666</v>
      </c>
    </row>
    <row r="45" spans="1:14" x14ac:dyDescent="0.2">
      <c r="K45" s="4" t="s">
        <v>865</v>
      </c>
      <c r="L45" s="810">
        <f ca="1">IFERROR(COUNTIF(F:F,"&lt;0")/COUNTIF(C:C,"&gt;0"),"")</f>
        <v>0</v>
      </c>
    </row>
    <row r="46" spans="1:14" x14ac:dyDescent="0.2">
      <c r="K46" s="4" t="s">
        <v>866</v>
      </c>
      <c r="L46" s="811">
        <f ca="1">IFERROR(AVERAGE(G:G),"")</f>
        <v>519.375</v>
      </c>
    </row>
    <row r="48" spans="1:14" x14ac:dyDescent="0.2">
      <c r="K48" s="4" t="s">
        <v>868</v>
      </c>
      <c r="L48" s="812">
        <f>(T23/T29)</f>
        <v>0.70753512132822483</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06CD4-DB78-452E-A81F-59B05BAAA158}">
  <sheetPr codeName="Ark28"/>
  <dimension ref="A1:AA68"/>
  <sheetViews>
    <sheetView showGridLines="0" workbookViewId="0">
      <pane ySplit="1" topLeftCell="A37" activePane="bottomLeft" state="frozen"/>
      <selection activeCell="AO1" sqref="AO1"/>
      <selection pane="bottomLeft" activeCell="K49" sqref="K49"/>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11" max="11" width="15.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2">
        <v>70</v>
      </c>
      <c r="N1" s="2">
        <v>60</v>
      </c>
      <c r="O1" s="2">
        <v>50</v>
      </c>
      <c r="P1" s="2">
        <v>40</v>
      </c>
      <c r="Q1" s="2">
        <v>30</v>
      </c>
      <c r="R1" s="2">
        <v>20</v>
      </c>
      <c r="S1" s="2">
        <v>10</v>
      </c>
      <c r="T1" s="809" t="s">
        <v>839</v>
      </c>
      <c r="U1" s="23"/>
      <c r="W1" s="512"/>
      <c r="X1" s="512"/>
      <c r="Y1" s="512"/>
      <c r="Z1" s="512"/>
      <c r="AA1" s="512"/>
    </row>
    <row r="2" spans="1:27" ht="13.5" thickTop="1" x14ac:dyDescent="0.2">
      <c r="A2">
        <v>1</v>
      </c>
      <c r="B2" s="22">
        <f>Data!AL1</f>
        <v>45885</v>
      </c>
      <c r="C2">
        <f ca="1">IFERROR(IF(OFFSET(_xlfn.XLOOKUP(B2,Kuponger!E:E,Kuponger!Q:Q),15,72)=0,"",OFFSET(_xlfn.XLOOKUP(B2,Kuponger!E:E,Kuponger!Q:Q),15,72)),"")</f>
        <v>230</v>
      </c>
      <c r="D2">
        <f ca="1">IFERROR(IF(OFFSET(_xlfn.XLOOKUP(B2,Kuponger!E:E,Kuponger!Q:Q),15,73)=0,"",OFFSET(_xlfn.XLOOKUP(B2,Kuponger!E:E,Kuponger!Q:Q),15,73)),"")</f>
        <v>20</v>
      </c>
      <c r="E2">
        <f ca="1">IFERROR(IF(OFFSET(_xlfn.XLOOKUP(B2,Kuponger!E:E,Kuponger!Q:Q),15,74)=0,"",OFFSET(_xlfn.XLOOKUP(B2,Kuponger!E:E,Kuponger!Q:Q),15,74)),"")</f>
        <v>230</v>
      </c>
      <c r="F2" t="str">
        <f ca="1">IFERROR(IF(OFFSET(_xlfn.XLOOKUP(B2,Kuponger!E:E,Kuponger!Q:Q),1,74)=0,"",OFFSET(_xlfn.XLOOKUP(B2,Kuponger!E:E,Kuponger!Q:Q),1,74))*-1,"")</f>
        <v/>
      </c>
      <c r="G2">
        <f t="shared" ref="G2:G42" ca="1" si="0">IF(SUMIF(C2:F2,"&lt;&gt;""")=0,"",SUMIF(C2:F2,"&lt;&gt;"""))</f>
        <v>480</v>
      </c>
      <c r="H2">
        <f ca="1">IFERROR(IF(OFFSET(_xlfn.XLOOKUP(B2,Kuponger!E:E,Kuponger!Q:Q),1,73)="","",OFFSET(_xlfn.XLOOKUP(B2,Kuponger!E:E,Kuponger!Q:Q),1,73)),"")</f>
        <v>5</v>
      </c>
      <c r="I2" t="str">
        <f ca="1">IFERROR(t_lev[[#This Row],[tp]]-G1,"")</f>
        <v/>
      </c>
      <c r="K2" s="801" t="s">
        <v>36</v>
      </c>
      <c r="L2">
        <f>COUNTIF(Kuponger!$CK:$CK,f_lev!L$1)</f>
        <v>102</v>
      </c>
      <c r="M2">
        <f>COUNTIF(Kuponger!$CK:$CK,f_lev!M$1)</f>
        <v>22</v>
      </c>
      <c r="N2">
        <f>COUNTIF(Kuponger!$CK:$CK,f_lev!N$1)</f>
        <v>52</v>
      </c>
      <c r="O2">
        <f>COUNTIF(Kuponger!$CK:$CK,f_lev!O$1)</f>
        <v>34</v>
      </c>
      <c r="P2">
        <f>COUNTIF(Kuponger!$CK:$CK,f_lev!P$1)</f>
        <v>26</v>
      </c>
      <c r="Q2">
        <f>COUNTIF(Kuponger!$CK:$CK,f_lev!Q$1)</f>
        <v>42</v>
      </c>
      <c r="R2">
        <f>COUNTIF(Kuponger!$CK:$CK,f_lev!R$1)</f>
        <v>45</v>
      </c>
      <c r="S2">
        <f>COUNTIF(Kuponger!$CK:$CK,f_lev!S$1)</f>
        <v>61</v>
      </c>
      <c r="T2">
        <f>SUM(L$2:S$2)</f>
        <v>384</v>
      </c>
      <c r="W2" s="3"/>
      <c r="X2" s="3"/>
      <c r="Y2" s="3"/>
      <c r="Z2" s="3"/>
      <c r="AA2" s="3"/>
    </row>
    <row r="3" spans="1:27" x14ac:dyDescent="0.2">
      <c r="A3">
        <v>2</v>
      </c>
      <c r="B3" s="22">
        <f ca="1">Data!AL2</f>
        <v>45892</v>
      </c>
      <c r="C3">
        <f ca="1">IFERROR(IF(OFFSET(_xlfn.XLOOKUP(B3,Kuponger!E:E,Kuponger!Q:Q),15,72)=0,"",OFFSET(_xlfn.XLOOKUP(B3,Kuponger!E:E,Kuponger!Q:Q),15,72)),"")</f>
        <v>370</v>
      </c>
      <c r="D3">
        <f ca="1">IFERROR(IF(OFFSET(_xlfn.XLOOKUP(B3,Kuponger!E:E,Kuponger!Q:Q),15,73)=0,"",OFFSET(_xlfn.XLOOKUP(B3,Kuponger!E:E,Kuponger!Q:Q),15,73)),"")</f>
        <v>40</v>
      </c>
      <c r="E3">
        <f ca="1">IFERROR(IF(OFFSET(_xlfn.XLOOKUP(B3,Kuponger!E:E,Kuponger!Q:Q),15,74)=0,"",OFFSET(_xlfn.XLOOKUP(B3,Kuponger!E:E,Kuponger!Q:Q),15,74)),"")</f>
        <v>170</v>
      </c>
      <c r="F3" t="str">
        <f ca="1">IFERROR(IF(OFFSET(_xlfn.XLOOKUP(B3,Kuponger!E:E,Kuponger!Q:Q),1,74)=0,"",OFFSET(_xlfn.XLOOKUP(B3,Kuponger!E:E,Kuponger!Q:Q),1,74))*-1,"")</f>
        <v/>
      </c>
      <c r="G3">
        <f t="shared" ca="1" si="0"/>
        <v>580</v>
      </c>
      <c r="H3">
        <f ca="1">IFERROR(IF(OFFSET(_xlfn.XLOOKUP(B3,Kuponger!E:E,Kuponger!Q:Q),1,73)="","",OFFSET(_xlfn.XLOOKUP(B3,Kuponger!E:E,Kuponger!Q:Q),1,73)),"")</f>
        <v>3</v>
      </c>
      <c r="I3" s="3">
        <f ca="1">IFERROR(t_lev[[#This Row],[tp]]-G2,"")</f>
        <v>100</v>
      </c>
      <c r="K3" s="801" t="s">
        <v>37</v>
      </c>
      <c r="L3">
        <f>COUNTIF(Kuponger!$CL:$CL,f_lev!L$1)</f>
        <v>8</v>
      </c>
      <c r="M3">
        <f>COUNTIF(Kuponger!$CL:$CL,f_lev!M$1)</f>
        <v>6</v>
      </c>
      <c r="N3">
        <f>COUNTIF(Kuponger!$CL:$CL,f_lev!N$1)</f>
        <v>9</v>
      </c>
      <c r="O3">
        <f>COUNTIF(Kuponger!$CL:$CL,f_lev!O$1)</f>
        <v>10</v>
      </c>
      <c r="P3">
        <f>COUNTIF(Kuponger!$CL:$CL,f_lev!P$1)</f>
        <v>42</v>
      </c>
      <c r="Q3">
        <f>COUNTIF(Kuponger!$CL:$CL,f_lev!Q$1)</f>
        <v>90</v>
      </c>
      <c r="R3">
        <f>COUNTIF(Kuponger!$CL:$CL,f_lev!R$1)</f>
        <v>79</v>
      </c>
      <c r="S3">
        <f>COUNTIF(Kuponger!$CL:$CL,f_lev!S$1)</f>
        <v>166</v>
      </c>
      <c r="T3">
        <f>SUM(L$3:S$3)</f>
        <v>410</v>
      </c>
    </row>
    <row r="4" spans="1:27" x14ac:dyDescent="0.2">
      <c r="A4">
        <v>3</v>
      </c>
      <c r="B4" s="22">
        <f ca="1">Data!AL3</f>
        <v>45920</v>
      </c>
      <c r="C4">
        <f ca="1">IFERROR(IF(OFFSET(_xlfn.XLOOKUP(B4,Kuponger!E:E,Kuponger!Q:Q),15,72)=0,"",OFFSET(_xlfn.XLOOKUP(B4,Kuponger!E:E,Kuponger!Q:Q),15,72)),"")</f>
        <v>260</v>
      </c>
      <c r="D4">
        <f ca="1">IFERROR(IF(OFFSET(_xlfn.XLOOKUP(B4,Kuponger!E:E,Kuponger!Q:Q),15,73)=0,"",OFFSET(_xlfn.XLOOKUP(B4,Kuponger!E:E,Kuponger!Q:Q),15,73)),"")</f>
        <v>70</v>
      </c>
      <c r="E4">
        <f ca="1">IFERROR(IF(OFFSET(_xlfn.XLOOKUP(B4,Kuponger!E:E,Kuponger!Q:Q),15,74)=0,"",OFFSET(_xlfn.XLOOKUP(B4,Kuponger!E:E,Kuponger!Q:Q),15,74)),"")</f>
        <v>240</v>
      </c>
      <c r="F4" t="str">
        <f ca="1">IFERROR(IF(OFFSET(_xlfn.XLOOKUP(B4,Kuponger!E:E,Kuponger!Q:Q),1,74)=0,"",OFFSET(_xlfn.XLOOKUP(B4,Kuponger!E:E,Kuponger!Q:Q),1,74))*-1,"")</f>
        <v/>
      </c>
      <c r="G4">
        <f t="shared" ca="1" si="0"/>
        <v>570</v>
      </c>
      <c r="H4">
        <f ca="1">IFERROR(IF(OFFSET(_xlfn.XLOOKUP(B4,Kuponger!E:E,Kuponger!Q:Q),1,73)="","",OFFSET(_xlfn.XLOOKUP(B4,Kuponger!E:E,Kuponger!Q:Q),1,73)),"")</f>
        <v>2</v>
      </c>
      <c r="I4" s="3">
        <f ca="1">IFERROR(t_lev[[#This Row],[tp]]-G3,"")</f>
        <v>-10</v>
      </c>
      <c r="K4" s="801" t="s">
        <v>38</v>
      </c>
      <c r="L4">
        <f>COUNTIF(Kuponger!$CM:$CM,f_lev!L$1)</f>
        <v>37</v>
      </c>
      <c r="M4">
        <f>COUNTIF(Kuponger!$CM:$CM,f_lev!M$1)</f>
        <v>16</v>
      </c>
      <c r="N4">
        <f>COUNTIF(Kuponger!$CM:$CM,f_lev!N$1)</f>
        <v>35</v>
      </c>
      <c r="O4">
        <f>COUNTIF(Kuponger!$CM:$CM,f_lev!O$1)</f>
        <v>21</v>
      </c>
      <c r="P4">
        <f>COUNTIF(Kuponger!$CM:$CM,f_lev!P$1)</f>
        <v>19</v>
      </c>
      <c r="Q4">
        <f>COUNTIF(Kuponger!$CM:$CM,f_lev!Q$1)</f>
        <v>41</v>
      </c>
      <c r="R4">
        <f>COUNTIF(Kuponger!$CM:$CM,f_lev!R$1)</f>
        <v>59</v>
      </c>
      <c r="S4">
        <f>COUNTIF(Kuponger!$CM:$CM,f_lev!S$1)</f>
        <v>164</v>
      </c>
      <c r="T4">
        <f>SUM(L$4:S$4)</f>
        <v>392</v>
      </c>
    </row>
    <row r="5" spans="1:27" x14ac:dyDescent="0.2">
      <c r="A5">
        <v>4</v>
      </c>
      <c r="B5" s="22">
        <f ca="1">Data!AL4</f>
        <v>45927</v>
      </c>
      <c r="C5">
        <f ca="1">IFERROR(IF(OFFSET(_xlfn.XLOOKUP(B5,Kuponger!E:E,Kuponger!Q:Q),15,72)=0,"",OFFSET(_xlfn.XLOOKUP(B5,Kuponger!E:E,Kuponger!Q:Q),15,72)),"")</f>
        <v>190</v>
      </c>
      <c r="D5">
        <f ca="1">IFERROR(IF(OFFSET(_xlfn.XLOOKUP(B5,Kuponger!E:E,Kuponger!Q:Q),15,73)=0,"",OFFSET(_xlfn.XLOOKUP(B5,Kuponger!E:E,Kuponger!Q:Q),15,73)),"")</f>
        <v>150</v>
      </c>
      <c r="E5">
        <f ca="1">IFERROR(IF(OFFSET(_xlfn.XLOOKUP(B5,Kuponger!E:E,Kuponger!Q:Q),15,74)=0,"",OFFSET(_xlfn.XLOOKUP(B5,Kuponger!E:E,Kuponger!Q:Q),15,74)),"")</f>
        <v>30</v>
      </c>
      <c r="F5" t="str">
        <f ca="1">IFERROR(IF(OFFSET(_xlfn.XLOOKUP(B5,Kuponger!E:E,Kuponger!Q:Q),1,74)=0,"",OFFSET(_xlfn.XLOOKUP(B5,Kuponger!E:E,Kuponger!Q:Q),1,74))*-1,"")</f>
        <v/>
      </c>
      <c r="G5">
        <f t="shared" ca="1" si="0"/>
        <v>370</v>
      </c>
      <c r="H5">
        <f ca="1">IFERROR(IF(OFFSET(_xlfn.XLOOKUP(B5,Kuponger!E:E,Kuponger!Q:Q),1,73)="","",OFFSET(_xlfn.XLOOKUP(B5,Kuponger!E:E,Kuponger!Q:Q),1,73)),"")</f>
        <v>3</v>
      </c>
      <c r="I5" s="3">
        <f ca="1">IFERROR(t_lev[[#This Row],[tp]]-G4,"")</f>
        <v>-200</v>
      </c>
      <c r="K5" s="801" t="str">
        <f>K1</f>
        <v>Antall Leverte</v>
      </c>
      <c r="L5">
        <f>SUM(L2:L4)</f>
        <v>147</v>
      </c>
      <c r="M5">
        <f t="shared" ref="M5:S5" si="1">SUM(M2:M4)</f>
        <v>44</v>
      </c>
      <c r="N5">
        <f t="shared" si="1"/>
        <v>96</v>
      </c>
      <c r="O5">
        <f t="shared" si="1"/>
        <v>65</v>
      </c>
      <c r="P5">
        <f t="shared" si="1"/>
        <v>87</v>
      </c>
      <c r="Q5">
        <f t="shared" si="1"/>
        <v>173</v>
      </c>
      <c r="R5">
        <f t="shared" si="1"/>
        <v>183</v>
      </c>
      <c r="S5">
        <f t="shared" si="1"/>
        <v>391</v>
      </c>
      <c r="T5">
        <f>SUM(L$5:S$5)</f>
        <v>1186</v>
      </c>
    </row>
    <row r="6" spans="1:27" x14ac:dyDescent="0.2">
      <c r="A6">
        <v>5</v>
      </c>
      <c r="B6" s="22">
        <f ca="1">Data!AL5</f>
        <v>45934</v>
      </c>
      <c r="C6">
        <f ca="1">IFERROR(IF(OFFSET(_xlfn.XLOOKUP(B6,Kuponger!E:E,Kuponger!Q:Q),15,72)=0,"",OFFSET(_xlfn.XLOOKUP(B6,Kuponger!E:E,Kuponger!Q:Q),15,72)),"")</f>
        <v>580</v>
      </c>
      <c r="D6">
        <f ca="1">IFERROR(IF(OFFSET(_xlfn.XLOOKUP(B6,Kuponger!E:E,Kuponger!Q:Q),15,73)=0,"",OFFSET(_xlfn.XLOOKUP(B6,Kuponger!E:E,Kuponger!Q:Q),15,73)),"")</f>
        <v>20</v>
      </c>
      <c r="E6">
        <f ca="1">IFERROR(IF(OFFSET(_xlfn.XLOOKUP(B6,Kuponger!E:E,Kuponger!Q:Q),15,74)=0,"",OFFSET(_xlfn.XLOOKUP(B6,Kuponger!E:E,Kuponger!Q:Q),15,74)),"")</f>
        <v>110</v>
      </c>
      <c r="F6" t="str">
        <f ca="1">IFERROR(IF(OFFSET(_xlfn.XLOOKUP(B6,Kuponger!E:E,Kuponger!Q:Q),1,74)=0,"",OFFSET(_xlfn.XLOOKUP(B6,Kuponger!E:E,Kuponger!Q:Q),1,74))*-1,"")</f>
        <v/>
      </c>
      <c r="G6">
        <f t="shared" ca="1" si="0"/>
        <v>710</v>
      </c>
      <c r="H6">
        <f ca="1">IFERROR(IF(OFFSET(_xlfn.XLOOKUP(B6,Kuponger!E:E,Kuponger!Q:Q),1,73)="","",OFFSET(_xlfn.XLOOKUP(B6,Kuponger!E:E,Kuponger!Q:Q),1,73)),"")</f>
        <v>1</v>
      </c>
      <c r="I6" s="3">
        <f ca="1">IFERROR(t_lev[[#This Row],[tp]]-G5,"")</f>
        <v>340</v>
      </c>
    </row>
    <row r="7" spans="1:27" ht="15" x14ac:dyDescent="0.25">
      <c r="A7">
        <v>6</v>
      </c>
      <c r="B7" s="22">
        <f ca="1">Data!AL6</f>
        <v>45941</v>
      </c>
      <c r="C7">
        <f ca="1">IFERROR(IF(OFFSET(_xlfn.XLOOKUP(B7,Kuponger!E:E,Kuponger!Q:Q),15,72)=0,"",OFFSET(_xlfn.XLOOKUP(B7,Kuponger!E:E,Kuponger!Q:Q),15,72)),"")</f>
        <v>390</v>
      </c>
      <c r="D7">
        <f ca="1">IFERROR(IF(OFFSET(_xlfn.XLOOKUP(B7,Kuponger!E:E,Kuponger!Q:Q),15,73)=0,"",OFFSET(_xlfn.XLOOKUP(B7,Kuponger!E:E,Kuponger!Q:Q),15,73)),"")</f>
        <v>20</v>
      </c>
      <c r="E7">
        <f ca="1">IFERROR(IF(OFFSET(_xlfn.XLOOKUP(B7,Kuponger!E:E,Kuponger!Q:Q),15,74)=0,"",OFFSET(_xlfn.XLOOKUP(B7,Kuponger!E:E,Kuponger!Q:Q),15,74)),"")</f>
        <v>210</v>
      </c>
      <c r="F7" t="str">
        <f ca="1">IFERROR(IF(OFFSET(_xlfn.XLOOKUP(B7,Kuponger!E:E,Kuponger!Q:Q),1,74)=0,"",OFFSET(_xlfn.XLOOKUP(B7,Kuponger!E:E,Kuponger!Q:Q),1,74))*-1,"")</f>
        <v/>
      </c>
      <c r="G7">
        <f t="shared" ca="1" si="0"/>
        <v>620</v>
      </c>
      <c r="H7">
        <f ca="1">IFERROR(IF(OFFSET(_xlfn.XLOOKUP(B7,Kuponger!E:E,Kuponger!Q:Q),1,73)="","",OFFSET(_xlfn.XLOOKUP(B7,Kuponger!E:E,Kuponger!Q:Q),1,73)),"")</f>
        <v>4</v>
      </c>
      <c r="I7" s="3">
        <f ca="1">IFERROR(t_lev[[#This Row],[tp]]-G6,"")</f>
        <v>-90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IFERROR(IF(OFFSET(_xlfn.XLOOKUP(B8,Kuponger!E:E,Kuponger!Q:Q),15,72)=0,"",OFFSET(_xlfn.XLOOKUP(B8,Kuponger!E:E,Kuponger!Q:Q),15,72)),"")</f>
        <v>310</v>
      </c>
      <c r="D8">
        <f ca="1">IFERROR(IF(OFFSET(_xlfn.XLOOKUP(B8,Kuponger!E:E,Kuponger!Q:Q),15,73)=0,"",OFFSET(_xlfn.XLOOKUP(B8,Kuponger!E:E,Kuponger!Q:Q),15,73)),"")</f>
        <v>110</v>
      </c>
      <c r="E8">
        <f ca="1">IFERROR(IF(OFFSET(_xlfn.XLOOKUP(B8,Kuponger!E:E,Kuponger!Q:Q),15,74)=0,"",OFFSET(_xlfn.XLOOKUP(B8,Kuponger!E:E,Kuponger!Q:Q),15,74)),"")</f>
        <v>220</v>
      </c>
      <c r="F8" t="str">
        <f ca="1">IFERROR(IF(OFFSET(_xlfn.XLOOKUP(B8,Kuponger!E:E,Kuponger!Q:Q),1,74)=0,"",OFFSET(_xlfn.XLOOKUP(B8,Kuponger!E:E,Kuponger!Q:Q),1,74))*-1,"")</f>
        <v/>
      </c>
      <c r="G8">
        <f t="shared" ca="1" si="0"/>
        <v>640</v>
      </c>
      <c r="H8">
        <f ca="1">IFERROR(IF(OFFSET(_xlfn.XLOOKUP(B8,Kuponger!E:E,Kuponger!Q:Q),1,73)="","",OFFSET(_xlfn.XLOOKUP(B8,Kuponger!E:E,Kuponger!Q:Q),1,73)),"")</f>
        <v>3</v>
      </c>
      <c r="I8" s="3">
        <f ca="1">IFERROR(t_lev[[#This Row],[tp]]-G7,"")</f>
        <v>20</v>
      </c>
      <c r="K8" s="801" t="s">
        <v>36</v>
      </c>
      <c r="L8">
        <f>COUNTIF(Kuponger!$CO:$CO,L$7)</f>
        <v>67</v>
      </c>
      <c r="M8">
        <f>COUNTIF(Kuponger!$CO:$CO,M$7)</f>
        <v>11</v>
      </c>
      <c r="N8">
        <f>COUNTIF(Kuponger!$CO:$CO,N$7)</f>
        <v>25</v>
      </c>
      <c r="O8">
        <f>COUNTIF(Kuponger!$CO:$CO,O$7)</f>
        <v>15</v>
      </c>
      <c r="P8">
        <f>COUNTIF(Kuponger!$CO:$CO,P$7)</f>
        <v>13</v>
      </c>
      <c r="Q8">
        <f>COUNTIF(Kuponger!$CO:$CO,Q$7)</f>
        <v>13</v>
      </c>
      <c r="R8">
        <f>COUNTIF(Kuponger!$CO:$CO,R$7)</f>
        <v>17</v>
      </c>
      <c r="S8">
        <f>COUNTIF(Kuponger!$CO:$CO,S$7)</f>
        <v>15</v>
      </c>
      <c r="T8">
        <f>SUM(L$8:S$8)</f>
        <v>176</v>
      </c>
    </row>
    <row r="9" spans="1:27" x14ac:dyDescent="0.2">
      <c r="A9">
        <v>8</v>
      </c>
      <c r="B9" s="22">
        <f ca="1">Data!AL8</f>
        <v>45955</v>
      </c>
      <c r="C9">
        <f ca="1">IFERROR(IF(OFFSET(_xlfn.XLOOKUP(B9,Kuponger!E:E,Kuponger!Q:Q),15,72)=0,"",OFFSET(_xlfn.XLOOKUP(B9,Kuponger!E:E,Kuponger!Q:Q),15,72)),"")</f>
        <v>360</v>
      </c>
      <c r="D9">
        <f ca="1">IFERROR(IF(OFFSET(_xlfn.XLOOKUP(B9,Kuponger!E:E,Kuponger!Q:Q),15,73)=0,"",OFFSET(_xlfn.XLOOKUP(B9,Kuponger!E:E,Kuponger!Q:Q),15,73)),"")</f>
        <v>40</v>
      </c>
      <c r="E9">
        <f ca="1">IFERROR(IF(OFFSET(_xlfn.XLOOKUP(B9,Kuponger!E:E,Kuponger!Q:Q),15,74)=0,"",OFFSET(_xlfn.XLOOKUP(B9,Kuponger!E:E,Kuponger!Q:Q),15,74)),"")</f>
        <v>100</v>
      </c>
      <c r="F9" t="str">
        <f ca="1">IFERROR(IF(OFFSET(_xlfn.XLOOKUP(B9,Kuponger!E:E,Kuponger!Q:Q),1,74)=0,"",OFFSET(_xlfn.XLOOKUP(B9,Kuponger!E:E,Kuponger!Q:Q),1,74))*-1,"")</f>
        <v/>
      </c>
      <c r="G9">
        <f t="shared" ca="1" si="0"/>
        <v>500</v>
      </c>
      <c r="H9">
        <f ca="1">IFERROR(IF(OFFSET(_xlfn.XLOOKUP(B9,Kuponger!E:E,Kuponger!Q:Q),1,73)="","",OFFSET(_xlfn.XLOOKUP(B9,Kuponger!E:E,Kuponger!Q:Q),1,73)),"")</f>
        <v>6</v>
      </c>
      <c r="I9" s="3">
        <f ca="1">IFERROR(t_lev[[#This Row],[tp]]-G8,"")</f>
        <v>-140</v>
      </c>
      <c r="K9" s="801" t="s">
        <v>37</v>
      </c>
      <c r="L9">
        <f>COUNTIF(Kuponger!$CP:$CP,L$7)</f>
        <v>0</v>
      </c>
      <c r="M9">
        <f>COUNTIF(Kuponger!$CP:$CP,M$7)</f>
        <v>0</v>
      </c>
      <c r="N9">
        <f>COUNTIF(Kuponger!$CP:$CP,N$7)</f>
        <v>1</v>
      </c>
      <c r="O9">
        <f>COUNTIF(Kuponger!$CP:$CP,O$7)</f>
        <v>1</v>
      </c>
      <c r="P9">
        <f>COUNTIF(Kuponger!$CP:$CP,P$7)</f>
        <v>7</v>
      </c>
      <c r="Q9">
        <f>COUNTIF(Kuponger!$CP:$CP,Q$7)</f>
        <v>22</v>
      </c>
      <c r="R9">
        <f>COUNTIF(Kuponger!$CP:$CP,R$7)</f>
        <v>19</v>
      </c>
      <c r="S9">
        <f>COUNTIF(Kuponger!$CP:$CP,S$7)</f>
        <v>39</v>
      </c>
      <c r="T9">
        <f>SUM(L$9:S$9)</f>
        <v>89</v>
      </c>
    </row>
    <row r="10" spans="1:27" x14ac:dyDescent="0.2">
      <c r="A10">
        <v>9</v>
      </c>
      <c r="B10" s="22">
        <f ca="1">Data!AL9</f>
        <v>45962</v>
      </c>
      <c r="C10">
        <f ca="1">IFERROR(IF(OFFSET(_xlfn.XLOOKUP(B10,Kuponger!E:E,Kuponger!Q:Q),15,72)=0,"",OFFSET(_xlfn.XLOOKUP(B10,Kuponger!E:E,Kuponger!Q:Q),15,72)),"")</f>
        <v>420</v>
      </c>
      <c r="D10">
        <f ca="1">IFERROR(IF(OFFSET(_xlfn.XLOOKUP(B10,Kuponger!E:E,Kuponger!Q:Q),15,73)=0,"",OFFSET(_xlfn.XLOOKUP(B10,Kuponger!E:E,Kuponger!Q:Q),15,73)),"")</f>
        <v>10</v>
      </c>
      <c r="E10">
        <f ca="1">IFERROR(IF(OFFSET(_xlfn.XLOOKUP(B10,Kuponger!E:E,Kuponger!Q:Q),15,74)=0,"",OFFSET(_xlfn.XLOOKUP(B10,Kuponger!E:E,Kuponger!Q:Q),15,74)),"")</f>
        <v>150</v>
      </c>
      <c r="F10" t="str">
        <f ca="1">IFERROR(IF(OFFSET(_xlfn.XLOOKUP(B10,Kuponger!E:E,Kuponger!Q:Q),1,74)=0,"",OFFSET(_xlfn.XLOOKUP(B10,Kuponger!E:E,Kuponger!Q:Q),1,74))*-1,"")</f>
        <v/>
      </c>
      <c r="G10">
        <f t="shared" ca="1" si="0"/>
        <v>580</v>
      </c>
      <c r="H10">
        <f ca="1">IFERROR(IF(OFFSET(_xlfn.XLOOKUP(B10,Kuponger!E:E,Kuponger!Q:Q),1,73)="","",OFFSET(_xlfn.XLOOKUP(B10,Kuponger!E:E,Kuponger!Q:Q),1,73)),"")</f>
        <v>7</v>
      </c>
      <c r="I10" s="3">
        <f ca="1">IFERROR(t_lev[[#This Row],[tp]]-G9,"")</f>
        <v>80</v>
      </c>
      <c r="K10" s="801" t="s">
        <v>38</v>
      </c>
      <c r="L10">
        <f>COUNTIF(Kuponger!$CQ:$CQ,L$7)</f>
        <v>21</v>
      </c>
      <c r="M10">
        <f>COUNTIF(Kuponger!$CQ:$CQ,M$7)</f>
        <v>7</v>
      </c>
      <c r="N10">
        <f>COUNTIF(Kuponger!$CQ:$CQ,N$7)</f>
        <v>10</v>
      </c>
      <c r="O10">
        <f>COUNTIF(Kuponger!$CQ:$CQ,O$7)</f>
        <v>8</v>
      </c>
      <c r="P10">
        <f>COUNTIF(Kuponger!$CQ:$CQ,P$7)</f>
        <v>8</v>
      </c>
      <c r="Q10">
        <f>COUNTIF(Kuponger!$CQ:$CQ,Q$7)</f>
        <v>16</v>
      </c>
      <c r="R10">
        <f>COUNTIF(Kuponger!$CQ:$CQ,R$7)</f>
        <v>19</v>
      </c>
      <c r="S10">
        <f>COUNTIF(Kuponger!$CQ:$CQ,S$7)</f>
        <v>30</v>
      </c>
      <c r="T10">
        <f>SUM(L$10:S$10)</f>
        <v>119</v>
      </c>
    </row>
    <row r="11" spans="1:27" x14ac:dyDescent="0.2">
      <c r="A11">
        <v>10</v>
      </c>
      <c r="B11" s="22">
        <f ca="1">Data!AL10</f>
        <v>45969</v>
      </c>
      <c r="C11">
        <f ca="1">IFERROR(IF(OFFSET(_xlfn.XLOOKUP(B11,Kuponger!E:E,Kuponger!Q:Q),15,72)=0,"",OFFSET(_xlfn.XLOOKUP(B11,Kuponger!E:E,Kuponger!Q:Q),15,72)),"")</f>
        <v>360</v>
      </c>
      <c r="D11">
        <f ca="1">IFERROR(IF(OFFSET(_xlfn.XLOOKUP(B11,Kuponger!E:E,Kuponger!Q:Q),15,73)=0,"",OFFSET(_xlfn.XLOOKUP(B11,Kuponger!E:E,Kuponger!Q:Q),15,73)),"")</f>
        <v>40</v>
      </c>
      <c r="E11">
        <f ca="1">IFERROR(IF(OFFSET(_xlfn.XLOOKUP(B11,Kuponger!E:E,Kuponger!Q:Q),15,74)=0,"",OFFSET(_xlfn.XLOOKUP(B11,Kuponger!E:E,Kuponger!Q:Q),15,74)),"")</f>
        <v>190</v>
      </c>
      <c r="F11" t="str">
        <f ca="1">IFERROR(IF(OFFSET(_xlfn.XLOOKUP(B11,Kuponger!E:E,Kuponger!Q:Q),1,74)=0,"",OFFSET(_xlfn.XLOOKUP(B11,Kuponger!E:E,Kuponger!Q:Q),1,74))*-1,"")</f>
        <v/>
      </c>
      <c r="G11">
        <f t="shared" ca="1" si="0"/>
        <v>590</v>
      </c>
      <c r="H11">
        <f ca="1">IFERROR(IF(OFFSET(_xlfn.XLOOKUP(B11,Kuponger!E:E,Kuponger!Q:Q),1,73)="","",OFFSET(_xlfn.XLOOKUP(B11,Kuponger!E:E,Kuponger!Q:Q),1,73)),"")</f>
        <v>5</v>
      </c>
      <c r="I11" s="3">
        <f ca="1">IFERROR(t_lev[[#This Row],[tp]]-G10,"")</f>
        <v>10</v>
      </c>
      <c r="K11" s="801" t="str">
        <f>K7</f>
        <v>Antall Treff</v>
      </c>
      <c r="L11">
        <f>SUM(L$8:L$10)</f>
        <v>88</v>
      </c>
      <c r="M11">
        <f t="shared" ref="M11:S11" si="3">SUM(M$8:M$10)</f>
        <v>18</v>
      </c>
      <c r="N11">
        <f t="shared" si="3"/>
        <v>36</v>
      </c>
      <c r="O11">
        <f t="shared" si="3"/>
        <v>24</v>
      </c>
      <c r="P11">
        <f t="shared" si="3"/>
        <v>28</v>
      </c>
      <c r="Q11">
        <f t="shared" si="3"/>
        <v>51</v>
      </c>
      <c r="R11">
        <f t="shared" si="3"/>
        <v>55</v>
      </c>
      <c r="S11">
        <f t="shared" si="3"/>
        <v>84</v>
      </c>
      <c r="T11">
        <f>SUM(L$11:S$11)</f>
        <v>384</v>
      </c>
    </row>
    <row r="12" spans="1:27" x14ac:dyDescent="0.2">
      <c r="A12">
        <v>11</v>
      </c>
      <c r="B12" s="22">
        <f ca="1">Data!AL11</f>
        <v>45976</v>
      </c>
      <c r="C12">
        <f ca="1">IFERROR(IF(OFFSET(_xlfn.XLOOKUP(B12,Kuponger!E:E,Kuponger!Q:Q),15,72)=0,"",OFFSET(_xlfn.XLOOKUP(B12,Kuponger!E:E,Kuponger!Q:Q),15,72)),"")</f>
        <v>300</v>
      </c>
      <c r="D12">
        <f ca="1">IFERROR(IF(OFFSET(_xlfn.XLOOKUP(B12,Kuponger!E:E,Kuponger!Q:Q),15,73)=0,"",OFFSET(_xlfn.XLOOKUP(B12,Kuponger!E:E,Kuponger!Q:Q),15,73)),"")</f>
        <v>80</v>
      </c>
      <c r="E12">
        <f ca="1">IFERROR(IF(OFFSET(_xlfn.XLOOKUP(B12,Kuponger!E:E,Kuponger!Q:Q),15,74)=0,"",OFFSET(_xlfn.XLOOKUP(B12,Kuponger!E:E,Kuponger!Q:Q),15,74)),"")</f>
        <v>230</v>
      </c>
      <c r="F12" t="str">
        <f ca="1">IFERROR(IF(OFFSET(_xlfn.XLOOKUP(B12,Kuponger!E:E,Kuponger!Q:Q),1,74)=0,"",OFFSET(_xlfn.XLOOKUP(B12,Kuponger!E:E,Kuponger!Q:Q),1,74))*-1,"")</f>
        <v/>
      </c>
      <c r="G12">
        <f t="shared" ca="1" si="0"/>
        <v>610</v>
      </c>
      <c r="H12">
        <f ca="1">IFERROR(IF(OFFSET(_xlfn.XLOOKUP(B12,Kuponger!E:E,Kuponger!Q:Q),1,73)="","",OFFSET(_xlfn.XLOOKUP(B12,Kuponger!E:E,Kuponger!Q:Q),1,73)),"")</f>
        <v>1</v>
      </c>
      <c r="I12" s="3">
        <f ca="1">IFERROR(t_lev[[#This Row],[tp]]-G11,"")</f>
        <v>20</v>
      </c>
    </row>
    <row r="13" spans="1:27" ht="15" x14ac:dyDescent="0.25">
      <c r="A13">
        <v>12</v>
      </c>
      <c r="B13" s="22">
        <f ca="1">Data!AL12</f>
        <v>45983</v>
      </c>
      <c r="C13">
        <f ca="1">IFERROR(IF(OFFSET(_xlfn.XLOOKUP(B13,Kuponger!E:E,Kuponger!Q:Q),15,72)=0,"",OFFSET(_xlfn.XLOOKUP(B13,Kuponger!E:E,Kuponger!Q:Q),15,72)),"")</f>
        <v>240</v>
      </c>
      <c r="D13">
        <f ca="1">IFERROR(IF(OFFSET(_xlfn.XLOOKUP(B13,Kuponger!E:E,Kuponger!Q:Q),15,73)=0,"",OFFSET(_xlfn.XLOOKUP(B13,Kuponger!E:E,Kuponger!Q:Q),15,73)),"")</f>
        <v>30</v>
      </c>
      <c r="E13">
        <f ca="1">IFERROR(IF(OFFSET(_xlfn.XLOOKUP(B13,Kuponger!E:E,Kuponger!Q:Q),15,74)=0,"",OFFSET(_xlfn.XLOOKUP(B13,Kuponger!E:E,Kuponger!Q:Q),15,74)),"")</f>
        <v>150</v>
      </c>
      <c r="F13" t="str">
        <f ca="1">IFERROR(IF(OFFSET(_xlfn.XLOOKUP(B13,Kuponger!E:E,Kuponger!Q:Q),1,74)=0,"",OFFSET(_xlfn.XLOOKUP(B13,Kuponger!E:E,Kuponger!Q:Q),1,74))*-1,"")</f>
        <v/>
      </c>
      <c r="G13">
        <f t="shared" ca="1" si="0"/>
        <v>420</v>
      </c>
      <c r="H13">
        <f ca="1">IFERROR(IF(OFFSET(_xlfn.XLOOKUP(B13,Kuponger!E:E,Kuponger!Q:Q),1,73)="","",OFFSET(_xlfn.XLOOKUP(B13,Kuponger!E:E,Kuponger!Q:Q),1,73)),"")</f>
        <v>6</v>
      </c>
      <c r="I13" s="3">
        <f ca="1">IFERROR(t_lev[[#This Row],[tp]]-G12,"")</f>
        <v>-190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IFERROR(IF(OFFSET(_xlfn.XLOOKUP(B14,Kuponger!E:E,Kuponger!Q:Q),15,72)=0,"",OFFSET(_xlfn.XLOOKUP(B14,Kuponger!E:E,Kuponger!Q:Q),15,72)),"")</f>
        <v>510</v>
      </c>
      <c r="D14">
        <f ca="1">IFERROR(IF(OFFSET(_xlfn.XLOOKUP(B14,Kuponger!E:E,Kuponger!Q:Q),15,73)=0,"",OFFSET(_xlfn.XLOOKUP(B14,Kuponger!E:E,Kuponger!Q:Q),15,73)),"")</f>
        <v>30</v>
      </c>
      <c r="E14">
        <f ca="1">IFERROR(IF(OFFSET(_xlfn.XLOOKUP(B14,Kuponger!E:E,Kuponger!Q:Q),15,74)=0,"",OFFSET(_xlfn.XLOOKUP(B14,Kuponger!E:E,Kuponger!Q:Q),15,74)),"")</f>
        <v>110</v>
      </c>
      <c r="F14" t="str">
        <f ca="1">IFERROR(IF(OFFSET(_xlfn.XLOOKUP(B14,Kuponger!E:E,Kuponger!Q:Q),1,74)=0,"",OFFSET(_xlfn.XLOOKUP(B14,Kuponger!E:E,Kuponger!Q:Q),1,74))*-1,"")</f>
        <v/>
      </c>
      <c r="G14">
        <f t="shared" ca="1" si="0"/>
        <v>650</v>
      </c>
      <c r="H14">
        <f ca="1">IFERROR(IF(OFFSET(_xlfn.XLOOKUP(B14,Kuponger!E:E,Kuponger!Q:Q),1,73)="","",OFFSET(_xlfn.XLOOKUP(B14,Kuponger!E:E,Kuponger!Q:Q),1,73)),"")</f>
        <v>1</v>
      </c>
      <c r="I14" s="3">
        <f ca="1">IFERROR(t_lev[[#This Row],[tp]]-G13,"")</f>
        <v>230</v>
      </c>
      <c r="K14" s="801" t="str">
        <f>K8</f>
        <v>Hjemme</v>
      </c>
      <c r="L14">
        <f>L2-L8</f>
        <v>35</v>
      </c>
      <c r="M14">
        <f>COUNTIF(Kuponger!$CK:$CK,M$13)-M8</f>
        <v>11</v>
      </c>
      <c r="N14">
        <f>COUNTIF(Kuponger!$CK:$CK,N$13)-N8</f>
        <v>27</v>
      </c>
      <c r="O14">
        <f>COUNTIF(Kuponger!$CK:$CK,O$13)-O8</f>
        <v>19</v>
      </c>
      <c r="P14">
        <f>COUNTIF(Kuponger!$CK:$CK,P$13)-P8</f>
        <v>13</v>
      </c>
      <c r="Q14">
        <f>COUNTIF(Kuponger!$CK:$CK,Q$13)-Q8</f>
        <v>29</v>
      </c>
      <c r="R14">
        <f>COUNTIF(Kuponger!$CK:$CK,R$13)-R8</f>
        <v>28</v>
      </c>
      <c r="S14">
        <f>COUNTIF(Kuponger!$CK:$CK,S$13)-S8</f>
        <v>46</v>
      </c>
      <c r="T14">
        <f>SUM(L$14:S$14)</f>
        <v>208</v>
      </c>
    </row>
    <row r="15" spans="1:27" x14ac:dyDescent="0.2">
      <c r="A15">
        <v>14</v>
      </c>
      <c r="B15" s="22">
        <f ca="1">Data!AL14</f>
        <v>45997</v>
      </c>
      <c r="C15">
        <f ca="1">IFERROR(IF(OFFSET(_xlfn.XLOOKUP(B15,Kuponger!E:E,Kuponger!Q:Q),15,72)=0,"",OFFSET(_xlfn.XLOOKUP(B15,Kuponger!E:E,Kuponger!Q:Q),15,72)),"")</f>
        <v>380</v>
      </c>
      <c r="D15">
        <f ca="1">IFERROR(IF(OFFSET(_xlfn.XLOOKUP(B15,Kuponger!E:E,Kuponger!Q:Q),15,73)=0,"",OFFSET(_xlfn.XLOOKUP(B15,Kuponger!E:E,Kuponger!Q:Q),15,73)),"")</f>
        <v>70</v>
      </c>
      <c r="E15" t="str">
        <f ca="1">IFERROR(IF(OFFSET(_xlfn.XLOOKUP(B15,Kuponger!E:E,Kuponger!Q:Q),15,74)=0,"",OFFSET(_xlfn.XLOOKUP(B15,Kuponger!E:E,Kuponger!Q:Q),15,74)),"")</f>
        <v/>
      </c>
      <c r="F15" t="str">
        <f ca="1">IFERROR(IF(OFFSET(_xlfn.XLOOKUP(B15,Kuponger!E:E,Kuponger!Q:Q),1,74)=0,"",OFFSET(_xlfn.XLOOKUP(B15,Kuponger!E:E,Kuponger!Q:Q),1,74))*-1,"")</f>
        <v/>
      </c>
      <c r="G15">
        <f t="shared" ca="1" si="0"/>
        <v>450</v>
      </c>
      <c r="H15">
        <f ca="1">IFERROR(IF(OFFSET(_xlfn.XLOOKUP(B15,Kuponger!E:E,Kuponger!Q:Q),1,73)="","",OFFSET(_xlfn.XLOOKUP(B15,Kuponger!E:E,Kuponger!Q:Q),1,73)),"")</f>
        <v>9</v>
      </c>
      <c r="I15" s="3">
        <f ca="1">IFERROR(t_lev[[#This Row],[tp]]-G14,"")</f>
        <v>-200</v>
      </c>
      <c r="K15" s="801" t="str">
        <f>K9</f>
        <v>Uavgjort</v>
      </c>
      <c r="L15">
        <f>L3-L9</f>
        <v>8</v>
      </c>
      <c r="M15">
        <f>COUNTIF(Kuponger!$CL:$CL,M$13)-M9</f>
        <v>6</v>
      </c>
      <c r="N15">
        <f>COUNTIF(Kuponger!$CL:$CL,N$13)-N9</f>
        <v>8</v>
      </c>
      <c r="O15">
        <f>COUNTIF(Kuponger!$CL:$CL,O$13)-O9</f>
        <v>9</v>
      </c>
      <c r="P15">
        <f>COUNTIF(Kuponger!$CL:$CL,P$13)-P9</f>
        <v>35</v>
      </c>
      <c r="Q15">
        <f>COUNTIF(Kuponger!$CL:$CL,Q$13)-Q9</f>
        <v>68</v>
      </c>
      <c r="R15">
        <f>COUNTIF(Kuponger!$CL:$CL,R$13)-R9</f>
        <v>60</v>
      </c>
      <c r="S15">
        <f>COUNTIF(Kuponger!$CL:$CL,S$13)-S9</f>
        <v>127</v>
      </c>
      <c r="T15">
        <f>SUM(L$15:S$15)</f>
        <v>321</v>
      </c>
    </row>
    <row r="16" spans="1:27" x14ac:dyDescent="0.2">
      <c r="A16">
        <v>15</v>
      </c>
      <c r="B16" s="22">
        <f ca="1">Data!AL15</f>
        <v>46004</v>
      </c>
      <c r="C16">
        <f ca="1">IFERROR(IF(OFFSET(_xlfn.XLOOKUP(B16,Kuponger!E:E,Kuponger!Q:Q),15,72)=0,"",OFFSET(_xlfn.XLOOKUP(B16,Kuponger!E:E,Kuponger!Q:Q),15,72)),"")</f>
        <v>550</v>
      </c>
      <c r="D16">
        <f ca="1">IFERROR(IF(OFFSET(_xlfn.XLOOKUP(B16,Kuponger!E:E,Kuponger!Q:Q),15,73)=0,"",OFFSET(_xlfn.XLOOKUP(B16,Kuponger!E:E,Kuponger!Q:Q),15,73)),"")</f>
        <v>20</v>
      </c>
      <c r="E16">
        <f ca="1">IFERROR(IF(OFFSET(_xlfn.XLOOKUP(B16,Kuponger!E:E,Kuponger!Q:Q),15,74)=0,"",OFFSET(_xlfn.XLOOKUP(B16,Kuponger!E:E,Kuponger!Q:Q),15,74)),"")</f>
        <v>20</v>
      </c>
      <c r="F16" t="str">
        <f ca="1">IFERROR(IF(OFFSET(_xlfn.XLOOKUP(B16,Kuponger!E:E,Kuponger!Q:Q),1,74)=0,"",OFFSET(_xlfn.XLOOKUP(B16,Kuponger!E:E,Kuponger!Q:Q),1,74))*-1,"")</f>
        <v/>
      </c>
      <c r="G16">
        <f t="shared" ca="1" si="0"/>
        <v>590</v>
      </c>
      <c r="H16">
        <f ca="1">IFERROR(IF(OFFSET(_xlfn.XLOOKUP(B16,Kuponger!E:E,Kuponger!Q:Q),1,73)="","",OFFSET(_xlfn.XLOOKUP(B16,Kuponger!E:E,Kuponger!Q:Q),1,73)),"")</f>
        <v>6</v>
      </c>
      <c r="I16" s="3">
        <f ca="1">IFERROR(t_lev[[#This Row],[tp]]-G15,"")</f>
        <v>140</v>
      </c>
      <c r="K16" s="801" t="str">
        <f>K10</f>
        <v>Borte</v>
      </c>
      <c r="L16">
        <f>L4-L10</f>
        <v>16</v>
      </c>
      <c r="M16">
        <f>COUNTIF(Kuponger!$CM:$CM,M$13)-M10</f>
        <v>9</v>
      </c>
      <c r="N16">
        <f>COUNTIF(Kuponger!$CM:$CM,N$13)-N10</f>
        <v>25</v>
      </c>
      <c r="O16">
        <f>COUNTIF(Kuponger!$CM:$CM,O$13)-O10</f>
        <v>13</v>
      </c>
      <c r="P16">
        <f>COUNTIF(Kuponger!$CM:$CM,P$13)-P10</f>
        <v>11</v>
      </c>
      <c r="Q16">
        <f>COUNTIF(Kuponger!$CM:$CM,Q$13)-Q10</f>
        <v>25</v>
      </c>
      <c r="R16">
        <f>COUNTIF(Kuponger!$CM:$CM,R$13)-R10</f>
        <v>40</v>
      </c>
      <c r="S16">
        <f>COUNTIF(Kuponger!$CM:$CM,S$13)-S10</f>
        <v>134</v>
      </c>
      <c r="T16">
        <f>SUM(L$16:S$16)</f>
        <v>273</v>
      </c>
    </row>
    <row r="17" spans="1:20" x14ac:dyDescent="0.2">
      <c r="A17">
        <v>16</v>
      </c>
      <c r="B17" s="22">
        <f ca="1">Data!AL16</f>
        <v>46032</v>
      </c>
      <c r="C17">
        <f ca="1">IFERROR(IF(OFFSET(_xlfn.XLOOKUP(B17,Kuponger!E:E,Kuponger!Q:Q),15,72)=0,"",OFFSET(_xlfn.XLOOKUP(B17,Kuponger!E:E,Kuponger!Q:Q),15,72)),"")</f>
        <v>370</v>
      </c>
      <c r="D17">
        <f ca="1">IFERROR(IF(OFFSET(_xlfn.XLOOKUP(B17,Kuponger!E:E,Kuponger!Q:Q),15,73)=0,"",OFFSET(_xlfn.XLOOKUP(B17,Kuponger!E:E,Kuponger!Q:Q),15,73)),"")</f>
        <v>30</v>
      </c>
      <c r="E17">
        <f ca="1">IFERROR(IF(OFFSET(_xlfn.XLOOKUP(B17,Kuponger!E:E,Kuponger!Q:Q),15,74)=0,"",OFFSET(_xlfn.XLOOKUP(B17,Kuponger!E:E,Kuponger!Q:Q),15,74)),"")</f>
        <v>220</v>
      </c>
      <c r="F17" t="str">
        <f ca="1">IFERROR(IF(OFFSET(_xlfn.XLOOKUP(B17,Kuponger!E:E,Kuponger!Q:Q),1,74)=0,"",OFFSET(_xlfn.XLOOKUP(B17,Kuponger!E:E,Kuponger!Q:Q),1,74))*-1,"")</f>
        <v/>
      </c>
      <c r="G17">
        <f t="shared" ca="1" si="0"/>
        <v>620</v>
      </c>
      <c r="H17">
        <f ca="1">IFERROR(IF(OFFSET(_xlfn.XLOOKUP(B17,Kuponger!E:E,Kuponger!Q:Q),1,73)="","",OFFSET(_xlfn.XLOOKUP(B17,Kuponger!E:E,Kuponger!Q:Q),1,73)),"")</f>
        <v>5</v>
      </c>
      <c r="I17" s="3">
        <f ca="1">IFERROR(t_lev[[#This Row],[tp]]-G16,"")</f>
        <v>30</v>
      </c>
      <c r="K17" s="801" t="str">
        <f>K13</f>
        <v>Antall misser</v>
      </c>
      <c r="L17">
        <f>SUM(L$14:L$16)</f>
        <v>59</v>
      </c>
      <c r="M17">
        <f t="shared" ref="M17:S17" si="5">SUM(M$14:M$16)</f>
        <v>26</v>
      </c>
      <c r="N17">
        <f t="shared" si="5"/>
        <v>60</v>
      </c>
      <c r="O17">
        <f t="shared" si="5"/>
        <v>41</v>
      </c>
      <c r="P17">
        <f t="shared" si="5"/>
        <v>59</v>
      </c>
      <c r="Q17">
        <f t="shared" si="5"/>
        <v>122</v>
      </c>
      <c r="R17">
        <f t="shared" si="5"/>
        <v>128</v>
      </c>
      <c r="S17">
        <f t="shared" si="5"/>
        <v>307</v>
      </c>
      <c r="T17">
        <f>SUM(L$17:S$17)</f>
        <v>802</v>
      </c>
    </row>
    <row r="18" spans="1:20" x14ac:dyDescent="0.2">
      <c r="A18">
        <v>17</v>
      </c>
      <c r="B18" s="22">
        <f ca="1">Data!AL17</f>
        <v>46039</v>
      </c>
      <c r="C18">
        <f ca="1">IFERROR(IF(OFFSET(_xlfn.XLOOKUP(B18,Kuponger!E:E,Kuponger!Q:Q),15,72)=0,"",OFFSET(_xlfn.XLOOKUP(B18,Kuponger!E:E,Kuponger!Q:Q),15,72)),"")</f>
        <v>240</v>
      </c>
      <c r="D18">
        <f ca="1">IFERROR(IF(OFFSET(_xlfn.XLOOKUP(B18,Kuponger!E:E,Kuponger!Q:Q),15,73)=0,"",OFFSET(_xlfn.XLOOKUP(B18,Kuponger!E:E,Kuponger!Q:Q),15,73)),"")</f>
        <v>60</v>
      </c>
      <c r="E18">
        <f ca="1">IFERROR(IF(OFFSET(_xlfn.XLOOKUP(B18,Kuponger!E:E,Kuponger!Q:Q),15,74)=0,"",OFFSET(_xlfn.XLOOKUP(B18,Kuponger!E:E,Kuponger!Q:Q),15,74)),"")</f>
        <v>130</v>
      </c>
      <c r="F18" t="str">
        <f ca="1">IFERROR(IF(OFFSET(_xlfn.XLOOKUP(B18,Kuponger!E:E,Kuponger!Q:Q),1,74)=0,"",OFFSET(_xlfn.XLOOKUP(B18,Kuponger!E:E,Kuponger!Q:Q),1,74))*-1,"")</f>
        <v/>
      </c>
      <c r="G18">
        <f t="shared" ca="1" si="0"/>
        <v>430</v>
      </c>
      <c r="H18">
        <f ca="1">IFERROR(IF(OFFSET(_xlfn.XLOOKUP(B18,Kuponger!E:E,Kuponger!Q:Q),1,73)="","",OFFSET(_xlfn.XLOOKUP(B18,Kuponger!E:E,Kuponger!Q:Q),1,73)),"")</f>
        <v>2</v>
      </c>
      <c r="I18" s="3">
        <f ca="1">IFERROR(t_lev[[#This Row],[tp]]-G17,"")</f>
        <v>-190</v>
      </c>
      <c r="K18" s="4"/>
    </row>
    <row r="19" spans="1:20" x14ac:dyDescent="0.2">
      <c r="A19">
        <v>18</v>
      </c>
      <c r="B19" s="22">
        <f ca="1">Data!AL18</f>
        <v>46046</v>
      </c>
      <c r="C19">
        <f ca="1">IFERROR(IF(OFFSET(_xlfn.XLOOKUP(B19,Kuponger!E:E,Kuponger!Q:Q),15,72)=0,"",OFFSET(_xlfn.XLOOKUP(B19,Kuponger!E:E,Kuponger!Q:Q),15,72)),"")</f>
        <v>280</v>
      </c>
      <c r="D19">
        <f ca="1">IFERROR(IF(OFFSET(_xlfn.XLOOKUP(B19,Kuponger!E:E,Kuponger!Q:Q),15,73)=0,"",OFFSET(_xlfn.XLOOKUP(B19,Kuponger!E:E,Kuponger!Q:Q),15,73)),"")</f>
        <v>110</v>
      </c>
      <c r="E19">
        <f ca="1">IFERROR(IF(OFFSET(_xlfn.XLOOKUP(B19,Kuponger!E:E,Kuponger!Q:Q),15,74)=0,"",OFFSET(_xlfn.XLOOKUP(B19,Kuponger!E:E,Kuponger!Q:Q),15,74)),"")</f>
        <v>20</v>
      </c>
      <c r="F19" t="str">
        <f ca="1">IFERROR(IF(OFFSET(_xlfn.XLOOKUP(B19,Kuponger!E:E,Kuponger!Q:Q),1,74)=0,"",OFFSET(_xlfn.XLOOKUP(B19,Kuponger!E:E,Kuponger!Q:Q),1,74))*-1,"")</f>
        <v/>
      </c>
      <c r="G19">
        <f t="shared" ca="1" si="0"/>
        <v>410</v>
      </c>
      <c r="H19">
        <f ca="1">IFERROR(IF(OFFSET(_xlfn.XLOOKUP(B19,Kuponger!E:E,Kuponger!Q:Q),1,73)="","",OFFSET(_xlfn.XLOOKUP(B19,Kuponger!E:E,Kuponger!Q:Q),1,73)),"")</f>
        <v>6</v>
      </c>
      <c r="I19" s="3">
        <f ca="1">IFERROR(t_lev[[#This Row],[tp]]-G18,"")</f>
        <v>-20</v>
      </c>
      <c r="K19" s="2" t="s">
        <v>854</v>
      </c>
      <c r="L19" s="2">
        <f>L13</f>
        <v>80</v>
      </c>
      <c r="M19" s="2">
        <f t="shared" ref="M19:S19" si="6">M13</f>
        <v>70</v>
      </c>
      <c r="N19" s="2">
        <f t="shared" si="6"/>
        <v>60</v>
      </c>
      <c r="O19" s="2">
        <f t="shared" si="6"/>
        <v>50</v>
      </c>
      <c r="P19" s="2">
        <f t="shared" si="6"/>
        <v>40</v>
      </c>
      <c r="Q19" s="2">
        <f t="shared" si="6"/>
        <v>30</v>
      </c>
      <c r="R19" s="2">
        <f t="shared" si="6"/>
        <v>20</v>
      </c>
      <c r="S19" s="2">
        <f t="shared" si="6"/>
        <v>10</v>
      </c>
    </row>
    <row r="20" spans="1:20" x14ac:dyDescent="0.2">
      <c r="A20">
        <v>19</v>
      </c>
      <c r="B20" s="22">
        <f ca="1">Data!AL19</f>
        <v>46053</v>
      </c>
      <c r="C20">
        <f ca="1">IFERROR(IF(OFFSET(_xlfn.XLOOKUP(B20,Kuponger!E:E,Kuponger!Q:Q),15,72)=0,"",OFFSET(_xlfn.XLOOKUP(B20,Kuponger!E:E,Kuponger!Q:Q),15,72)),"")</f>
        <v>210</v>
      </c>
      <c r="D20">
        <f ca="1">IFERROR(IF(OFFSET(_xlfn.XLOOKUP(B20,Kuponger!E:E,Kuponger!Q:Q),15,73)=0,"",OFFSET(_xlfn.XLOOKUP(B20,Kuponger!E:E,Kuponger!Q:Q),15,73)),"")</f>
        <v>60</v>
      </c>
      <c r="E20">
        <f ca="1">IFERROR(IF(OFFSET(_xlfn.XLOOKUP(B20,Kuponger!E:E,Kuponger!Q:Q),15,74)=0,"",OFFSET(_xlfn.XLOOKUP(B20,Kuponger!E:E,Kuponger!Q:Q),15,74)),"")</f>
        <v>180</v>
      </c>
      <c r="F20" t="str">
        <f ca="1">IFERROR(IF(OFFSET(_xlfn.XLOOKUP(B20,Kuponger!E:E,Kuponger!Q:Q),1,74)=0,"",OFFSET(_xlfn.XLOOKUP(B20,Kuponger!E:E,Kuponger!Q:Q),1,74))*-1,"")</f>
        <v/>
      </c>
      <c r="G20">
        <f t="shared" ca="1" si="0"/>
        <v>450</v>
      </c>
      <c r="H20">
        <f ca="1">IFERROR(IF(OFFSET(_xlfn.XLOOKUP(B20,Kuponger!E:E,Kuponger!Q:Q),1,73)="","",OFFSET(_xlfn.XLOOKUP(B20,Kuponger!E:E,Kuponger!Q:Q),1,73)),"")</f>
        <v>8</v>
      </c>
      <c r="I20" s="3">
        <f ca="1">IFERROR(t_lev[[#This Row],[tp]]-G19,"")</f>
        <v>40</v>
      </c>
      <c r="K20" s="801" t="str">
        <f>K8</f>
        <v>Hjemme</v>
      </c>
      <c r="L20">
        <f>L$8*L$19</f>
        <v>5360</v>
      </c>
      <c r="M20">
        <f t="shared" ref="M20:S20" si="7">M$8*M$19</f>
        <v>770</v>
      </c>
      <c r="N20">
        <f t="shared" si="7"/>
        <v>1500</v>
      </c>
      <c r="O20">
        <f t="shared" si="7"/>
        <v>750</v>
      </c>
      <c r="P20">
        <f t="shared" si="7"/>
        <v>520</v>
      </c>
      <c r="Q20">
        <f t="shared" si="7"/>
        <v>390</v>
      </c>
      <c r="R20">
        <f t="shared" si="7"/>
        <v>340</v>
      </c>
      <c r="S20">
        <f t="shared" si="7"/>
        <v>150</v>
      </c>
      <c r="T20">
        <f>SUM(L$20:S$20)</f>
        <v>9780</v>
      </c>
    </row>
    <row r="21" spans="1:20" x14ac:dyDescent="0.2">
      <c r="A21">
        <v>20</v>
      </c>
      <c r="B21" s="22">
        <f ca="1">Data!AL20</f>
        <v>46060</v>
      </c>
      <c r="C21">
        <f ca="1">IFERROR(IF(OFFSET(_xlfn.XLOOKUP(B21,Kuponger!E:E,Kuponger!Q:Q),15,72)=0,"",OFFSET(_xlfn.XLOOKUP(B21,Kuponger!E:E,Kuponger!Q:Q),15,72)),"")</f>
        <v>210</v>
      </c>
      <c r="D21">
        <f ca="1">IFERROR(IF(OFFSET(_xlfn.XLOOKUP(B21,Kuponger!E:E,Kuponger!Q:Q),15,73)=0,"",OFFSET(_xlfn.XLOOKUP(B21,Kuponger!E:E,Kuponger!Q:Q),15,73)),"")</f>
        <v>50</v>
      </c>
      <c r="E21">
        <f ca="1">IFERROR(IF(OFFSET(_xlfn.XLOOKUP(B21,Kuponger!E:E,Kuponger!Q:Q),15,74)=0,"",OFFSET(_xlfn.XLOOKUP(B21,Kuponger!E:E,Kuponger!Q:Q),15,74)),"")</f>
        <v>200</v>
      </c>
      <c r="F21" t="str">
        <f ca="1">IFERROR(IF(OFFSET(_xlfn.XLOOKUP(B21,Kuponger!E:E,Kuponger!Q:Q),1,74)=0,"",OFFSET(_xlfn.XLOOKUP(B21,Kuponger!E:E,Kuponger!Q:Q),1,74))*-1,"")</f>
        <v/>
      </c>
      <c r="G21">
        <f t="shared" ca="1" si="0"/>
        <v>460</v>
      </c>
      <c r="H21">
        <f ca="1">IFERROR(IF(OFFSET(_xlfn.XLOOKUP(B21,Kuponger!E:E,Kuponger!Q:Q),1,73)="","",OFFSET(_xlfn.XLOOKUP(B21,Kuponger!E:E,Kuponger!Q:Q),1,73)),"")</f>
        <v>7</v>
      </c>
      <c r="I21" s="3">
        <f ca="1">IFERROR(t_lev[[#This Row],[tp]]-G20,"")</f>
        <v>10</v>
      </c>
      <c r="K21" s="801" t="str">
        <f>K9</f>
        <v>Uavgjort</v>
      </c>
      <c r="L21">
        <f>L$9*L$19</f>
        <v>0</v>
      </c>
      <c r="M21">
        <f t="shared" ref="M21:S21" si="8">M$9*M$19</f>
        <v>0</v>
      </c>
      <c r="N21">
        <f t="shared" si="8"/>
        <v>60</v>
      </c>
      <c r="O21">
        <f t="shared" si="8"/>
        <v>50</v>
      </c>
      <c r="P21">
        <f t="shared" si="8"/>
        <v>280</v>
      </c>
      <c r="Q21">
        <f t="shared" si="8"/>
        <v>660</v>
      </c>
      <c r="R21">
        <f t="shared" si="8"/>
        <v>380</v>
      </c>
      <c r="S21">
        <f t="shared" si="8"/>
        <v>390</v>
      </c>
      <c r="T21">
        <f>SUM(L$21:S$21)</f>
        <v>1820</v>
      </c>
    </row>
    <row r="22" spans="1:20" x14ac:dyDescent="0.2">
      <c r="A22">
        <v>21</v>
      </c>
      <c r="B22" s="22">
        <f ca="1">Data!AL21</f>
        <v>46067</v>
      </c>
      <c r="C22">
        <f ca="1">IFERROR(IF(OFFSET(_xlfn.XLOOKUP(B22,Kuponger!E:E,Kuponger!Q:Q),15,72)=0,"",OFFSET(_xlfn.XLOOKUP(B22,Kuponger!E:E,Kuponger!Q:Q),15,72)),"")</f>
        <v>270</v>
      </c>
      <c r="D22">
        <f ca="1">IFERROR(IF(OFFSET(_xlfn.XLOOKUP(B22,Kuponger!E:E,Kuponger!Q:Q),15,73)=0,"",OFFSET(_xlfn.XLOOKUP(B22,Kuponger!E:E,Kuponger!Q:Q),15,73)),"")</f>
        <v>110</v>
      </c>
      <c r="E22">
        <f ca="1">IFERROR(IF(OFFSET(_xlfn.XLOOKUP(B22,Kuponger!E:E,Kuponger!Q:Q),15,74)=0,"",OFFSET(_xlfn.XLOOKUP(B22,Kuponger!E:E,Kuponger!Q:Q),15,74)),"")</f>
        <v>80</v>
      </c>
      <c r="F22" t="str">
        <f ca="1">IFERROR(IF(OFFSET(_xlfn.XLOOKUP(B22,Kuponger!E:E,Kuponger!Q:Q),1,74)=0,"",OFFSET(_xlfn.XLOOKUP(B22,Kuponger!E:E,Kuponger!Q:Q),1,74))*-1,"")</f>
        <v/>
      </c>
      <c r="G22">
        <f t="shared" ca="1" si="0"/>
        <v>460</v>
      </c>
      <c r="H22">
        <f ca="1">IFERROR(IF(OFFSET(_xlfn.XLOOKUP(B22,Kuponger!E:E,Kuponger!Q:Q),1,73)="","",OFFSET(_xlfn.XLOOKUP(B22,Kuponger!E:E,Kuponger!Q:Q),1,73)),"")</f>
        <v>6</v>
      </c>
      <c r="I22" s="3">
        <f ca="1">IFERROR(t_lev[[#This Row],[tp]]-G21,"")</f>
        <v>0</v>
      </c>
      <c r="K22" s="801" t="str">
        <f>K10</f>
        <v>Borte</v>
      </c>
      <c r="L22">
        <f>L$10*L$19</f>
        <v>1680</v>
      </c>
      <c r="M22">
        <f t="shared" ref="M22:S22" si="9">M$10*M$19</f>
        <v>490</v>
      </c>
      <c r="N22">
        <f t="shared" si="9"/>
        <v>600</v>
      </c>
      <c r="O22">
        <f t="shared" si="9"/>
        <v>400</v>
      </c>
      <c r="P22">
        <f t="shared" si="9"/>
        <v>320</v>
      </c>
      <c r="Q22">
        <f t="shared" si="9"/>
        <v>480</v>
      </c>
      <c r="R22">
        <f t="shared" si="9"/>
        <v>380</v>
      </c>
      <c r="S22">
        <f t="shared" si="9"/>
        <v>300</v>
      </c>
      <c r="T22">
        <f>SUM(L$22:S$22)</f>
        <v>4650</v>
      </c>
    </row>
    <row r="23" spans="1:20" x14ac:dyDescent="0.2">
      <c r="A23">
        <v>22</v>
      </c>
      <c r="B23" s="22">
        <f ca="1">Data!AL22</f>
        <v>46074</v>
      </c>
      <c r="C23">
        <f ca="1">IFERROR(IF(OFFSET(_xlfn.XLOOKUP(B23,Kuponger!E:E,Kuponger!Q:Q),15,72)=0,"",OFFSET(_xlfn.XLOOKUP(B23,Kuponger!E:E,Kuponger!Q:Q),15,72)),"")</f>
        <v>160</v>
      </c>
      <c r="D23">
        <f ca="1">IFERROR(IF(OFFSET(_xlfn.XLOOKUP(B23,Kuponger!E:E,Kuponger!Q:Q),15,73)=0,"",OFFSET(_xlfn.XLOOKUP(B23,Kuponger!E:E,Kuponger!Q:Q),15,73)),"")</f>
        <v>110</v>
      </c>
      <c r="E23">
        <f ca="1">IFERROR(IF(OFFSET(_xlfn.XLOOKUP(B23,Kuponger!E:E,Kuponger!Q:Q),15,74)=0,"",OFFSET(_xlfn.XLOOKUP(B23,Kuponger!E:E,Kuponger!Q:Q),15,74)),"")</f>
        <v>70</v>
      </c>
      <c r="F23" t="str">
        <f ca="1">IFERROR(IF(OFFSET(_xlfn.XLOOKUP(B23,Kuponger!E:E,Kuponger!Q:Q),1,74)=0,"",OFFSET(_xlfn.XLOOKUP(B23,Kuponger!E:E,Kuponger!Q:Q),1,74))*-1,"")</f>
        <v/>
      </c>
      <c r="G23">
        <f t="shared" ca="1" si="0"/>
        <v>340</v>
      </c>
      <c r="H23">
        <f ca="1">IFERROR(IF(OFFSET(_xlfn.XLOOKUP(B23,Kuponger!E:E,Kuponger!Q:Q),1,73)="","",OFFSET(_xlfn.XLOOKUP(B23,Kuponger!E:E,Kuponger!Q:Q),1,73)),"")</f>
        <v>3</v>
      </c>
      <c r="I23" s="3">
        <f ca="1">IFERROR(t_lev[[#This Row],[tp]]-G22,"")</f>
        <v>-120</v>
      </c>
      <c r="K23" s="801" t="str">
        <f>K19</f>
        <v>Treff poeng</v>
      </c>
      <c r="L23">
        <f>SUM(L20:L22)</f>
        <v>7040</v>
      </c>
      <c r="M23">
        <f t="shared" ref="M23:S23" si="10">SUM(M20:M22)</f>
        <v>1260</v>
      </c>
      <c r="N23">
        <f t="shared" si="10"/>
        <v>2160</v>
      </c>
      <c r="O23">
        <f t="shared" si="10"/>
        <v>1200</v>
      </c>
      <c r="P23">
        <f t="shared" si="10"/>
        <v>1120</v>
      </c>
      <c r="Q23">
        <f t="shared" si="10"/>
        <v>1530</v>
      </c>
      <c r="R23">
        <f t="shared" si="10"/>
        <v>1100</v>
      </c>
      <c r="S23">
        <f t="shared" si="10"/>
        <v>840</v>
      </c>
      <c r="T23">
        <f>SUM(L$23:S$23)</f>
        <v>16250</v>
      </c>
    </row>
    <row r="24" spans="1:20" x14ac:dyDescent="0.2">
      <c r="A24">
        <v>23</v>
      </c>
      <c r="B24" s="22">
        <f ca="1">Data!AL23</f>
        <v>46081</v>
      </c>
      <c r="C24">
        <f ca="1">IFERROR(IF(OFFSET(_xlfn.XLOOKUP(B24,Kuponger!E:E,Kuponger!Q:Q),15,72)=0,"",OFFSET(_xlfn.XLOOKUP(B24,Kuponger!E:E,Kuponger!Q:Q),15,72)),"")</f>
        <v>290</v>
      </c>
      <c r="D24" t="str">
        <f ca="1">IFERROR(IF(OFFSET(_xlfn.XLOOKUP(B24,Kuponger!E:E,Kuponger!Q:Q),15,73)=0,"",OFFSET(_xlfn.XLOOKUP(B24,Kuponger!E:E,Kuponger!Q:Q),15,73)),"")</f>
        <v/>
      </c>
      <c r="E24">
        <f ca="1">IFERROR(IF(OFFSET(_xlfn.XLOOKUP(B24,Kuponger!E:E,Kuponger!Q:Q),15,74)=0,"",OFFSET(_xlfn.XLOOKUP(B24,Kuponger!E:E,Kuponger!Q:Q),15,74)),"")</f>
        <v>240</v>
      </c>
      <c r="F24" t="str">
        <f ca="1">IFERROR(IF(OFFSET(_xlfn.XLOOKUP(B24,Kuponger!E:E,Kuponger!Q:Q),1,74)=0,"",OFFSET(_xlfn.XLOOKUP(B24,Kuponger!E:E,Kuponger!Q:Q),1,74))*-1,"")</f>
        <v/>
      </c>
      <c r="G24">
        <f t="shared" ca="1" si="0"/>
        <v>530</v>
      </c>
      <c r="H24">
        <f ca="1">IFERROR(IF(OFFSET(_xlfn.XLOOKUP(B24,Kuponger!E:E,Kuponger!Q:Q),1,73)="","",OFFSET(_xlfn.XLOOKUP(B24,Kuponger!E:E,Kuponger!Q:Q),1,73)),"")</f>
        <v>8</v>
      </c>
      <c r="I24" s="3">
        <f ca="1">IFERROR(t_lev[[#This Row],[tp]]-G23,"")</f>
        <v>190</v>
      </c>
      <c r="K24" s="4"/>
    </row>
    <row r="25" spans="1:20" x14ac:dyDescent="0.2">
      <c r="A25">
        <v>24</v>
      </c>
      <c r="B25" s="22">
        <f ca="1">Data!AL24</f>
        <v>46088</v>
      </c>
      <c r="C25">
        <f ca="1">IFERROR(IF(OFFSET(_xlfn.XLOOKUP(B25,Kuponger!E:E,Kuponger!Q:Q),15,72)=0,"",OFFSET(_xlfn.XLOOKUP(B25,Kuponger!E:E,Kuponger!Q:Q),15,72)),"")</f>
        <v>140</v>
      </c>
      <c r="D25">
        <f ca="1">IFERROR(IF(OFFSET(_xlfn.XLOOKUP(B25,Kuponger!E:E,Kuponger!Q:Q),15,73)=0,"",OFFSET(_xlfn.XLOOKUP(B25,Kuponger!E:E,Kuponger!Q:Q),15,73)),"")</f>
        <v>70</v>
      </c>
      <c r="E25">
        <f ca="1">IFERROR(IF(OFFSET(_xlfn.XLOOKUP(B25,Kuponger!E:E,Kuponger!Q:Q),15,74)=0,"",OFFSET(_xlfn.XLOOKUP(B25,Kuponger!E:E,Kuponger!Q:Q),15,74)),"")</f>
        <v>250</v>
      </c>
      <c r="F25" t="str">
        <f ca="1">IFERROR(IF(OFFSET(_xlfn.XLOOKUP(B25,Kuponger!E:E,Kuponger!Q:Q),1,74)=0,"",OFFSET(_xlfn.XLOOKUP(B25,Kuponger!E:E,Kuponger!Q:Q),1,74))*-1,"")</f>
        <v/>
      </c>
      <c r="G25">
        <f t="shared" ca="1" si="0"/>
        <v>460</v>
      </c>
      <c r="H25">
        <f ca="1">IFERROR(IF(OFFSET(_xlfn.XLOOKUP(B25,Kuponger!E:E,Kuponger!Q:Q),1,73)="","",OFFSET(_xlfn.XLOOKUP(B25,Kuponger!E:E,Kuponger!Q:Q),1,73)),"")</f>
        <v>7</v>
      </c>
      <c r="I25" s="3">
        <f ca="1">IFERROR(t_lev[[#This Row],[tp]]-G24,"")</f>
        <v>-70</v>
      </c>
      <c r="K25" s="2" t="s">
        <v>855</v>
      </c>
      <c r="L25" s="2">
        <f>L19</f>
        <v>80</v>
      </c>
      <c r="M25" s="2">
        <f t="shared" ref="M25:S25" si="11">M19</f>
        <v>70</v>
      </c>
      <c r="N25" s="2">
        <f t="shared" si="11"/>
        <v>60</v>
      </c>
      <c r="O25" s="2">
        <f t="shared" si="11"/>
        <v>50</v>
      </c>
      <c r="P25" s="2">
        <f t="shared" si="11"/>
        <v>40</v>
      </c>
      <c r="Q25" s="2">
        <f t="shared" si="11"/>
        <v>30</v>
      </c>
      <c r="R25" s="2">
        <f t="shared" si="11"/>
        <v>20</v>
      </c>
      <c r="S25" s="2">
        <f t="shared" si="11"/>
        <v>10</v>
      </c>
    </row>
    <row r="26" spans="1:20" x14ac:dyDescent="0.2">
      <c r="A26">
        <v>25</v>
      </c>
      <c r="B26" s="22">
        <f ca="1">Data!AL25</f>
        <v>46095</v>
      </c>
      <c r="C26">
        <f ca="1">IFERROR(IF(OFFSET(_xlfn.XLOOKUP(B26,Kuponger!E:E,Kuponger!Q:Q),15,72)=0,"",OFFSET(_xlfn.XLOOKUP(B26,Kuponger!E:E,Kuponger!Q:Q),15,72)),"")</f>
        <v>240</v>
      </c>
      <c r="D26">
        <f ca="1">IFERROR(IF(OFFSET(_xlfn.XLOOKUP(B26,Kuponger!E:E,Kuponger!Q:Q),15,73)=0,"",OFFSET(_xlfn.XLOOKUP(B26,Kuponger!E:E,Kuponger!Q:Q),15,73)),"")</f>
        <v>80</v>
      </c>
      <c r="E26">
        <f ca="1">IFERROR(IF(OFFSET(_xlfn.XLOOKUP(B26,Kuponger!E:E,Kuponger!Q:Q),15,74)=0,"",OFFSET(_xlfn.XLOOKUP(B26,Kuponger!E:E,Kuponger!Q:Q),15,74)),"")</f>
        <v>80</v>
      </c>
      <c r="F26" t="str">
        <f ca="1">IFERROR(IF(OFFSET(_xlfn.XLOOKUP(B26,Kuponger!E:E,Kuponger!Q:Q),1,74)=0,"",OFFSET(_xlfn.XLOOKUP(B26,Kuponger!E:E,Kuponger!Q:Q),1,74))*-1,"")</f>
        <v/>
      </c>
      <c r="G26">
        <f t="shared" ca="1" si="0"/>
        <v>400</v>
      </c>
      <c r="H26">
        <f ca="1">IFERROR(IF(OFFSET(_xlfn.XLOOKUP(B26,Kuponger!E:E,Kuponger!Q:Q),1,73)="","",OFFSET(_xlfn.XLOOKUP(B26,Kuponger!E:E,Kuponger!Q:Q),1,73)),"")</f>
        <v>4</v>
      </c>
      <c r="I26" s="3">
        <f ca="1">IFERROR(t_lev[[#This Row],[tp]]-G25,"")</f>
        <v>-60</v>
      </c>
      <c r="K26" s="801" t="str">
        <f>K8</f>
        <v>Hjemme</v>
      </c>
      <c r="L26">
        <f>L$14*L$25</f>
        <v>2800</v>
      </c>
      <c r="M26">
        <f t="shared" ref="M26:S26" si="12">M$14*M$25</f>
        <v>770</v>
      </c>
      <c r="N26">
        <f t="shared" si="12"/>
        <v>1620</v>
      </c>
      <c r="O26">
        <f t="shared" si="12"/>
        <v>950</v>
      </c>
      <c r="P26">
        <f t="shared" si="12"/>
        <v>520</v>
      </c>
      <c r="Q26">
        <f t="shared" si="12"/>
        <v>870</v>
      </c>
      <c r="R26">
        <f t="shared" si="12"/>
        <v>560</v>
      </c>
      <c r="S26">
        <f t="shared" si="12"/>
        <v>460</v>
      </c>
      <c r="T26">
        <f>SUM(L$26:S$26)</f>
        <v>8550</v>
      </c>
    </row>
    <row r="27" spans="1:20" x14ac:dyDescent="0.2">
      <c r="A27">
        <v>26</v>
      </c>
      <c r="B27" s="22">
        <f ca="1">Data!AL26</f>
        <v>46102</v>
      </c>
      <c r="C27">
        <f ca="1">IFERROR(IF(OFFSET(_xlfn.XLOOKUP(B27,Kuponger!E:E,Kuponger!Q:Q),15,72)=0,"",OFFSET(_xlfn.XLOOKUP(B27,Kuponger!E:E,Kuponger!Q:Q),15,72)),"")</f>
        <v>250</v>
      </c>
      <c r="D27">
        <f ca="1">IFERROR(IF(OFFSET(_xlfn.XLOOKUP(B27,Kuponger!E:E,Kuponger!Q:Q),15,73)=0,"",OFFSET(_xlfn.XLOOKUP(B27,Kuponger!E:E,Kuponger!Q:Q),15,73)),"")</f>
        <v>30</v>
      </c>
      <c r="E27">
        <f ca="1">IFERROR(IF(OFFSET(_xlfn.XLOOKUP(B27,Kuponger!E:E,Kuponger!Q:Q),15,74)=0,"",OFFSET(_xlfn.XLOOKUP(B27,Kuponger!E:E,Kuponger!Q:Q),15,74)),"")</f>
        <v>80</v>
      </c>
      <c r="F27" t="str">
        <f ca="1">IFERROR(IF(OFFSET(_xlfn.XLOOKUP(B27,Kuponger!E:E,Kuponger!Q:Q),1,74)=0,"",OFFSET(_xlfn.XLOOKUP(B27,Kuponger!E:E,Kuponger!Q:Q),1,74))*-1,"")</f>
        <v/>
      </c>
      <c r="G27">
        <f t="shared" ca="1" si="0"/>
        <v>360</v>
      </c>
      <c r="H27">
        <f ca="1">IFERROR(IF(OFFSET(_xlfn.XLOOKUP(B27,Kuponger!E:E,Kuponger!Q:Q),1,73)="","",OFFSET(_xlfn.XLOOKUP(B27,Kuponger!E:E,Kuponger!Q:Q),1,73)),"")</f>
        <v>9</v>
      </c>
      <c r="I27" s="3">
        <f ca="1">IFERROR(t_lev[[#This Row],[tp]]-G26,"")</f>
        <v>-40</v>
      </c>
      <c r="K27" s="801" t="str">
        <f>K9</f>
        <v>Uavgjort</v>
      </c>
      <c r="L27">
        <f>L$25*L$15</f>
        <v>640</v>
      </c>
      <c r="M27">
        <f t="shared" ref="M27:S27" si="13">M$25*M$15</f>
        <v>420</v>
      </c>
      <c r="N27">
        <f t="shared" si="13"/>
        <v>480</v>
      </c>
      <c r="O27">
        <f t="shared" si="13"/>
        <v>450</v>
      </c>
      <c r="P27">
        <f t="shared" si="13"/>
        <v>1400</v>
      </c>
      <c r="Q27">
        <f t="shared" si="13"/>
        <v>2040</v>
      </c>
      <c r="R27">
        <f t="shared" si="13"/>
        <v>1200</v>
      </c>
      <c r="S27">
        <f t="shared" si="13"/>
        <v>1270</v>
      </c>
      <c r="T27">
        <f>SUM(L$27:S$27)</f>
        <v>7900</v>
      </c>
    </row>
    <row r="28" spans="1:20" x14ac:dyDescent="0.2">
      <c r="A28">
        <v>27</v>
      </c>
      <c r="B28" s="22">
        <f ca="1">Data!AL27</f>
        <v>46109</v>
      </c>
      <c r="C28">
        <f ca="1">IFERROR(IF(OFFSET(_xlfn.XLOOKUP(B28,Kuponger!E:E,Kuponger!Q:Q),15,72)=0,"",OFFSET(_xlfn.XLOOKUP(B28,Kuponger!E:E,Kuponger!Q:Q),15,72)),"")</f>
        <v>410</v>
      </c>
      <c r="D28">
        <f ca="1">IFERROR(IF(OFFSET(_xlfn.XLOOKUP(B28,Kuponger!E:E,Kuponger!Q:Q),15,73)=0,"",OFFSET(_xlfn.XLOOKUP(B28,Kuponger!E:E,Kuponger!Q:Q),15,73)),"")</f>
        <v>80</v>
      </c>
      <c r="E28" t="str">
        <f ca="1">IFERROR(IF(OFFSET(_xlfn.XLOOKUP(B28,Kuponger!E:E,Kuponger!Q:Q),15,74)=0,"",OFFSET(_xlfn.XLOOKUP(B28,Kuponger!E:E,Kuponger!Q:Q),15,74)),"")</f>
        <v/>
      </c>
      <c r="F28" t="str">
        <f ca="1">IFERROR(IF(OFFSET(_xlfn.XLOOKUP(B28,Kuponger!E:E,Kuponger!Q:Q),1,74)=0,"",OFFSET(_xlfn.XLOOKUP(B28,Kuponger!E:E,Kuponger!Q:Q),1,74))*-1,"")</f>
        <v/>
      </c>
      <c r="G28">
        <f t="shared" ca="1" si="0"/>
        <v>490</v>
      </c>
      <c r="H28">
        <f ca="1">IFERROR(IF(OFFSET(_xlfn.XLOOKUP(B28,Kuponger!E:E,Kuponger!Q:Q),1,73)="","",OFFSET(_xlfn.XLOOKUP(B28,Kuponger!E:E,Kuponger!Q:Q),1,73)),"")</f>
        <v>4</v>
      </c>
      <c r="I28" s="3">
        <f ca="1">IFERROR(t_lev[[#This Row],[tp]]-G27,"")</f>
        <v>130</v>
      </c>
      <c r="K28" s="801" t="str">
        <f>K10</f>
        <v>Borte</v>
      </c>
      <c r="L28">
        <f>L$25*L$16</f>
        <v>1280</v>
      </c>
      <c r="M28">
        <f t="shared" ref="M28:S28" si="14">M$25*M$16</f>
        <v>630</v>
      </c>
      <c r="N28">
        <f t="shared" si="14"/>
        <v>1500</v>
      </c>
      <c r="O28">
        <f t="shared" si="14"/>
        <v>650</v>
      </c>
      <c r="P28">
        <f t="shared" si="14"/>
        <v>440</v>
      </c>
      <c r="Q28">
        <f t="shared" si="14"/>
        <v>750</v>
      </c>
      <c r="R28">
        <f t="shared" si="14"/>
        <v>800</v>
      </c>
      <c r="S28">
        <f t="shared" si="14"/>
        <v>1340</v>
      </c>
      <c r="T28">
        <f>SUM(L$28:S$28)</f>
        <v>7390</v>
      </c>
    </row>
    <row r="29" spans="1:20" x14ac:dyDescent="0.2">
      <c r="A29">
        <v>28</v>
      </c>
      <c r="B29" s="22">
        <f ca="1">Data!AL28</f>
        <v>46123</v>
      </c>
      <c r="C29">
        <f ca="1">IFERROR(IF(OFFSET(_xlfn.XLOOKUP(B29,Kuponger!E:E,Kuponger!Q:Q),15,72)=0,"",OFFSET(_xlfn.XLOOKUP(B29,Kuponger!E:E,Kuponger!Q:Q),15,72)),"")</f>
        <v>340</v>
      </c>
      <c r="D29">
        <f ca="1">IFERROR(IF(OFFSET(_xlfn.XLOOKUP(B29,Kuponger!E:E,Kuponger!Q:Q),15,73)=0,"",OFFSET(_xlfn.XLOOKUP(B29,Kuponger!E:E,Kuponger!Q:Q),15,73)),"")</f>
        <v>40</v>
      </c>
      <c r="E29">
        <f ca="1">IFERROR(IF(OFFSET(_xlfn.XLOOKUP(B29,Kuponger!E:E,Kuponger!Q:Q),15,74)=0,"",OFFSET(_xlfn.XLOOKUP(B29,Kuponger!E:E,Kuponger!Q:Q),15,74)),"")</f>
        <v>80</v>
      </c>
      <c r="F29" t="str">
        <f ca="1">IFERROR(IF(OFFSET(_xlfn.XLOOKUP(B29,Kuponger!E:E,Kuponger!Q:Q),1,74)=0,"",OFFSET(_xlfn.XLOOKUP(B29,Kuponger!E:E,Kuponger!Q:Q),1,74))*-1,"")</f>
        <v/>
      </c>
      <c r="G29">
        <f t="shared" ca="1" si="0"/>
        <v>460</v>
      </c>
      <c r="H29">
        <f ca="1">IFERROR(IF(OFFSET(_xlfn.XLOOKUP(B29,Kuponger!E:E,Kuponger!Q:Q),1,73)="","",OFFSET(_xlfn.XLOOKUP(B29,Kuponger!E:E,Kuponger!Q:Q),1,73)),"")</f>
        <v>6</v>
      </c>
      <c r="I29" s="3">
        <f ca="1">IFERROR(t_lev[[#This Row],[tp]]-G28,"")</f>
        <v>-30</v>
      </c>
      <c r="K29" s="801" t="str">
        <f>K25</f>
        <v>Misset poeng</v>
      </c>
      <c r="L29">
        <f>SUM(L26:L28)</f>
        <v>4720</v>
      </c>
      <c r="M29">
        <f t="shared" ref="M29:S29" si="15">SUM(M26:M28)</f>
        <v>1820</v>
      </c>
      <c r="N29">
        <f t="shared" si="15"/>
        <v>3600</v>
      </c>
      <c r="O29">
        <f t="shared" si="15"/>
        <v>2050</v>
      </c>
      <c r="P29">
        <f t="shared" si="15"/>
        <v>2360</v>
      </c>
      <c r="Q29">
        <f t="shared" si="15"/>
        <v>3660</v>
      </c>
      <c r="R29">
        <f t="shared" si="15"/>
        <v>2560</v>
      </c>
      <c r="S29">
        <f t="shared" si="15"/>
        <v>3070</v>
      </c>
      <c r="T29">
        <f>SUM(L$29:S$29)</f>
        <v>23840</v>
      </c>
    </row>
    <row r="30" spans="1:20" x14ac:dyDescent="0.2">
      <c r="A30">
        <v>29</v>
      </c>
      <c r="B30" s="22">
        <f ca="1">Data!AL29</f>
        <v>46130</v>
      </c>
      <c r="C30">
        <f ca="1">IFERROR(IF(OFFSET(_xlfn.XLOOKUP(B30,Kuponger!E:E,Kuponger!Q:Q),15,72)=0,"",OFFSET(_xlfn.XLOOKUP(B30,Kuponger!E:E,Kuponger!Q:Q),15,72)),"")</f>
        <v>130</v>
      </c>
      <c r="D30">
        <f ca="1">IFERROR(IF(OFFSET(_xlfn.XLOOKUP(B30,Kuponger!E:E,Kuponger!Q:Q),15,73)=0,"",OFFSET(_xlfn.XLOOKUP(B30,Kuponger!E:E,Kuponger!Q:Q),15,73)),"")</f>
        <v>80</v>
      </c>
      <c r="E30">
        <f ca="1">IFERROR(IF(OFFSET(_xlfn.XLOOKUP(B30,Kuponger!E:E,Kuponger!Q:Q),15,74)=0,"",OFFSET(_xlfn.XLOOKUP(B30,Kuponger!E:E,Kuponger!Q:Q),15,74)),"")</f>
        <v>200</v>
      </c>
      <c r="F30" t="str">
        <f ca="1">IFERROR(IF(OFFSET(_xlfn.XLOOKUP(B30,Kuponger!E:E,Kuponger!Q:Q),1,74)=0,"",OFFSET(_xlfn.XLOOKUP(B30,Kuponger!E:E,Kuponger!Q:Q),1,74))*-1,"")</f>
        <v/>
      </c>
      <c r="G30">
        <f t="shared" ca="1" si="0"/>
        <v>410</v>
      </c>
      <c r="H30">
        <f ca="1">IFERROR(IF(OFFSET(_xlfn.XLOOKUP(B30,Kuponger!E:E,Kuponger!Q:Q),1,73)="","",OFFSET(_xlfn.XLOOKUP(B30,Kuponger!E:E,Kuponger!Q:Q),1,73)),"")</f>
        <v>6</v>
      </c>
      <c r="I30" s="3">
        <f ca="1">IFERROR(t_lev[[#This Row],[tp]]-G29,"")</f>
        <v>-50</v>
      </c>
    </row>
    <row r="31" spans="1:20" x14ac:dyDescent="0.2">
      <c r="A31">
        <v>30</v>
      </c>
      <c r="B31" s="22">
        <f ca="1">Data!AL30</f>
        <v>46137</v>
      </c>
      <c r="C31">
        <f ca="1">IFERROR(IF(OFFSET(_xlfn.XLOOKUP(B31,Kuponger!E:E,Kuponger!Q:Q),15,72)=0,"",OFFSET(_xlfn.XLOOKUP(B31,Kuponger!E:E,Kuponger!Q:Q),15,72)),"")</f>
        <v>320</v>
      </c>
      <c r="D31">
        <f ca="1">IFERROR(IF(OFFSET(_xlfn.XLOOKUP(B31,Kuponger!E:E,Kuponger!Q:Q),15,73)=0,"",OFFSET(_xlfn.XLOOKUP(B31,Kuponger!E:E,Kuponger!Q:Q),15,73)),"")</f>
        <v>30</v>
      </c>
      <c r="E31">
        <f ca="1">IFERROR(IF(OFFSET(_xlfn.XLOOKUP(B31,Kuponger!E:E,Kuponger!Q:Q),15,74)=0,"",OFFSET(_xlfn.XLOOKUP(B31,Kuponger!E:E,Kuponger!Q:Q),15,74)),"")</f>
        <v>250</v>
      </c>
      <c r="F31" t="str">
        <f ca="1">IFERROR(IF(OFFSET(_xlfn.XLOOKUP(B31,Kuponger!E:E,Kuponger!Q:Q),1,74)=0,"",OFFSET(_xlfn.XLOOKUP(B31,Kuponger!E:E,Kuponger!Q:Q),1,74))*-1,"")</f>
        <v/>
      </c>
      <c r="G31">
        <f t="shared" ca="1" si="0"/>
        <v>600</v>
      </c>
      <c r="H31">
        <f ca="1">IFERROR(IF(OFFSET(_xlfn.XLOOKUP(B31,Kuponger!E:E,Kuponger!Q:Q),1,73)="","",OFFSET(_xlfn.XLOOKUP(B31,Kuponger!E:E,Kuponger!Q:Q),1,73)),"")</f>
        <v>3</v>
      </c>
      <c r="I31" s="3">
        <f ca="1">IFERROR(t_lev[[#This Row],[tp]]-G30,"")</f>
        <v>190</v>
      </c>
      <c r="K31" t="s">
        <v>856</v>
      </c>
    </row>
    <row r="32" spans="1:20" x14ac:dyDescent="0.2">
      <c r="A32">
        <v>31</v>
      </c>
      <c r="B32" s="22">
        <f ca="1">Data!AL31</f>
        <v>46144</v>
      </c>
      <c r="C32">
        <f ca="1">IFERROR(IF(OFFSET(_xlfn.XLOOKUP(B32,Kuponger!E:E,Kuponger!Q:Q),15,72)=0,"",OFFSET(_xlfn.XLOOKUP(B32,Kuponger!E:E,Kuponger!Q:Q),15,72)),"")</f>
        <v>270</v>
      </c>
      <c r="D32">
        <f ca="1">IFERROR(IF(OFFSET(_xlfn.XLOOKUP(B32,Kuponger!E:E,Kuponger!Q:Q),15,73)=0,"",OFFSET(_xlfn.XLOOKUP(B32,Kuponger!E:E,Kuponger!Q:Q),15,73)),"")</f>
        <v>50</v>
      </c>
      <c r="E32">
        <f ca="1">IFERROR(IF(OFFSET(_xlfn.XLOOKUP(B32,Kuponger!E:E,Kuponger!Q:Q),15,74)=0,"",OFFSET(_xlfn.XLOOKUP(B32,Kuponger!E:E,Kuponger!Q:Q),15,74)),"")</f>
        <v>160</v>
      </c>
      <c r="F32" t="str">
        <f ca="1">IFERROR(IF(OFFSET(_xlfn.XLOOKUP(B32,Kuponger!E:E,Kuponger!Q:Q),1,74)=0,"",OFFSET(_xlfn.XLOOKUP(B32,Kuponger!E:E,Kuponger!Q:Q),1,74))*-1,"")</f>
        <v/>
      </c>
      <c r="G32">
        <f t="shared" ca="1" si="0"/>
        <v>480</v>
      </c>
      <c r="H32">
        <f ca="1">IFERROR(IF(OFFSET(_xlfn.XLOOKUP(B32,Kuponger!E:E,Kuponger!Q:Q),1,73)="","",OFFSET(_xlfn.XLOOKUP(B32,Kuponger!E:E,Kuponger!Q:Q),1,73)),"")</f>
        <v>5</v>
      </c>
      <c r="I32" s="3">
        <f ca="1">IFERROR(t_lev[[#This Row],[tp]]-G31,"")</f>
        <v>-120</v>
      </c>
      <c r="K32">
        <f>SUM(Kuponger!CR:CR)</f>
        <v>192</v>
      </c>
    </row>
    <row r="33" spans="1:14" x14ac:dyDescent="0.2">
      <c r="A33">
        <v>32</v>
      </c>
      <c r="B33" s="22">
        <f ca="1">Data!AL32</f>
        <v>46151</v>
      </c>
      <c r="C33">
        <f ca="1">IFERROR(IF(OFFSET(_xlfn.XLOOKUP(B33,Kuponger!E:E,Kuponger!Q:Q),15,72)=0,"",OFFSET(_xlfn.XLOOKUP(B33,Kuponger!E:E,Kuponger!Q:Q),15,72)),"")</f>
        <v>200</v>
      </c>
      <c r="D33">
        <f ca="1">IFERROR(IF(OFFSET(_xlfn.XLOOKUP(B33,Kuponger!E:E,Kuponger!Q:Q),15,73)=0,"",OFFSET(_xlfn.XLOOKUP(B33,Kuponger!E:E,Kuponger!Q:Q),15,73)),"")</f>
        <v>80</v>
      </c>
      <c r="E33">
        <f ca="1">IFERROR(IF(OFFSET(_xlfn.XLOOKUP(B33,Kuponger!E:E,Kuponger!Q:Q),15,74)=0,"",OFFSET(_xlfn.XLOOKUP(B33,Kuponger!E:E,Kuponger!Q:Q),15,74)),"")</f>
        <v>250</v>
      </c>
      <c r="F33" t="str">
        <f ca="1">IFERROR(IF(OFFSET(_xlfn.XLOOKUP(B33,Kuponger!E:E,Kuponger!Q:Q),1,74)=0,"",OFFSET(_xlfn.XLOOKUP(B33,Kuponger!E:E,Kuponger!Q:Q),1,74))*-1,"")</f>
        <v/>
      </c>
      <c r="G33">
        <f t="shared" ca="1" si="0"/>
        <v>530</v>
      </c>
      <c r="H33">
        <f ca="1">IFERROR(IF(OFFSET(_xlfn.XLOOKUP(B33,Kuponger!E:E,Kuponger!Q:Q),1,73)="","",OFFSET(_xlfn.XLOOKUP(B33,Kuponger!E:E,Kuponger!Q:Q),1,73)),"")</f>
        <v>8</v>
      </c>
      <c r="I33" s="3">
        <f ca="1">IFERROR(t_lev[[#This Row],[tp]]-G32,"")</f>
        <v>50</v>
      </c>
    </row>
    <row r="34" spans="1:14" x14ac:dyDescent="0.2">
      <c r="A34">
        <v>33</v>
      </c>
      <c r="B34" s="22" t="str">
        <f ca="1">Data!AL33</f>
        <v/>
      </c>
      <c r="C34" t="str">
        <f ca="1">IFERROR(IF(OFFSET(_xlfn.XLOOKUP(B34,Kuponger!E:E,Kuponger!Q:Q),15,72)=0,"",OFFSET(_xlfn.XLOOKUP(B34,Kuponger!E:E,Kuponger!Q:Q),15,72)),"")</f>
        <v/>
      </c>
      <c r="D34" t="str">
        <f ca="1">IFERROR(IF(OFFSET(_xlfn.XLOOKUP(B34,Kuponger!E:E,Kuponger!Q:Q),15,73)=0,"",OFFSET(_xlfn.XLOOKUP(B34,Kuponger!E:E,Kuponger!Q:Q),15,73)),"")</f>
        <v/>
      </c>
      <c r="E34" t="str">
        <f ca="1">IFERROR(IF(OFFSET(_xlfn.XLOOKUP(B34,Kuponger!E:E,Kuponger!Q:Q),15,74)=0,"",OFFSET(_xlfn.XLOOKUP(B34,Kuponger!E:E,Kuponger!Q:Q),15,74)),"")</f>
        <v/>
      </c>
      <c r="F34" t="str">
        <f ca="1">IFERROR(IF(OFFSET(_xlfn.XLOOKUP(B34,Kuponger!E:E,Kuponger!Q:Q),1,74)=0,"",OFFSET(_xlfn.XLOOKUP(B34,Kuponger!E:E,Kuponger!Q:Q),1,74))*-1,"")</f>
        <v/>
      </c>
      <c r="G34" t="str">
        <f t="shared" ca="1" si="0"/>
        <v/>
      </c>
      <c r="H34" t="str">
        <f ca="1">IFERROR(IF(OFFSET(_xlfn.XLOOKUP(B34,Kuponger!E:E,Kuponger!Q:Q),1,73)="","",OFFSET(_xlfn.XLOOKUP(B34,Kuponger!E:E,Kuponger!Q:Q),1,73)),"")</f>
        <v/>
      </c>
      <c r="I34" s="3" t="str">
        <f ca="1">IFERROR(t_lev[[#This Row],[tp]]-G33,"")</f>
        <v/>
      </c>
    </row>
    <row r="35" spans="1:14" x14ac:dyDescent="0.2">
      <c r="A35">
        <v>34</v>
      </c>
      <c r="B35" s="22" t="str">
        <f ca="1">Data!AL34</f>
        <v/>
      </c>
      <c r="C35" t="str">
        <f ca="1">IFERROR(IF(OFFSET(_xlfn.XLOOKUP(B35,Kuponger!E:E,Kuponger!Q:Q),15,72)=0,"",OFFSET(_xlfn.XLOOKUP(B35,Kuponger!E:E,Kuponger!Q:Q),15,72)),"")</f>
        <v/>
      </c>
      <c r="D35" t="str">
        <f ca="1">IFERROR(IF(OFFSET(_xlfn.XLOOKUP(B35,Kuponger!E:E,Kuponger!Q:Q),15,73)=0,"",OFFSET(_xlfn.XLOOKUP(B35,Kuponger!E:E,Kuponger!Q:Q),15,73)),"")</f>
        <v/>
      </c>
      <c r="E35" t="str">
        <f ca="1">IFERROR(IF(OFFSET(_xlfn.XLOOKUP(B35,Kuponger!E:E,Kuponger!Q:Q),15,74)=0,"",OFFSET(_xlfn.XLOOKUP(B35,Kuponger!E:E,Kuponger!Q:Q),15,74)),"")</f>
        <v/>
      </c>
      <c r="F35" t="str">
        <f ca="1">IFERROR(IF(OFFSET(_xlfn.XLOOKUP(B35,Kuponger!E:E,Kuponger!Q:Q),1,74)=0,"",OFFSET(_xlfn.XLOOKUP(B35,Kuponger!E:E,Kuponger!Q:Q),1,74))*-1,"")</f>
        <v/>
      </c>
      <c r="G35" t="str">
        <f t="shared" ca="1" si="0"/>
        <v/>
      </c>
      <c r="H35" t="str">
        <f ca="1">IFERROR(IF(OFFSET(_xlfn.XLOOKUP(B35,Kuponger!E:E,Kuponger!Q:Q),1,73)="","",OFFSET(_xlfn.XLOOKUP(B35,Kuponger!E:E,Kuponger!Q:Q),1,73)),"")</f>
        <v/>
      </c>
      <c r="I35" s="3" t="str">
        <f ca="1">IFERROR(t_lev[[#This Row],[tp]]-G34,"")</f>
        <v/>
      </c>
      <c r="K35" s="2" t="s">
        <v>27</v>
      </c>
    </row>
    <row r="36" spans="1:14" x14ac:dyDescent="0.2">
      <c r="A36">
        <v>35</v>
      </c>
      <c r="B36" s="22" t="str">
        <f ca="1">Data!AL35</f>
        <v/>
      </c>
      <c r="C36" t="str">
        <f ca="1">IFERROR(IF(OFFSET(_xlfn.XLOOKUP(B36,Kuponger!E:E,Kuponger!Q:Q),15,72)=0,"",OFFSET(_xlfn.XLOOKUP(B36,Kuponger!E:E,Kuponger!Q:Q),15,72)),"")</f>
        <v/>
      </c>
      <c r="D36" t="str">
        <f ca="1">IFERROR(IF(OFFSET(_xlfn.XLOOKUP(B36,Kuponger!E:E,Kuponger!Q:Q),15,73)=0,"",OFFSET(_xlfn.XLOOKUP(B36,Kuponger!E:E,Kuponger!Q:Q),15,73)),"")</f>
        <v/>
      </c>
      <c r="E36" t="str">
        <f ca="1">IFERROR(IF(OFFSET(_xlfn.XLOOKUP(B36,Kuponger!E:E,Kuponger!Q:Q),15,74)=0,"",OFFSET(_xlfn.XLOOKUP(B36,Kuponger!E:E,Kuponger!Q:Q),15,74)),"")</f>
        <v/>
      </c>
      <c r="F36" t="str">
        <f ca="1">IFERROR(IF(OFFSET(_xlfn.XLOOKUP(B36,Kuponger!E:E,Kuponger!Q:Q),1,74)=0,"",OFFSET(_xlfn.XLOOKUP(B36,Kuponger!E:E,Kuponger!Q:Q),1,74))*-1,"")</f>
        <v/>
      </c>
      <c r="G36" t="str">
        <f t="shared" ca="1" si="0"/>
        <v/>
      </c>
      <c r="H36" t="str">
        <f ca="1">IFERROR(IF(OFFSET(_xlfn.XLOOKUP(B36,Kuponger!E:E,Kuponger!Q:Q),1,73)="","",OFFSET(_xlfn.XLOOKUP(B36,Kuponger!E:E,Kuponger!Q:Q),1,73)),"")</f>
        <v/>
      </c>
      <c r="I36" s="3" t="str">
        <f ca="1">IFERROR(t_lev[[#This Row],[tp]]-G35,"")</f>
        <v/>
      </c>
      <c r="K36" s="4" t="s">
        <v>857</v>
      </c>
      <c r="L36" s="3">
        <v>80</v>
      </c>
      <c r="M36" s="3">
        <v>70</v>
      </c>
      <c r="N36" s="3">
        <v>60</v>
      </c>
    </row>
    <row r="37" spans="1:14" x14ac:dyDescent="0.2">
      <c r="A37">
        <v>36</v>
      </c>
      <c r="B37" s="22" t="str">
        <f ca="1">Data!AL36</f>
        <v/>
      </c>
      <c r="C37" t="str">
        <f ca="1">IFERROR(IF(OFFSET(_xlfn.XLOOKUP(B37,Kuponger!E:E,Kuponger!Q:Q),15,72)=0,"",OFFSET(_xlfn.XLOOKUP(B37,Kuponger!E:E,Kuponger!Q:Q),15,72)),"")</f>
        <v/>
      </c>
      <c r="D37" t="str">
        <f ca="1">IFERROR(IF(OFFSET(_xlfn.XLOOKUP(B37,Kuponger!E:E,Kuponger!Q:Q),15,73)=0,"",OFFSET(_xlfn.XLOOKUP(B37,Kuponger!E:E,Kuponger!Q:Q),15,73)),"")</f>
        <v/>
      </c>
      <c r="E37" t="str">
        <f ca="1">IFERROR(IF(OFFSET(_xlfn.XLOOKUP(B37,Kuponger!E:E,Kuponger!Q:Q),15,74)=0,"",OFFSET(_xlfn.XLOOKUP(B37,Kuponger!E:E,Kuponger!Q:Q),15,74)),"")</f>
        <v/>
      </c>
      <c r="F37" t="str">
        <f ca="1">IFERROR(IF(OFFSET(_xlfn.XLOOKUP(B37,Kuponger!E:E,Kuponger!Q:Q),1,74)=0,"",OFFSET(_xlfn.XLOOKUP(B37,Kuponger!E:E,Kuponger!Q:Q),1,74))*-1,"")</f>
        <v/>
      </c>
      <c r="G37" t="str">
        <f t="shared" ca="1" si="0"/>
        <v/>
      </c>
      <c r="H37" t="str">
        <f ca="1">IFERROR(IF(OFFSET(_xlfn.XLOOKUP(B37,Kuponger!E:E,Kuponger!Q:Q),1,73)="","",OFFSET(_xlfn.XLOOKUP(B37,Kuponger!E:E,Kuponger!Q:Q),1,73)),"")</f>
        <v/>
      </c>
      <c r="I37" s="3" t="str">
        <f ca="1">IFERROR(t_lev[[#This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IFERROR(IF(OFFSET(_xlfn.XLOOKUP(B38,Kuponger!E:E,Kuponger!Q:Q),15,72)=0,"",OFFSET(_xlfn.XLOOKUP(B38,Kuponger!E:E,Kuponger!Q:Q),15,72)),"")</f>
        <v/>
      </c>
      <c r="D38" t="str">
        <f ca="1">IFERROR(IF(OFFSET(_xlfn.XLOOKUP(B38,Kuponger!E:E,Kuponger!Q:Q),15,73)=0,"",OFFSET(_xlfn.XLOOKUP(B38,Kuponger!E:E,Kuponger!Q:Q),15,73)),"")</f>
        <v/>
      </c>
      <c r="E38" t="str">
        <f ca="1">IFERROR(IF(OFFSET(_xlfn.XLOOKUP(B38,Kuponger!E:E,Kuponger!Q:Q),15,74)=0,"",OFFSET(_xlfn.XLOOKUP(B38,Kuponger!E:E,Kuponger!Q:Q),15,74)),"")</f>
        <v/>
      </c>
      <c r="F38" t="str">
        <f ca="1">IFERROR(IF(OFFSET(_xlfn.XLOOKUP(B38,Kuponger!E:E,Kuponger!Q:Q),1,74)=0,"",OFFSET(_xlfn.XLOOKUP(B38,Kuponger!E:E,Kuponger!Q:Q),1,74))*-1,"")</f>
        <v/>
      </c>
      <c r="G38" t="str">
        <f t="shared" ca="1" si="0"/>
        <v/>
      </c>
      <c r="H38" t="str">
        <f ca="1">IFERROR(IF(OFFSET(_xlfn.XLOOKUP(B38,Kuponger!E:E,Kuponger!Q:Q),1,73)="","",OFFSET(_xlfn.XLOOKUP(B38,Kuponger!E:E,Kuponger!Q:Q),1,73)),"")</f>
        <v/>
      </c>
      <c r="I38" s="3" t="str">
        <f ca="1">IFERROR(t_lev[[#This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IFERROR(IF(OFFSET(_xlfn.XLOOKUP(B39,Kuponger!E:E,Kuponger!Q:Q),15,72)=0,"",OFFSET(_xlfn.XLOOKUP(B39,Kuponger!E:E,Kuponger!Q:Q),15,72)),"")</f>
        <v/>
      </c>
      <c r="D39" t="str">
        <f ca="1">IFERROR(IF(OFFSET(_xlfn.XLOOKUP(B39,Kuponger!E:E,Kuponger!Q:Q),15,73)=0,"",OFFSET(_xlfn.XLOOKUP(B39,Kuponger!E:E,Kuponger!Q:Q),15,73)),"")</f>
        <v/>
      </c>
      <c r="E39" t="str">
        <f ca="1">IFERROR(IF(OFFSET(_xlfn.XLOOKUP(B39,Kuponger!E:E,Kuponger!Q:Q),15,74)=0,"",OFFSET(_xlfn.XLOOKUP(B39,Kuponger!E:E,Kuponger!Q:Q),15,74)),"")</f>
        <v/>
      </c>
      <c r="F39" t="str">
        <f ca="1">IFERROR(IF(OFFSET(_xlfn.XLOOKUP(B39,Kuponger!E:E,Kuponger!Q:Q),1,74)=0,"",OFFSET(_xlfn.XLOOKUP(B39,Kuponger!E:E,Kuponger!Q:Q),1,74))*-1,"")</f>
        <v/>
      </c>
      <c r="G39" t="str">
        <f t="shared" ca="1" si="0"/>
        <v/>
      </c>
      <c r="H39" t="str">
        <f ca="1">IFERROR(IF(OFFSET(_xlfn.XLOOKUP(B39,Kuponger!E:E,Kuponger!Q:Q),1,73)="","",OFFSET(_xlfn.XLOOKUP(B39,Kuponger!E:E,Kuponger!Q:Q),1,73)),"")</f>
        <v/>
      </c>
      <c r="I39" s="3" t="str">
        <f ca="1">IFERROR(t_lev[[#This Row],[tp]]-G38,"")</f>
        <v/>
      </c>
      <c r="K39" s="4" t="s">
        <v>860</v>
      </c>
      <c r="L39" t="str">
        <f>_xlfn.XLOOKUP(LARGE(L$14:L$16,1),L$14:L$16,$K$14:$K$16)</f>
        <v>Hjemme</v>
      </c>
      <c r="M39" t="str">
        <f>_xlfn.XLOOKUP(LARGE(M$14:M$16,1),M$14:M$16,$K$14:$K$16)</f>
        <v>Hjemme</v>
      </c>
      <c r="N39" t="str">
        <f>_xlfn.XLOOKUP(LARGE(N$14:N$16,1),N$14:N$16,$K$14:$K$16)</f>
        <v>Hjemme</v>
      </c>
    </row>
    <row r="40" spans="1:14" x14ac:dyDescent="0.2">
      <c r="A40">
        <v>39</v>
      </c>
      <c r="B40" s="22" t="str">
        <f ca="1">Data!AL39</f>
        <v/>
      </c>
      <c r="C40" t="str">
        <f ca="1">IFERROR(IF(OFFSET(_xlfn.XLOOKUP(B40,Kuponger!E:E,Kuponger!Q:Q),15,72)=0,"",OFFSET(_xlfn.XLOOKUP(B40,Kuponger!E:E,Kuponger!Q:Q),15,72)),"")</f>
        <v/>
      </c>
      <c r="D40" t="str">
        <f ca="1">IFERROR(IF(OFFSET(_xlfn.XLOOKUP(B40,Kuponger!E:E,Kuponger!Q:Q),15,73)=0,"",OFFSET(_xlfn.XLOOKUP(B40,Kuponger!E:E,Kuponger!Q:Q),15,73)),"")</f>
        <v/>
      </c>
      <c r="E40" t="str">
        <f ca="1">IFERROR(IF(OFFSET(_xlfn.XLOOKUP(B40,Kuponger!E:E,Kuponger!Q:Q),15,74)=0,"",OFFSET(_xlfn.XLOOKUP(B40,Kuponger!E:E,Kuponger!Q:Q),15,74)),"")</f>
        <v/>
      </c>
      <c r="F40" t="str">
        <f ca="1">IFERROR(IF(OFFSET(_xlfn.XLOOKUP(B40,Kuponger!E:E,Kuponger!Q:Q),1,74)=0,"",OFFSET(_xlfn.XLOOKUP(B40,Kuponger!E:E,Kuponger!Q:Q),1,74))*-1,"")</f>
        <v/>
      </c>
      <c r="G40" t="str">
        <f t="shared" ca="1" si="0"/>
        <v/>
      </c>
      <c r="H40" t="str">
        <f ca="1">IFERROR(IF(OFFSET(_xlfn.XLOOKUP(B40,Kuponger!E:E,Kuponger!Q:Q),1,73)="","",OFFSET(_xlfn.XLOOKUP(B40,Kuponger!E:E,Kuponger!Q:Q),1,73)),"")</f>
        <v/>
      </c>
      <c r="I40" s="3" t="str">
        <f ca="1">IFERROR(t_lev[[#This Row],[tp]]-G39,"")</f>
        <v/>
      </c>
    </row>
    <row r="41" spans="1:14" x14ac:dyDescent="0.2">
      <c r="A41">
        <v>40</v>
      </c>
      <c r="B41" s="22" t="str">
        <f ca="1">Data!AL40</f>
        <v/>
      </c>
      <c r="C41" t="str">
        <f ca="1">IFERROR(IF(OFFSET(_xlfn.XLOOKUP(B41,Kuponger!E:E,Kuponger!Q:Q),15,72)=0,"",OFFSET(_xlfn.XLOOKUP(B41,Kuponger!E:E,Kuponger!Q:Q),15,72)),"")</f>
        <v/>
      </c>
      <c r="D41" t="str">
        <f ca="1">IFERROR(IF(OFFSET(_xlfn.XLOOKUP(B41,Kuponger!E:E,Kuponger!Q:Q),15,73)=0,"",OFFSET(_xlfn.XLOOKUP(B41,Kuponger!E:E,Kuponger!Q:Q),15,73)),"")</f>
        <v/>
      </c>
      <c r="E41" t="str">
        <f ca="1">IFERROR(IF(OFFSET(_xlfn.XLOOKUP(B41,Kuponger!E:E,Kuponger!Q:Q),15,74)=0,"",OFFSET(_xlfn.XLOOKUP(B41,Kuponger!E:E,Kuponger!Q:Q),15,74)),"")</f>
        <v/>
      </c>
      <c r="F41" t="str">
        <f ca="1">IFERROR(IF(OFFSET(_xlfn.XLOOKUP(B41,Kuponger!E:E,Kuponger!Q:Q),1,74)=0,"",OFFSET(_xlfn.XLOOKUP(B41,Kuponger!E:E,Kuponger!Q:Q),1,74))*-1,"")</f>
        <v/>
      </c>
      <c r="G41" t="str">
        <f t="shared" ca="1" si="0"/>
        <v/>
      </c>
      <c r="H41" t="str">
        <f ca="1">IFERROR(IF(OFFSET(_xlfn.XLOOKUP(B41,Kuponger!E:E,Kuponger!Q:Q),1,73)="","",OFFSET(_xlfn.XLOOKUP(B41,Kuponger!E:E,Kuponger!Q:Q),1,73)),"")</f>
        <v/>
      </c>
      <c r="I41" s="3" t="str">
        <f ca="1">IFERROR(t_lev[[#This Row],[tp]]-G40,"")</f>
        <v/>
      </c>
      <c r="K41" s="4" t="s">
        <v>861</v>
      </c>
      <c r="L41" s="811">
        <f ca="1">IFERROR(AVERAGE(H:H),"")</f>
        <v>4.96875</v>
      </c>
      <c r="N41" t="str">
        <f>K35&amp;" treffer på "&amp;TEXT((S11/S5)*100,"00,0")&amp;"% av sine 10-poengere, dvs. han bommer"</f>
        <v>LEV treffer på 21,5% av sine 10-poengere, dvs. han bommer</v>
      </c>
    </row>
    <row r="42" spans="1:14" x14ac:dyDescent="0.2">
      <c r="A42">
        <v>41</v>
      </c>
      <c r="B42" s="22" t="str">
        <f ca="1">Data!AL41</f>
        <v/>
      </c>
      <c r="C42" t="str">
        <f ca="1">IFERROR(IF(OFFSET(_xlfn.XLOOKUP(B42,Kuponger!E:E,Kuponger!Q:Q),15,72)=0,"",OFFSET(_xlfn.XLOOKUP(B42,Kuponger!E:E,Kuponger!Q:Q),15,72)),"")</f>
        <v/>
      </c>
      <c r="D42" t="str">
        <f ca="1">IFERROR(IF(OFFSET(_xlfn.XLOOKUP(B42,Kuponger!E:E,Kuponger!Q:Q),15,73)=0,"",OFFSET(_xlfn.XLOOKUP(B42,Kuponger!E:E,Kuponger!Q:Q),15,73)),"")</f>
        <v/>
      </c>
      <c r="E42" t="str">
        <f ca="1">IFERROR(IF(OFFSET(_xlfn.XLOOKUP(B42,Kuponger!E:E,Kuponger!Q:Q),15,74)=0,"",OFFSET(_xlfn.XLOOKUP(B42,Kuponger!E:E,Kuponger!Q:Q),15,74)),"")</f>
        <v/>
      </c>
      <c r="F42" t="str">
        <f ca="1">IFERROR(IF(OFFSET(_xlfn.XLOOKUP(B42,Kuponger!E:E,Kuponger!Q:Q),1,74)=0,"",OFFSET(_xlfn.XLOOKUP(B42,Kuponger!E:E,Kuponger!Q:Q),1,74))*-1,"")</f>
        <v/>
      </c>
      <c r="G42" t="str">
        <f t="shared" ca="1" si="0"/>
        <v/>
      </c>
      <c r="H42" t="str">
        <f ca="1">IFERROR(IF(OFFSET(_xlfn.XLOOKUP(B42,Kuponger!E:E,Kuponger!Q:Q),1,73)="","",OFFSET(_xlfn.XLOOKUP(B42,Kuponger!E:E,Kuponger!Q:Q),1,73)),"")</f>
        <v/>
      </c>
      <c r="I42" s="3" t="str">
        <f ca="1">IFERROR(t_lev[[#This Row],[tp]]-G41,"")</f>
        <v/>
      </c>
      <c r="K42" s="4" t="s">
        <v>862</v>
      </c>
      <c r="L42" s="811">
        <f ca="1">IFERROR(AVERAGE(C:C),"")</f>
        <v>305.625</v>
      </c>
      <c r="N42" t="str">
        <f>K35&amp;" treffer på "&amp;TEXT((L11/L5)*100,"00,0")&amp;"% av sine 80-poengere"</f>
        <v>LEV treffer på 59,9% av sine 80-poengere</v>
      </c>
    </row>
    <row r="43" spans="1:14" x14ac:dyDescent="0.2">
      <c r="K43" s="4" t="s">
        <v>863</v>
      </c>
      <c r="L43" s="811">
        <f ca="1">IFERROR(AVERAGE(D:D),"")</f>
        <v>58.70967741935484</v>
      </c>
      <c r="N43" t="str">
        <f>K35&amp;" har tatt "&amp;T23&amp;" poeng så langt, men samtidig gått glipp av "&amp;T29&amp;" poeng, noe som gir en poengandel på "&amp;TEXT(L48,"0,0%")</f>
        <v>LEV har tatt 16250 poeng så langt, men samtidig gått glipp av 23840 poeng, noe som gir en poengandel på 68,2%</v>
      </c>
    </row>
    <row r="44" spans="1:14" x14ac:dyDescent="0.2">
      <c r="K44" s="4" t="s">
        <v>864</v>
      </c>
      <c r="L44" s="811">
        <f ca="1">IFERROR(AVERAGE(E:E),"")</f>
        <v>155</v>
      </c>
    </row>
    <row r="45" spans="1:14" x14ac:dyDescent="0.2">
      <c r="K45" s="4" t="s">
        <v>865</v>
      </c>
      <c r="L45" s="810">
        <f ca="1">IFERROR(COUNTIF(F:F,"&lt;0")/COUNTIF(C:C,"&gt;0"),"")</f>
        <v>0</v>
      </c>
    </row>
    <row r="46" spans="1:14" x14ac:dyDescent="0.2">
      <c r="K46" s="4" t="s">
        <v>866</v>
      </c>
      <c r="L46" s="811">
        <f ca="1">IFERROR(AVERAGE(G:G),"")</f>
        <v>507.8125</v>
      </c>
    </row>
    <row r="48" spans="1:14" x14ac:dyDescent="0.2">
      <c r="K48" s="4" t="s">
        <v>868</v>
      </c>
      <c r="L48" s="812">
        <f>(T23/T29)</f>
        <v>0.68162751677852351</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C9026F2C774FD8499CC0921496811AF5" ma:contentTypeVersion="6" ma:contentTypeDescription="Opprett et nytt dokument." ma:contentTypeScope="" ma:versionID="66a2ba80bd10c52a2051bd2efd6a1240">
  <xsd:schema xmlns:xsd="http://www.w3.org/2001/XMLSchema" xmlns:xs="http://www.w3.org/2001/XMLSchema" xmlns:p="http://schemas.microsoft.com/office/2006/metadata/properties" xmlns:ns2="e6826306-a46b-458b-82a4-b5d11378cd53" xmlns:ns3="03f7cb9b-e9d0-4968-b5fe-bdd3ccebad00" targetNamespace="http://schemas.microsoft.com/office/2006/metadata/properties" ma:root="true" ma:fieldsID="f70ab253a1428aeed1a6af3760333b68" ns2:_="" ns3:_="">
    <xsd:import namespace="e6826306-a46b-458b-82a4-b5d11378cd53"/>
    <xsd:import namespace="03f7cb9b-e9d0-4968-b5fe-bdd3ccebad0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6826306-a46b-458b-82a4-b5d11378cd53" elementFormDefault="qualified">
    <xsd:import namespace="http://schemas.microsoft.com/office/2006/documentManagement/types"/>
    <xsd:import namespace="http://schemas.microsoft.com/office/infopath/2007/PartnerControls"/>
    <xsd:element name="SharedWithUsers" ma:index="8" nillable="true" ma:displayName="Delt med"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ingsdetaljer" ma:descrip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3f7cb9b-e9d0-4968-b5fe-bdd3ccebad0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F7DFAB-3E19-4B7D-845A-A0E985AA5635}">
  <ds:schemaRefs>
    <ds:schemaRef ds:uri="http://purl.org/dc/terms/"/>
    <ds:schemaRef ds:uri="http://schemas.microsoft.com/office/2006/documentManagement/types"/>
    <ds:schemaRef ds:uri="03f7cb9b-e9d0-4968-b5fe-bdd3ccebad00"/>
    <ds:schemaRef ds:uri="http://purl.org/dc/elements/1.1/"/>
    <ds:schemaRef ds:uri="http://schemas.openxmlformats.org/package/2006/metadata/core-properties"/>
    <ds:schemaRef ds:uri="http://schemas.microsoft.com/office/infopath/2007/PartnerControls"/>
    <ds:schemaRef ds:uri="http://schemas.microsoft.com/office/2006/metadata/properties"/>
    <ds:schemaRef ds:uri="e6826306-a46b-458b-82a4-b5d11378cd53"/>
    <ds:schemaRef ds:uri="http://www.w3.org/XML/1998/namespace"/>
    <ds:schemaRef ds:uri="http://purl.org/dc/dcmitype/"/>
  </ds:schemaRefs>
</ds:datastoreItem>
</file>

<file path=customXml/itemProps2.xml><?xml version="1.0" encoding="utf-8"?>
<ds:datastoreItem xmlns:ds="http://schemas.openxmlformats.org/officeDocument/2006/customXml" ds:itemID="{4759C87B-ACA7-4D63-AA2D-D98B465D06C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6826306-a46b-458b-82a4-b5d11378cd53"/>
    <ds:schemaRef ds:uri="03f7cb9b-e9d0-4968-b5fe-bdd3ccebad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3B0F7D9-B94D-4B5C-8F95-D26FD2E2095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Regneark</vt:lpstr>
      </vt:variant>
      <vt:variant>
        <vt:i4>23</vt:i4>
      </vt:variant>
      <vt:variant>
        <vt:lpstr>Navngitte områder</vt:lpstr>
      </vt:variant>
      <vt:variant>
        <vt:i4>22</vt:i4>
      </vt:variant>
    </vt:vector>
  </HeadingPairs>
  <TitlesOfParts>
    <vt:vector size="45" baseType="lpstr">
      <vt:lpstr>Heder &amp; Ære</vt:lpstr>
      <vt:lpstr>Dashboard</vt:lpstr>
      <vt:lpstr>Kuponger</vt:lpstr>
      <vt:lpstr>Hovedtabell</vt:lpstr>
      <vt:lpstr>Tabeller</vt:lpstr>
      <vt:lpstr>Regnskap</vt:lpstr>
      <vt:lpstr>Analyse</vt:lpstr>
      <vt:lpstr>Hva er nytt</vt:lpstr>
      <vt:lpstr>Møtekuponger</vt:lpstr>
      <vt:lpstr>Kongerekka</vt:lpstr>
      <vt:lpstr>Data</vt:lpstr>
      <vt:lpstr>Statistikk</vt:lpstr>
      <vt:lpstr>Hjelpeark</vt:lpstr>
      <vt:lpstr>Historikk</vt:lpstr>
      <vt:lpstr>f_ahh</vt:lpstr>
      <vt:lpstr>f_rb</vt:lpstr>
      <vt:lpstr>f_eb</vt:lpstr>
      <vt:lpstr>f_kaf</vt:lpstr>
      <vt:lpstr>f_øg</vt:lpstr>
      <vt:lpstr>f_jh</vt:lpstr>
      <vt:lpstr>f_toh</vt:lpstr>
      <vt:lpstr>f_utg</vt:lpstr>
      <vt:lpstr>f_lev</vt:lpstr>
      <vt:lpstr>ath</vt:lpstr>
      <vt:lpstr>atl</vt:lpstr>
      <vt:lpstr>b_ahh</vt:lpstr>
      <vt:lpstr>b_eb</vt:lpstr>
      <vt:lpstr>b_jh</vt:lpstr>
      <vt:lpstr>b_kaf</vt:lpstr>
      <vt:lpstr>b_rb</vt:lpstr>
      <vt:lpstr>b_toh</vt:lpstr>
      <vt:lpstr>b_øg</vt:lpstr>
      <vt:lpstr>bt</vt:lpstr>
      <vt:lpstr>Hovedtabell</vt:lpstr>
      <vt:lpstr>ht</vt:lpstr>
      <vt:lpstr>ts</vt:lpstr>
      <vt:lpstr>uj</vt:lpstr>
      <vt:lpstr>Analyse!Uketapere</vt:lpstr>
      <vt:lpstr>Uketapere</vt:lpstr>
      <vt:lpstr>Ukevinnere</vt:lpstr>
      <vt:lpstr>us</vt:lpstr>
      <vt:lpstr>ut</vt:lpstr>
      <vt:lpstr>Møtekuponger!Utskriftsområde</vt:lpstr>
      <vt:lpstr>viktigere</vt:lpstr>
      <vt:lpstr>viktigst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Alf-Henrik Håker;oafg54@outlook.com</dc:creator>
  <cp:keywords/>
  <dc:description/>
  <cp:lastModifiedBy>Øyvind Granberg</cp:lastModifiedBy>
  <cp:revision>1</cp:revision>
  <cp:lastPrinted>2026-04-23T11:34:01Z</cp:lastPrinted>
  <dcterms:created xsi:type="dcterms:W3CDTF">2022-06-02T05:21:37Z</dcterms:created>
  <dcterms:modified xsi:type="dcterms:W3CDTF">2026-06-15T15:43:03Z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0x010100C9026F2C774FD8499CC0921496811AF5</vt:lpwstr>
  </property>
</Properties>
</file>